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039FE4DB-0116-45F1-BA0C-A2FF61809F4C}" xr6:coauthVersionLast="47" xr6:coauthVersionMax="47" xr10:uidLastSave="{00000000-0000-0000-0000-000000000000}"/>
  <bookViews>
    <workbookView xWindow="4395" yWindow="1350" windowWidth="20160" windowHeight="13170" xr2:uid="{6BCC6701-6F03-4F5C-8EBD-C66DDA2E46B9}"/>
  </bookViews>
  <sheets>
    <sheet name="Reg6_Europe_TMYx_EPW_Processing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1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7" i="1"/>
  <c r="J12398" i="1"/>
  <c r="J12399" i="1"/>
  <c r="J12400" i="1"/>
  <c r="J12401" i="1"/>
  <c r="J12402" i="1"/>
  <c r="J12403" i="1"/>
  <c r="J12404" i="1"/>
  <c r="J12405" i="1"/>
  <c r="J12406" i="1"/>
  <c r="J12407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39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4" i="1"/>
  <c r="J12455" i="1"/>
  <c r="J12456" i="1"/>
  <c r="J12457" i="1"/>
  <c r="J12458" i="1"/>
  <c r="J12459" i="1"/>
  <c r="J12460" i="1"/>
  <c r="J12461" i="1"/>
  <c r="J12462" i="1"/>
  <c r="J12463" i="1"/>
  <c r="J12464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1" i="1"/>
  <c r="J12492" i="1"/>
  <c r="J12493" i="1"/>
  <c r="J12494" i="1"/>
  <c r="J12495" i="1"/>
  <c r="J12496" i="1"/>
  <c r="J12497" i="1"/>
  <c r="J12498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7" i="1"/>
  <c r="J12528" i="1"/>
  <c r="J12529" i="1"/>
  <c r="J12530" i="1"/>
  <c r="J12531" i="1"/>
  <c r="J12532" i="1"/>
  <c r="J12533" i="1"/>
  <c r="J12534" i="1"/>
  <c r="J12535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8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</calcChain>
</file>

<file path=xl/sharedStrings.xml><?xml version="1.0" encoding="utf-8"?>
<sst xmlns="http://schemas.openxmlformats.org/spreadsheetml/2006/main" count="57062" uniqueCount="9001">
  <si>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</si>
  <si>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</si>
  <si>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</si>
  <si>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</si>
  <si>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</si>
  <si>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</si>
  <si>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</si>
  <si>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</si>
  <si>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</si>
  <si>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</si>
  <si>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ALA</t>
  </si>
  <si>
    <t>LU</t>
  </si>
  <si>
    <t>Lumparland.Langnas.Harbour</t>
  </si>
  <si>
    <t>027240</t>
  </si>
  <si>
    <t>SRC-TMYx</t>
  </si>
  <si>
    <t>MH</t>
  </si>
  <si>
    <t>Jomalby</t>
  </si>
  <si>
    <t>027410</t>
  </si>
  <si>
    <t>Custom-027410</t>
  </si>
  <si>
    <t>KM</t>
  </si>
  <si>
    <t>Kumlinge</t>
  </si>
  <si>
    <t>027900</t>
  </si>
  <si>
    <t>Custom-027900</t>
  </si>
  <si>
    <t>Jomala-Mariehamn.AP</t>
  </si>
  <si>
    <t>029700</t>
  </si>
  <si>
    <t>Custom-029700</t>
  </si>
  <si>
    <t>KK</t>
  </si>
  <si>
    <t>Bogskar.Lighthouse</t>
  </si>
  <si>
    <t>029790</t>
  </si>
  <si>
    <t>Custom-029790</t>
  </si>
  <si>
    <t>LE</t>
  </si>
  <si>
    <t>Nyhamn</t>
  </si>
  <si>
    <t>029800</t>
  </si>
  <si>
    <t>Custom-029800</t>
  </si>
  <si>
    <t>Parainen.Uto</t>
  </si>
  <si>
    <t>029810</t>
  </si>
  <si>
    <t>Custom-029810</t>
  </si>
  <si>
    <t>Kumlinge.Island</t>
  </si>
  <si>
    <t>029900</t>
  </si>
  <si>
    <t>HM</t>
  </si>
  <si>
    <t>Market.Island</t>
  </si>
  <si>
    <t>029930</t>
  </si>
  <si>
    <t>Custom-029930</t>
  </si>
  <si>
    <t>ALB</t>
  </si>
  <si>
    <t>SD</t>
  </si>
  <si>
    <t>Shkodra</t>
  </si>
  <si>
    <t>Custom-136000</t>
  </si>
  <si>
    <t>TI</t>
  </si>
  <si>
    <t>Tirana-Laprake</t>
  </si>
  <si>
    <t>Custom-136010</t>
  </si>
  <si>
    <t>Kukes.Intl.AP</t>
  </si>
  <si>
    <t>Custom-136100</t>
  </si>
  <si>
    <t>DU</t>
  </si>
  <si>
    <t>Durres</t>
  </si>
  <si>
    <t>Custom-136110</t>
  </si>
  <si>
    <t>Tirana-Rinas.Intl.AP</t>
  </si>
  <si>
    <t>Custom-136150</t>
  </si>
  <si>
    <t>DB</t>
  </si>
  <si>
    <t>Peshkopi</t>
  </si>
  <si>
    <t>Custom-136190</t>
  </si>
  <si>
    <t>VR</t>
  </si>
  <si>
    <t>Vlore</t>
  </si>
  <si>
    <t>Custom-136220</t>
  </si>
  <si>
    <t>Sazan.Island</t>
  </si>
  <si>
    <t>Custom-136230</t>
  </si>
  <si>
    <t>BE</t>
  </si>
  <si>
    <t>Kucove</t>
  </si>
  <si>
    <t>Custom-136240</t>
  </si>
  <si>
    <t>GK</t>
  </si>
  <si>
    <t>Gjirokastra</t>
  </si>
  <si>
    <t>Custom-136250</t>
  </si>
  <si>
    <t>KE</t>
  </si>
  <si>
    <t>Korca</t>
  </si>
  <si>
    <t>Custom-136290</t>
  </si>
  <si>
    <t>AND</t>
  </si>
  <si>
    <t>AV</t>
  </si>
  <si>
    <t>Andorra.la.Vella</t>
  </si>
  <si>
    <t>AND001</t>
  </si>
  <si>
    <t>ERA5-TMYx</t>
  </si>
  <si>
    <t>AUT</t>
  </si>
  <si>
    <t>OO</t>
  </si>
  <si>
    <t>Wolfsegg</t>
  </si>
  <si>
    <t>Custom-110010</t>
  </si>
  <si>
    <t>Rohrbach</t>
  </si>
  <si>
    <t>Custom-110080</t>
  </si>
  <si>
    <t>Wels.AP</t>
  </si>
  <si>
    <t>Linz-Blue.Danube.AP</t>
  </si>
  <si>
    <t>Custom-110100</t>
  </si>
  <si>
    <t>Kremsmunster</t>
  </si>
  <si>
    <t>Custom-110120</t>
  </si>
  <si>
    <t>Konigswiesen</t>
  </si>
  <si>
    <t>Freistadt</t>
  </si>
  <si>
    <t>Custom-110150</t>
  </si>
  <si>
    <t>NO</t>
  </si>
  <si>
    <t>Wiener.Neustadt.East.AP</t>
  </si>
  <si>
    <t>Custom-110161</t>
  </si>
  <si>
    <t>Voslau.Kottingbrunn.AP</t>
  </si>
  <si>
    <t>Custom-110162</t>
  </si>
  <si>
    <t>Amstetten</t>
  </si>
  <si>
    <t>Custom-110180</t>
  </si>
  <si>
    <t>Allentsteig</t>
  </si>
  <si>
    <t>Custom-110190</t>
  </si>
  <si>
    <t>Stift.Zwettl</t>
  </si>
  <si>
    <t>Custom-110200</t>
  </si>
  <si>
    <t>Litschau</t>
  </si>
  <si>
    <t>Custom-110210</t>
  </si>
  <si>
    <t>Retz</t>
  </si>
  <si>
    <t>Custom-110220</t>
  </si>
  <si>
    <t>Jauerling</t>
  </si>
  <si>
    <t>Custom-110240</t>
  </si>
  <si>
    <t>Weitra</t>
  </si>
  <si>
    <t>Stockerau</t>
  </si>
  <si>
    <t>Tulln-Langenlebarn.AB</t>
  </si>
  <si>
    <t>Custom-110300</t>
  </si>
  <si>
    <t>Poysdorf</t>
  </si>
  <si>
    <t>Custom-110320</t>
  </si>
  <si>
    <t>WI</t>
  </si>
  <si>
    <t>Wien-Innere.Stadt</t>
  </si>
  <si>
    <t>Custom-110340</t>
  </si>
  <si>
    <t>Wien-Hohe.Warte</t>
  </si>
  <si>
    <t>Custom-110350</t>
  </si>
  <si>
    <t>Wien-Schwechat.AP</t>
  </si>
  <si>
    <t>Custom-110360</t>
  </si>
  <si>
    <t>Gros.Enzersdorf</t>
  </si>
  <si>
    <t>Spitzerberg.Flight.School.AP</t>
  </si>
  <si>
    <t>Wien-Unterlaa</t>
  </si>
  <si>
    <t>Custom-110400</t>
  </si>
  <si>
    <t>Ranshofen</t>
  </si>
  <si>
    <t>Custom-110510</t>
  </si>
  <si>
    <t>Ried.im.Innkreis</t>
  </si>
  <si>
    <t>Custom-110530</t>
  </si>
  <si>
    <t>Scharding</t>
  </si>
  <si>
    <t>Custom-110550</t>
  </si>
  <si>
    <t>Wels-Schleissheim</t>
  </si>
  <si>
    <t>Linz</t>
  </si>
  <si>
    <t>Custom-110600</t>
  </si>
  <si>
    <t>Krems</t>
  </si>
  <si>
    <t>Custom-110700</t>
  </si>
  <si>
    <t>Langenlois</t>
  </si>
  <si>
    <t>Custom-110750</t>
  </si>
  <si>
    <t>Lilienfeld.Tarschberg</t>
  </si>
  <si>
    <t>Custom-110780</t>
  </si>
  <si>
    <t>Wien-Mariabrunn</t>
  </si>
  <si>
    <t>Baden</t>
  </si>
  <si>
    <t>Gumpoldskirchen</t>
  </si>
  <si>
    <t>Custom-110820</t>
  </si>
  <si>
    <t>Leiser.Berge</t>
  </si>
  <si>
    <t>Zwerndorf.Marchegg</t>
  </si>
  <si>
    <t>Wien-Donaufeld</t>
  </si>
  <si>
    <t>VO</t>
  </si>
  <si>
    <t>Bregenz</t>
  </si>
  <si>
    <t>Custom-111010</t>
  </si>
  <si>
    <t>Feldkirch</t>
  </si>
  <si>
    <t>Custom-111050</t>
  </si>
  <si>
    <t>Laz-Muttersberg</t>
  </si>
  <si>
    <t>TR</t>
  </si>
  <si>
    <t>St.Anton.am.Arlberg</t>
  </si>
  <si>
    <t>Custom-111090</t>
  </si>
  <si>
    <t>Galzig.Mtn-Lechtal.Alps</t>
  </si>
  <si>
    <t>Custom-111100</t>
  </si>
  <si>
    <t>Landeck</t>
  </si>
  <si>
    <t>Custom-111120</t>
  </si>
  <si>
    <t>Nauders</t>
  </si>
  <si>
    <t>Vils</t>
  </si>
  <si>
    <t>Reutte</t>
  </si>
  <si>
    <t>Seefeld</t>
  </si>
  <si>
    <t>Innsbruck.AP</t>
  </si>
  <si>
    <t>Custom-111200</t>
  </si>
  <si>
    <t>Schwaz.Heliport</t>
  </si>
  <si>
    <t>Patscherkofel.Mtn</t>
  </si>
  <si>
    <t>Custom-111260</t>
  </si>
  <si>
    <t>Obergurgl</t>
  </si>
  <si>
    <t>Custom-111270</t>
  </si>
  <si>
    <t>Brenner</t>
  </si>
  <si>
    <t>Kufstein</t>
  </si>
  <si>
    <t>Custom-111300</t>
  </si>
  <si>
    <t>Hahnenkamm-Ehrenbachhohe</t>
  </si>
  <si>
    <t>Custom-111350</t>
  </si>
  <si>
    <t>SZ</t>
  </si>
  <si>
    <t>Krimml</t>
  </si>
  <si>
    <t>Custom-111360</t>
  </si>
  <si>
    <t>Maria.Alm</t>
  </si>
  <si>
    <t>Custom-111370</t>
  </si>
  <si>
    <t>Alpinzentrum.Rudolfshutte</t>
  </si>
  <si>
    <t>Custom-111380</t>
  </si>
  <si>
    <t>Lofer</t>
  </si>
  <si>
    <t>Bischofshofen</t>
  </si>
  <si>
    <t>Custom-111410</t>
  </si>
  <si>
    <t>St.Johann.im.Pongau</t>
  </si>
  <si>
    <t>Custom-111420</t>
  </si>
  <si>
    <t>Zell.am.See</t>
  </si>
  <si>
    <t>Custom-111440</t>
  </si>
  <si>
    <t>Radstadt</t>
  </si>
  <si>
    <t>Custom-111470</t>
  </si>
  <si>
    <t>St.Michael.im.Lungau</t>
  </si>
  <si>
    <t>Custom-111480</t>
  </si>
  <si>
    <t>Obertauern</t>
  </si>
  <si>
    <t>Custom-111490</t>
  </si>
  <si>
    <t>Salzburg.AP</t>
  </si>
  <si>
    <t>Custom-111500</t>
  </si>
  <si>
    <t>Seewalchen.am.Attersee</t>
  </si>
  <si>
    <t>Mattsee</t>
  </si>
  <si>
    <t>Custom-111520</t>
  </si>
  <si>
    <t>Mondsee</t>
  </si>
  <si>
    <t>Custom-111530</t>
  </si>
  <si>
    <t>Gmunden</t>
  </si>
  <si>
    <t>Custom-111540</t>
  </si>
  <si>
    <t>Feuerkogel</t>
  </si>
  <si>
    <t>Custom-111550</t>
  </si>
  <si>
    <t>Bad.Ischl</t>
  </si>
  <si>
    <t>ST</t>
  </si>
  <si>
    <t>Aigen.im.Ennstal.AB</t>
  </si>
  <si>
    <t>Custom-111570</t>
  </si>
  <si>
    <t>Hieflau</t>
  </si>
  <si>
    <t>Prabichl</t>
  </si>
  <si>
    <t>Zeltweg.AB</t>
  </si>
  <si>
    <t>Custom-111650</t>
  </si>
  <si>
    <t>Lunz</t>
  </si>
  <si>
    <t>Custom-111700</t>
  </si>
  <si>
    <t>St.Sebastian-Mariazell.AP</t>
  </si>
  <si>
    <t>Custom-111710</t>
  </si>
  <si>
    <t>Fishbach</t>
  </si>
  <si>
    <t>Custom-111730</t>
  </si>
  <si>
    <t>St.Michael-Leoben</t>
  </si>
  <si>
    <t>Custom-111740</t>
  </si>
  <si>
    <t>Bruck.an.der.Mur</t>
  </si>
  <si>
    <t>Custom-111750</t>
  </si>
  <si>
    <t>Raxseilbahn.Bergstation</t>
  </si>
  <si>
    <t>Custom-111800</t>
  </si>
  <si>
    <t>Wiener.Neustadt.AF</t>
  </si>
  <si>
    <t>Custom-111820</t>
  </si>
  <si>
    <t>Monichkirchen</t>
  </si>
  <si>
    <t>Custom-111850</t>
  </si>
  <si>
    <t>BU</t>
  </si>
  <si>
    <t>Eisenstadt</t>
  </si>
  <si>
    <t>Custom-111900</t>
  </si>
  <si>
    <t>Kleinzicken</t>
  </si>
  <si>
    <t>Custom-111920</t>
  </si>
  <si>
    <t>Bad.Tatzmannsdorf</t>
  </si>
  <si>
    <t>Neusiedl.am.See</t>
  </si>
  <si>
    <t>Custom-111940</t>
  </si>
  <si>
    <t>Punitz.AP</t>
  </si>
  <si>
    <t>Sillian</t>
  </si>
  <si>
    <t>Felbertauern</t>
  </si>
  <si>
    <t>Lienz</t>
  </si>
  <si>
    <t>Custom-112040</t>
  </si>
  <si>
    <t>KA</t>
  </si>
  <si>
    <t>Reisach</t>
  </si>
  <si>
    <t>Radenthein</t>
  </si>
  <si>
    <t>Villacher.Alps</t>
  </si>
  <si>
    <t>Custom-112120</t>
  </si>
  <si>
    <t>Villach</t>
  </si>
  <si>
    <t>Custom-112130</t>
  </si>
  <si>
    <t>Preitenegg</t>
  </si>
  <si>
    <t>Neumarkt</t>
  </si>
  <si>
    <t>Weitensfeld</t>
  </si>
  <si>
    <t>Custom-112250</t>
  </si>
  <si>
    <t>Feldkirchen</t>
  </si>
  <si>
    <t>Friesach</t>
  </si>
  <si>
    <t>St.Andra</t>
  </si>
  <si>
    <t>Custom-112290</t>
  </si>
  <si>
    <t>Feistritz.ob.Bleiburg</t>
  </si>
  <si>
    <t>Custom-112320</t>
  </si>
  <si>
    <t>St.Michael</t>
  </si>
  <si>
    <t>Bad.Eisenkappel</t>
  </si>
  <si>
    <t>Graz.AP</t>
  </si>
  <si>
    <t>Custom-112400</t>
  </si>
  <si>
    <t>Schockl</t>
  </si>
  <si>
    <t>Custom-112410</t>
  </si>
  <si>
    <t>Sankt.Radegund</t>
  </si>
  <si>
    <t>Bad.Gleichenberg</t>
  </si>
  <si>
    <t>Custom-112440</t>
  </si>
  <si>
    <t>Bad.Radkersburg</t>
  </si>
  <si>
    <t>Custom-112480</t>
  </si>
  <si>
    <t>Virgen</t>
  </si>
  <si>
    <t>Custom-112520</t>
  </si>
  <si>
    <t>Kotschach.Mauthen</t>
  </si>
  <si>
    <t>Custom-112550</t>
  </si>
  <si>
    <t>Mallnitz.Bad</t>
  </si>
  <si>
    <t>Obervellach</t>
  </si>
  <si>
    <t>Custom-112610</t>
  </si>
  <si>
    <t>Weissensee-Gatschach</t>
  </si>
  <si>
    <t>Dellach.im.Drautal</t>
  </si>
  <si>
    <t>Custom-112700</t>
  </si>
  <si>
    <t>Spittal.an.der.Drau</t>
  </si>
  <si>
    <t>Arriach</t>
  </si>
  <si>
    <t>Custom-112750</t>
  </si>
  <si>
    <t>Poertschach</t>
  </si>
  <si>
    <t>Murau</t>
  </si>
  <si>
    <t>Custom-112800</t>
  </si>
  <si>
    <t>Deutschlandsberg</t>
  </si>
  <si>
    <t>Graz.Univ</t>
  </si>
  <si>
    <t>Lassnitzhohe</t>
  </si>
  <si>
    <t>Custom-112920</t>
  </si>
  <si>
    <t>Leibnitz</t>
  </si>
  <si>
    <t>Feldbach</t>
  </si>
  <si>
    <t>Alberschwende</t>
  </si>
  <si>
    <t>Dornbirn</t>
  </si>
  <si>
    <t>Custom-113020</t>
  </si>
  <si>
    <t>Brand</t>
  </si>
  <si>
    <t>Schroecken</t>
  </si>
  <si>
    <t>Langen</t>
  </si>
  <si>
    <t>Warth</t>
  </si>
  <si>
    <t>Custom-113080</t>
  </si>
  <si>
    <t>Ischgl.Ski.Resort</t>
  </si>
  <si>
    <t>Custom-113100</t>
  </si>
  <si>
    <t>Galtuer</t>
  </si>
  <si>
    <t>Holzgau</t>
  </si>
  <si>
    <t>Pitztaler.Gletscher</t>
  </si>
  <si>
    <t>Hinterer.Brunnenkogel-Otztal.Alps</t>
  </si>
  <si>
    <t>Jenbach</t>
  </si>
  <si>
    <t>Mayrhofen</t>
  </si>
  <si>
    <t>Klagenfurt.AP</t>
  </si>
  <si>
    <t>Custom-113310</t>
  </si>
  <si>
    <t>Mistelbach</t>
  </si>
  <si>
    <t>Loferer.Alm</t>
  </si>
  <si>
    <t>Schmittenhohe.Mtn-Klitzbuhel.Alps</t>
  </si>
  <si>
    <t>Custom-113400</t>
  </si>
  <si>
    <t>Sonnblick.Obs</t>
  </si>
  <si>
    <t>Custom-113430</t>
  </si>
  <si>
    <t>St.Veit.im.Pongau</t>
  </si>
  <si>
    <t>Custom-113450</t>
  </si>
  <si>
    <t>Rauris</t>
  </si>
  <si>
    <t>Custom-113460</t>
  </si>
  <si>
    <t>Mariapfarr</t>
  </si>
  <si>
    <t>Custom-113480</t>
  </si>
  <si>
    <t>Katschberg.Ski.Area</t>
  </si>
  <si>
    <t>Salzburg-Freisaal</t>
  </si>
  <si>
    <t>Custom-113500</t>
  </si>
  <si>
    <t>Ramsau.am.Dachstein</t>
  </si>
  <si>
    <t>Custom-113510</t>
  </si>
  <si>
    <t>Bad.Goisern</t>
  </si>
  <si>
    <t>Custom-113540</t>
  </si>
  <si>
    <t>Windischgarsten</t>
  </si>
  <si>
    <t>Custom-113550</t>
  </si>
  <si>
    <t>Bad.Aussee</t>
  </si>
  <si>
    <t>Custom-113560</t>
  </si>
  <si>
    <t>St.Wolfgang</t>
  </si>
  <si>
    <t>Custom-113570</t>
  </si>
  <si>
    <t>Bad.Mitterndorf</t>
  </si>
  <si>
    <t>Custom-113580</t>
  </si>
  <si>
    <t>Groebming</t>
  </si>
  <si>
    <t>Kalwang</t>
  </si>
  <si>
    <t>Saalbach-Hinterglemm</t>
  </si>
  <si>
    <t>Baernkopf</t>
  </si>
  <si>
    <t>Kapfenberg</t>
  </si>
  <si>
    <t>Custom-113700</t>
  </si>
  <si>
    <t>Bad.Gastein</t>
  </si>
  <si>
    <t>Aflenz.Kurort</t>
  </si>
  <si>
    <t>Gutenstein-Mariahilfberg</t>
  </si>
  <si>
    <t>Reichenau.an.der.Rax</t>
  </si>
  <si>
    <t>Custom-113800</t>
  </si>
  <si>
    <t>Puchberg</t>
  </si>
  <si>
    <t>Custom-113820</t>
  </si>
  <si>
    <t>Semmering.Pass</t>
  </si>
  <si>
    <t>Hirschenkogel.Mtn.Ski.Area</t>
  </si>
  <si>
    <t>Custom-113840</t>
  </si>
  <si>
    <t>Hohe.Wand-Hochkogelhaus</t>
  </si>
  <si>
    <t>Custom-113850</t>
  </si>
  <si>
    <t>Krumbach</t>
  </si>
  <si>
    <t>Seibersdorf</t>
  </si>
  <si>
    <t>Custom-113870</t>
  </si>
  <si>
    <t>St.Polten</t>
  </si>
  <si>
    <t>Custom-113890</t>
  </si>
  <si>
    <t>Hartberg</t>
  </si>
  <si>
    <t>Lutzmannsburg</t>
  </si>
  <si>
    <t>Andau</t>
  </si>
  <si>
    <t>BEL</t>
  </si>
  <si>
    <t>VLG</t>
  </si>
  <si>
    <t>Koksijde.AP</t>
  </si>
  <si>
    <t>064000</t>
  </si>
  <si>
    <t>Custom-064000</t>
  </si>
  <si>
    <t>Oostende-Bruges.Intl.AP</t>
  </si>
  <si>
    <t>064070</t>
  </si>
  <si>
    <t>Custom-064070</t>
  </si>
  <si>
    <t>Oostende.Pier</t>
  </si>
  <si>
    <t>064080</t>
  </si>
  <si>
    <t>Beitem</t>
  </si>
  <si>
    <t>064140</t>
  </si>
  <si>
    <t>Custom-064140</t>
  </si>
  <si>
    <t>Flanders.Intl.AP</t>
  </si>
  <si>
    <t>064160</t>
  </si>
  <si>
    <t>Zeebrugge</t>
  </si>
  <si>
    <t>064180</t>
  </si>
  <si>
    <t>Custom-064180</t>
  </si>
  <si>
    <t>Semmerzake</t>
  </si>
  <si>
    <t>064280</t>
  </si>
  <si>
    <t>Custom-064280</t>
  </si>
  <si>
    <t>Ghent.Industrie.Zone</t>
  </si>
  <si>
    <t>064310</t>
  </si>
  <si>
    <t>Custom-064310</t>
  </si>
  <si>
    <t>WAL</t>
  </si>
  <si>
    <t>Chievres.AFB</t>
  </si>
  <si>
    <t>064320</t>
  </si>
  <si>
    <t>Custom-064320</t>
  </si>
  <si>
    <t>Casteau.MS</t>
  </si>
  <si>
    <t>064325</t>
  </si>
  <si>
    <t>Custom-064325</t>
  </si>
  <si>
    <t>Melle</t>
  </si>
  <si>
    <t>064340</t>
  </si>
  <si>
    <t>Custom-064340</t>
  </si>
  <si>
    <t>St.Katelijne.Waver</t>
  </si>
  <si>
    <t>064390</t>
  </si>
  <si>
    <t>Custom-064390</t>
  </si>
  <si>
    <t>Uccle</t>
  </si>
  <si>
    <t>064470</t>
  </si>
  <si>
    <t>Custom-064470</t>
  </si>
  <si>
    <t>Brussels.South.Charleroi.AP</t>
  </si>
  <si>
    <t>064490</t>
  </si>
  <si>
    <t>Custom-064490</t>
  </si>
  <si>
    <t>Antwerp.Intl.AP</t>
  </si>
  <si>
    <t>064500</t>
  </si>
  <si>
    <t>Custom-064500</t>
  </si>
  <si>
    <t>BRU</t>
  </si>
  <si>
    <t>Brussels.Natl.AP</t>
  </si>
  <si>
    <t>064510</t>
  </si>
  <si>
    <t>Custom-064510</t>
  </si>
  <si>
    <t>Brasschaat.AB</t>
  </si>
  <si>
    <t>064520</t>
  </si>
  <si>
    <t>Dourbes</t>
  </si>
  <si>
    <t>064550</t>
  </si>
  <si>
    <t>Custom-064550</t>
  </si>
  <si>
    <t>Florennes.AFB</t>
  </si>
  <si>
    <t>064560</t>
  </si>
  <si>
    <t>Custom-064560</t>
  </si>
  <si>
    <t>Beauvechain.AP</t>
  </si>
  <si>
    <t>064580</t>
  </si>
  <si>
    <t>Custom-064580</t>
  </si>
  <si>
    <t>Ernage</t>
  </si>
  <si>
    <t>064590</t>
  </si>
  <si>
    <t>Custom-064590</t>
  </si>
  <si>
    <t>Goetsenhoven.Mil.AP</t>
  </si>
  <si>
    <t>064630</t>
  </si>
  <si>
    <t>Retie</t>
  </si>
  <si>
    <t>064640</t>
  </si>
  <si>
    <t>Custom-064640</t>
  </si>
  <si>
    <t>Schaffen</t>
  </si>
  <si>
    <t>064650</t>
  </si>
  <si>
    <t>Custom-064650</t>
  </si>
  <si>
    <t>Limburg.Rgnl.AP</t>
  </si>
  <si>
    <t>064700</t>
  </si>
  <si>
    <t>Humain</t>
  </si>
  <si>
    <t>064720</t>
  </si>
  <si>
    <t>Custom-064720</t>
  </si>
  <si>
    <t>Sinsin</t>
  </si>
  <si>
    <t>064730</t>
  </si>
  <si>
    <t>St.Hubert.AFB</t>
  </si>
  <si>
    <t>064760</t>
  </si>
  <si>
    <t>Custom-064760</t>
  </si>
  <si>
    <t>Diepenbeek</t>
  </si>
  <si>
    <t>064770</t>
  </si>
  <si>
    <t>Custom-064770</t>
  </si>
  <si>
    <t>Liege.AP</t>
  </si>
  <si>
    <t>064780</t>
  </si>
  <si>
    <t>Custom-064780</t>
  </si>
  <si>
    <t>Kleine.Brogel.AFB</t>
  </si>
  <si>
    <t>064790</t>
  </si>
  <si>
    <t>Custom-064790</t>
  </si>
  <si>
    <t>Meix.devant.Virton</t>
  </si>
  <si>
    <t>064800</t>
  </si>
  <si>
    <t>Genk</t>
  </si>
  <si>
    <t>064810</t>
  </si>
  <si>
    <t>Buzenol</t>
  </si>
  <si>
    <t>064840</t>
  </si>
  <si>
    <t>Custom-064840</t>
  </si>
  <si>
    <t>Spa.La.Sauveniere.AF</t>
  </si>
  <si>
    <t>064900</t>
  </si>
  <si>
    <t>Custom-064900</t>
  </si>
  <si>
    <t>Mont.Rigi</t>
  </si>
  <si>
    <t>064940</t>
  </si>
  <si>
    <t>Custom-064940</t>
  </si>
  <si>
    <t>Elsenborn.AB</t>
  </si>
  <si>
    <t>064960</t>
  </si>
  <si>
    <t>Custom-064960</t>
  </si>
  <si>
    <t>BGR</t>
  </si>
  <si>
    <t>SL</t>
  </si>
  <si>
    <t>Novo.Selo.Trng.Range</t>
  </si>
  <si>
    <t>Custom-155010</t>
  </si>
  <si>
    <t>VD</t>
  </si>
  <si>
    <t>Vidin</t>
  </si>
  <si>
    <t>Custom-155020</t>
  </si>
  <si>
    <t>Gramada</t>
  </si>
  <si>
    <t>Vratza.AP</t>
  </si>
  <si>
    <t>Custom-155050</t>
  </si>
  <si>
    <t>MT</t>
  </si>
  <si>
    <t>Lom</t>
  </si>
  <si>
    <t>Custom-155110</t>
  </si>
  <si>
    <t>Oryahovo</t>
  </si>
  <si>
    <t>Custom-155140</t>
  </si>
  <si>
    <t>LV</t>
  </si>
  <si>
    <t>Lovech</t>
  </si>
  <si>
    <t>Custom-155250</t>
  </si>
  <si>
    <t>VT</t>
  </si>
  <si>
    <t>Gorna.Oryahovitsa.AP</t>
  </si>
  <si>
    <t>Custom-155253</t>
  </si>
  <si>
    <t>PD</t>
  </si>
  <si>
    <t>Graf.Ignatievo.AB</t>
  </si>
  <si>
    <t>Custom-155255</t>
  </si>
  <si>
    <t>PV</t>
  </si>
  <si>
    <t>Pleven</t>
  </si>
  <si>
    <t>Custom-155280</t>
  </si>
  <si>
    <t>Veliko.Tarnovo</t>
  </si>
  <si>
    <t>Custom-155300</t>
  </si>
  <si>
    <t>Svichtov</t>
  </si>
  <si>
    <t>Custom-155330</t>
  </si>
  <si>
    <t>RS</t>
  </si>
  <si>
    <t>Ruse</t>
  </si>
  <si>
    <t>Custom-155350</t>
  </si>
  <si>
    <t>SH</t>
  </si>
  <si>
    <t>Shumen</t>
  </si>
  <si>
    <t>RG</t>
  </si>
  <si>
    <t>Samuil</t>
  </si>
  <si>
    <t>KZ</t>
  </si>
  <si>
    <t>Razgrad</t>
  </si>
  <si>
    <t>Custom-155490</t>
  </si>
  <si>
    <t>SI</t>
  </si>
  <si>
    <t>Silistra</t>
  </si>
  <si>
    <t>Custom-155500</t>
  </si>
  <si>
    <t>VN</t>
  </si>
  <si>
    <t>Varna.AP</t>
  </si>
  <si>
    <t>Custom-155520</t>
  </si>
  <si>
    <t>DO</t>
  </si>
  <si>
    <t>Balgarevo</t>
  </si>
  <si>
    <t>Shabla</t>
  </si>
  <si>
    <t>Custom-155610</t>
  </si>
  <si>
    <t>Kaliakra.Lighthouse</t>
  </si>
  <si>
    <t>Custom-155620</t>
  </si>
  <si>
    <t>SF</t>
  </si>
  <si>
    <t>Mourgash.Mtn</t>
  </si>
  <si>
    <t>Custom-156000</t>
  </si>
  <si>
    <t>KY</t>
  </si>
  <si>
    <t>Kustendil</t>
  </si>
  <si>
    <t>Custom-156010</t>
  </si>
  <si>
    <t>Dragoman</t>
  </si>
  <si>
    <t>Custom-156050</t>
  </si>
  <si>
    <t>Sofia.Obs</t>
  </si>
  <si>
    <t>BR</t>
  </si>
  <si>
    <t>Cherni.Peak-Vitosha.Mtn</t>
  </si>
  <si>
    <t>Custom-156130</t>
  </si>
  <si>
    <t>Sofia.Intl.AP</t>
  </si>
  <si>
    <t>Custom-156140</t>
  </si>
  <si>
    <t>Mussala.Mtn.Peak-Rila.Natl.Park</t>
  </si>
  <si>
    <t>Custom-156150</t>
  </si>
  <si>
    <t>Ikhtiman</t>
  </si>
  <si>
    <t>Plovdiv</t>
  </si>
  <si>
    <t>Custom-156250</t>
  </si>
  <si>
    <t>Botev.Mtn.Peak-Central.Balkan.Natl.Park</t>
  </si>
  <si>
    <t>Custom-156270</t>
  </si>
  <si>
    <t>PZ</t>
  </si>
  <si>
    <t>Ivaylo</t>
  </si>
  <si>
    <t>Custom-156280</t>
  </si>
  <si>
    <t>Chirpan</t>
  </si>
  <si>
    <t>Custom-156350</t>
  </si>
  <si>
    <t>Sliven</t>
  </si>
  <si>
    <t>Custom-156400</t>
  </si>
  <si>
    <t>YA</t>
  </si>
  <si>
    <t>Elhovo</t>
  </si>
  <si>
    <t>Custom-156420</t>
  </si>
  <si>
    <t>Karnobat</t>
  </si>
  <si>
    <t>Burgas.AP</t>
  </si>
  <si>
    <t>Custom-156550</t>
  </si>
  <si>
    <t>Ahtopol</t>
  </si>
  <si>
    <t>Custom-156610</t>
  </si>
  <si>
    <t>Primorsko</t>
  </si>
  <si>
    <t>BL</t>
  </si>
  <si>
    <t>Sandanski</t>
  </si>
  <si>
    <t>Custom-157120</t>
  </si>
  <si>
    <t>SM</t>
  </si>
  <si>
    <t>Snezhanka.Mtn.Peak-Pamporovo.Resort</t>
  </si>
  <si>
    <t>Rozhen.Obs</t>
  </si>
  <si>
    <t>Custom-157260</t>
  </si>
  <si>
    <t>Kardzhali</t>
  </si>
  <si>
    <t>Custom-157300</t>
  </si>
  <si>
    <t>Svilengrad</t>
  </si>
  <si>
    <t>BIH</t>
  </si>
  <si>
    <t>BF</t>
  </si>
  <si>
    <t>Drvar</t>
  </si>
  <si>
    <t>SR</t>
  </si>
  <si>
    <t>Banja.Luka.Intl.AP</t>
  </si>
  <si>
    <t>Mostar.Intl.AP</t>
  </si>
  <si>
    <t>Custom-133480</t>
  </si>
  <si>
    <t>Sarajevo.Intl.AP</t>
  </si>
  <si>
    <t>Custom-133530</t>
  </si>
  <si>
    <t>Bihac</t>
  </si>
  <si>
    <t>Custom-145280</t>
  </si>
  <si>
    <t>Sanski.Most</t>
  </si>
  <si>
    <t>Custom-145370</t>
  </si>
  <si>
    <t>Banja.Luka</t>
  </si>
  <si>
    <t>Custom-145420</t>
  </si>
  <si>
    <t>Jajce</t>
  </si>
  <si>
    <t>Bugojno</t>
  </si>
  <si>
    <t>Custom-145440</t>
  </si>
  <si>
    <t>Zenica</t>
  </si>
  <si>
    <t>Custom-145490</t>
  </si>
  <si>
    <t>Gradacac</t>
  </si>
  <si>
    <t>Custom-145540</t>
  </si>
  <si>
    <t>Tuzla</t>
  </si>
  <si>
    <t>Custom-145570</t>
  </si>
  <si>
    <t>Livno</t>
  </si>
  <si>
    <t>Custom-146400</t>
  </si>
  <si>
    <t>Mostar</t>
  </si>
  <si>
    <t>Custom-146480</t>
  </si>
  <si>
    <t>Ivan.Sedlo</t>
  </si>
  <si>
    <t>Custom-146500</t>
  </si>
  <si>
    <t>Bjelasnica.Mtn</t>
  </si>
  <si>
    <t>Custom-146520</t>
  </si>
  <si>
    <t>Sarajevo.Bjelave</t>
  </si>
  <si>
    <t>Custom-146540</t>
  </si>
  <si>
    <t>Cemerno</t>
  </si>
  <si>
    <t>Neum</t>
  </si>
  <si>
    <t>Custom-146570</t>
  </si>
  <si>
    <t>BLR</t>
  </si>
  <si>
    <t>MI</t>
  </si>
  <si>
    <t>Minsk.Natl.AP</t>
  </si>
  <si>
    <t>Custom-261148</t>
  </si>
  <si>
    <t>VI</t>
  </si>
  <si>
    <t>Verkhnyadzvinsk</t>
  </si>
  <si>
    <t>Custom-265540</t>
  </si>
  <si>
    <t>Jeziarysca</t>
  </si>
  <si>
    <t>Sharkaushchyna</t>
  </si>
  <si>
    <t>Custom-266430</t>
  </si>
  <si>
    <t>Lyntupy</t>
  </si>
  <si>
    <t>Custom-266450</t>
  </si>
  <si>
    <t>Budslau</t>
  </si>
  <si>
    <t>Polatsk</t>
  </si>
  <si>
    <t>Custom-266530</t>
  </si>
  <si>
    <t>Doksycy</t>
  </si>
  <si>
    <t>Custom-266570</t>
  </si>
  <si>
    <t>Lepiel</t>
  </si>
  <si>
    <t>Custom-266590</t>
  </si>
  <si>
    <t>Vitebsk.Vostochny.AP</t>
  </si>
  <si>
    <t>Custom-266660</t>
  </si>
  <si>
    <t>HR</t>
  </si>
  <si>
    <t>Grodno</t>
  </si>
  <si>
    <t>Custom-266661</t>
  </si>
  <si>
    <t>Syanno</t>
  </si>
  <si>
    <t>Custom-266680</t>
  </si>
  <si>
    <t>Ashmyany</t>
  </si>
  <si>
    <t>Vileyka</t>
  </si>
  <si>
    <t>Maladzyechna</t>
  </si>
  <si>
    <t>Radaskovicy</t>
  </si>
  <si>
    <t>Barysau</t>
  </si>
  <si>
    <t>Custom-267590</t>
  </si>
  <si>
    <t>Orsha</t>
  </si>
  <si>
    <t>Custom-267630</t>
  </si>
  <si>
    <t>Slavnoye</t>
  </si>
  <si>
    <t>MA</t>
  </si>
  <si>
    <t>Horki</t>
  </si>
  <si>
    <t>Custom-267740</t>
  </si>
  <si>
    <t>Grodno.AP</t>
  </si>
  <si>
    <t>Custom-268250</t>
  </si>
  <si>
    <t>Lida</t>
  </si>
  <si>
    <t>Custom-268320</t>
  </si>
  <si>
    <t>Shchuchyn</t>
  </si>
  <si>
    <t>Navahrudak</t>
  </si>
  <si>
    <t>Stolbtsy</t>
  </si>
  <si>
    <t>Minsk</t>
  </si>
  <si>
    <t>Custom-268500</t>
  </si>
  <si>
    <t>Byerazino</t>
  </si>
  <si>
    <t>Custom-268530</t>
  </si>
  <si>
    <t>Maryina.Horka</t>
  </si>
  <si>
    <t>Custom-268550</t>
  </si>
  <si>
    <t>Mogilev-Mahilyow.AP</t>
  </si>
  <si>
    <t>Custom-268630</t>
  </si>
  <si>
    <t>Klichaw</t>
  </si>
  <si>
    <t>Custom-268640</t>
  </si>
  <si>
    <t>Slawharad</t>
  </si>
  <si>
    <t>Custom-268780</t>
  </si>
  <si>
    <t>Kastsyukovichy</t>
  </si>
  <si>
    <t>Custom-268870</t>
  </si>
  <si>
    <t>Vawkavysk</t>
  </si>
  <si>
    <t>Pruzany</t>
  </si>
  <si>
    <t>Ivatsevichy</t>
  </si>
  <si>
    <t>Baranovichi</t>
  </si>
  <si>
    <t>Custom-269410</t>
  </si>
  <si>
    <t>Hantsavichy</t>
  </si>
  <si>
    <t>Urech-ye</t>
  </si>
  <si>
    <t>Slutsk</t>
  </si>
  <si>
    <t>Custom-269510</t>
  </si>
  <si>
    <t>Babruysk</t>
  </si>
  <si>
    <t>Custom-269610</t>
  </si>
  <si>
    <t>HO</t>
  </si>
  <si>
    <t>Zhlobin</t>
  </si>
  <si>
    <t>Custom-269660</t>
  </si>
  <si>
    <t>Chachersk</t>
  </si>
  <si>
    <t>Vysokaye</t>
  </si>
  <si>
    <t>Brest</t>
  </si>
  <si>
    <t>Custom-330080</t>
  </si>
  <si>
    <t>Cieliachany</t>
  </si>
  <si>
    <t>Pinsk</t>
  </si>
  <si>
    <t>Custom-330190</t>
  </si>
  <si>
    <t>Zhytkavichy</t>
  </si>
  <si>
    <t>Custom-330270</t>
  </si>
  <si>
    <t>Mazyr</t>
  </si>
  <si>
    <t>Custom-330360</t>
  </si>
  <si>
    <t>Vasilievicy</t>
  </si>
  <si>
    <t>Custom-330380</t>
  </si>
  <si>
    <t>Gomel</t>
  </si>
  <si>
    <t>Custom-330410</t>
  </si>
  <si>
    <t>Lelchytsy</t>
  </si>
  <si>
    <t>Brahin</t>
  </si>
  <si>
    <t>Custom-331240</t>
  </si>
  <si>
    <t>CHE</t>
  </si>
  <si>
    <t>BS</t>
  </si>
  <si>
    <t>St.Chrischona</t>
  </si>
  <si>
    <t>066000</t>
  </si>
  <si>
    <t>Basel.Binningen</t>
  </si>
  <si>
    <t>066010</t>
  </si>
  <si>
    <t>Custom-066010</t>
  </si>
  <si>
    <t>JU</t>
  </si>
  <si>
    <t>Delemont</t>
  </si>
  <si>
    <t>066020</t>
  </si>
  <si>
    <t>Custom-066020</t>
  </si>
  <si>
    <t>NE</t>
  </si>
  <si>
    <t>Neuchatel</t>
  </si>
  <si>
    <t>066040</t>
  </si>
  <si>
    <t>Custom-066040</t>
  </si>
  <si>
    <t>Chasseral</t>
  </si>
  <si>
    <t>066050</t>
  </si>
  <si>
    <t>Custom-066050</t>
  </si>
  <si>
    <t>Cressier</t>
  </si>
  <si>
    <t>066060</t>
  </si>
  <si>
    <t>Custom-066060</t>
  </si>
  <si>
    <t>Chaumont</t>
  </si>
  <si>
    <t>066080</t>
  </si>
  <si>
    <t>Custom-066080</t>
  </si>
  <si>
    <t>FR</t>
  </si>
  <si>
    <t>Le.Moleson</t>
  </si>
  <si>
    <t>066090</t>
  </si>
  <si>
    <t>Custom-066090</t>
  </si>
  <si>
    <t>ZH</t>
  </si>
  <si>
    <t>Dubendorf.AP</t>
  </si>
  <si>
    <t>066099</t>
  </si>
  <si>
    <t>Custom-066099</t>
  </si>
  <si>
    <t>Payerne</t>
  </si>
  <si>
    <t>066100</t>
  </si>
  <si>
    <t>Custom-066100</t>
  </si>
  <si>
    <t>La.Chaux.de.Fonds-Les.Eplatures.AP</t>
  </si>
  <si>
    <t>066120</t>
  </si>
  <si>
    <t>Custom-066120</t>
  </si>
  <si>
    <t>Emmen.AB</t>
  </si>
  <si>
    <t>066130</t>
  </si>
  <si>
    <t>Custom-066130</t>
  </si>
  <si>
    <t>Meiringen.AP</t>
  </si>
  <si>
    <t>066140</t>
  </si>
  <si>
    <t>Custom-066140</t>
  </si>
  <si>
    <t>Fahy.Boncourt</t>
  </si>
  <si>
    <t>066160</t>
  </si>
  <si>
    <t>Custom-066160</t>
  </si>
  <si>
    <t>La.Brevine</t>
  </si>
  <si>
    <t>066170</t>
  </si>
  <si>
    <t>Custom-066170</t>
  </si>
  <si>
    <t>Mathod</t>
  </si>
  <si>
    <t>066180</t>
  </si>
  <si>
    <t>Custom-066180</t>
  </si>
  <si>
    <t>Bullet.La.Fretaz</t>
  </si>
  <si>
    <t>066190</t>
  </si>
  <si>
    <t>Custom-066190</t>
  </si>
  <si>
    <t>Schaffhausen</t>
  </si>
  <si>
    <t>066200</t>
  </si>
  <si>
    <t>Custom-066200</t>
  </si>
  <si>
    <t>TG</t>
  </si>
  <si>
    <t>Guttingen</t>
  </si>
  <si>
    <t>066210</t>
  </si>
  <si>
    <t>Custom-066210</t>
  </si>
  <si>
    <t>Salen.Reutenen</t>
  </si>
  <si>
    <t>066230</t>
  </si>
  <si>
    <t>Custom-066230</t>
  </si>
  <si>
    <t>Hallau</t>
  </si>
  <si>
    <t>066240</t>
  </si>
  <si>
    <t>Custom-066240</t>
  </si>
  <si>
    <t>Fribourg.Posieux</t>
  </si>
  <si>
    <t>066250</t>
  </si>
  <si>
    <t>Custom-066250</t>
  </si>
  <si>
    <t>SO</t>
  </si>
  <si>
    <t>Gosgen</t>
  </si>
  <si>
    <t>066260</t>
  </si>
  <si>
    <t>Custom-066260</t>
  </si>
  <si>
    <t>Chateau.d-Oex</t>
  </si>
  <si>
    <t>066270</t>
  </si>
  <si>
    <t>Custom-066270</t>
  </si>
  <si>
    <t>Plaffeien</t>
  </si>
  <si>
    <t>066280</t>
  </si>
  <si>
    <t>Custom-066280</t>
  </si>
  <si>
    <t>Bern.Belp.AP</t>
  </si>
  <si>
    <t>066300</t>
  </si>
  <si>
    <t>Custom-066300</t>
  </si>
  <si>
    <t>Bern.Zollikofen</t>
  </si>
  <si>
    <t>066310</t>
  </si>
  <si>
    <t>Custom-066310</t>
  </si>
  <si>
    <t>Grenchen.AP</t>
  </si>
  <si>
    <t>066320</t>
  </si>
  <si>
    <t>Custom-066320</t>
  </si>
  <si>
    <t>SG</t>
  </si>
  <si>
    <t>Buchs.Aarau</t>
  </si>
  <si>
    <t>066330</t>
  </si>
  <si>
    <t>Custom-066330</t>
  </si>
  <si>
    <t>Koppigen</t>
  </si>
  <si>
    <t>066350</t>
  </si>
  <si>
    <t>Custom-066350</t>
  </si>
  <si>
    <t>Muhleberg</t>
  </si>
  <si>
    <t>066360</t>
  </si>
  <si>
    <t>Custom-066360</t>
  </si>
  <si>
    <t>Meiringen</t>
  </si>
  <si>
    <t>066370</t>
  </si>
  <si>
    <t>Custom-066370</t>
  </si>
  <si>
    <t>Langnau.im.Emmental</t>
  </si>
  <si>
    <t>066380</t>
  </si>
  <si>
    <t>Custom-066380</t>
  </si>
  <si>
    <t>Napf</t>
  </si>
  <si>
    <t>066390</t>
  </si>
  <si>
    <t>Custom-066390</t>
  </si>
  <si>
    <t>Marsens</t>
  </si>
  <si>
    <t>066400</t>
  </si>
  <si>
    <t>AG</t>
  </si>
  <si>
    <t>Mohlin</t>
  </si>
  <si>
    <t>066410</t>
  </si>
  <si>
    <t>Custom-066410</t>
  </si>
  <si>
    <t>Wynau</t>
  </si>
  <si>
    <t>066430</t>
  </si>
  <si>
    <t>Custom-066430</t>
  </si>
  <si>
    <t>Mosen</t>
  </si>
  <si>
    <t>066440</t>
  </si>
  <si>
    <t>Custom-066440</t>
  </si>
  <si>
    <t>Runenberg</t>
  </si>
  <si>
    <t>066450</t>
  </si>
  <si>
    <t>Custom-066450</t>
  </si>
  <si>
    <t>Beznau</t>
  </si>
  <si>
    <t>066460</t>
  </si>
  <si>
    <t>Custom-066460</t>
  </si>
  <si>
    <t>Wuerenlingen</t>
  </si>
  <si>
    <t>066470</t>
  </si>
  <si>
    <t>Egolzwil</t>
  </si>
  <si>
    <t>066480</t>
  </si>
  <si>
    <t>Custom-066480</t>
  </si>
  <si>
    <t>Luzern</t>
  </si>
  <si>
    <t>066500</t>
  </si>
  <si>
    <t>Custom-066500</t>
  </si>
  <si>
    <t>Schupfheim</t>
  </si>
  <si>
    <t>066510</t>
  </si>
  <si>
    <t>Custom-066510</t>
  </si>
  <si>
    <t>Fluehli</t>
  </si>
  <si>
    <t>066520</t>
  </si>
  <si>
    <t>OW</t>
  </si>
  <si>
    <t>Engelberg</t>
  </si>
  <si>
    <t>066550</t>
  </si>
  <si>
    <t>Custom-066550</t>
  </si>
  <si>
    <t>Brienz</t>
  </si>
  <si>
    <t>066560</t>
  </si>
  <si>
    <t>Giswil</t>
  </si>
  <si>
    <t>066570</t>
  </si>
  <si>
    <t>Custom-066570</t>
  </si>
  <si>
    <t>Alpnach.AB</t>
  </si>
  <si>
    <t>066580</t>
  </si>
  <si>
    <t>Custom-066580</t>
  </si>
  <si>
    <t>NW</t>
  </si>
  <si>
    <t>Pilatus</t>
  </si>
  <si>
    <t>066590</t>
  </si>
  <si>
    <t>Custom-066590</t>
  </si>
  <si>
    <t>Zurich.Fluntern</t>
  </si>
  <si>
    <t>066600</t>
  </si>
  <si>
    <t>Custom-066600</t>
  </si>
  <si>
    <t>Zurich.Affoltern</t>
  </si>
  <si>
    <t>066640</t>
  </si>
  <si>
    <t>Custom-066640</t>
  </si>
  <si>
    <t>Leibstadt</t>
  </si>
  <si>
    <t>066660</t>
  </si>
  <si>
    <t>Custom-066660</t>
  </si>
  <si>
    <t>Lageren</t>
  </si>
  <si>
    <t>066690</t>
  </si>
  <si>
    <t>Custom-066690</t>
  </si>
  <si>
    <t>Zurich.AP</t>
  </si>
  <si>
    <t>066700</t>
  </si>
  <si>
    <t>Custom-066700</t>
  </si>
  <si>
    <t>Steckborn</t>
  </si>
  <si>
    <t>066710</t>
  </si>
  <si>
    <t>UR</t>
  </si>
  <si>
    <t>Altdorf</t>
  </si>
  <si>
    <t>066720</t>
  </si>
  <si>
    <t>Custom-066720</t>
  </si>
  <si>
    <t>Wadenswil</t>
  </si>
  <si>
    <t>066730</t>
  </si>
  <si>
    <t>Custom-066730</t>
  </si>
  <si>
    <t>ZG</t>
  </si>
  <si>
    <t>Cham</t>
  </si>
  <si>
    <t>066740</t>
  </si>
  <si>
    <t>Einsiedeln</t>
  </si>
  <si>
    <t>066750</t>
  </si>
  <si>
    <t>Custom-066750</t>
  </si>
  <si>
    <t>Oberaegeri</t>
  </si>
  <si>
    <t>066760</t>
  </si>
  <si>
    <t>Bischofszell</t>
  </si>
  <si>
    <t>066780</t>
  </si>
  <si>
    <t>Aadorf.Tanikon</t>
  </si>
  <si>
    <t>066790</t>
  </si>
  <si>
    <t>Custom-066790</t>
  </si>
  <si>
    <t>AI</t>
  </si>
  <si>
    <t>Santis</t>
  </si>
  <si>
    <t>066800</t>
  </si>
  <si>
    <t>Custom-066800</t>
  </si>
  <si>
    <t>St.Gallen</t>
  </si>
  <si>
    <t>066810</t>
  </si>
  <si>
    <t>Custom-066810</t>
  </si>
  <si>
    <t>GL</t>
  </si>
  <si>
    <t>Elm</t>
  </si>
  <si>
    <t>066820</t>
  </si>
  <si>
    <t>Custom-066820</t>
  </si>
  <si>
    <t>Schmerikon</t>
  </si>
  <si>
    <t>066830</t>
  </si>
  <si>
    <t>Glarus</t>
  </si>
  <si>
    <t>066850</t>
  </si>
  <si>
    <t>Custom-066850</t>
  </si>
  <si>
    <t>Bad.Ragaz</t>
  </si>
  <si>
    <t>066860</t>
  </si>
  <si>
    <t>Custom-066860</t>
  </si>
  <si>
    <t>Quinten</t>
  </si>
  <si>
    <t>066870</t>
  </si>
  <si>
    <t>Crap.Masegn</t>
  </si>
  <si>
    <t>066880</t>
  </si>
  <si>
    <t>Custom-066880</t>
  </si>
  <si>
    <t>Hornli</t>
  </si>
  <si>
    <t>066890</t>
  </si>
  <si>
    <t>Custom-066890</t>
  </si>
  <si>
    <t>St.Gallen-Altenrhein.AP</t>
  </si>
  <si>
    <t>066900</t>
  </si>
  <si>
    <t>Custom-066900</t>
  </si>
  <si>
    <t>Ebnat-Kappel</t>
  </si>
  <si>
    <t>066930</t>
  </si>
  <si>
    <t>Custom-066930</t>
  </si>
  <si>
    <t>Andermatt</t>
  </si>
  <si>
    <t>066950</t>
  </si>
  <si>
    <t>Custom-066950</t>
  </si>
  <si>
    <t>GE</t>
  </si>
  <si>
    <t>Geneva.Intl.AP</t>
  </si>
  <si>
    <t>067000</t>
  </si>
  <si>
    <t>Custom-067000</t>
  </si>
  <si>
    <t>La.Dole</t>
  </si>
  <si>
    <t>067020</t>
  </si>
  <si>
    <t>Custom-067020</t>
  </si>
  <si>
    <t>Charbonnieres</t>
  </si>
  <si>
    <t>067030</t>
  </si>
  <si>
    <t>Biere</t>
  </si>
  <si>
    <t>067040</t>
  </si>
  <si>
    <t>Custom-067040</t>
  </si>
  <si>
    <t>Nyon.Changins</t>
  </si>
  <si>
    <t>067050</t>
  </si>
  <si>
    <t>Custom-067050</t>
  </si>
  <si>
    <t>St.Prex</t>
  </si>
  <si>
    <t>067060</t>
  </si>
  <si>
    <t>Villars-Tiercelin</t>
  </si>
  <si>
    <t>067070</t>
  </si>
  <si>
    <t>Oron</t>
  </si>
  <si>
    <t>067080</t>
  </si>
  <si>
    <t>Custom-067080</t>
  </si>
  <si>
    <t>VS</t>
  </si>
  <si>
    <t>Le.Bouveret-Port.Valais</t>
  </si>
  <si>
    <t>067090</t>
  </si>
  <si>
    <t>Custom-067090</t>
  </si>
  <si>
    <t>Lausanne.Intl.AP</t>
  </si>
  <si>
    <t>067100</t>
  </si>
  <si>
    <t>Lausanne-Pully</t>
  </si>
  <si>
    <t>067110</t>
  </si>
  <si>
    <t>Custom-067110</t>
  </si>
  <si>
    <t>Aigle</t>
  </si>
  <si>
    <t>067120</t>
  </si>
  <si>
    <t>Custom-067120</t>
  </si>
  <si>
    <t>Les.Diablerets</t>
  </si>
  <si>
    <t>067140</t>
  </si>
  <si>
    <t>Custom-067140</t>
  </si>
  <si>
    <t>Evionnaz</t>
  </si>
  <si>
    <t>067150</t>
  </si>
  <si>
    <t>Custom-067150</t>
  </si>
  <si>
    <t>Mottec</t>
  </si>
  <si>
    <t>067160</t>
  </si>
  <si>
    <t>Custom-067160</t>
  </si>
  <si>
    <t>Col.du.Grand.St.Bernard</t>
  </si>
  <si>
    <t>067170</t>
  </si>
  <si>
    <t>Custom-067170</t>
  </si>
  <si>
    <t>Noville</t>
  </si>
  <si>
    <t>067180</t>
  </si>
  <si>
    <t>Sion.AP</t>
  </si>
  <si>
    <t>067200</t>
  </si>
  <si>
    <t>Custom-067200</t>
  </si>
  <si>
    <t>Binn</t>
  </si>
  <si>
    <t>067210</t>
  </si>
  <si>
    <t>Custom-067210</t>
  </si>
  <si>
    <t>Evolene.Villaz</t>
  </si>
  <si>
    <t>067220</t>
  </si>
  <si>
    <t>Custom-067220</t>
  </si>
  <si>
    <t>Verbier-Les.Attlelas</t>
  </si>
  <si>
    <t>067230</t>
  </si>
  <si>
    <t>Custom-067230</t>
  </si>
  <si>
    <t>Montana</t>
  </si>
  <si>
    <t>067240</t>
  </si>
  <si>
    <t>Custom-067240</t>
  </si>
  <si>
    <t>Blatten</t>
  </si>
  <si>
    <t>067250</t>
  </si>
  <si>
    <t>Custom-067250</t>
  </si>
  <si>
    <t>Visp</t>
  </si>
  <si>
    <t>067270</t>
  </si>
  <si>
    <t>Custom-067270</t>
  </si>
  <si>
    <t>Grachen</t>
  </si>
  <si>
    <t>067280</t>
  </si>
  <si>
    <t>Custom-067280</t>
  </si>
  <si>
    <t>Jungfraujoch</t>
  </si>
  <si>
    <t>067300</t>
  </si>
  <si>
    <t>Custom-067300</t>
  </si>
  <si>
    <t>Boltigen</t>
  </si>
  <si>
    <t>067330</t>
  </si>
  <si>
    <t>Custom-067330</t>
  </si>
  <si>
    <t>Interlaken.AP</t>
  </si>
  <si>
    <t>067340</t>
  </si>
  <si>
    <t>Custom-067340</t>
  </si>
  <si>
    <t>Adelboden</t>
  </si>
  <si>
    <t>067350</t>
  </si>
  <si>
    <t>Custom-067350</t>
  </si>
  <si>
    <t>Eggishorn</t>
  </si>
  <si>
    <t>067390</t>
  </si>
  <si>
    <t>Custom-067390</t>
  </si>
  <si>
    <t>Titlis</t>
  </si>
  <si>
    <t>067400</t>
  </si>
  <si>
    <t>Custom-067400</t>
  </si>
  <si>
    <t>Ernen</t>
  </si>
  <si>
    <t>067430</t>
  </si>
  <si>
    <t>Grimsel.Hospiz</t>
  </si>
  <si>
    <t>067440</t>
  </si>
  <si>
    <t>Custom-067440</t>
  </si>
  <si>
    <t>Ulrichen.AP</t>
  </si>
  <si>
    <t>067450</t>
  </si>
  <si>
    <t>Custom-067450</t>
  </si>
  <si>
    <t>Monte.Rosa</t>
  </si>
  <si>
    <t>067470</t>
  </si>
  <si>
    <t>Custom-067470</t>
  </si>
  <si>
    <t>Zermatt</t>
  </si>
  <si>
    <t>067480</t>
  </si>
  <si>
    <t>Custom-067480</t>
  </si>
  <si>
    <t>Gornergrat</t>
  </si>
  <si>
    <t>067490</t>
  </si>
  <si>
    <t>Custom-067490</t>
  </si>
  <si>
    <t>Gutsch.ob.Andermatt</t>
  </si>
  <si>
    <t>067500</t>
  </si>
  <si>
    <t>Custom-067500</t>
  </si>
  <si>
    <t>Robiei</t>
  </si>
  <si>
    <t>067510</t>
  </si>
  <si>
    <t>Custom-067510</t>
  </si>
  <si>
    <t>Cevio</t>
  </si>
  <si>
    <t>067520</t>
  </si>
  <si>
    <t>Custom-067520</t>
  </si>
  <si>
    <t>Piotta-Ambri.AP</t>
  </si>
  <si>
    <t>067530</t>
  </si>
  <si>
    <t>Custom-067530</t>
  </si>
  <si>
    <t>Matro</t>
  </si>
  <si>
    <t>067540</t>
  </si>
  <si>
    <t>Custom-067540</t>
  </si>
  <si>
    <t>Acquarossa.Comprovasco</t>
  </si>
  <si>
    <t>067560</t>
  </si>
  <si>
    <t>Custom-067560</t>
  </si>
  <si>
    <t>GR</t>
  </si>
  <si>
    <t>Grono</t>
  </si>
  <si>
    <t>067580</t>
  </si>
  <si>
    <t>Custom-067580</t>
  </si>
  <si>
    <t>Cimetta</t>
  </si>
  <si>
    <t>067590</t>
  </si>
  <si>
    <t>Custom-067590</t>
  </si>
  <si>
    <t>Locarno.Monti</t>
  </si>
  <si>
    <t>067600</t>
  </si>
  <si>
    <t>Custom-067600</t>
  </si>
  <si>
    <t>Locarno.Magadino.AP</t>
  </si>
  <si>
    <t>067620</t>
  </si>
  <si>
    <t>Custom-067620</t>
  </si>
  <si>
    <t>Lugano</t>
  </si>
  <si>
    <t>067700</t>
  </si>
  <si>
    <t>Custom-067700</t>
  </si>
  <si>
    <t>Stabio</t>
  </si>
  <si>
    <t>067710</t>
  </si>
  <si>
    <t>Custom-067710</t>
  </si>
  <si>
    <t>Monte.Generoso</t>
  </si>
  <si>
    <t>067770</t>
  </si>
  <si>
    <t>Custom-067770</t>
  </si>
  <si>
    <t>Buffalora</t>
  </si>
  <si>
    <t>067780</t>
  </si>
  <si>
    <t>Custom-067780</t>
  </si>
  <si>
    <t>Sils-Segl.Maria</t>
  </si>
  <si>
    <t>067790</t>
  </si>
  <si>
    <t>Weissfluhjoch</t>
  </si>
  <si>
    <t>067800</t>
  </si>
  <si>
    <t>Custom-067800</t>
  </si>
  <si>
    <t>Disentis.Sedrun</t>
  </si>
  <si>
    <t>067820</t>
  </si>
  <si>
    <t>Custom-067820</t>
  </si>
  <si>
    <t>San.Bernardino</t>
  </si>
  <si>
    <t>067830</t>
  </si>
  <si>
    <t>Custom-067830</t>
  </si>
  <si>
    <t>Davos-Lake.Davos</t>
  </si>
  <si>
    <t>067840</t>
  </si>
  <si>
    <t>Custom-067840</t>
  </si>
  <si>
    <t>Arosa</t>
  </si>
  <si>
    <t>067850</t>
  </si>
  <si>
    <t>Chur</t>
  </si>
  <si>
    <t>067860</t>
  </si>
  <si>
    <t>Custom-067860</t>
  </si>
  <si>
    <t>Andeer</t>
  </si>
  <si>
    <t>067870</t>
  </si>
  <si>
    <t>Custom-067870</t>
  </si>
  <si>
    <t>Vicosoprano</t>
  </si>
  <si>
    <t>067880</t>
  </si>
  <si>
    <t>Custom-067880</t>
  </si>
  <si>
    <t>Ilanz</t>
  </si>
  <si>
    <t>067890</t>
  </si>
  <si>
    <t>Schiers</t>
  </si>
  <si>
    <t>067900</t>
  </si>
  <si>
    <t>Piz.Corvatsch</t>
  </si>
  <si>
    <t>067910</t>
  </si>
  <si>
    <t>Custom-067910</t>
  </si>
  <si>
    <t>St.Moritz-Samedam-Engadin.AP</t>
  </si>
  <si>
    <t>067920</t>
  </si>
  <si>
    <t>Custom-067920</t>
  </si>
  <si>
    <t>Valbella</t>
  </si>
  <si>
    <t>067930</t>
  </si>
  <si>
    <t>Custom-067930</t>
  </si>
  <si>
    <t>Poschiavo.Robbia</t>
  </si>
  <si>
    <t>067940</t>
  </si>
  <si>
    <t>Custom-067940</t>
  </si>
  <si>
    <t>Piz.Martegnas</t>
  </si>
  <si>
    <t>067950</t>
  </si>
  <si>
    <t>Custom-067950</t>
  </si>
  <si>
    <t>Santa.Maria.Val.Mustair</t>
  </si>
  <si>
    <t>067960</t>
  </si>
  <si>
    <t>Custom-067960</t>
  </si>
  <si>
    <t>Passo.del.Bernina</t>
  </si>
  <si>
    <t>067970</t>
  </si>
  <si>
    <t>Scuol</t>
  </si>
  <si>
    <t>067980</t>
  </si>
  <si>
    <t>Custom-067980</t>
  </si>
  <si>
    <t>Naluns</t>
  </si>
  <si>
    <t>067990</t>
  </si>
  <si>
    <t>Custom-067990</t>
  </si>
  <si>
    <t>Buochs.AP</t>
  </si>
  <si>
    <t>068065</t>
  </si>
  <si>
    <t>Custom-068065</t>
  </si>
  <si>
    <t>Sitterdorf.Flight.School</t>
  </si>
  <si>
    <t>068420</t>
  </si>
  <si>
    <t>Scalottas</t>
  </si>
  <si>
    <t>068460</t>
  </si>
  <si>
    <t>Pfaefers-St.Margretenberg</t>
  </si>
  <si>
    <t>068480</t>
  </si>
  <si>
    <t>Hombrechtikom</t>
  </si>
  <si>
    <t>068510</t>
  </si>
  <si>
    <t>CYP</t>
  </si>
  <si>
    <t>NI</t>
  </si>
  <si>
    <t>Guzelyurt</t>
  </si>
  <si>
    <t>Custom-175000</t>
  </si>
  <si>
    <t>Lefka</t>
  </si>
  <si>
    <t>Custom-175010</t>
  </si>
  <si>
    <t>Akdeniz</t>
  </si>
  <si>
    <t>Custom-175050</t>
  </si>
  <si>
    <t>Yesilirmak</t>
  </si>
  <si>
    <t>Custom-175070</t>
  </si>
  <si>
    <t>Girne</t>
  </si>
  <si>
    <t>Custom-175100</t>
  </si>
  <si>
    <t>Lefkosa</t>
  </si>
  <si>
    <t>Custom-175150</t>
  </si>
  <si>
    <t>FA</t>
  </si>
  <si>
    <t>Gecitkale.AP</t>
  </si>
  <si>
    <t>Custom-175300</t>
  </si>
  <si>
    <t>Iskele</t>
  </si>
  <si>
    <t>Custom-175350</t>
  </si>
  <si>
    <t>Famagusta</t>
  </si>
  <si>
    <t>Custom-175400</t>
  </si>
  <si>
    <t>Dipkarpaz</t>
  </si>
  <si>
    <t>Custom-175470</t>
  </si>
  <si>
    <t>Yeni.Erenkoy</t>
  </si>
  <si>
    <t>Custom-175500</t>
  </si>
  <si>
    <t>PA</t>
  </si>
  <si>
    <t>Paphos.Intl.AP</t>
  </si>
  <si>
    <t>Custom-176000</t>
  </si>
  <si>
    <t>LI</t>
  </si>
  <si>
    <t>Akrotiri.AFB</t>
  </si>
  <si>
    <t>Custom-176010</t>
  </si>
  <si>
    <t>Nicosia.AP</t>
  </si>
  <si>
    <t>Nicosia.Aglantzia</t>
  </si>
  <si>
    <t>Custom-176070</t>
  </si>
  <si>
    <t>Ercan.Intl.AP</t>
  </si>
  <si>
    <t>Custom-176074</t>
  </si>
  <si>
    <t>LA</t>
  </si>
  <si>
    <t>Larnaca.Intl.AP</t>
  </si>
  <si>
    <t>Custom-176090</t>
  </si>
  <si>
    <t>Ayios.Nicolaos</t>
  </si>
  <si>
    <t>Karpasia.Peninsula</t>
  </si>
  <si>
    <t>CZE</t>
  </si>
  <si>
    <t>Cheb</t>
  </si>
  <si>
    <t>Custom-114060</t>
  </si>
  <si>
    <t>Karlovy.Vary</t>
  </si>
  <si>
    <t>Custom-114140</t>
  </si>
  <si>
    <t>Marianske.Lazne</t>
  </si>
  <si>
    <t>PK</t>
  </si>
  <si>
    <t>Primda</t>
  </si>
  <si>
    <t>Custom-114230</t>
  </si>
  <si>
    <t>ZK</t>
  </si>
  <si>
    <t>Kunovice</t>
  </si>
  <si>
    <t>Custom-114233</t>
  </si>
  <si>
    <t>UK</t>
  </si>
  <si>
    <t>Tusimice</t>
  </si>
  <si>
    <t>Custom-114380</t>
  </si>
  <si>
    <t>Plzen-Line.AP</t>
  </si>
  <si>
    <t>Custom-114480</t>
  </si>
  <si>
    <t>Plzen-Mikulka</t>
  </si>
  <si>
    <t>Custom-114500</t>
  </si>
  <si>
    <t>Luby</t>
  </si>
  <si>
    <t>CK</t>
  </si>
  <si>
    <t>Churanov</t>
  </si>
  <si>
    <t>Custom-114570</t>
  </si>
  <si>
    <t>Milesovka</t>
  </si>
  <si>
    <t>Custom-114640</t>
  </si>
  <si>
    <t>Teplice</t>
  </si>
  <si>
    <t>Kocelovice</t>
  </si>
  <si>
    <t>Custom-114870</t>
  </si>
  <si>
    <t>Usti.nad.Labem</t>
  </si>
  <si>
    <t>Custom-115020</t>
  </si>
  <si>
    <t>Doksany</t>
  </si>
  <si>
    <t>Custom-115090</t>
  </si>
  <si>
    <t>PM</t>
  </si>
  <si>
    <t>Praha-Ruzyne.AP</t>
  </si>
  <si>
    <t>Custom-115180</t>
  </si>
  <si>
    <t>Praha-Karlov-Klementinum</t>
  </si>
  <si>
    <t>Custom-115190</t>
  </si>
  <si>
    <t>Praha-Libus</t>
  </si>
  <si>
    <t>Custom-115200</t>
  </si>
  <si>
    <t>Temelin</t>
  </si>
  <si>
    <t>Custom-115380</t>
  </si>
  <si>
    <t>HOSIN</t>
  </si>
  <si>
    <t>Ceske.Budejovice</t>
  </si>
  <si>
    <t>Ceske.Budejovice-Roznov</t>
  </si>
  <si>
    <t>Custom-115460</t>
  </si>
  <si>
    <t>Praha-Kbely</t>
  </si>
  <si>
    <t>Custom-115670</t>
  </si>
  <si>
    <t>LK</t>
  </si>
  <si>
    <t>Liberec</t>
  </si>
  <si>
    <t>Custom-116030</t>
  </si>
  <si>
    <t>SK</t>
  </si>
  <si>
    <t>Caslav</t>
  </si>
  <si>
    <t>Custom-116240</t>
  </si>
  <si>
    <t>JK</t>
  </si>
  <si>
    <t>Kosetice</t>
  </si>
  <si>
    <t>Custom-116280</t>
  </si>
  <si>
    <t>Kostelni.Myslova</t>
  </si>
  <si>
    <t>Custom-116360</t>
  </si>
  <si>
    <t>HK</t>
  </si>
  <si>
    <t>Pec.pod.Snezkou</t>
  </si>
  <si>
    <t>Custom-116430</t>
  </si>
  <si>
    <t>Zacler</t>
  </si>
  <si>
    <t>Broumov</t>
  </si>
  <si>
    <t>Hradec.Kralove</t>
  </si>
  <si>
    <t>Havlickuv.Brod</t>
  </si>
  <si>
    <t>EK</t>
  </si>
  <si>
    <t>Pardubice</t>
  </si>
  <si>
    <t>Custom-116520</t>
  </si>
  <si>
    <t>Snezka</t>
  </si>
  <si>
    <t>Custom-116530</t>
  </si>
  <si>
    <t>Veselice</t>
  </si>
  <si>
    <t>Pribyslav</t>
  </si>
  <si>
    <t>Custom-116590</t>
  </si>
  <si>
    <t>Polom</t>
  </si>
  <si>
    <t>Custom-116690</t>
  </si>
  <si>
    <t>Usti.nad.Orlici</t>
  </si>
  <si>
    <t>Custom-116790</t>
  </si>
  <si>
    <t>Svratouch</t>
  </si>
  <si>
    <t>Custom-116830</t>
  </si>
  <si>
    <t>Namest.nad.Oslavou</t>
  </si>
  <si>
    <t>Custom-116920</t>
  </si>
  <si>
    <t>Dukovany</t>
  </si>
  <si>
    <t>Custom-116930</t>
  </si>
  <si>
    <t>BK</t>
  </si>
  <si>
    <t>Kucharovice</t>
  </si>
  <si>
    <t>Custom-116980</t>
  </si>
  <si>
    <t>OK</t>
  </si>
  <si>
    <t>Luka</t>
  </si>
  <si>
    <t>Custom-117100</t>
  </si>
  <si>
    <t>Brno.Sokolnice</t>
  </si>
  <si>
    <t>Brno.Turany</t>
  </si>
  <si>
    <t>Custom-117230</t>
  </si>
  <si>
    <t>Lichkov</t>
  </si>
  <si>
    <t>VK</t>
  </si>
  <si>
    <t>Dolni.Benesov</t>
  </si>
  <si>
    <t>Serak</t>
  </si>
  <si>
    <t>Custom-117300</t>
  </si>
  <si>
    <t>Praded.Mountain</t>
  </si>
  <si>
    <t>Opava</t>
  </si>
  <si>
    <t>Olomouc</t>
  </si>
  <si>
    <t>Prostejov.AP</t>
  </si>
  <si>
    <t>Prerov</t>
  </si>
  <si>
    <t>Custom-117480</t>
  </si>
  <si>
    <t>Cervena</t>
  </si>
  <si>
    <t>Custom-117660</t>
  </si>
  <si>
    <t>Holesov</t>
  </si>
  <si>
    <t>Custom-117740</t>
  </si>
  <si>
    <t>Novy.Jicin</t>
  </si>
  <si>
    <t>Mosnov</t>
  </si>
  <si>
    <t>Custom-117820</t>
  </si>
  <si>
    <t>Lysa.Hora</t>
  </si>
  <si>
    <t>Custom-117870</t>
  </si>
  <si>
    <t>DEU</t>
  </si>
  <si>
    <t>Weeze.AP</t>
  </si>
  <si>
    <t>Custom-100001</t>
  </si>
  <si>
    <t>HB</t>
  </si>
  <si>
    <t>Borkumriff.Lightship</t>
  </si>
  <si>
    <t>Elbe.Lightship</t>
  </si>
  <si>
    <t>Helgoland.Island</t>
  </si>
  <si>
    <t>Westerland.Sylt.AP</t>
  </si>
  <si>
    <t>Custom-100180</t>
  </si>
  <si>
    <t>List-Sylt</t>
  </si>
  <si>
    <t>Leck.AP</t>
  </si>
  <si>
    <t>Custom-100220</t>
  </si>
  <si>
    <t>Husum.Schwesing.AP</t>
  </si>
  <si>
    <t>St.Peter.Ording</t>
  </si>
  <si>
    <t>Custom-100280</t>
  </si>
  <si>
    <t>Meierwik</t>
  </si>
  <si>
    <t>Custom-100330</t>
  </si>
  <si>
    <t>Eggebek.AB</t>
  </si>
  <si>
    <t>Schleswig</t>
  </si>
  <si>
    <t>Schleswig.AB</t>
  </si>
  <si>
    <t>Custom-100370</t>
  </si>
  <si>
    <t>Hohn.AB</t>
  </si>
  <si>
    <t>Custom-100380</t>
  </si>
  <si>
    <t>Schonhagen</t>
  </si>
  <si>
    <t>Kiel.Lighthouse</t>
  </si>
  <si>
    <t>Kiel.Kronshagen</t>
  </si>
  <si>
    <t>Kiel.Holtenau.AP</t>
  </si>
  <si>
    <t>Custom-100460</t>
  </si>
  <si>
    <t>Fehmar</t>
  </si>
  <si>
    <t>Custom-100550</t>
  </si>
  <si>
    <t>Marienleuchte-Puttgarden</t>
  </si>
  <si>
    <t>MV</t>
  </si>
  <si>
    <t>Cape.Arkona</t>
  </si>
  <si>
    <t>Greifswalder.Oie</t>
  </si>
  <si>
    <t>Custom-100970</t>
  </si>
  <si>
    <t>Norderney.Island</t>
  </si>
  <si>
    <t>Jever.AB</t>
  </si>
  <si>
    <t>Wangerogge.Island</t>
  </si>
  <si>
    <t>Alte.Weser.Lighthouse</t>
  </si>
  <si>
    <t>Wittmundhafen.AB</t>
  </si>
  <si>
    <t>Custom-101260</t>
  </si>
  <si>
    <t>Wilhelmshaven</t>
  </si>
  <si>
    <t>Bremerhaven</t>
  </si>
  <si>
    <t>Elpersbuttel</t>
  </si>
  <si>
    <t>Cuxhaven</t>
  </si>
  <si>
    <t>Cuxhaven.Nordholz.AP</t>
  </si>
  <si>
    <t>Custom-101360</t>
  </si>
  <si>
    <t>Bremervoerde</t>
  </si>
  <si>
    <t>Hohenlockstedt-Itzehoe.Hungriger.Wolf.AP</t>
  </si>
  <si>
    <t>Custom-101420</t>
  </si>
  <si>
    <t>Neumunster</t>
  </si>
  <si>
    <t>Quickborn</t>
  </si>
  <si>
    <t>Custom-101460</t>
  </si>
  <si>
    <t>HH</t>
  </si>
  <si>
    <t>Hamburg-Schmidt.AP</t>
  </si>
  <si>
    <t>Custom-101470</t>
  </si>
  <si>
    <t>Hamburg.Finkenwerder.AP</t>
  </si>
  <si>
    <t>Doernick</t>
  </si>
  <si>
    <t>Custom-101500</t>
  </si>
  <si>
    <t>Dahmeshoved</t>
  </si>
  <si>
    <t>Pelzerhaken</t>
  </si>
  <si>
    <t>Lubeck.AP</t>
  </si>
  <si>
    <t>Custom-101560</t>
  </si>
  <si>
    <t>Boltenhagen</t>
  </si>
  <si>
    <t>Schwerin</t>
  </si>
  <si>
    <t>Schwerin-Parchim.AP</t>
  </si>
  <si>
    <t>Custom-101624</t>
  </si>
  <si>
    <t>Rostock-Warnemunde</t>
  </si>
  <si>
    <t>Rostock-Laage.AP</t>
  </si>
  <si>
    <t>Custom-101720</t>
  </si>
  <si>
    <t>Teterow</t>
  </si>
  <si>
    <t>Barth</t>
  </si>
  <si>
    <t>Parow</t>
  </si>
  <si>
    <t>Greifswald</t>
  </si>
  <si>
    <t>Heringsdorf.AP</t>
  </si>
  <si>
    <t>Custom-101920</t>
  </si>
  <si>
    <t>Ueckermunde</t>
  </si>
  <si>
    <t>Emden.AP</t>
  </si>
  <si>
    <t>Custom-102000</t>
  </si>
  <si>
    <t>Oldenburg</t>
  </si>
  <si>
    <t>Custom-102150</t>
  </si>
  <si>
    <t>Ahlhorn.AP</t>
  </si>
  <si>
    <t>Bremen.AP</t>
  </si>
  <si>
    <t>Custom-102240</t>
  </si>
  <si>
    <t>Rotenburg.AP</t>
  </si>
  <si>
    <t>Soltau</t>
  </si>
  <si>
    <t>Bergen</t>
  </si>
  <si>
    <t>Custom-102380</t>
  </si>
  <si>
    <t>Fassberg.AB</t>
  </si>
  <si>
    <t>Custom-102460</t>
  </si>
  <si>
    <t>Boizenburg</t>
  </si>
  <si>
    <t>Luchow-Rehbeck.AP</t>
  </si>
  <si>
    <t>Salzwedel</t>
  </si>
  <si>
    <t>Seehausen.Altmark</t>
  </si>
  <si>
    <t>BB</t>
  </si>
  <si>
    <t>Weisen-Wittenberge</t>
  </si>
  <si>
    <t>Marnitz</t>
  </si>
  <si>
    <t>Waren</t>
  </si>
  <si>
    <t>Custom-102680</t>
  </si>
  <si>
    <t>Neuruppin</t>
  </si>
  <si>
    <t>Wittstock-Alt.Daber.AP</t>
  </si>
  <si>
    <t>Basepohl</t>
  </si>
  <si>
    <t>Neustrelitz</t>
  </si>
  <si>
    <t>Neubrandenburg.Trollenhagen.AP</t>
  </si>
  <si>
    <t>Custom-102810</t>
  </si>
  <si>
    <t>Gruenow</t>
  </si>
  <si>
    <t>Angermunde</t>
  </si>
  <si>
    <t>Landeplatz.Meppen.AP</t>
  </si>
  <si>
    <t>Custom-103040</t>
  </si>
  <si>
    <t>Lingen</t>
  </si>
  <si>
    <t>Rheine.Bentlage.AP</t>
  </si>
  <si>
    <t>Custom-103060</t>
  </si>
  <si>
    <t>Nordhorn.Lingen.AP</t>
  </si>
  <si>
    <t>Munster-Telgte</t>
  </si>
  <si>
    <t>Hopsten.AP</t>
  </si>
  <si>
    <t>Munster.Osnabruck.AP</t>
  </si>
  <si>
    <t>Custom-103150</t>
  </si>
  <si>
    <t>Onsabruck</t>
  </si>
  <si>
    <t>Borgholzhausen</t>
  </si>
  <si>
    <t>Gutersloh.AP</t>
  </si>
  <si>
    <t>Custom-103200</t>
  </si>
  <si>
    <t>Diepholz.Dummerland.AP</t>
  </si>
  <si>
    <t>Custom-103210</t>
  </si>
  <si>
    <t>Bad.Salzuflen</t>
  </si>
  <si>
    <t>Detmold</t>
  </si>
  <si>
    <t>Wunstorf.AB</t>
  </si>
  <si>
    <t>Custom-103340</t>
  </si>
  <si>
    <t>Achum.Buckeburg.AB</t>
  </si>
  <si>
    <t>Custom-103350</t>
  </si>
  <si>
    <t>Hildesheim.AP</t>
  </si>
  <si>
    <t>Hannover.AP</t>
  </si>
  <si>
    <t>Custom-103380</t>
  </si>
  <si>
    <t>Celle.AP</t>
  </si>
  <si>
    <t>Custom-103430</t>
  </si>
  <si>
    <t>Braunschweig</t>
  </si>
  <si>
    <t>Custom-103480</t>
  </si>
  <si>
    <t>Gardelegen</t>
  </si>
  <si>
    <t>Magdeburg</t>
  </si>
  <si>
    <t>Wiesenburg</t>
  </si>
  <si>
    <t>Brandenburg-Briest.AP</t>
  </si>
  <si>
    <t>Potsdam</t>
  </si>
  <si>
    <t>Berlin-Dahlem</t>
  </si>
  <si>
    <t>Berlin-Tegel.AP</t>
  </si>
  <si>
    <t>Custom-103820</t>
  </si>
  <si>
    <t>Berlin-Tempelhof.AP</t>
  </si>
  <si>
    <t>Berlin-Schonefeld.AP</t>
  </si>
  <si>
    <t>Custom-103850</t>
  </si>
  <si>
    <t>BY</t>
  </si>
  <si>
    <t>Lindenberg</t>
  </si>
  <si>
    <t>Trollenberg.Beeskow</t>
  </si>
  <si>
    <t>HE</t>
  </si>
  <si>
    <t>Frankfurt.Oder</t>
  </si>
  <si>
    <t>Dusseldorf.AP</t>
  </si>
  <si>
    <t>Custom-104000</t>
  </si>
  <si>
    <t>Bruggen.AB</t>
  </si>
  <si>
    <t>Wildenrath</t>
  </si>
  <si>
    <t>Kalkar</t>
  </si>
  <si>
    <t>Custom-104040</t>
  </si>
  <si>
    <t>Bocholt</t>
  </si>
  <si>
    <t>Essen.DWD</t>
  </si>
  <si>
    <t>Dortmund.AP</t>
  </si>
  <si>
    <t>Custom-104160</t>
  </si>
  <si>
    <t>Luedenscheid</t>
  </si>
  <si>
    <t>Custom-104180</t>
  </si>
  <si>
    <t>Werl</t>
  </si>
  <si>
    <t>Custom-104240</t>
  </si>
  <si>
    <t>Paderborn.Lippstadt.AP</t>
  </si>
  <si>
    <t>Custom-104260</t>
  </si>
  <si>
    <t>Soest</t>
  </si>
  <si>
    <t>Kahler.Asten.Mtn</t>
  </si>
  <si>
    <t>Bad.Lippspringe</t>
  </si>
  <si>
    <t>Koterberg</t>
  </si>
  <si>
    <t>Paenbruch</t>
  </si>
  <si>
    <t>Custom-104330</t>
  </si>
  <si>
    <t>Warburg</t>
  </si>
  <si>
    <t>Kassel.Calden.AP</t>
  </si>
  <si>
    <t>Custom-104360</t>
  </si>
  <si>
    <t>Monchengladbach.AP</t>
  </si>
  <si>
    <t>Custom-104374</t>
  </si>
  <si>
    <t>Fritzlar.AB</t>
  </si>
  <si>
    <t>Custom-104390</t>
  </si>
  <si>
    <t>Goettingen</t>
  </si>
  <si>
    <t>TH</t>
  </si>
  <si>
    <t>Kalteneber</t>
  </si>
  <si>
    <t>Leinefelde</t>
  </si>
  <si>
    <t>Braunlage</t>
  </si>
  <si>
    <t>Brocken</t>
  </si>
  <si>
    <t>Wernigerode</t>
  </si>
  <si>
    <t>Artern</t>
  </si>
  <si>
    <t>Halle.Kroellwitz</t>
  </si>
  <si>
    <t>SN</t>
  </si>
  <si>
    <t>Leipzig.Halle.AP</t>
  </si>
  <si>
    <t>Custom-104690</t>
  </si>
  <si>
    <t>Leipzig.Holzhausen</t>
  </si>
  <si>
    <t>Custom-104710</t>
  </si>
  <si>
    <t>Wittenberg</t>
  </si>
  <si>
    <t>Holzdorf.AB</t>
  </si>
  <si>
    <t>Custom-104760</t>
  </si>
  <si>
    <t>Colomberg</t>
  </si>
  <si>
    <t>Oschatz.AP</t>
  </si>
  <si>
    <t>Wahnsdorf</t>
  </si>
  <si>
    <t>Dresden.AP</t>
  </si>
  <si>
    <t>Custom-104880</t>
  </si>
  <si>
    <t>Doberlug.Kirchhain</t>
  </si>
  <si>
    <t>Cottbus.AP</t>
  </si>
  <si>
    <t>Preschen.AP</t>
  </si>
  <si>
    <t>Cottbus</t>
  </si>
  <si>
    <t>Goerlitz.AF</t>
  </si>
  <si>
    <t>Geilenkirchen.AFB</t>
  </si>
  <si>
    <t>Aachen</t>
  </si>
  <si>
    <t>Norvenich.AP</t>
  </si>
  <si>
    <t>Custom-105020</t>
  </si>
  <si>
    <t>RP</t>
  </si>
  <si>
    <t>Nurburg.Barweiler</t>
  </si>
  <si>
    <t>Custom-105060</t>
  </si>
  <si>
    <t>Butzweilerhof.AFB</t>
  </si>
  <si>
    <t>Nurburg</t>
  </si>
  <si>
    <t>Koln.Bonn.AP</t>
  </si>
  <si>
    <t>Custom-105130</t>
  </si>
  <si>
    <t>Mendig.AP</t>
  </si>
  <si>
    <t>Bendorf</t>
  </si>
  <si>
    <t>Bonn.Roleber</t>
  </si>
  <si>
    <t>Custom-105190</t>
  </si>
  <si>
    <t>Bad.Marienberg</t>
  </si>
  <si>
    <t>Giessen-Wettenberg</t>
  </si>
  <si>
    <t>Wahlen</t>
  </si>
  <si>
    <t>Fulda</t>
  </si>
  <si>
    <t>Bad.Hersfeld</t>
  </si>
  <si>
    <t>Wasserkuppe.AP</t>
  </si>
  <si>
    <t>Kaltennordheim</t>
  </si>
  <si>
    <t>Meiningen</t>
  </si>
  <si>
    <t>Grosser.Inselsberg</t>
  </si>
  <si>
    <t>Schmucke</t>
  </si>
  <si>
    <t>Altenburg.Nobitz.AP</t>
  </si>
  <si>
    <t>Custom-105536</t>
  </si>
  <si>
    <t>Erfurt.Binderslebn.AP</t>
  </si>
  <si>
    <t>Custom-105540</t>
  </si>
  <si>
    <t>Weimar</t>
  </si>
  <si>
    <t>Neuhaus</t>
  </si>
  <si>
    <t>Sonneberg-Neufang</t>
  </si>
  <si>
    <t>Schleiz</t>
  </si>
  <si>
    <t>Gera.Leumnitz.AP</t>
  </si>
  <si>
    <t>Plauen</t>
  </si>
  <si>
    <t>Chemnitz-Stelzendorf</t>
  </si>
  <si>
    <t>Fichtelberg</t>
  </si>
  <si>
    <t>Zinnwald-Georgenfeld</t>
  </si>
  <si>
    <t>Spangdahlem.AB</t>
  </si>
  <si>
    <t>Custom-106070</t>
  </si>
  <si>
    <t>Trier-Petrisberg</t>
  </si>
  <si>
    <t>Bitburg.AB</t>
  </si>
  <si>
    <t>Buchel.AB</t>
  </si>
  <si>
    <t>Custom-106130</t>
  </si>
  <si>
    <t>Ramstein.AFB</t>
  </si>
  <si>
    <t>Custom-106140</t>
  </si>
  <si>
    <t>Deuselbach</t>
  </si>
  <si>
    <t>Frankfurt-Hahn.AP</t>
  </si>
  <si>
    <t>Custom-106160</t>
  </si>
  <si>
    <t>Siegerland.AP</t>
  </si>
  <si>
    <t>Custom-106162</t>
  </si>
  <si>
    <t>Zweibruecken.AP</t>
  </si>
  <si>
    <t>Traben.Trarbach</t>
  </si>
  <si>
    <t>Idar.Oberstein</t>
  </si>
  <si>
    <t>Custom-106180</t>
  </si>
  <si>
    <t>Baumholder.AP</t>
  </si>
  <si>
    <t>Pferdsfeld.AP</t>
  </si>
  <si>
    <t>Bad.Kreuznach</t>
  </si>
  <si>
    <t>Geisenheim</t>
  </si>
  <si>
    <t>Custom-106280</t>
  </si>
  <si>
    <t>Mainz-Finthen.AP</t>
  </si>
  <si>
    <t>Frankfurt-Egelsbach.AP</t>
  </si>
  <si>
    <t>Custom-106325</t>
  </si>
  <si>
    <t>Wiesbaden.AB</t>
  </si>
  <si>
    <t>Custom-106330</t>
  </si>
  <si>
    <t>Mebstetten.Albstadt</t>
  </si>
  <si>
    <t>Kleiner.Feldberg</t>
  </si>
  <si>
    <t>Frankfurt.AP</t>
  </si>
  <si>
    <t>Custom-106370</t>
  </si>
  <si>
    <t>Maurice.Rose</t>
  </si>
  <si>
    <t>Offenbach.Wetterpar</t>
  </si>
  <si>
    <t>Langendiebach.AB</t>
  </si>
  <si>
    <t>Breitsol</t>
  </si>
  <si>
    <t>Michelstadt-Vielbrunn</t>
  </si>
  <si>
    <t>Giebelstadt.AP</t>
  </si>
  <si>
    <t>Wurzburg</t>
  </si>
  <si>
    <t>BW</t>
  </si>
  <si>
    <t>Wertheim</t>
  </si>
  <si>
    <t>Bad.Kissingen</t>
  </si>
  <si>
    <t>Vilseck.AP</t>
  </si>
  <si>
    <t>Kitzingen.AP</t>
  </si>
  <si>
    <t>Coburg-Lauteral-Oberlauter</t>
  </si>
  <si>
    <t>Bamberg</t>
  </si>
  <si>
    <t>Bayreuth.AP</t>
  </si>
  <si>
    <t>Hof</t>
  </si>
  <si>
    <t>Custom-106850</t>
  </si>
  <si>
    <t>Grafenwohr.AB</t>
  </si>
  <si>
    <t>Custom-106870</t>
  </si>
  <si>
    <t>Weiden</t>
  </si>
  <si>
    <t>Berus</t>
  </si>
  <si>
    <t>Tholey</t>
  </si>
  <si>
    <t>Saarbrucken.AP</t>
  </si>
  <si>
    <t>Custom-107080</t>
  </si>
  <si>
    <t>Sembach.AB</t>
  </si>
  <si>
    <t>Pirmasens</t>
  </si>
  <si>
    <t>Weinbiet</t>
  </si>
  <si>
    <t>Baden.Oos.AP</t>
  </si>
  <si>
    <t>Karlsruhe</t>
  </si>
  <si>
    <t>Karlsruhe-Baden-Baden.AP</t>
  </si>
  <si>
    <t>Custom-107275</t>
  </si>
  <si>
    <t>Coleman.AP</t>
  </si>
  <si>
    <t>Mannheim</t>
  </si>
  <si>
    <t>Custom-107290</t>
  </si>
  <si>
    <t>Heidelberg.AB</t>
  </si>
  <si>
    <t>Sinsheim.AF</t>
  </si>
  <si>
    <t>Muehlacker</t>
  </si>
  <si>
    <t>Stuttgart-Weissenburg</t>
  </si>
  <si>
    <t>Stuttgart.AP</t>
  </si>
  <si>
    <t>Custom-107380</t>
  </si>
  <si>
    <t>Stuttgart-Schnarrenberg</t>
  </si>
  <si>
    <t>Ohringen</t>
  </si>
  <si>
    <t>Niederstetten.AP</t>
  </si>
  <si>
    <t>Custom-107430</t>
  </si>
  <si>
    <t>Schwabisch.Hall-Wurth.AP</t>
  </si>
  <si>
    <t>Illesheim.AB</t>
  </si>
  <si>
    <t>Custom-107520</t>
  </si>
  <si>
    <t>Ansbach.Katterbach.AB</t>
  </si>
  <si>
    <t>Custom-107550</t>
  </si>
  <si>
    <t>Weissenburg</t>
  </si>
  <si>
    <t>Furth</t>
  </si>
  <si>
    <t>Nurnberg.AP</t>
  </si>
  <si>
    <t>Custom-107630</t>
  </si>
  <si>
    <t>Nurnberg-Feucht</t>
  </si>
  <si>
    <t>Roth.AP</t>
  </si>
  <si>
    <t>Custom-107650</t>
  </si>
  <si>
    <t>Kummersbruck</t>
  </si>
  <si>
    <t>Custom-107710</t>
  </si>
  <si>
    <t>Hohenfels.AB</t>
  </si>
  <si>
    <t>Custom-107750</t>
  </si>
  <si>
    <t>Regensburg-Oberhub</t>
  </si>
  <si>
    <t>Gelbelsee</t>
  </si>
  <si>
    <t>Feldkirchen-Mitterhausen.AF</t>
  </si>
  <si>
    <t>Custom-107880</t>
  </si>
  <si>
    <t>Grosser.Arber</t>
  </si>
  <si>
    <t>Zwiesel</t>
  </si>
  <si>
    <t>Freiburg.AP</t>
  </si>
  <si>
    <t>Lahr-Schwarzwald.AP</t>
  </si>
  <si>
    <t>Custom-108050</t>
  </si>
  <si>
    <t>Freudenstadt</t>
  </si>
  <si>
    <t>Klippeneck.AF</t>
  </si>
  <si>
    <t>Messstetten</t>
  </si>
  <si>
    <t>Custom-108270</t>
  </si>
  <si>
    <t>Sigmaringen</t>
  </si>
  <si>
    <t>Goppingen</t>
  </si>
  <si>
    <t>Schnittlingen</t>
  </si>
  <si>
    <t>Laupheim.AB</t>
  </si>
  <si>
    <t>Custom-108370</t>
  </si>
  <si>
    <t>Ulm</t>
  </si>
  <si>
    <t>Leipheim.AP</t>
  </si>
  <si>
    <t>Harburg</t>
  </si>
  <si>
    <t>Augsburg.AP</t>
  </si>
  <si>
    <t>Custom-108520</t>
  </si>
  <si>
    <t>Neuburg.AB</t>
  </si>
  <si>
    <t>Custom-108530</t>
  </si>
  <si>
    <t>Lechfeld.AB</t>
  </si>
  <si>
    <t>Custom-108560</t>
  </si>
  <si>
    <t>Penzing.AB</t>
  </si>
  <si>
    <t>Custom-108570</t>
  </si>
  <si>
    <t>Furstenfeldbruck.AB</t>
  </si>
  <si>
    <t>Ingolstadt.Manching.AF</t>
  </si>
  <si>
    <t>Custom-108600</t>
  </si>
  <si>
    <t>Siegenburg</t>
  </si>
  <si>
    <t>Weihenstephan.Durna</t>
  </si>
  <si>
    <t>Neubiberg.AB</t>
  </si>
  <si>
    <t>Oberpfaffenhofen.AB</t>
  </si>
  <si>
    <t>Custom-108644</t>
  </si>
  <si>
    <t>Munich-Theresienwiese</t>
  </si>
  <si>
    <t>Erding.AB</t>
  </si>
  <si>
    <t>Munich.AP</t>
  </si>
  <si>
    <t>Custom-108700</t>
  </si>
  <si>
    <t>Muhldorf.AF</t>
  </si>
  <si>
    <t>Passau</t>
  </si>
  <si>
    <t>Furstenzell</t>
  </si>
  <si>
    <t>Custom-108950</t>
  </si>
  <si>
    <t>Bremgarten.AB</t>
  </si>
  <si>
    <t>Feldberg.Schwarzwald</t>
  </si>
  <si>
    <t>Donaueschingen-Villingen.AP</t>
  </si>
  <si>
    <t>Custom-109120</t>
  </si>
  <si>
    <t>Neuhausen.ob.Eck.AF</t>
  </si>
  <si>
    <t>Konstanz</t>
  </si>
  <si>
    <t>Friedrichshafen.AP</t>
  </si>
  <si>
    <t>Custom-109350</t>
  </si>
  <si>
    <t>Kempten</t>
  </si>
  <si>
    <t>Memmingen-Allgau.AP</t>
  </si>
  <si>
    <t>Custom-109470</t>
  </si>
  <si>
    <t>Oberstdorf</t>
  </si>
  <si>
    <t>Kaufbeuren.AFB</t>
  </si>
  <si>
    <t>Altenstadt.AP</t>
  </si>
  <si>
    <t>Custom-109540</t>
  </si>
  <si>
    <t>Zugspitze.Mtn</t>
  </si>
  <si>
    <t>Hohenpeissenberg.Obs</t>
  </si>
  <si>
    <t>Garmisch-Partenkirchen</t>
  </si>
  <si>
    <t>Greiling.AF</t>
  </si>
  <si>
    <t>Wendelstein.Mtn</t>
  </si>
  <si>
    <t>Chieming</t>
  </si>
  <si>
    <t>Cottbus.Drewitz.AP</t>
  </si>
  <si>
    <t>DNK</t>
  </si>
  <si>
    <t>Horns.Rev.B.Offshore.Windfarm.Helideck</t>
  </si>
  <si>
    <t>060170</t>
  </si>
  <si>
    <t>Custom-060170</t>
  </si>
  <si>
    <t>MJ</t>
  </si>
  <si>
    <t>Silstrup</t>
  </si>
  <si>
    <t>060190</t>
  </si>
  <si>
    <t>Custom-060190</t>
  </si>
  <si>
    <t>ND</t>
  </si>
  <si>
    <t>Hanstholm</t>
  </si>
  <si>
    <t>060210</t>
  </si>
  <si>
    <t>Thisted.AP</t>
  </si>
  <si>
    <t>060240</t>
  </si>
  <si>
    <t>Aalborg.AP</t>
  </si>
  <si>
    <t>060300</t>
  </si>
  <si>
    <t>Custom-060300</t>
  </si>
  <si>
    <t>Tylstrup</t>
  </si>
  <si>
    <t>060310</t>
  </si>
  <si>
    <t>Custom-060310</t>
  </si>
  <si>
    <t>Stenhoj</t>
  </si>
  <si>
    <t>060320</t>
  </si>
  <si>
    <t>Custom-060320</t>
  </si>
  <si>
    <t>Hirtshals</t>
  </si>
  <si>
    <t>060330</t>
  </si>
  <si>
    <t>Sindal.AP</t>
  </si>
  <si>
    <t>060340</t>
  </si>
  <si>
    <t>Skagen.Lighthouse</t>
  </si>
  <si>
    <t>060410</t>
  </si>
  <si>
    <t>Custom-060410</t>
  </si>
  <si>
    <t>Frederikshavn</t>
  </si>
  <si>
    <t>060430</t>
  </si>
  <si>
    <t>Hals</t>
  </si>
  <si>
    <t>060440</t>
  </si>
  <si>
    <t>Dybvad</t>
  </si>
  <si>
    <t>060450</t>
  </si>
  <si>
    <t>Laeso.Trindel.Reef</t>
  </si>
  <si>
    <t>060470</t>
  </si>
  <si>
    <t>Hadsund</t>
  </si>
  <si>
    <t>060480</t>
  </si>
  <si>
    <t>Hald.Vest</t>
  </si>
  <si>
    <t>060490</t>
  </si>
  <si>
    <t>Custom-060490</t>
  </si>
  <si>
    <t>Thyboron</t>
  </si>
  <si>
    <t>060520</t>
  </si>
  <si>
    <t>Custom-060520</t>
  </si>
  <si>
    <t>Aggersund</t>
  </si>
  <si>
    <t>060530</t>
  </si>
  <si>
    <t>Lindtorp.AP</t>
  </si>
  <si>
    <t>060540</t>
  </si>
  <si>
    <t>Mejrup</t>
  </si>
  <si>
    <t>060560</t>
  </si>
  <si>
    <t>Custom-060560</t>
  </si>
  <si>
    <t>Hvide.Sande</t>
  </si>
  <si>
    <t>060580</t>
  </si>
  <si>
    <t>Custom-060580</t>
  </si>
  <si>
    <t>Lyngvig.Lighthouse</t>
  </si>
  <si>
    <t>060590</t>
  </si>
  <si>
    <t>Karup-Midtjyllands.AP</t>
  </si>
  <si>
    <t>060600</t>
  </si>
  <si>
    <t>Custom-060600</t>
  </si>
  <si>
    <t>Skive.AP</t>
  </si>
  <si>
    <t>060620</t>
  </si>
  <si>
    <t>Aars.Syd</t>
  </si>
  <si>
    <t>060650</t>
  </si>
  <si>
    <t>Custom-060650</t>
  </si>
  <si>
    <t>Stauning.AP</t>
  </si>
  <si>
    <t>060660</t>
  </si>
  <si>
    <t>Isenvad</t>
  </si>
  <si>
    <t>060680</t>
  </si>
  <si>
    <t>Custom-060680</t>
  </si>
  <si>
    <t>Foulum</t>
  </si>
  <si>
    <t>060690</t>
  </si>
  <si>
    <t>Custom-060690</t>
  </si>
  <si>
    <t>Aarhus.AP</t>
  </si>
  <si>
    <t>060700</t>
  </si>
  <si>
    <t>Custom-060700</t>
  </si>
  <si>
    <t>Cape.Fornaes</t>
  </si>
  <si>
    <t>060710</t>
  </si>
  <si>
    <t>Odum</t>
  </si>
  <si>
    <t>060720</t>
  </si>
  <si>
    <t>Custom-060720</t>
  </si>
  <si>
    <t>Sletterhage.Lighthouse</t>
  </si>
  <si>
    <t>060730</t>
  </si>
  <si>
    <t>Custom-060730</t>
  </si>
  <si>
    <t>Aarhus.Syd</t>
  </si>
  <si>
    <t>060740</t>
  </si>
  <si>
    <t>Custom-060740</t>
  </si>
  <si>
    <t>Anholt.AF</t>
  </si>
  <si>
    <t>060780</t>
  </si>
  <si>
    <t>Anholt.Harbour</t>
  </si>
  <si>
    <t>060790</t>
  </si>
  <si>
    <t>Custom-060790</t>
  </si>
  <si>
    <t>Esbjerg.AP</t>
  </si>
  <si>
    <t>060800</t>
  </si>
  <si>
    <t>Custom-060800</t>
  </si>
  <si>
    <t>Blavandshuk</t>
  </si>
  <si>
    <t>060810</t>
  </si>
  <si>
    <t>Custom-060810</t>
  </si>
  <si>
    <t>Borris</t>
  </si>
  <si>
    <t>060820</t>
  </si>
  <si>
    <t>Custom-060820</t>
  </si>
  <si>
    <t>Skinderholm-Herning.AP</t>
  </si>
  <si>
    <t>060840</t>
  </si>
  <si>
    <t>Oksboel</t>
  </si>
  <si>
    <t>060860</t>
  </si>
  <si>
    <t>Anholt.Knob.Lightship</t>
  </si>
  <si>
    <t>060870</t>
  </si>
  <si>
    <t>Sadenstrand</t>
  </si>
  <si>
    <t>060890</t>
  </si>
  <si>
    <t>Vester.Vedsted</t>
  </si>
  <si>
    <t>060930</t>
  </si>
  <si>
    <t>Custom-060930</t>
  </si>
  <si>
    <t>Romo.Juvre</t>
  </si>
  <si>
    <t>060960</t>
  </si>
  <si>
    <t>Custom-060960</t>
  </si>
  <si>
    <t>Havneby</t>
  </si>
  <si>
    <t>060990</t>
  </si>
  <si>
    <t>Vandel</t>
  </si>
  <si>
    <t>061000</t>
  </si>
  <si>
    <t>Horsens.Bygholm</t>
  </si>
  <si>
    <t>061020</t>
  </si>
  <si>
    <t>Custom-061020</t>
  </si>
  <si>
    <t>Billund.AP</t>
  </si>
  <si>
    <t>061040</t>
  </si>
  <si>
    <t>Custom-061040</t>
  </si>
  <si>
    <t>Tvingstrup</t>
  </si>
  <si>
    <t>061060</t>
  </si>
  <si>
    <t>Vamdrup-Kolding.AP</t>
  </si>
  <si>
    <t>061080</t>
  </si>
  <si>
    <t>Custom-061080</t>
  </si>
  <si>
    <t>Askov</t>
  </si>
  <si>
    <t>061090</t>
  </si>
  <si>
    <t>Custom-061090</t>
  </si>
  <si>
    <t>Vojens.AP</t>
  </si>
  <si>
    <t>061100</t>
  </si>
  <si>
    <t>Custom-061100</t>
  </si>
  <si>
    <t>Baagoe</t>
  </si>
  <si>
    <t>061110</t>
  </si>
  <si>
    <t>Mollehus</t>
  </si>
  <si>
    <t>061150</t>
  </si>
  <si>
    <t>Sonderborg.AP</t>
  </si>
  <si>
    <t>061180</t>
  </si>
  <si>
    <t>Kegnas.Lighthouse</t>
  </si>
  <si>
    <t>061190</t>
  </si>
  <si>
    <t>Custom-061190</t>
  </si>
  <si>
    <t>Odense.AP</t>
  </si>
  <si>
    <t>061200</t>
  </si>
  <si>
    <t>Custom-061200</t>
  </si>
  <si>
    <t>Assens.Toro</t>
  </si>
  <si>
    <t>061230</t>
  </si>
  <si>
    <t>Custom-061230</t>
  </si>
  <si>
    <t>Tasinge.AP</t>
  </si>
  <si>
    <t>061240</t>
  </si>
  <si>
    <t>Custom-061240</t>
  </si>
  <si>
    <t>Arslev</t>
  </si>
  <si>
    <t>061260</t>
  </si>
  <si>
    <t>Custom-061260</t>
  </si>
  <si>
    <t>Flakkebjerg</t>
  </si>
  <si>
    <t>061350</t>
  </si>
  <si>
    <t>Custom-061350</t>
  </si>
  <si>
    <t>Tystofte</t>
  </si>
  <si>
    <t>061360</t>
  </si>
  <si>
    <t>Custom-061360</t>
  </si>
  <si>
    <t>Lango</t>
  </si>
  <si>
    <t>061380</t>
  </si>
  <si>
    <t>Custom-061380</t>
  </si>
  <si>
    <t>Abed</t>
  </si>
  <si>
    <t>061410</t>
  </si>
  <si>
    <t>Custom-061410</t>
  </si>
  <si>
    <t>Lolland-Falster.AP</t>
  </si>
  <si>
    <t>061430</t>
  </si>
  <si>
    <t>Vindebaek.Kyst</t>
  </si>
  <si>
    <t>061470</t>
  </si>
  <si>
    <t>Custom-061470</t>
  </si>
  <si>
    <t>Gedser</t>
  </si>
  <si>
    <t>061490</t>
  </si>
  <si>
    <t>Custom-061490</t>
  </si>
  <si>
    <t>Avno.Naturcenter</t>
  </si>
  <si>
    <t>061500</t>
  </si>
  <si>
    <t>Omo.Lighthouse</t>
  </si>
  <si>
    <t>061510</t>
  </si>
  <si>
    <t>Custom-061510</t>
  </si>
  <si>
    <t>Glumso</t>
  </si>
  <si>
    <t>061520</t>
  </si>
  <si>
    <t>Tyvelse</t>
  </si>
  <si>
    <t>061530</t>
  </si>
  <si>
    <t>Brandelev</t>
  </si>
  <si>
    <t>061540</t>
  </si>
  <si>
    <t>Custom-061540</t>
  </si>
  <si>
    <t>Holbak.AP</t>
  </si>
  <si>
    <t>061560</t>
  </si>
  <si>
    <t>Custom-061560</t>
  </si>
  <si>
    <t>Kalundborg</t>
  </si>
  <si>
    <t>061580</t>
  </si>
  <si>
    <t>Rosnas.Lighthouse</t>
  </si>
  <si>
    <t>061590</t>
  </si>
  <si>
    <t>Custom-061590</t>
  </si>
  <si>
    <t>HS</t>
  </si>
  <si>
    <t>Varlose.AP</t>
  </si>
  <si>
    <t>061600</t>
  </si>
  <si>
    <t>Spodsbjerg</t>
  </si>
  <si>
    <t>061610</t>
  </si>
  <si>
    <t>Hesseloe</t>
  </si>
  <si>
    <t>061650</t>
  </si>
  <si>
    <t>Custom-061650</t>
  </si>
  <si>
    <t>Nakkehoved.Lighthouse</t>
  </si>
  <si>
    <t>061680</t>
  </si>
  <si>
    <t>Custom-061680</t>
  </si>
  <si>
    <t>Gniben</t>
  </si>
  <si>
    <t>061690</t>
  </si>
  <si>
    <t>Custom-061690</t>
  </si>
  <si>
    <t>Copenhagen-Roskilde.AP</t>
  </si>
  <si>
    <t>061700</t>
  </si>
  <si>
    <t>Custom-061700</t>
  </si>
  <si>
    <t>Tesseboelle</t>
  </si>
  <si>
    <t>061740</t>
  </si>
  <si>
    <t>Custom-061740</t>
  </si>
  <si>
    <t>Moen</t>
  </si>
  <si>
    <t>061790</t>
  </si>
  <si>
    <t>Copenhagen-Kastrup.AP</t>
  </si>
  <si>
    <t>061800</t>
  </si>
  <si>
    <t>Custom-061800</t>
  </si>
  <si>
    <t>Jagersborg</t>
  </si>
  <si>
    <t>061810</t>
  </si>
  <si>
    <t>Custom-061810</t>
  </si>
  <si>
    <t>Drogden.Lighthouse</t>
  </si>
  <si>
    <t>061830</t>
  </si>
  <si>
    <t>Custom-061830</t>
  </si>
  <si>
    <t>Sjalsmark</t>
  </si>
  <si>
    <t>061880</t>
  </si>
  <si>
    <t>Custom-061880</t>
  </si>
  <si>
    <t>Bornholm.AP</t>
  </si>
  <si>
    <t>061900</t>
  </si>
  <si>
    <t>Custom-061900</t>
  </si>
  <si>
    <t>Christianso.Lighthouse</t>
  </si>
  <si>
    <t>061910</t>
  </si>
  <si>
    <t>Hammer.Odde.Lighthouse</t>
  </si>
  <si>
    <t>061930</t>
  </si>
  <si>
    <t>Custom-061930</t>
  </si>
  <si>
    <t>Nexo.Vest</t>
  </si>
  <si>
    <t>061970</t>
  </si>
  <si>
    <t>Custom-061970</t>
  </si>
  <si>
    <t>Cape.Dueodde</t>
  </si>
  <si>
    <t>061990</t>
  </si>
  <si>
    <t>ESP</t>
  </si>
  <si>
    <t>GA</t>
  </si>
  <si>
    <t>A.Coruna</t>
  </si>
  <si>
    <t>080010</t>
  </si>
  <si>
    <t>Custom-080010</t>
  </si>
  <si>
    <t>A.Coruna.AP</t>
  </si>
  <si>
    <t>080020</t>
  </si>
  <si>
    <t>Custom-080020</t>
  </si>
  <si>
    <t>Monteventoso</t>
  </si>
  <si>
    <t>080030</t>
  </si>
  <si>
    <t>El.Ferrol</t>
  </si>
  <si>
    <t>080050</t>
  </si>
  <si>
    <t>Lugo-Rozas.AP</t>
  </si>
  <si>
    <t>080080</t>
  </si>
  <si>
    <t>AS</t>
  </si>
  <si>
    <t>Asturias.AP</t>
  </si>
  <si>
    <t>080110</t>
  </si>
  <si>
    <t>Custom-080110</t>
  </si>
  <si>
    <t>Gijon.Musel</t>
  </si>
  <si>
    <t>080140</t>
  </si>
  <si>
    <t>Custom-080140</t>
  </si>
  <si>
    <t>AN</t>
  </si>
  <si>
    <t>Granada-Armilla.AFB</t>
  </si>
  <si>
    <t>080144</t>
  </si>
  <si>
    <t>Custom-080144</t>
  </si>
  <si>
    <t>Oviedo</t>
  </si>
  <si>
    <t>080150</t>
  </si>
  <si>
    <t>Custom-080150</t>
  </si>
  <si>
    <t>CB</t>
  </si>
  <si>
    <t>Ballesteros-Santander.AP</t>
  </si>
  <si>
    <t>080210</t>
  </si>
  <si>
    <t>Custom-080210</t>
  </si>
  <si>
    <t>Santander</t>
  </si>
  <si>
    <t>080230</t>
  </si>
  <si>
    <t>Custom-080230</t>
  </si>
  <si>
    <t>Bilbao.AP</t>
  </si>
  <si>
    <t>080250</t>
  </si>
  <si>
    <t>Custom-080250</t>
  </si>
  <si>
    <t>San.Sebastian-Igueldo</t>
  </si>
  <si>
    <t>080270</t>
  </si>
  <si>
    <t>Custom-080270</t>
  </si>
  <si>
    <t>San.Sebastian.AP</t>
  </si>
  <si>
    <t>080290</t>
  </si>
  <si>
    <t>Custom-080290</t>
  </si>
  <si>
    <t>Santiago.de.Compostela.AP</t>
  </si>
  <si>
    <t>080420</t>
  </si>
  <si>
    <t>Custom-080420</t>
  </si>
  <si>
    <t>Marin</t>
  </si>
  <si>
    <t>080430</t>
  </si>
  <si>
    <t>Pontevedra</t>
  </si>
  <si>
    <t>080440</t>
  </si>
  <si>
    <t>Custom-080440</t>
  </si>
  <si>
    <t>Vigo.AP</t>
  </si>
  <si>
    <t>080450</t>
  </si>
  <si>
    <t>Custom-080450</t>
  </si>
  <si>
    <t>Vigo</t>
  </si>
  <si>
    <t>080460</t>
  </si>
  <si>
    <t>Orense</t>
  </si>
  <si>
    <t>080480</t>
  </si>
  <si>
    <t>CL</t>
  </si>
  <si>
    <t>Ponferrada</t>
  </si>
  <si>
    <t>080530</t>
  </si>
  <si>
    <t>Leon.AP</t>
  </si>
  <si>
    <t>080550</t>
  </si>
  <si>
    <t>Custom-080550</t>
  </si>
  <si>
    <t>Palencia</t>
  </si>
  <si>
    <t>080710</t>
  </si>
  <si>
    <t>Burgos.AP</t>
  </si>
  <si>
    <t>080750</t>
  </si>
  <si>
    <t>Custom-080750</t>
  </si>
  <si>
    <t>Burgos</t>
  </si>
  <si>
    <t>080760</t>
  </si>
  <si>
    <t>Vitoria.AP</t>
  </si>
  <si>
    <t>080800</t>
  </si>
  <si>
    <t>Custom-080800</t>
  </si>
  <si>
    <t>RI</t>
  </si>
  <si>
    <t>Logrono-Agoncillo.AP</t>
  </si>
  <si>
    <t>080840</t>
  </si>
  <si>
    <t>Custom-080840</t>
  </si>
  <si>
    <t>NC</t>
  </si>
  <si>
    <t>Pamplona.AP</t>
  </si>
  <si>
    <t>080850</t>
  </si>
  <si>
    <t>Custom-080850</t>
  </si>
  <si>
    <t>Pamplona</t>
  </si>
  <si>
    <t>080860</t>
  </si>
  <si>
    <t>Bardenas.Reales</t>
  </si>
  <si>
    <t>080870</t>
  </si>
  <si>
    <t>Jaca</t>
  </si>
  <si>
    <t>080910</t>
  </si>
  <si>
    <t>AR</t>
  </si>
  <si>
    <t>Huesca-Pirineos.AP</t>
  </si>
  <si>
    <t>080940</t>
  </si>
  <si>
    <t>Custom-080940</t>
  </si>
  <si>
    <t>CT</t>
  </si>
  <si>
    <t>Talar</t>
  </si>
  <si>
    <t>081120</t>
  </si>
  <si>
    <t>La.Molina</t>
  </si>
  <si>
    <t>081170</t>
  </si>
  <si>
    <t>Zamora</t>
  </si>
  <si>
    <t>081300</t>
  </si>
  <si>
    <t>Custom-081300</t>
  </si>
  <si>
    <t>Valladolid.AP</t>
  </si>
  <si>
    <t>081400</t>
  </si>
  <si>
    <t>Custom-081400</t>
  </si>
  <si>
    <t>Valladolid</t>
  </si>
  <si>
    <t>081410</t>
  </si>
  <si>
    <t>Custom-081410</t>
  </si>
  <si>
    <t>Soria</t>
  </si>
  <si>
    <t>081480</t>
  </si>
  <si>
    <t>Custom-081480</t>
  </si>
  <si>
    <t>Daroca</t>
  </si>
  <si>
    <t>081570</t>
  </si>
  <si>
    <t>Zaragoza.AP</t>
  </si>
  <si>
    <t>081600</t>
  </si>
  <si>
    <t>Custom-081600</t>
  </si>
  <si>
    <t>Zaragoza</t>
  </si>
  <si>
    <t>081610</t>
  </si>
  <si>
    <t>Lleida</t>
  </si>
  <si>
    <t>081710</t>
  </si>
  <si>
    <t>Custom-081710</t>
  </si>
  <si>
    <t>Reus.AP</t>
  </si>
  <si>
    <t>081750</t>
  </si>
  <si>
    <t>Custom-081750</t>
  </si>
  <si>
    <t>Tarragona</t>
  </si>
  <si>
    <t>081760</t>
  </si>
  <si>
    <t>Sabadell.AP</t>
  </si>
  <si>
    <t>081763</t>
  </si>
  <si>
    <t>Custom-081763</t>
  </si>
  <si>
    <t>Barcelona</t>
  </si>
  <si>
    <t>081800</t>
  </si>
  <si>
    <t>Barcelona-El.Prat.AP</t>
  </si>
  <si>
    <t>081810</t>
  </si>
  <si>
    <t>Custom-081810</t>
  </si>
  <si>
    <t>Parc.Natural.del.Montseny</t>
  </si>
  <si>
    <t>081820</t>
  </si>
  <si>
    <t>Girona-Costa.Brava.AP</t>
  </si>
  <si>
    <t>081840</t>
  </si>
  <si>
    <t>Custom-081840</t>
  </si>
  <si>
    <t>San.Lorenzo</t>
  </si>
  <si>
    <t>081860</t>
  </si>
  <si>
    <t>Salamanca</t>
  </si>
  <si>
    <t>082010</t>
  </si>
  <si>
    <t>Salamanca.AP</t>
  </si>
  <si>
    <t>082020</t>
  </si>
  <si>
    <t>Custom-082020</t>
  </si>
  <si>
    <t>Avila</t>
  </si>
  <si>
    <t>082100</t>
  </si>
  <si>
    <t>Segovia</t>
  </si>
  <si>
    <t>082130</t>
  </si>
  <si>
    <t>Custom-082130</t>
  </si>
  <si>
    <t>Puerto.Navacerrada</t>
  </si>
  <si>
    <t>082150</t>
  </si>
  <si>
    <t>Custom-082150</t>
  </si>
  <si>
    <t>MD</t>
  </si>
  <si>
    <t>Colmenar.Viejo</t>
  </si>
  <si>
    <t>082190</t>
  </si>
  <si>
    <t>Custom-082190</t>
  </si>
  <si>
    <t>Madrid.WS</t>
  </si>
  <si>
    <t>082200</t>
  </si>
  <si>
    <t>Madrid-Barajas-Suarez.AP</t>
  </si>
  <si>
    <t>082210</t>
  </si>
  <si>
    <t>Custom-082210</t>
  </si>
  <si>
    <t>Madrid-Cuatro.Vientos.AP</t>
  </si>
  <si>
    <t>082230</t>
  </si>
  <si>
    <t>Custom-082230</t>
  </si>
  <si>
    <t>Madrid-Getafe.AFB</t>
  </si>
  <si>
    <t>082240</t>
  </si>
  <si>
    <t>Custom-082240</t>
  </si>
  <si>
    <t>CM</t>
  </si>
  <si>
    <t>Guadalajara</t>
  </si>
  <si>
    <t>082260</t>
  </si>
  <si>
    <t>Madrid-Torrejon.AFB</t>
  </si>
  <si>
    <t>082270</t>
  </si>
  <si>
    <t>Custom-082270</t>
  </si>
  <si>
    <t>Cuenca</t>
  </si>
  <si>
    <t>082310</t>
  </si>
  <si>
    <t>Custom-082310</t>
  </si>
  <si>
    <t>Molina.de.Aragon</t>
  </si>
  <si>
    <t>082320</t>
  </si>
  <si>
    <t>Calamocha</t>
  </si>
  <si>
    <t>082330</t>
  </si>
  <si>
    <t>Teruel</t>
  </si>
  <si>
    <t>082350</t>
  </si>
  <si>
    <t>Tortosa-Ebre.Obs</t>
  </si>
  <si>
    <t>082380</t>
  </si>
  <si>
    <t>Custom-082380</t>
  </si>
  <si>
    <t>EX</t>
  </si>
  <si>
    <t>Caceres</t>
  </si>
  <si>
    <t>082610</t>
  </si>
  <si>
    <t>Custom-082610</t>
  </si>
  <si>
    <t>Toledo</t>
  </si>
  <si>
    <t>082720</t>
  </si>
  <si>
    <t>Custom-082720</t>
  </si>
  <si>
    <t>Albacete-Los.Llanos.AFB</t>
  </si>
  <si>
    <t>082800</t>
  </si>
  <si>
    <t>Custom-082800</t>
  </si>
  <si>
    <t>VC</t>
  </si>
  <si>
    <t>Valencia.AP</t>
  </si>
  <si>
    <t>082840</t>
  </si>
  <si>
    <t>Custom-082840</t>
  </si>
  <si>
    <t>Valencia.Viveros</t>
  </si>
  <si>
    <t>082850</t>
  </si>
  <si>
    <t>Castellon.Almazora</t>
  </si>
  <si>
    <t>082860</t>
  </si>
  <si>
    <t>Alzira</t>
  </si>
  <si>
    <t>082900</t>
  </si>
  <si>
    <t>IB</t>
  </si>
  <si>
    <t>Palma</t>
  </si>
  <si>
    <t>083010</t>
  </si>
  <si>
    <t>Alfabia.Mtn.Range</t>
  </si>
  <si>
    <t>083030</t>
  </si>
  <si>
    <t>Palma.de.Mallorca.AP-Son.San.Juan.AFB</t>
  </si>
  <si>
    <t>083060</t>
  </si>
  <si>
    <t>Custom-083060</t>
  </si>
  <si>
    <t>Menorca.AP</t>
  </si>
  <si>
    <t>083140</t>
  </si>
  <si>
    <t>Custom-083140</t>
  </si>
  <si>
    <t>Badajoz.AP</t>
  </si>
  <si>
    <t>083300</t>
  </si>
  <si>
    <t>Custom-083300</t>
  </si>
  <si>
    <t>Hinojosa.del.Duque</t>
  </si>
  <si>
    <t>083350</t>
  </si>
  <si>
    <t>Ciudad.Real</t>
  </si>
  <si>
    <t>083480</t>
  </si>
  <si>
    <t>Custom-083480</t>
  </si>
  <si>
    <t>MC</t>
  </si>
  <si>
    <t>Alicante</t>
  </si>
  <si>
    <t>083590</t>
  </si>
  <si>
    <t>Alicante.AP</t>
  </si>
  <si>
    <t>083600</t>
  </si>
  <si>
    <t>Custom-083600</t>
  </si>
  <si>
    <t>Aitana.Mtn.Peak</t>
  </si>
  <si>
    <t>083610</t>
  </si>
  <si>
    <t>Benidorm</t>
  </si>
  <si>
    <t>083620</t>
  </si>
  <si>
    <t>Denia</t>
  </si>
  <si>
    <t>083650</t>
  </si>
  <si>
    <t>Ibiza.AP</t>
  </si>
  <si>
    <t>083730</t>
  </si>
  <si>
    <t>Custom-083730</t>
  </si>
  <si>
    <t>Huelva</t>
  </si>
  <si>
    <t>083830</t>
  </si>
  <si>
    <t>Sevilla</t>
  </si>
  <si>
    <t>083900</t>
  </si>
  <si>
    <t>Sevilla.Heliport</t>
  </si>
  <si>
    <t>083905</t>
  </si>
  <si>
    <t>Sevilla.AP</t>
  </si>
  <si>
    <t>083910</t>
  </si>
  <si>
    <t>Custom-083910</t>
  </si>
  <si>
    <t>Moron.AFB</t>
  </si>
  <si>
    <t>083970</t>
  </si>
  <si>
    <t>Custom-083970</t>
  </si>
  <si>
    <t>Cordoba.AP</t>
  </si>
  <si>
    <t>084100</t>
  </si>
  <si>
    <t>Custom-084100</t>
  </si>
  <si>
    <t>Jaen</t>
  </si>
  <si>
    <t>084170</t>
  </si>
  <si>
    <t>Granada-Jaen.AP</t>
  </si>
  <si>
    <t>084190</t>
  </si>
  <si>
    <t>Custom-084190</t>
  </si>
  <si>
    <t>Alcantarilla.AFB</t>
  </si>
  <si>
    <t>084290</t>
  </si>
  <si>
    <t>Custom-084290</t>
  </si>
  <si>
    <t>Murcia</t>
  </si>
  <si>
    <t>084300</t>
  </si>
  <si>
    <t>Custom-084300</t>
  </si>
  <si>
    <t>Castillo.Galeras</t>
  </si>
  <si>
    <t>084310</t>
  </si>
  <si>
    <t>Murcia-San.Javier.AP</t>
  </si>
  <si>
    <t>084330</t>
  </si>
  <si>
    <t>Custom-084330</t>
  </si>
  <si>
    <t>NAS.Rota</t>
  </si>
  <si>
    <t>084490</t>
  </si>
  <si>
    <t>Custom-084490</t>
  </si>
  <si>
    <t>Jerez.AP</t>
  </si>
  <si>
    <t>084510</t>
  </si>
  <si>
    <t>Custom-084510</t>
  </si>
  <si>
    <t>Alguaire-Lleida.AP</t>
  </si>
  <si>
    <t>084515</t>
  </si>
  <si>
    <t>Cadiz.Obs</t>
  </si>
  <si>
    <t>084520</t>
  </si>
  <si>
    <t>San.Fernando</t>
  </si>
  <si>
    <t>084530</t>
  </si>
  <si>
    <t>Tarifa</t>
  </si>
  <si>
    <t>084580</t>
  </si>
  <si>
    <t>Malaga.AP</t>
  </si>
  <si>
    <t>084820</t>
  </si>
  <si>
    <t>Custom-084820</t>
  </si>
  <si>
    <t>Almeria.AP</t>
  </si>
  <si>
    <t>084870</t>
  </si>
  <si>
    <t>Custom-084870</t>
  </si>
  <si>
    <t>Alboran.Island</t>
  </si>
  <si>
    <t>084900</t>
  </si>
  <si>
    <t>Isaba.El.Ferial</t>
  </si>
  <si>
    <t>089120</t>
  </si>
  <si>
    <t>Candanchu.Etuksa</t>
  </si>
  <si>
    <t>089140</t>
  </si>
  <si>
    <t>Panticosa.Refugio.Casa.Piedra</t>
  </si>
  <si>
    <t>089220</t>
  </si>
  <si>
    <t>EST</t>
  </si>
  <si>
    <t>HA</t>
  </si>
  <si>
    <t>Pakri.Lighthouse</t>
  </si>
  <si>
    <t>Custom-260290</t>
  </si>
  <si>
    <t>Pohjakula.Lighthouse-Naissaar.Island</t>
  </si>
  <si>
    <t>Tallinn.AP</t>
  </si>
  <si>
    <t>Custom-260380</t>
  </si>
  <si>
    <t>Kunda</t>
  </si>
  <si>
    <t>Custom-260450</t>
  </si>
  <si>
    <t>IV</t>
  </si>
  <si>
    <t>Johvi.AF</t>
  </si>
  <si>
    <t>Custom-260460</t>
  </si>
  <si>
    <t>Moscni.Island</t>
  </si>
  <si>
    <t>Narva.AF</t>
  </si>
  <si>
    <t>Custom-260580</t>
  </si>
  <si>
    <t>HI</t>
  </si>
  <si>
    <t>Ristna</t>
  </si>
  <si>
    <t>Custom-261150</t>
  </si>
  <si>
    <t>Kardla.AP</t>
  </si>
  <si>
    <t>Heltermaa</t>
  </si>
  <si>
    <t>LN</t>
  </si>
  <si>
    <t>Laane-Nigula</t>
  </si>
  <si>
    <t>Custom-261240</t>
  </si>
  <si>
    <t>Virtsu</t>
  </si>
  <si>
    <t>Custom-261280</t>
  </si>
  <si>
    <t>RA</t>
  </si>
  <si>
    <t>Kuusiku</t>
  </si>
  <si>
    <t>Custom-261340</t>
  </si>
  <si>
    <t>JR</t>
  </si>
  <si>
    <t>Turi</t>
  </si>
  <si>
    <t>Custom-261350</t>
  </si>
  <si>
    <t>Valke.Maarja</t>
  </si>
  <si>
    <t>Custom-261410</t>
  </si>
  <si>
    <t>JN</t>
  </si>
  <si>
    <t>Jogeva</t>
  </si>
  <si>
    <t>Custom-261440</t>
  </si>
  <si>
    <t>Tilrikoja</t>
  </si>
  <si>
    <t>Custom-261450</t>
  </si>
  <si>
    <t>SA</t>
  </si>
  <si>
    <t>Vilsandi.Lighthouse</t>
  </si>
  <si>
    <t>Custom-262140</t>
  </si>
  <si>
    <t>Roomassaare-Kuressaare.AP</t>
  </si>
  <si>
    <t>Custom-262150</t>
  </si>
  <si>
    <t>Sorve.Lighthouse</t>
  </si>
  <si>
    <t>Custom-262180</t>
  </si>
  <si>
    <t>PR</t>
  </si>
  <si>
    <t>Kihnu.Island.Lighthouse</t>
  </si>
  <si>
    <t>Custom-262260</t>
  </si>
  <si>
    <t>Ruhnu.AP</t>
  </si>
  <si>
    <t>Custom-262270</t>
  </si>
  <si>
    <t>Parnu.AP</t>
  </si>
  <si>
    <t>Custom-262310</t>
  </si>
  <si>
    <t>Viljandi</t>
  </si>
  <si>
    <t>Custom-262330</t>
  </si>
  <si>
    <t>TA</t>
  </si>
  <si>
    <t>Tartu-Lennujaam.AP</t>
  </si>
  <si>
    <t>Custom-262420</t>
  </si>
  <si>
    <t>VG</t>
  </si>
  <si>
    <t>Valga</t>
  </si>
  <si>
    <t>Custom-262470</t>
  </si>
  <si>
    <t>Voru</t>
  </si>
  <si>
    <t>Custom-262490</t>
  </si>
  <si>
    <t>FIN</t>
  </si>
  <si>
    <t>Kilpisjarvi.Saana</t>
  </si>
  <si>
    <t>027010</t>
  </si>
  <si>
    <t>Custom-027010</t>
  </si>
  <si>
    <t>Inari-Kaamanen</t>
  </si>
  <si>
    <t>027020</t>
  </si>
  <si>
    <t>Custom-027020</t>
  </si>
  <si>
    <t>US</t>
  </si>
  <si>
    <t>Espoo.Sepankyla</t>
  </si>
  <si>
    <t>027030</t>
  </si>
  <si>
    <t>Custom-027030</t>
  </si>
  <si>
    <t>KH</t>
  </si>
  <si>
    <t>Hattula.Lepaa.AWS</t>
  </si>
  <si>
    <t>027040</t>
  </si>
  <si>
    <t>Custom-027040</t>
  </si>
  <si>
    <t>Pelkosenniemi.Pyhatunturi</t>
  </si>
  <si>
    <t>027050</t>
  </si>
  <si>
    <t>Custom-027050</t>
  </si>
  <si>
    <t>Lohja.Porla</t>
  </si>
  <si>
    <t>027060</t>
  </si>
  <si>
    <t>Custom-027060</t>
  </si>
  <si>
    <t>Karvia.Alkkia</t>
  </si>
  <si>
    <t>027080</t>
  </si>
  <si>
    <t>Custom-027080</t>
  </si>
  <si>
    <t>NS</t>
  </si>
  <si>
    <t>Vesanto.Sonkari</t>
  </si>
  <si>
    <t>027100</t>
  </si>
  <si>
    <t>Custom-027100</t>
  </si>
  <si>
    <t>Hameenlinna.Lammi.Evo</t>
  </si>
  <si>
    <t>027130</t>
  </si>
  <si>
    <t>Custom-027130</t>
  </si>
  <si>
    <t>Vaala.Pelso</t>
  </si>
  <si>
    <t>027140</t>
  </si>
  <si>
    <t>Custom-027140</t>
  </si>
  <si>
    <t>Kittila.Pokka.AF</t>
  </si>
  <si>
    <t>027170</t>
  </si>
  <si>
    <t>Custom-027170</t>
  </si>
  <si>
    <t>SS</t>
  </si>
  <si>
    <t>Puumala.KK.Urheilukentta</t>
  </si>
  <si>
    <t>027180</t>
  </si>
  <si>
    <t>Custom-027180</t>
  </si>
  <si>
    <t>Sodankyla.Lokka</t>
  </si>
  <si>
    <t>027190</t>
  </si>
  <si>
    <t>Custom-027190</t>
  </si>
  <si>
    <t>Kittila.AP</t>
  </si>
  <si>
    <t>027200</t>
  </si>
  <si>
    <t>Custom-027200</t>
  </si>
  <si>
    <t>CO</t>
  </si>
  <si>
    <t>Kokkola.Tankar</t>
  </si>
  <si>
    <t>027210</t>
  </si>
  <si>
    <t>Custom-027210</t>
  </si>
  <si>
    <t>Inari-Saariselka</t>
  </si>
  <si>
    <t>027220</t>
  </si>
  <si>
    <t>Custom-027220</t>
  </si>
  <si>
    <t>Kittila.Levitunturi</t>
  </si>
  <si>
    <t>027230</t>
  </si>
  <si>
    <t>Custom-027230</t>
  </si>
  <si>
    <t>Halsua.Kanala.Purola</t>
  </si>
  <si>
    <t>027250</t>
  </si>
  <si>
    <t>Custom-027250</t>
  </si>
  <si>
    <t>Enontekio.Nakkala</t>
  </si>
  <si>
    <t>027260</t>
  </si>
  <si>
    <t>Custom-027260</t>
  </si>
  <si>
    <t>PH</t>
  </si>
  <si>
    <t>Asikkala.Pulkkilanharju</t>
  </si>
  <si>
    <t>027270</t>
  </si>
  <si>
    <t>Custom-027270</t>
  </si>
  <si>
    <t>Kuopio.Ritoniemi</t>
  </si>
  <si>
    <t>027320</t>
  </si>
  <si>
    <t>Custom-027320</t>
  </si>
  <si>
    <t>Lappeenranta.Konnunsuo</t>
  </si>
  <si>
    <t>027330</t>
  </si>
  <si>
    <t>Custom-027330</t>
  </si>
  <si>
    <t>Parikkala.Koitsanlahti</t>
  </si>
  <si>
    <t>027340</t>
  </si>
  <si>
    <t>Custom-027340</t>
  </si>
  <si>
    <t>Virrat.Aijanneva</t>
  </si>
  <si>
    <t>027350</t>
  </si>
  <si>
    <t>Custom-027350</t>
  </si>
  <si>
    <t>Juva.Partala</t>
  </si>
  <si>
    <t>027360</t>
  </si>
  <si>
    <t>Custom-027360</t>
  </si>
  <si>
    <t>Toholampi.Laitala</t>
  </si>
  <si>
    <t>027370</t>
  </si>
  <si>
    <t>Custom-027370</t>
  </si>
  <si>
    <t>Pyhajarvi.Ojakyla</t>
  </si>
  <si>
    <t>027380</t>
  </si>
  <si>
    <t>Custom-027380</t>
  </si>
  <si>
    <t>Sotkamo.Kuolaniemi</t>
  </si>
  <si>
    <t>027390</t>
  </si>
  <si>
    <t>Custom-027390</t>
  </si>
  <si>
    <t>Kemionsaari.Vano</t>
  </si>
  <si>
    <t>027430</t>
  </si>
  <si>
    <t>Custom-027430</t>
  </si>
  <si>
    <t>Tampere.Satakunnankatu</t>
  </si>
  <si>
    <t>027440</t>
  </si>
  <si>
    <t>Custom-027440</t>
  </si>
  <si>
    <t>Salla.Naruska</t>
  </si>
  <si>
    <t>027450</t>
  </si>
  <si>
    <t>Custom-027450</t>
  </si>
  <si>
    <t>Hanko.Tulliniemi</t>
  </si>
  <si>
    <t>027460</t>
  </si>
  <si>
    <t>Custom-027460</t>
  </si>
  <si>
    <t>Turku.Rajakari</t>
  </si>
  <si>
    <t>027470</t>
  </si>
  <si>
    <t>Custom-027470</t>
  </si>
  <si>
    <t>Joroinen.Varkaus.AP</t>
  </si>
  <si>
    <t>027480</t>
  </si>
  <si>
    <t>Custom-027480</t>
  </si>
  <si>
    <t>Hanko.Tvarminne</t>
  </si>
  <si>
    <t>027500</t>
  </si>
  <si>
    <t>Custom-027500</t>
  </si>
  <si>
    <t>Pori.Tahkoluoto.Harbour</t>
  </si>
  <si>
    <t>027510</t>
  </si>
  <si>
    <t>Custom-027510</t>
  </si>
  <si>
    <t>OS</t>
  </si>
  <si>
    <t>Kristiinankaupunki.Lighthouse</t>
  </si>
  <si>
    <t>027520</t>
  </si>
  <si>
    <t>Custom-027520</t>
  </si>
  <si>
    <t>Hameenlinna.Katinen</t>
  </si>
  <si>
    <t>027540</t>
  </si>
  <si>
    <t>Custom-027540</t>
  </si>
  <si>
    <t>Ylivieska.AF</t>
  </si>
  <si>
    <t>027550</t>
  </si>
  <si>
    <t>Custom-027550</t>
  </si>
  <si>
    <t>Salo.Karkka</t>
  </si>
  <si>
    <t>027560</t>
  </si>
  <si>
    <t>Custom-027560</t>
  </si>
  <si>
    <t>Raasepori.Jussaro</t>
  </si>
  <si>
    <t>027570</t>
  </si>
  <si>
    <t>Custom-027570</t>
  </si>
  <si>
    <t>Vihti.Maasoja</t>
  </si>
  <si>
    <t>027580</t>
  </si>
  <si>
    <t>Custom-027580</t>
  </si>
  <si>
    <t>Porvoo.Harabacka</t>
  </si>
  <si>
    <t>027590</t>
  </si>
  <si>
    <t>Custom-027590</t>
  </si>
  <si>
    <t>Kuusamo.Ruka.Talvijarvi</t>
  </si>
  <si>
    <t>027600</t>
  </si>
  <si>
    <t>Custom-027600</t>
  </si>
  <si>
    <t>Rauma.Kylmapihlaja.Lighthouse</t>
  </si>
  <si>
    <t>027610</t>
  </si>
  <si>
    <t>Custom-027610</t>
  </si>
  <si>
    <t>Tampere.Harmala</t>
  </si>
  <si>
    <t>027630</t>
  </si>
  <si>
    <t>Custom-027630</t>
  </si>
  <si>
    <t>Kittila.Lompolonvuoma</t>
  </si>
  <si>
    <t>027640</t>
  </si>
  <si>
    <t>Custom-027640</t>
  </si>
  <si>
    <t>CF</t>
  </si>
  <si>
    <t>Luhanka.Judinsalo</t>
  </si>
  <si>
    <t>027650</t>
  </si>
  <si>
    <t>Custom-027650</t>
  </si>
  <si>
    <t>NK</t>
  </si>
  <si>
    <t>Ilomantsi.Potsonvaara</t>
  </si>
  <si>
    <t>027660</t>
  </si>
  <si>
    <t>Custom-027660</t>
  </si>
  <si>
    <t>Hameenlinna.Lammi.Pappila</t>
  </si>
  <si>
    <t>027670</t>
  </si>
  <si>
    <t>Custom-027670</t>
  </si>
  <si>
    <t>Heinola.Asemantaus</t>
  </si>
  <si>
    <t>027680</t>
  </si>
  <si>
    <t>Custom-027680</t>
  </si>
  <si>
    <t>Kauhajoki.Kuja.Kokko</t>
  </si>
  <si>
    <t>027690</t>
  </si>
  <si>
    <t>Custom-027690</t>
  </si>
  <si>
    <t>Juupajoki.Hyytiala</t>
  </si>
  <si>
    <t>027700</t>
  </si>
  <si>
    <t>Custom-027700</t>
  </si>
  <si>
    <t>Joutsa.Leivonmaki.Savenaho</t>
  </si>
  <si>
    <t>027710</t>
  </si>
  <si>
    <t>Custom-027710</t>
  </si>
  <si>
    <t>Rantasalmi.Rukkasluoto</t>
  </si>
  <si>
    <t>027720</t>
  </si>
  <si>
    <t>Custom-027720</t>
  </si>
  <si>
    <t>Turku.Artukainen</t>
  </si>
  <si>
    <t>027730</t>
  </si>
  <si>
    <t>Custom-027730</t>
  </si>
  <si>
    <t>Salo.Kiikala.AF</t>
  </si>
  <si>
    <t>027770</t>
  </si>
  <si>
    <t>Custom-027770</t>
  </si>
  <si>
    <t>Savonlinna.Punkaharju</t>
  </si>
  <si>
    <t>027780</t>
  </si>
  <si>
    <t>Custom-027780</t>
  </si>
  <si>
    <t>Korsnas.Bredskaret</t>
  </si>
  <si>
    <t>027800</t>
  </si>
  <si>
    <t>Custom-027800</t>
  </si>
  <si>
    <t>Strommingsbadn</t>
  </si>
  <si>
    <t>027810</t>
  </si>
  <si>
    <t>Custom-027810</t>
  </si>
  <si>
    <t>Alajarvi.Moksy</t>
  </si>
  <si>
    <t>027870</t>
  </si>
  <si>
    <t>Custom-027870</t>
  </si>
  <si>
    <t>Kuopio.Maaninka</t>
  </si>
  <si>
    <t>027880</t>
  </si>
  <si>
    <t>Custom-027880</t>
  </si>
  <si>
    <t>Rautavaara.Yla-Luosta</t>
  </si>
  <si>
    <t>027890</t>
  </si>
  <si>
    <t>Custom-027890</t>
  </si>
  <si>
    <t>Juuka.Niemela</t>
  </si>
  <si>
    <t>027910</t>
  </si>
  <si>
    <t>Custom-027910</t>
  </si>
  <si>
    <t>Liperi.Tuiskavanluoto</t>
  </si>
  <si>
    <t>027930</t>
  </si>
  <si>
    <t>Custom-027930</t>
  </si>
  <si>
    <t>Kirkkonummi.Makiluoto</t>
  </si>
  <si>
    <t>027940</t>
  </si>
  <si>
    <t>Custom-027940</t>
  </si>
  <si>
    <t>Helsinki-Harmaja</t>
  </si>
  <si>
    <t>027950</t>
  </si>
  <si>
    <t>Custom-027950</t>
  </si>
  <si>
    <t>Lieksa.Lampela</t>
  </si>
  <si>
    <t>027960</t>
  </si>
  <si>
    <t>Custom-027960</t>
  </si>
  <si>
    <t>Haapavest.Mustikkamaki</t>
  </si>
  <si>
    <t>027970</t>
  </si>
  <si>
    <t>Custom-027970</t>
  </si>
  <si>
    <t>Valtimo.KK</t>
  </si>
  <si>
    <t>027980</t>
  </si>
  <si>
    <t>Custom-027980</t>
  </si>
  <si>
    <t>Kuhmo.Kalliojoki</t>
  </si>
  <si>
    <t>027990</t>
  </si>
  <si>
    <t>Custom-027990</t>
  </si>
  <si>
    <t>Raahe.Nahkiainen</t>
  </si>
  <si>
    <t>028000</t>
  </si>
  <si>
    <t>Custom-028000</t>
  </si>
  <si>
    <t>Enontekio.Kilpisjarvi</t>
  </si>
  <si>
    <t>028010</t>
  </si>
  <si>
    <t>Custom-028010</t>
  </si>
  <si>
    <t>Siikajoki.Revonlahti</t>
  </si>
  <si>
    <t>028030</t>
  </si>
  <si>
    <t>Custom-028030</t>
  </si>
  <si>
    <t>Taivalkoski.KK.Urheilutie</t>
  </si>
  <si>
    <t>028040</t>
  </si>
  <si>
    <t>Custom-028040</t>
  </si>
  <si>
    <t>Utsjoki.Kevo</t>
  </si>
  <si>
    <t>028050</t>
  </si>
  <si>
    <t>Custom-028050</t>
  </si>
  <si>
    <t>Inari-Ivalo.AP</t>
  </si>
  <si>
    <t>028070</t>
  </si>
  <si>
    <t>Custom-028070</t>
  </si>
  <si>
    <t>Enontekio.AP</t>
  </si>
  <si>
    <t>028075</t>
  </si>
  <si>
    <t>Custom-028075</t>
  </si>
  <si>
    <t>Kuusamo.Kiutakongas</t>
  </si>
  <si>
    <t>028110</t>
  </si>
  <si>
    <t>Custom-028110</t>
  </si>
  <si>
    <t>Ylitornio.Meltosjarvi</t>
  </si>
  <si>
    <t>028120</t>
  </si>
  <si>
    <t>Custom-028120</t>
  </si>
  <si>
    <t>Rovaniemi.Apukka</t>
  </si>
  <si>
    <t>028130</t>
  </si>
  <si>
    <t>Custom-028130</t>
  </si>
  <si>
    <t>Kemijarvi.AF</t>
  </si>
  <si>
    <t>028140</t>
  </si>
  <si>
    <t>Custom-028140</t>
  </si>
  <si>
    <t>Savukoski.KK</t>
  </si>
  <si>
    <t>028150</t>
  </si>
  <si>
    <t>Custom-028150</t>
  </si>
  <si>
    <t>Sodankyla.Vuotso</t>
  </si>
  <si>
    <t>028160</t>
  </si>
  <si>
    <t>Custom-028160</t>
  </si>
  <si>
    <t>Saariselka.Kaunispaa</t>
  </si>
  <si>
    <t>028170</t>
  </si>
  <si>
    <t>Custom-028170</t>
  </si>
  <si>
    <t>Inari-Rajajooseppi</t>
  </si>
  <si>
    <t>028180</t>
  </si>
  <si>
    <t>Custom-028180</t>
  </si>
  <si>
    <t>Salla.Varriotunturi</t>
  </si>
  <si>
    <t>028190</t>
  </si>
  <si>
    <t>Custom-028190</t>
  </si>
  <si>
    <t>Muonio.Laukukero</t>
  </si>
  <si>
    <t>028200</t>
  </si>
  <si>
    <t>Custom-028200</t>
  </si>
  <si>
    <t>Muonio.Sammaltunturi</t>
  </si>
  <si>
    <t>028210</t>
  </si>
  <si>
    <t>Custom-028210</t>
  </si>
  <si>
    <t>Muonio.Alamuonio</t>
  </si>
  <si>
    <t>028230</t>
  </si>
  <si>
    <t>Custom-028230</t>
  </si>
  <si>
    <t>Kittila.Kenttarova</t>
  </si>
  <si>
    <t>028240</t>
  </si>
  <si>
    <t>Custom-028240</t>
  </si>
  <si>
    <t>Utsjoki.Nuorgam</t>
  </si>
  <si>
    <t>028250</t>
  </si>
  <si>
    <t>Custom-028250</t>
  </si>
  <si>
    <t>Inari-Vayla</t>
  </si>
  <si>
    <t>028270</t>
  </si>
  <si>
    <t>Custom-028270</t>
  </si>
  <si>
    <t>Kaarina.Yltoinen</t>
  </si>
  <si>
    <t>028280</t>
  </si>
  <si>
    <t>Custom-028280</t>
  </si>
  <si>
    <t>Hyvinkaa.Hyvinkaankyla</t>
  </si>
  <si>
    <t>028290</t>
  </si>
  <si>
    <t>Custom-028290</t>
  </si>
  <si>
    <t>Kouvola.Anjala</t>
  </si>
  <si>
    <t>028300</t>
  </si>
  <si>
    <t>Custom-028300</t>
  </si>
  <si>
    <t>Virolahti.Koivuniemi</t>
  </si>
  <si>
    <t>028310</t>
  </si>
  <si>
    <t>Custom-028310</t>
  </si>
  <si>
    <t>Tohmajarvi.Kemie</t>
  </si>
  <si>
    <t>028320</t>
  </si>
  <si>
    <t>Custom-028320</t>
  </si>
  <si>
    <t>Seinajoki.Pelma</t>
  </si>
  <si>
    <t>028330</t>
  </si>
  <si>
    <t>Custom-028330</t>
  </si>
  <si>
    <t>Vierema.Kaarakkala</t>
  </si>
  <si>
    <t>028340</t>
  </si>
  <si>
    <t>Custom-028340</t>
  </si>
  <si>
    <t>Inari-Nellim</t>
  </si>
  <si>
    <t>028350</t>
  </si>
  <si>
    <t>Custom-028350</t>
  </si>
  <si>
    <t>Sodankyla.AP</t>
  </si>
  <si>
    <t>028360</t>
  </si>
  <si>
    <t>Custom-028360</t>
  </si>
  <si>
    <t>Pello</t>
  </si>
  <si>
    <t>028440</t>
  </si>
  <si>
    <t>Custom-028440</t>
  </si>
  <si>
    <t>Rovaniemi.AP</t>
  </si>
  <si>
    <t>028450</t>
  </si>
  <si>
    <t>Custom-028450</t>
  </si>
  <si>
    <t>Rovaniemi.Rautatieasema</t>
  </si>
  <si>
    <t>028470</t>
  </si>
  <si>
    <t>Custom-028470</t>
  </si>
  <si>
    <t>Salla.KK.Myllytie</t>
  </si>
  <si>
    <t>028490</t>
  </si>
  <si>
    <t>Custom-028490</t>
  </si>
  <si>
    <t>Varkaus.Kolsuanniemi</t>
  </si>
  <si>
    <t>028500</t>
  </si>
  <si>
    <t>Custom-028500</t>
  </si>
  <si>
    <t>Kokkola.Hollihaka</t>
  </si>
  <si>
    <t>028520</t>
  </si>
  <si>
    <t>Inari-Angeli.Lintupuoliselka</t>
  </si>
  <si>
    <t>028570</t>
  </si>
  <si>
    <t>Custom-028570</t>
  </si>
  <si>
    <t>Inari-Kirakkajarvi</t>
  </si>
  <si>
    <t>028580</t>
  </si>
  <si>
    <t>Custom-028580</t>
  </si>
  <si>
    <t>Puolanka.Paljakka</t>
  </si>
  <si>
    <t>028590</t>
  </si>
  <si>
    <t>Custom-028590</t>
  </si>
  <si>
    <t>Kittila.KK</t>
  </si>
  <si>
    <t>028600</t>
  </si>
  <si>
    <t>Custom-028600</t>
  </si>
  <si>
    <t>Kemi.Ajos</t>
  </si>
  <si>
    <t>028620</t>
  </si>
  <si>
    <t>Custom-028620</t>
  </si>
  <si>
    <t>Kemi.I.Lighthouse</t>
  </si>
  <si>
    <t>028630</t>
  </si>
  <si>
    <t>Custom-028630</t>
  </si>
  <si>
    <t>Kemi-Tornio.AP</t>
  </si>
  <si>
    <t>028640</t>
  </si>
  <si>
    <t>Custom-028640</t>
  </si>
  <si>
    <t>Pudasjarvi.AF</t>
  </si>
  <si>
    <t>028660</t>
  </si>
  <si>
    <t>Custom-028660</t>
  </si>
  <si>
    <t>Kuusamo.Rukatunturi</t>
  </si>
  <si>
    <t>028680</t>
  </si>
  <si>
    <t>Custom-028680</t>
  </si>
  <si>
    <t>Kuusamo.AP</t>
  </si>
  <si>
    <t>028690</t>
  </si>
  <si>
    <t>Custom-028690</t>
  </si>
  <si>
    <t>Raahe.Lapaluoto.Harbour</t>
  </si>
  <si>
    <t>028720</t>
  </si>
  <si>
    <t>Custom-028720</t>
  </si>
  <si>
    <t>Marjaniemi-Hailuoto.Island</t>
  </si>
  <si>
    <t>028730</t>
  </si>
  <si>
    <t>Custom-028730</t>
  </si>
  <si>
    <t>Hailuoto.Island</t>
  </si>
  <si>
    <t>028740</t>
  </si>
  <si>
    <t>Custom-028740</t>
  </si>
  <si>
    <t>Oulu.AP</t>
  </si>
  <si>
    <t>028750</t>
  </si>
  <si>
    <t>Custom-028750</t>
  </si>
  <si>
    <t>Oulu.Vihreasaari.Harbour</t>
  </si>
  <si>
    <t>028760</t>
  </si>
  <si>
    <t>Custom-028760</t>
  </si>
  <si>
    <t>Suomussalmi</t>
  </si>
  <si>
    <t>028790</t>
  </si>
  <si>
    <t>Tornio.Torppi</t>
  </si>
  <si>
    <t>028800</t>
  </si>
  <si>
    <t>Custom-028800</t>
  </si>
  <si>
    <t>Ranua.AP</t>
  </si>
  <si>
    <t>028810</t>
  </si>
  <si>
    <t>Custom-028810</t>
  </si>
  <si>
    <t>Kittila.Matorova</t>
  </si>
  <si>
    <t>028820</t>
  </si>
  <si>
    <t>Custom-028820</t>
  </si>
  <si>
    <t>Kajaani.Petaisenniska</t>
  </si>
  <si>
    <t>028830</t>
  </si>
  <si>
    <t>Custom-028830</t>
  </si>
  <si>
    <t>Inari-Seitalaassa</t>
  </si>
  <si>
    <t>028880</t>
  </si>
  <si>
    <t>Custom-028880</t>
  </si>
  <si>
    <t>Suomussalmi.Pesio</t>
  </si>
  <si>
    <t>028890</t>
  </si>
  <si>
    <t>Custom-028890</t>
  </si>
  <si>
    <t>Kajaani.AP</t>
  </si>
  <si>
    <t>028970</t>
  </si>
  <si>
    <t>Custom-028970</t>
  </si>
  <si>
    <t>Masskar.Island</t>
  </si>
  <si>
    <t>029010</t>
  </si>
  <si>
    <t>Kokkola-Pietarsaari.AP</t>
  </si>
  <si>
    <t>029030</t>
  </si>
  <si>
    <t>Custom-029030</t>
  </si>
  <si>
    <t>Nivala</t>
  </si>
  <si>
    <t>029050</t>
  </si>
  <si>
    <t>Kemionsaari.Kemio</t>
  </si>
  <si>
    <t>029060</t>
  </si>
  <si>
    <t>Custom-029060</t>
  </si>
  <si>
    <t>Kalajoki.Ulkokalla</t>
  </si>
  <si>
    <t>029070</t>
  </si>
  <si>
    <t>Custom-029070</t>
  </si>
  <si>
    <t>Mustasaari.Valassaaret</t>
  </si>
  <si>
    <t>029100</t>
  </si>
  <si>
    <t>Custom-029100</t>
  </si>
  <si>
    <t>Vaasa.AP</t>
  </si>
  <si>
    <t>029110</t>
  </si>
  <si>
    <t>Custom-029110</t>
  </si>
  <si>
    <t>Kauhava.AF</t>
  </si>
  <si>
    <t>029130</t>
  </si>
  <si>
    <t>Custom-029130</t>
  </si>
  <si>
    <t>Viitasaari</t>
  </si>
  <si>
    <t>029150</t>
  </si>
  <si>
    <t>Custom-029150</t>
  </si>
  <si>
    <t>Silinjarvi-Kuopio.AP</t>
  </si>
  <si>
    <t>029170</t>
  </si>
  <si>
    <t>Custom-029170</t>
  </si>
  <si>
    <t>Lappeenranta.Hiekkapakka</t>
  </si>
  <si>
    <t>029190</t>
  </si>
  <si>
    <t>Custom-029190</t>
  </si>
  <si>
    <t>Pietarsaari.Kallan</t>
  </si>
  <si>
    <t>029200</t>
  </si>
  <si>
    <t>Custom-029200</t>
  </si>
  <si>
    <t>Moikipaa</t>
  </si>
  <si>
    <t>029210</t>
  </si>
  <si>
    <t>Ahtari.Myllymaki</t>
  </si>
  <si>
    <t>029240</t>
  </si>
  <si>
    <t>Custom-029240</t>
  </si>
  <si>
    <t>Seinajoki.AP</t>
  </si>
  <si>
    <t>029245</t>
  </si>
  <si>
    <t>Custom-029245</t>
  </si>
  <si>
    <t>Pori.Railway.Stn</t>
  </si>
  <si>
    <t>029260</t>
  </si>
  <si>
    <t>Custom-029260</t>
  </si>
  <si>
    <t>Multia.Karhila</t>
  </si>
  <si>
    <t>029270</t>
  </si>
  <si>
    <t>Custom-029270</t>
  </si>
  <si>
    <t>Joensuu.Linnunlahti</t>
  </si>
  <si>
    <t>029280</t>
  </si>
  <si>
    <t>Custom-029280</t>
  </si>
  <si>
    <t>Joensuu.AP</t>
  </si>
  <si>
    <t>029290</t>
  </si>
  <si>
    <t>Custom-029290</t>
  </si>
  <si>
    <t>Kaskinen.Salgrund</t>
  </si>
  <si>
    <t>029310</t>
  </si>
  <si>
    <t>Custom-029310</t>
  </si>
  <si>
    <t>Jyvaskyla.AP</t>
  </si>
  <si>
    <t>029350</t>
  </si>
  <si>
    <t>Custom-029350</t>
  </si>
  <si>
    <t>Kokemaki.Tulkkila</t>
  </si>
  <si>
    <t>029370</t>
  </si>
  <si>
    <t>Custom-029370</t>
  </si>
  <si>
    <t>Ilomantsi.Mekrijarvi</t>
  </si>
  <si>
    <t>029390</t>
  </si>
  <si>
    <t>Custom-029390</t>
  </si>
  <si>
    <t>Kankaanpaa.Niinisalo.Puolvoim</t>
  </si>
  <si>
    <t>029420</t>
  </si>
  <si>
    <t>Custom-029420</t>
  </si>
  <si>
    <t>Tampere.Siilinkari</t>
  </si>
  <si>
    <t>029430</t>
  </si>
  <si>
    <t>Custom-029430</t>
  </si>
  <si>
    <t>Tampere.Pirkkala.AP</t>
  </si>
  <si>
    <t>029440</t>
  </si>
  <si>
    <t>Custom-029440</t>
  </si>
  <si>
    <t>Jamsa-Halli.AB</t>
  </si>
  <si>
    <t>029450</t>
  </si>
  <si>
    <t>Custom-029450</t>
  </si>
  <si>
    <t>Jamsa.Halli.Lentoasemantie</t>
  </si>
  <si>
    <t>029460</t>
  </si>
  <si>
    <t>Custom-029460</t>
  </si>
  <si>
    <t>Mikkeli.AP</t>
  </si>
  <si>
    <t>029470</t>
  </si>
  <si>
    <t>Custom-029470</t>
  </si>
  <si>
    <t>Savonlinna.AP</t>
  </si>
  <si>
    <t>029480</t>
  </si>
  <si>
    <t>Custom-029480</t>
  </si>
  <si>
    <t>Somero.Salkola</t>
  </si>
  <si>
    <t>029490</t>
  </si>
  <si>
    <t>Custom-029490</t>
  </si>
  <si>
    <t>Parainen.Fagerholm.Island</t>
  </si>
  <si>
    <t>029500</t>
  </si>
  <si>
    <t>Custom-029500</t>
  </si>
  <si>
    <t>Pori.AP</t>
  </si>
  <si>
    <t>029520</t>
  </si>
  <si>
    <t>Custom-029520</t>
  </si>
  <si>
    <t>Kuopio.Savilahti</t>
  </si>
  <si>
    <t>029550</t>
  </si>
  <si>
    <t>Custom-029550</t>
  </si>
  <si>
    <t>Vaasa.Klemettila</t>
  </si>
  <si>
    <t>029570</t>
  </si>
  <si>
    <t>Custom-029570</t>
  </si>
  <si>
    <t>Lappeenranta.AP</t>
  </si>
  <si>
    <t>029580</t>
  </si>
  <si>
    <t>Custom-029580</t>
  </si>
  <si>
    <t>Lappeenranta.Lepola</t>
  </si>
  <si>
    <t>029590</t>
  </si>
  <si>
    <t>Custom-029590</t>
  </si>
  <si>
    <t>Kuuskajaskari</t>
  </si>
  <si>
    <t>029610</t>
  </si>
  <si>
    <t>Jokioinen.Obs</t>
  </si>
  <si>
    <t>029630</t>
  </si>
  <si>
    <t>Custom-029630</t>
  </si>
  <si>
    <t>Kustavi.Isokari</t>
  </si>
  <si>
    <t>029640</t>
  </si>
  <si>
    <t>Custom-029640</t>
  </si>
  <si>
    <t>Lahti.Laune</t>
  </si>
  <si>
    <t>029650</t>
  </si>
  <si>
    <t>Custom-029650</t>
  </si>
  <si>
    <t>Kouvola-Utti.AB</t>
  </si>
  <si>
    <t>029660</t>
  </si>
  <si>
    <t>Custom-029660</t>
  </si>
  <si>
    <t>Kotka.Haapasaari</t>
  </si>
  <si>
    <t>029670</t>
  </si>
  <si>
    <t>Custom-029670</t>
  </si>
  <si>
    <t>Turku.AP</t>
  </si>
  <si>
    <t>029720</t>
  </si>
  <si>
    <t>Custom-029720</t>
  </si>
  <si>
    <t>Suomusjarvi</t>
  </si>
  <si>
    <t>029730</t>
  </si>
  <si>
    <t>Helsinki-Vantaa.AP</t>
  </si>
  <si>
    <t>029740</t>
  </si>
  <si>
    <t>Custom-029740</t>
  </si>
  <si>
    <t>Helsinki-Malmi.AP</t>
  </si>
  <si>
    <t>029750</t>
  </si>
  <si>
    <t>Custom-029750</t>
  </si>
  <si>
    <t>Kotka.Rankki</t>
  </si>
  <si>
    <t>029760</t>
  </si>
  <si>
    <t>Custom-029760</t>
  </si>
  <si>
    <t>Helsinki-Kaisaniemi</t>
  </si>
  <si>
    <t>029780</t>
  </si>
  <si>
    <t>Custom-029780</t>
  </si>
  <si>
    <t>Hanko.Russaro</t>
  </si>
  <si>
    <t>029820</t>
  </si>
  <si>
    <t>Custom-029820</t>
  </si>
  <si>
    <t>Nurmijarvi.Geophysical.Obs</t>
  </si>
  <si>
    <t>029830</t>
  </si>
  <si>
    <t>Custom-029830</t>
  </si>
  <si>
    <t>Inkoo.Bagaskar</t>
  </si>
  <si>
    <t>029840</t>
  </si>
  <si>
    <t>Custom-029840</t>
  </si>
  <si>
    <t>Espoo.Tapiola</t>
  </si>
  <si>
    <t>029851</t>
  </si>
  <si>
    <t>Katajaluoto</t>
  </si>
  <si>
    <t>029860</t>
  </si>
  <si>
    <t>Porvoo.Kallbadagrund</t>
  </si>
  <si>
    <t>029870</t>
  </si>
  <si>
    <t>Custom-029870</t>
  </si>
  <si>
    <t>Isosaari</t>
  </si>
  <si>
    <t>029880</t>
  </si>
  <si>
    <t>Helsinki.Lighthouse</t>
  </si>
  <si>
    <t>029890</t>
  </si>
  <si>
    <t>Custom-029890</t>
  </si>
  <si>
    <t>Porvoo.Emasalo</t>
  </si>
  <si>
    <t>029910</t>
  </si>
  <si>
    <t>Custom-029910</t>
  </si>
  <si>
    <t>Loviisa.Orrengrund</t>
  </si>
  <si>
    <t>029920</t>
  </si>
  <si>
    <t>Custom-029920</t>
  </si>
  <si>
    <t>Helsinki-Kumpula</t>
  </si>
  <si>
    <t>029980</t>
  </si>
  <si>
    <t>Custom-029980</t>
  </si>
  <si>
    <t>FRA</t>
  </si>
  <si>
    <t>Boulogne.sur.Mer</t>
  </si>
  <si>
    <t>070020</t>
  </si>
  <si>
    <t>Custom-070020</t>
  </si>
  <si>
    <t>Le.Touquet.Intl.AP</t>
  </si>
  <si>
    <t>070030</t>
  </si>
  <si>
    <t>Custom-070030</t>
  </si>
  <si>
    <t>Abbeville.AF</t>
  </si>
  <si>
    <t>070050</t>
  </si>
  <si>
    <t>Custom-070050</t>
  </si>
  <si>
    <t>Calais-Dunkerque.AP</t>
  </si>
  <si>
    <t>070090</t>
  </si>
  <si>
    <t>Custom-070090</t>
  </si>
  <si>
    <t>Dunkerque</t>
  </si>
  <si>
    <t>070100</t>
  </si>
  <si>
    <t>Custom-070100</t>
  </si>
  <si>
    <t>Lille-Lesquin.AP</t>
  </si>
  <si>
    <t>070150</t>
  </si>
  <si>
    <t>Custom-070150</t>
  </si>
  <si>
    <t>Vitry.En.Artois</t>
  </si>
  <si>
    <t>070160</t>
  </si>
  <si>
    <t>Epinoy.AF</t>
  </si>
  <si>
    <t>070170</t>
  </si>
  <si>
    <t>Custom-070170</t>
  </si>
  <si>
    <t>Barfleur.Gatteville.Lighthouse</t>
  </si>
  <si>
    <t>070190</t>
  </si>
  <si>
    <t>Point.la.Hague</t>
  </si>
  <si>
    <t>070200</t>
  </si>
  <si>
    <t>Custom-070200</t>
  </si>
  <si>
    <t>Vigite.du.Haumet</t>
  </si>
  <si>
    <t>070220</t>
  </si>
  <si>
    <t>Custom-070220</t>
  </si>
  <si>
    <t>Cherbourg-Maupertus.AB</t>
  </si>
  <si>
    <t>070240</t>
  </si>
  <si>
    <t>Custom-070240</t>
  </si>
  <si>
    <t>Caen-Carpiquet.AP</t>
  </si>
  <si>
    <t>070270</t>
  </si>
  <si>
    <t>Custom-070270</t>
  </si>
  <si>
    <t>Cap.de.la.Heve</t>
  </si>
  <si>
    <t>070280</t>
  </si>
  <si>
    <t>Custom-070280</t>
  </si>
  <si>
    <t>7.11000E-02</t>
  </si>
  <si>
    <t>Port.en.Bessin</t>
  </si>
  <si>
    <t>070290</t>
  </si>
  <si>
    <t>Deauville-Normandie-St.Gatien.AP</t>
  </si>
  <si>
    <t>070310</t>
  </si>
  <si>
    <t>Custom-070310</t>
  </si>
  <si>
    <t>Saint.Valery-Vittefleur.Airstrip</t>
  </si>
  <si>
    <t>070330</t>
  </si>
  <si>
    <t>Carteret</t>
  </si>
  <si>
    <t>070340</t>
  </si>
  <si>
    <t>Rouen-Vallee.de.Seine.AP</t>
  </si>
  <si>
    <t>070370</t>
  </si>
  <si>
    <t>Custom-070370</t>
  </si>
  <si>
    <t>Evreux-Fauville-Evreux-Huest.AB</t>
  </si>
  <si>
    <t>070380</t>
  </si>
  <si>
    <t>Custom-070380</t>
  </si>
  <si>
    <t>Valognes</t>
  </si>
  <si>
    <t>070390</t>
  </si>
  <si>
    <t>Custom-070390</t>
  </si>
  <si>
    <t>Dieppe</t>
  </si>
  <si>
    <t>070400</t>
  </si>
  <si>
    <t>Custom-070400</t>
  </si>
  <si>
    <t>Le.Havre-Octeville.AP</t>
  </si>
  <si>
    <t>070460</t>
  </si>
  <si>
    <t>Custom-070460</t>
  </si>
  <si>
    <t>9.17000E-02</t>
  </si>
  <si>
    <t>IF</t>
  </si>
  <si>
    <t>Pontoise.AP</t>
  </si>
  <si>
    <t>070530</t>
  </si>
  <si>
    <t>Custom-070530</t>
  </si>
  <si>
    <t>Beauvais.AP</t>
  </si>
  <si>
    <t>070550</t>
  </si>
  <si>
    <t>Custom-070550</t>
  </si>
  <si>
    <t>Creil.AB</t>
  </si>
  <si>
    <t>070570</t>
  </si>
  <si>
    <t>Custom-070570</t>
  </si>
  <si>
    <t>Albert-Picardie.AP</t>
  </si>
  <si>
    <t>070590</t>
  </si>
  <si>
    <t>Custom-070590</t>
  </si>
  <si>
    <t>St.Quentin-Roupy.AP</t>
  </si>
  <si>
    <t>070610</t>
  </si>
  <si>
    <t>Custom-070610</t>
  </si>
  <si>
    <t>AO</t>
  </si>
  <si>
    <t>Reims-Champagne.AB</t>
  </si>
  <si>
    <t>070700</t>
  </si>
  <si>
    <t>Custom-070700</t>
  </si>
  <si>
    <t>Reims-Prunay.AP</t>
  </si>
  <si>
    <t>070720</t>
  </si>
  <si>
    <t>Custom-070720</t>
  </si>
  <si>
    <t>Suippes.Met.Stn</t>
  </si>
  <si>
    <t>070740</t>
  </si>
  <si>
    <t>Charleville-Mezieres.AF</t>
  </si>
  <si>
    <t>070750</t>
  </si>
  <si>
    <t>Custom-070750</t>
  </si>
  <si>
    <t>Metz-Frescaty.AB</t>
  </si>
  <si>
    <t>070900</t>
  </si>
  <si>
    <t>Custom-070900</t>
  </si>
  <si>
    <t>Metz-Nancy-Lorraine.AP</t>
  </si>
  <si>
    <t>070930</t>
  </si>
  <si>
    <t>Custom-070930</t>
  </si>
  <si>
    <t>BT</t>
  </si>
  <si>
    <t>Le.Stiff-Ouessant.Island</t>
  </si>
  <si>
    <t>071000</t>
  </si>
  <si>
    <t>Custom-071000</t>
  </si>
  <si>
    <t>Pointe.St.Mathieu</t>
  </si>
  <si>
    <t>071020</t>
  </si>
  <si>
    <t>Pointe.du.Raz</t>
  </si>
  <si>
    <t>071030</t>
  </si>
  <si>
    <t>Custom-071030</t>
  </si>
  <si>
    <t>Pointe.de.Toulinguet</t>
  </si>
  <si>
    <t>071040</t>
  </si>
  <si>
    <t>Landivisiau.AB</t>
  </si>
  <si>
    <t>071060</t>
  </si>
  <si>
    <t>Custom-071060</t>
  </si>
  <si>
    <t>Brignogan-Plages</t>
  </si>
  <si>
    <t>071070</t>
  </si>
  <si>
    <t>Custom-071070</t>
  </si>
  <si>
    <t>Lanveoc-Poulmic.AB</t>
  </si>
  <si>
    <t>071090</t>
  </si>
  <si>
    <t>Custom-071090</t>
  </si>
  <si>
    <t>Brest.Bretagne.AP</t>
  </si>
  <si>
    <t>071100</t>
  </si>
  <si>
    <t>Custom-071100</t>
  </si>
  <si>
    <t>Batz.Island</t>
  </si>
  <si>
    <t>071160</t>
  </si>
  <si>
    <t>Custom-071160</t>
  </si>
  <si>
    <t>Ploumanach-Perros-Guirec</t>
  </si>
  <si>
    <t>071170</t>
  </si>
  <si>
    <t>Custom-071170</t>
  </si>
  <si>
    <t>Lannion.AP</t>
  </si>
  <si>
    <t>071180</t>
  </si>
  <si>
    <t>Custom-071180</t>
  </si>
  <si>
    <t>Rostrenen</t>
  </si>
  <si>
    <t>071190</t>
  </si>
  <si>
    <t>St.Brieuc-Armor.AP</t>
  </si>
  <si>
    <t>071200</t>
  </si>
  <si>
    <t>Custom-071200</t>
  </si>
  <si>
    <t>Brehat.Island</t>
  </si>
  <si>
    <t>071210</t>
  </si>
  <si>
    <t>Dinard-Bretagne.AP</t>
  </si>
  <si>
    <t>071250</t>
  </si>
  <si>
    <t>Custom-071250</t>
  </si>
  <si>
    <t>Grouin.de.Cancale</t>
  </si>
  <si>
    <t>071270</t>
  </si>
  <si>
    <t>Rennes-St.Jacques.AP</t>
  </si>
  <si>
    <t>071300</t>
  </si>
  <si>
    <t>Custom-071300</t>
  </si>
  <si>
    <t>Pointe.du.Roc</t>
  </si>
  <si>
    <t>071330</t>
  </si>
  <si>
    <t>PL</t>
  </si>
  <si>
    <t>Laval-Etrammes.AP</t>
  </si>
  <si>
    <t>071340</t>
  </si>
  <si>
    <t>Custom-071340</t>
  </si>
  <si>
    <t>Alencon-Valframbert.AP</t>
  </si>
  <si>
    <t>071390</t>
  </si>
  <si>
    <t>Custom-071390</t>
  </si>
  <si>
    <t>CN</t>
  </si>
  <si>
    <t>Chateaudun.AB</t>
  </si>
  <si>
    <t>071400</t>
  </si>
  <si>
    <t>Custom-071400</t>
  </si>
  <si>
    <t>Chartres-Metropole.AF</t>
  </si>
  <si>
    <t>071430</t>
  </si>
  <si>
    <t>Custom-071430</t>
  </si>
  <si>
    <t>Trappes</t>
  </si>
  <si>
    <t>071450</t>
  </si>
  <si>
    <t>Custom-071450</t>
  </si>
  <si>
    <t>Toussus-le-Noble.AF</t>
  </si>
  <si>
    <t>071460</t>
  </si>
  <si>
    <t>Custom-071460</t>
  </si>
  <si>
    <t>Velizy-Villacoublay.AB</t>
  </si>
  <si>
    <t>071470</t>
  </si>
  <si>
    <t>Custom-071470</t>
  </si>
  <si>
    <t>Bretigny.Sur.Orge.AP</t>
  </si>
  <si>
    <t>071480</t>
  </si>
  <si>
    <t>Paris-Orly.AP</t>
  </si>
  <si>
    <t>071490</t>
  </si>
  <si>
    <t>Custom-071490</t>
  </si>
  <si>
    <t>Paris-Le.Bourget.AP</t>
  </si>
  <si>
    <t>071500</t>
  </si>
  <si>
    <t>Custom-071500</t>
  </si>
  <si>
    <t>LP</t>
  </si>
  <si>
    <t>Castres-Mazamet.AP</t>
  </si>
  <si>
    <t>071515</t>
  </si>
  <si>
    <t>Custom-071515</t>
  </si>
  <si>
    <t>Melun-Villaroche.Sympav.AP</t>
  </si>
  <si>
    <t>071530</t>
  </si>
  <si>
    <t>Custom-071530</t>
  </si>
  <si>
    <t>Paris.St.Maur</t>
  </si>
  <si>
    <t>071540</t>
  </si>
  <si>
    <t>Paris.MontSouris</t>
  </si>
  <si>
    <t>071560</t>
  </si>
  <si>
    <t>Custom-071560</t>
  </si>
  <si>
    <t>Paris-De.Gaulle.Intl.AP</t>
  </si>
  <si>
    <t>071570</t>
  </si>
  <si>
    <t>Custom-071570</t>
  </si>
  <si>
    <t>Morlaix-Ploujean.AP</t>
  </si>
  <si>
    <t>071604</t>
  </si>
  <si>
    <t>Paris-Vatry.AP</t>
  </si>
  <si>
    <t>071660</t>
  </si>
  <si>
    <t>Custom-071660</t>
  </si>
  <si>
    <t>Troyes.Barberey.AP</t>
  </si>
  <si>
    <t>071680</t>
  </si>
  <si>
    <t>Custom-071680</t>
  </si>
  <si>
    <t>Saint.Dizier.AB</t>
  </si>
  <si>
    <t>071690</t>
  </si>
  <si>
    <t>Custom-071690</t>
  </si>
  <si>
    <t>Loxeville</t>
  </si>
  <si>
    <t>071720</t>
  </si>
  <si>
    <t>Epinal-Dogneville</t>
  </si>
  <si>
    <t>071730</t>
  </si>
  <si>
    <t>Custom-071730</t>
  </si>
  <si>
    <t>Toul-Rosieres.Solar.Park</t>
  </si>
  <si>
    <t>071790</t>
  </si>
  <si>
    <t>Custom-071790</t>
  </si>
  <si>
    <t>Nancy-Essey.AP</t>
  </si>
  <si>
    <t>071800</t>
  </si>
  <si>
    <t>Custom-071800</t>
  </si>
  <si>
    <t>Nancy-Ochey.AB</t>
  </si>
  <si>
    <t>071810</t>
  </si>
  <si>
    <t>Custom-071810</t>
  </si>
  <si>
    <t>Epinal-Mirecourt.AP</t>
  </si>
  <si>
    <t>071825</t>
  </si>
  <si>
    <t>Phalsbourg</t>
  </si>
  <si>
    <t>071860</t>
  </si>
  <si>
    <t>Strasbourg-Entznheim.Intl.AP</t>
  </si>
  <si>
    <t>071900</t>
  </si>
  <si>
    <t>Custom-071900</t>
  </si>
  <si>
    <t>Colmar-Meyenheim.AB</t>
  </si>
  <si>
    <t>071970</t>
  </si>
  <si>
    <t>Custom-071970</t>
  </si>
  <si>
    <t>Point.de.Penmarch</t>
  </si>
  <si>
    <t>072000</t>
  </si>
  <si>
    <t>Custom-072000</t>
  </si>
  <si>
    <t>Quimper-Cornouaille.AP</t>
  </si>
  <si>
    <t>072010</t>
  </si>
  <si>
    <t>Custom-072010</t>
  </si>
  <si>
    <t>Ile.de.Groix</t>
  </si>
  <si>
    <t>072030</t>
  </si>
  <si>
    <t>Custom-072030</t>
  </si>
  <si>
    <t>Lorient.Bretagne.Sud.AP</t>
  </si>
  <si>
    <t>072050</t>
  </si>
  <si>
    <t>Custom-072050</t>
  </si>
  <si>
    <t>Pointe.du.Talut-Belle.Island</t>
  </si>
  <si>
    <t>072070</t>
  </si>
  <si>
    <t>Custom-072070</t>
  </si>
  <si>
    <t>Quiberon-Morbihan.AP</t>
  </si>
  <si>
    <t>072080</t>
  </si>
  <si>
    <t>Vannes.Sene</t>
  </si>
  <si>
    <t>072100</t>
  </si>
  <si>
    <t>Custom-072100</t>
  </si>
  <si>
    <t>Pointe.de.Chemoulin</t>
  </si>
  <si>
    <t>072160</t>
  </si>
  <si>
    <t>Custom-072160</t>
  </si>
  <si>
    <t>St.Nazaire-Montoir.AP</t>
  </si>
  <si>
    <t>072170</t>
  </si>
  <si>
    <t>Custom-072170</t>
  </si>
  <si>
    <t>Nantes.Atlantique.AP</t>
  </si>
  <si>
    <t>072220</t>
  </si>
  <si>
    <t>Custom-072220</t>
  </si>
  <si>
    <t>Beaucouze</t>
  </si>
  <si>
    <t>072300</t>
  </si>
  <si>
    <t>Custom-072300</t>
  </si>
  <si>
    <t>Le.Mans.Arnage.AP</t>
  </si>
  <si>
    <t>072350</t>
  </si>
  <si>
    <t>Custom-072350</t>
  </si>
  <si>
    <t>Tours-Val.de.Loire.AP</t>
  </si>
  <si>
    <t>072400</t>
  </si>
  <si>
    <t>Custom-072400</t>
  </si>
  <si>
    <t>Blois-le.Breuil.AP</t>
  </si>
  <si>
    <t>072450</t>
  </si>
  <si>
    <t>Custom-072450</t>
  </si>
  <si>
    <t>Romorantin-Pruniers.AB</t>
  </si>
  <si>
    <t>072470</t>
  </si>
  <si>
    <t>Custom-072470</t>
  </si>
  <si>
    <t>Orleans-Bricy.AB</t>
  </si>
  <si>
    <t>072490</t>
  </si>
  <si>
    <t>Custom-072490</t>
  </si>
  <si>
    <t>Bourges.AP</t>
  </si>
  <si>
    <t>072550</t>
  </si>
  <si>
    <t>Custom-072550</t>
  </si>
  <si>
    <t>Avord.AB</t>
  </si>
  <si>
    <t>072570</t>
  </si>
  <si>
    <t>Custom-072570</t>
  </si>
  <si>
    <t>Nevers-Fourchambault.AP</t>
  </si>
  <si>
    <t>072600</t>
  </si>
  <si>
    <t>Custom-072600</t>
  </si>
  <si>
    <t>Auxerre-Perrigny</t>
  </si>
  <si>
    <t>072660</t>
  </si>
  <si>
    <t>Custom-072660</t>
  </si>
  <si>
    <t>Chateau-Chinon</t>
  </si>
  <si>
    <t>072700</t>
  </si>
  <si>
    <t>Chatillon-sur-Seine</t>
  </si>
  <si>
    <t>072760</t>
  </si>
  <si>
    <t>Dijon-Bourgogne.AP</t>
  </si>
  <si>
    <t>072800</t>
  </si>
  <si>
    <t>Custom-072800</t>
  </si>
  <si>
    <t>Langres</t>
  </si>
  <si>
    <t>072830</t>
  </si>
  <si>
    <t>Custom-072830</t>
  </si>
  <si>
    <t>Besancon-Thise</t>
  </si>
  <si>
    <t>072880</t>
  </si>
  <si>
    <t>Custom-072880</t>
  </si>
  <si>
    <t>Luxeuil-St.Sauveur.AB</t>
  </si>
  <si>
    <t>072920</t>
  </si>
  <si>
    <t>Custom-072920</t>
  </si>
  <si>
    <t>Belfort.Fontaine</t>
  </si>
  <si>
    <t>072960</t>
  </si>
  <si>
    <t>Custom-072960</t>
  </si>
  <si>
    <t>Basel-Mulhouse-Freiburg.AP</t>
  </si>
  <si>
    <t>072990</t>
  </si>
  <si>
    <t>Custom-072990</t>
  </si>
  <si>
    <t>St.Sauveur-d-Yeu.Island</t>
  </si>
  <si>
    <t>073000</t>
  </si>
  <si>
    <t>Custom-073000</t>
  </si>
  <si>
    <t>La.Roche.sur.Yon-Les.Ajoncs.AP</t>
  </si>
  <si>
    <t>073060</t>
  </si>
  <si>
    <t>Custom-073060</t>
  </si>
  <si>
    <t>Pointe.Des.Baleines</t>
  </si>
  <si>
    <t>073110</t>
  </si>
  <si>
    <t>AC</t>
  </si>
  <si>
    <t>Chassiron</t>
  </si>
  <si>
    <t>073140</t>
  </si>
  <si>
    <t>Custom-073140</t>
  </si>
  <si>
    <t>La.Rochelle</t>
  </si>
  <si>
    <t>073150</t>
  </si>
  <si>
    <t>Custom-073150</t>
  </si>
  <si>
    <t>La.Rochelle.Intl.AP</t>
  </si>
  <si>
    <t>073160</t>
  </si>
  <si>
    <t>Custom-073160</t>
  </si>
  <si>
    <t>Niort-Marais.Poitevin.AP</t>
  </si>
  <si>
    <t>073300</t>
  </si>
  <si>
    <t>Custom-073300</t>
  </si>
  <si>
    <t>Poitiers-Biard.AP</t>
  </si>
  <si>
    <t>073350</t>
  </si>
  <si>
    <t>Custom-073350</t>
  </si>
  <si>
    <t>Chateaurroux.Centre.AP</t>
  </si>
  <si>
    <t>073540</t>
  </si>
  <si>
    <t>Custom-073540</t>
  </si>
  <si>
    <t>Gueret-St.Laurent.AP</t>
  </si>
  <si>
    <t>073610</t>
  </si>
  <si>
    <t>Custom-073610</t>
  </si>
  <si>
    <t>Montlucon-Gueret.AP</t>
  </si>
  <si>
    <t>073625</t>
  </si>
  <si>
    <t>Vichy-Charmeil.AP</t>
  </si>
  <si>
    <t>073740</t>
  </si>
  <si>
    <t>Custom-073740</t>
  </si>
  <si>
    <t>Charolais.AP</t>
  </si>
  <si>
    <t>073790</t>
  </si>
  <si>
    <t>Custom-073790</t>
  </si>
  <si>
    <t>Mont.St.Vincent</t>
  </si>
  <si>
    <t>073820</t>
  </si>
  <si>
    <t>Macon-Charnay.AP</t>
  </si>
  <si>
    <t>073850</t>
  </si>
  <si>
    <t>Custom-073850</t>
  </si>
  <si>
    <t>Tavaux-Dole.Jura.AP</t>
  </si>
  <si>
    <t>073860</t>
  </si>
  <si>
    <t>Custom-073860</t>
  </si>
  <si>
    <t>Lons-le-Saunier</t>
  </si>
  <si>
    <t>073900</t>
  </si>
  <si>
    <t>Custom-073900</t>
  </si>
  <si>
    <t>Angers.Loire.AP</t>
  </si>
  <si>
    <t>073901</t>
  </si>
  <si>
    <t>Custom-073901</t>
  </si>
  <si>
    <t>Morbier</t>
  </si>
  <si>
    <t>073940</t>
  </si>
  <si>
    <t>Pontarlier.AP</t>
  </si>
  <si>
    <t>073960</t>
  </si>
  <si>
    <t>La.Coubre</t>
  </si>
  <si>
    <t>074000</t>
  </si>
  <si>
    <t>Cognac-Chateaubernard.AB</t>
  </si>
  <si>
    <t>074120</t>
  </si>
  <si>
    <t>Custom-074120</t>
  </si>
  <si>
    <t>Angouleme-Cognac.AP</t>
  </si>
  <si>
    <t>074200</t>
  </si>
  <si>
    <t>Custom-074200</t>
  </si>
  <si>
    <t>Perigueuz-Bassillac.AP</t>
  </si>
  <si>
    <t>074280</t>
  </si>
  <si>
    <t>Limoges-Bellegarde.AP</t>
  </si>
  <si>
    <t>074340</t>
  </si>
  <si>
    <t>Custom-074340</t>
  </si>
  <si>
    <t>Brive-Valle.de.la.Dordogne.AP</t>
  </si>
  <si>
    <t>074380</t>
  </si>
  <si>
    <t>Custom-074380</t>
  </si>
  <si>
    <t>Puy.de.Dome</t>
  </si>
  <si>
    <t>074420</t>
  </si>
  <si>
    <t>Clermont-Ferrand.Auvergne.AP</t>
  </si>
  <si>
    <t>074600</t>
  </si>
  <si>
    <t>Custom-074600</t>
  </si>
  <si>
    <t>Le.Puy-Loudes.AP</t>
  </si>
  <si>
    <t>074710</t>
  </si>
  <si>
    <t>Custom-074710</t>
  </si>
  <si>
    <t>St.Etienne-Boutheon.AP</t>
  </si>
  <si>
    <t>074750</t>
  </si>
  <si>
    <t>Custom-074750</t>
  </si>
  <si>
    <t>Les.Sauvages</t>
  </si>
  <si>
    <t>074770</t>
  </si>
  <si>
    <t>Custom-074770</t>
  </si>
  <si>
    <t>Lyon-Bron.AP</t>
  </si>
  <si>
    <t>074800</t>
  </si>
  <si>
    <t>Custom-074800</t>
  </si>
  <si>
    <t>Lyon.St.Exupery.AP</t>
  </si>
  <si>
    <t>074810</t>
  </si>
  <si>
    <t>Custom-074810</t>
  </si>
  <si>
    <t>Amberieu-en-Bugey.AB</t>
  </si>
  <si>
    <t>074820</t>
  </si>
  <si>
    <t>Custom-074820</t>
  </si>
  <si>
    <t>Villard.de.Lans</t>
  </si>
  <si>
    <t>074840</t>
  </si>
  <si>
    <t>Grenoble</t>
  </si>
  <si>
    <t>074850</t>
  </si>
  <si>
    <t>Grenoble.Alpes.Isere.AP</t>
  </si>
  <si>
    <t>074860</t>
  </si>
  <si>
    <t>Custom-074860</t>
  </si>
  <si>
    <t>Grenoble.le.Versoud.AF</t>
  </si>
  <si>
    <t>074870</t>
  </si>
  <si>
    <t>Custom-074870</t>
  </si>
  <si>
    <t>Saint.Pancrasse</t>
  </si>
  <si>
    <t>074890</t>
  </si>
  <si>
    <t>Annecy-Mount-Blanc.AP</t>
  </si>
  <si>
    <t>074900</t>
  </si>
  <si>
    <t>Custom-074900</t>
  </si>
  <si>
    <t>Chambery-Savoie.AP</t>
  </si>
  <si>
    <t>074910</t>
  </si>
  <si>
    <t>Custom-074910</t>
  </si>
  <si>
    <t>AT</t>
  </si>
  <si>
    <t>Megeve</t>
  </si>
  <si>
    <t>074950</t>
  </si>
  <si>
    <t>Modane.Avrieux</t>
  </si>
  <si>
    <t>074960</t>
  </si>
  <si>
    <t>Bourg-St-Maurice</t>
  </si>
  <si>
    <t>074970</t>
  </si>
  <si>
    <t>Custom-074970</t>
  </si>
  <si>
    <t>Chamonix</t>
  </si>
  <si>
    <t>074990</t>
  </si>
  <si>
    <t>Cap.Ferret</t>
  </si>
  <si>
    <t>075000</t>
  </si>
  <si>
    <t>Custom-075000</t>
  </si>
  <si>
    <t>Cazaux.AB</t>
  </si>
  <si>
    <t>075020</t>
  </si>
  <si>
    <t>Custom-075020</t>
  </si>
  <si>
    <t>Biscarosse.Parentis</t>
  </si>
  <si>
    <t>075030</t>
  </si>
  <si>
    <t>Custom-075030</t>
  </si>
  <si>
    <t>Bordeaux.Merignac.AP</t>
  </si>
  <si>
    <t>075100</t>
  </si>
  <si>
    <t>Custom-075100</t>
  </si>
  <si>
    <t>Captieux.Weather</t>
  </si>
  <si>
    <t>075170</t>
  </si>
  <si>
    <t>Agen-La.Garenne.AP</t>
  </si>
  <si>
    <t>075240</t>
  </si>
  <si>
    <t>Custom-075240</t>
  </si>
  <si>
    <t>Bergerac</t>
  </si>
  <si>
    <t>075280</t>
  </si>
  <si>
    <t>Bergerac.Dordogne.Perigord.AP</t>
  </si>
  <si>
    <t>075300</t>
  </si>
  <si>
    <t>Custom-075300</t>
  </si>
  <si>
    <t>Gourdon</t>
  </si>
  <si>
    <t>075350</t>
  </si>
  <si>
    <t>Custom-075350</t>
  </si>
  <si>
    <t>Montauban-Morin.Vedrines.AP</t>
  </si>
  <si>
    <t>075400</t>
  </si>
  <si>
    <t>Custom-075400</t>
  </si>
  <si>
    <t>Aurillac.AP</t>
  </si>
  <si>
    <t>075490</t>
  </si>
  <si>
    <t>Custom-075490</t>
  </si>
  <si>
    <t>Rodez.Aveyron.AP</t>
  </si>
  <si>
    <t>075520</t>
  </si>
  <si>
    <t>Custom-075520</t>
  </si>
  <si>
    <t>Mende</t>
  </si>
  <si>
    <t>075540</t>
  </si>
  <si>
    <t>Custom-075540</t>
  </si>
  <si>
    <t>Cassagnes.Begonhes.AP</t>
  </si>
  <si>
    <t>075550</t>
  </si>
  <si>
    <t>Custom-075550</t>
  </si>
  <si>
    <t>Millau</t>
  </si>
  <si>
    <t>075580</t>
  </si>
  <si>
    <t>Custom-075580</t>
  </si>
  <si>
    <t>Mont.Aigoual.Obs</t>
  </si>
  <si>
    <t>075600</t>
  </si>
  <si>
    <t>Custom-075600</t>
  </si>
  <si>
    <t>Brenoux.AP</t>
  </si>
  <si>
    <t>075615</t>
  </si>
  <si>
    <t>Avignon.Provence.AP</t>
  </si>
  <si>
    <t>075630</t>
  </si>
  <si>
    <t>Custom-075630</t>
  </si>
  <si>
    <t>Aubenas.Ardeche.Meridionale.AP</t>
  </si>
  <si>
    <t>075700</t>
  </si>
  <si>
    <t>Custom-075700</t>
  </si>
  <si>
    <t>Montelimar-Ancone.AF</t>
  </si>
  <si>
    <t>075770</t>
  </si>
  <si>
    <t>Custom-075770</t>
  </si>
  <si>
    <t>Orange.Caritat.AB</t>
  </si>
  <si>
    <t>075790</t>
  </si>
  <si>
    <t>Custom-075790</t>
  </si>
  <si>
    <t>Valence.Chabeuil.AP</t>
  </si>
  <si>
    <t>075795</t>
  </si>
  <si>
    <t>Carpentras</t>
  </si>
  <si>
    <t>075860</t>
  </si>
  <si>
    <t>Custom-075860</t>
  </si>
  <si>
    <t>Lus-la-Croix-Haute</t>
  </si>
  <si>
    <t>075870</t>
  </si>
  <si>
    <t>Chateau-Arnoux-St.Auban.AP</t>
  </si>
  <si>
    <t>075880</t>
  </si>
  <si>
    <t>Custom-075880</t>
  </si>
  <si>
    <t>Saint.Christophe.en.Oisans</t>
  </si>
  <si>
    <t>075890</t>
  </si>
  <si>
    <t>Gap-Tallard</t>
  </si>
  <si>
    <t>075900</t>
  </si>
  <si>
    <t>Embrun</t>
  </si>
  <si>
    <t>075910</t>
  </si>
  <si>
    <t>Custom-075910</t>
  </si>
  <si>
    <t>Guillestre</t>
  </si>
  <si>
    <t>075920</t>
  </si>
  <si>
    <t>Villar.Saint.Pancrace</t>
  </si>
  <si>
    <t>075930</t>
  </si>
  <si>
    <t>Socoa</t>
  </si>
  <si>
    <t>076000</t>
  </si>
  <si>
    <t>Custom-076000</t>
  </si>
  <si>
    <t>Biarritz-Anglet-Bayonne.AP</t>
  </si>
  <si>
    <t>076020</t>
  </si>
  <si>
    <t>Custom-076020</t>
  </si>
  <si>
    <t>Seyresse-Dax.AF</t>
  </si>
  <si>
    <t>076030</t>
  </si>
  <si>
    <t>Custom-076030</t>
  </si>
  <si>
    <t>Mont-de-Marsan.AB</t>
  </si>
  <si>
    <t>076070</t>
  </si>
  <si>
    <t>Custom-076070</t>
  </si>
  <si>
    <t>Pyrenees.AP</t>
  </si>
  <si>
    <t>076100</t>
  </si>
  <si>
    <t>Custom-076100</t>
  </si>
  <si>
    <t>Tarbes-Lourdes.Pyrenees.AP</t>
  </si>
  <si>
    <t>076210</t>
  </si>
  <si>
    <t>Custom-076210</t>
  </si>
  <si>
    <t>Auch-Lamothe.AP</t>
  </si>
  <si>
    <t>076220</t>
  </si>
  <si>
    <t>Custom-076220</t>
  </si>
  <si>
    <t>St.Girons-Antichan.AP</t>
  </si>
  <si>
    <t>076270</t>
  </si>
  <si>
    <t>Custom-076270</t>
  </si>
  <si>
    <t>Muret-Lherm.AP</t>
  </si>
  <si>
    <t>076293</t>
  </si>
  <si>
    <t>Custom-076293</t>
  </si>
  <si>
    <t>Toulouse-Blagnac.AP</t>
  </si>
  <si>
    <t>076300</t>
  </si>
  <si>
    <t>Custom-076300</t>
  </si>
  <si>
    <t>Toulouse-Francazal.AB</t>
  </si>
  <si>
    <t>076310</t>
  </si>
  <si>
    <t>Custom-076310</t>
  </si>
  <si>
    <t>Albi-Le.Sequestre.AP</t>
  </si>
  <si>
    <t>076320</t>
  </si>
  <si>
    <t>Custom-076320</t>
  </si>
  <si>
    <t>Carcassonne.AP</t>
  </si>
  <si>
    <t>076350</t>
  </si>
  <si>
    <t>Custom-076350</t>
  </si>
  <si>
    <t>Beziers.Cap.d-Agde.AP</t>
  </si>
  <si>
    <t>076380</t>
  </si>
  <si>
    <t>Custom-076380</t>
  </si>
  <si>
    <t>Sete</t>
  </si>
  <si>
    <t>076410</t>
  </si>
  <si>
    <t>Custom-076410</t>
  </si>
  <si>
    <t>Montpellier-Mediterranee.AP</t>
  </si>
  <si>
    <t>076430</t>
  </si>
  <si>
    <t>Custom-076430</t>
  </si>
  <si>
    <t>Nimes-Courbessac.AF</t>
  </si>
  <si>
    <t>076450</t>
  </si>
  <si>
    <t>Custom-076450</t>
  </si>
  <si>
    <t>Nimes-Ales-Camargue-Cevennes.AP</t>
  </si>
  <si>
    <t>076460</t>
  </si>
  <si>
    <t>Custom-076460</t>
  </si>
  <si>
    <t>Istres-le.Tube.AB</t>
  </si>
  <si>
    <t>076470</t>
  </si>
  <si>
    <t>Custom-076470</t>
  </si>
  <si>
    <t>Salon.de.Provence.AB</t>
  </si>
  <si>
    <t>076480</t>
  </si>
  <si>
    <t>Custom-076480</t>
  </si>
  <si>
    <t>Aix.en.Province.AF</t>
  </si>
  <si>
    <t>076490</t>
  </si>
  <si>
    <t>Marseille.Provence.AP</t>
  </si>
  <si>
    <t>076500</t>
  </si>
  <si>
    <t>Custom-076500</t>
  </si>
  <si>
    <t>Cap.Pomegues</t>
  </si>
  <si>
    <t>076520</t>
  </si>
  <si>
    <t>Cap.Couronne</t>
  </si>
  <si>
    <t>076530</t>
  </si>
  <si>
    <t>Bec.de.Laigle</t>
  </si>
  <si>
    <t>076560</t>
  </si>
  <si>
    <t>St.Christol.AP-AFB</t>
  </si>
  <si>
    <t>076570</t>
  </si>
  <si>
    <t>Toulon</t>
  </si>
  <si>
    <t>076600</t>
  </si>
  <si>
    <t>Custom-076600</t>
  </si>
  <si>
    <t>Cap.Cepet</t>
  </si>
  <si>
    <t>076610</t>
  </si>
  <si>
    <t>Custom-076610</t>
  </si>
  <si>
    <t>Pierrefeu.NAB</t>
  </si>
  <si>
    <t>076630</t>
  </si>
  <si>
    <t>Cap.Leucate.Lighthouse</t>
  </si>
  <si>
    <t>076660</t>
  </si>
  <si>
    <t>Custom-076660</t>
  </si>
  <si>
    <t>Toulon-Hyeres.Intl.AP</t>
  </si>
  <si>
    <t>076670</t>
  </si>
  <si>
    <t>Custom-076670</t>
  </si>
  <si>
    <t>Porquerolles</t>
  </si>
  <si>
    <t>076700</t>
  </si>
  <si>
    <t>Saint.Tropez.Intl.AP</t>
  </si>
  <si>
    <t>076720</t>
  </si>
  <si>
    <t>Le.Luc-Le.Cannet.AP</t>
  </si>
  <si>
    <t>076750</t>
  </si>
  <si>
    <t>Custom-076750</t>
  </si>
  <si>
    <t>Cape.Camarat</t>
  </si>
  <si>
    <t>076770</t>
  </si>
  <si>
    <t>Hyeres.Island</t>
  </si>
  <si>
    <t>076780</t>
  </si>
  <si>
    <t>Custom-076780</t>
  </si>
  <si>
    <t>St.Raphael.AF</t>
  </si>
  <si>
    <t>076800</t>
  </si>
  <si>
    <t>Le.Dramont</t>
  </si>
  <si>
    <t>076810</t>
  </si>
  <si>
    <t>Cannes-Mandelieu.AP</t>
  </si>
  <si>
    <t>076840</t>
  </si>
  <si>
    <t>Custom-076840</t>
  </si>
  <si>
    <t>La.Garoupe</t>
  </si>
  <si>
    <t>076880</t>
  </si>
  <si>
    <t>Nice-Cote.d-Azur.AP</t>
  </si>
  <si>
    <t>076900</t>
  </si>
  <si>
    <t>Custom-076900</t>
  </si>
  <si>
    <t>Pic.du.Midi.Mtn</t>
  </si>
  <si>
    <t>077200</t>
  </si>
  <si>
    <t>1.42000E-02</t>
  </si>
  <si>
    <t>Formigueres</t>
  </si>
  <si>
    <t>077370</t>
  </si>
  <si>
    <t>Les.Escaldes</t>
  </si>
  <si>
    <t>077380</t>
  </si>
  <si>
    <t>La.Montagne.Noire</t>
  </si>
  <si>
    <t>077385</t>
  </si>
  <si>
    <t>St.Leocadie.AF</t>
  </si>
  <si>
    <t>077400</t>
  </si>
  <si>
    <t>St.Michel.De.Cuxa.Abbey</t>
  </si>
  <si>
    <t>077420</t>
  </si>
  <si>
    <t>Perpignan-Rivesaltes.AP</t>
  </si>
  <si>
    <t>077470</t>
  </si>
  <si>
    <t>Custom-077470</t>
  </si>
  <si>
    <t>Cap.Bear.Lighthouse</t>
  </si>
  <si>
    <t>077490</t>
  </si>
  <si>
    <t>Custom-077490</t>
  </si>
  <si>
    <t>CE</t>
  </si>
  <si>
    <t>La.Parata</t>
  </si>
  <si>
    <t>077520</t>
  </si>
  <si>
    <t>Custom-077520</t>
  </si>
  <si>
    <t>Ile.Rousse</t>
  </si>
  <si>
    <t>077530</t>
  </si>
  <si>
    <t>Custom-077530</t>
  </si>
  <si>
    <t>Calvi-St.Catherine.AP</t>
  </si>
  <si>
    <t>077540</t>
  </si>
  <si>
    <t>Custom-077540</t>
  </si>
  <si>
    <t>Cape.Cavallo</t>
  </si>
  <si>
    <t>077560</t>
  </si>
  <si>
    <t>Ajaccio.Bonaparte.AP</t>
  </si>
  <si>
    <t>077610</t>
  </si>
  <si>
    <t>Custom-077610</t>
  </si>
  <si>
    <t>Solenzara.AB</t>
  </si>
  <si>
    <t>077650</t>
  </si>
  <si>
    <t>Custom-077650</t>
  </si>
  <si>
    <t>La.Chiappa</t>
  </si>
  <si>
    <t>077680</t>
  </si>
  <si>
    <t>Custom-077680</t>
  </si>
  <si>
    <t>Cap.Pertusato</t>
  </si>
  <si>
    <t>077700</t>
  </si>
  <si>
    <t>Custom-077700</t>
  </si>
  <si>
    <t>Alistro</t>
  </si>
  <si>
    <t>077750</t>
  </si>
  <si>
    <t>Custom-077750</t>
  </si>
  <si>
    <t>Figari-Sud.Corse.AP</t>
  </si>
  <si>
    <t>077800</t>
  </si>
  <si>
    <t>Custom-077800</t>
  </si>
  <si>
    <t>Cap.Corse</t>
  </si>
  <si>
    <t>077850</t>
  </si>
  <si>
    <t>Custom-077850</t>
  </si>
  <si>
    <t>Bastia-Poretta.AP</t>
  </si>
  <si>
    <t>077900</t>
  </si>
  <si>
    <t>Custom-077900</t>
  </si>
  <si>
    <t>Cape.Sagro</t>
  </si>
  <si>
    <t>077910</t>
  </si>
  <si>
    <t>Custom-077910</t>
  </si>
  <si>
    <t>Grand.Bornand</t>
  </si>
  <si>
    <t>078760</t>
  </si>
  <si>
    <t>FRO</t>
  </si>
  <si>
    <t>Mykines.Lighthouse</t>
  </si>
  <si>
    <t>060050</t>
  </si>
  <si>
    <t>Custom-060050</t>
  </si>
  <si>
    <t>SU</t>
  </si>
  <si>
    <t>Akraberg.Lighthouse</t>
  </si>
  <si>
    <t>060090</t>
  </si>
  <si>
    <t>Custom-060090</t>
  </si>
  <si>
    <t>Vagar.AP</t>
  </si>
  <si>
    <t>060100</t>
  </si>
  <si>
    <t>Custom-060100</t>
  </si>
  <si>
    <t>Torshavn</t>
  </si>
  <si>
    <t>060110</t>
  </si>
  <si>
    <t>Custom-060110</t>
  </si>
  <si>
    <t>Kirkja</t>
  </si>
  <si>
    <t>060120</t>
  </si>
  <si>
    <t>Custom-060120</t>
  </si>
  <si>
    <t>GBR</t>
  </si>
  <si>
    <t>SCT</t>
  </si>
  <si>
    <t>Muckle.Flugga-Shetland.Islands</t>
  </si>
  <si>
    <t>030010</t>
  </si>
  <si>
    <t>Baltasound.AP-Shetland.Islands</t>
  </si>
  <si>
    <t>030020</t>
  </si>
  <si>
    <t>Custom-030020</t>
  </si>
  <si>
    <t>Sumburgh.AP-Shetland.Islands</t>
  </si>
  <si>
    <t>030030</t>
  </si>
  <si>
    <t>Custom-030030</t>
  </si>
  <si>
    <t>Collafirth.Hill-Shetland.Islands</t>
  </si>
  <si>
    <t>030040</t>
  </si>
  <si>
    <t>Lerwick-Shetland.Islands</t>
  </si>
  <si>
    <t>030050</t>
  </si>
  <si>
    <t>Custom-030050</t>
  </si>
  <si>
    <t>Sella.Ness-Shetland.Islands</t>
  </si>
  <si>
    <t>030060</t>
  </si>
  <si>
    <t>Scatsta.AP-Shetland.Islands</t>
  </si>
  <si>
    <t>030064</t>
  </si>
  <si>
    <t>Custom-030064</t>
  </si>
  <si>
    <t>Unst.Island-Shetland.Islands</t>
  </si>
  <si>
    <t>030065</t>
  </si>
  <si>
    <t>Muckle.Holm-Shetland.Islands</t>
  </si>
  <si>
    <t>030070</t>
  </si>
  <si>
    <t>Fair.Isle.AP</t>
  </si>
  <si>
    <t>030080</t>
  </si>
  <si>
    <t>Custom-030080</t>
  </si>
  <si>
    <t>North.Ronaldsay.Island.AP-Orkney.Islands</t>
  </si>
  <si>
    <t>030090</t>
  </si>
  <si>
    <t>Sule.Skerry.Lighthouse</t>
  </si>
  <si>
    <t>030100</t>
  </si>
  <si>
    <t>Custom-030100</t>
  </si>
  <si>
    <t>North.Rona.Island</t>
  </si>
  <si>
    <t>030110</t>
  </si>
  <si>
    <t>Custom-030110</t>
  </si>
  <si>
    <t>Foula-Shetland.Islands</t>
  </si>
  <si>
    <t>030130</t>
  </si>
  <si>
    <t>Foula.AP-Shetland.Islands</t>
  </si>
  <si>
    <t>030140</t>
  </si>
  <si>
    <t>Custom-030140</t>
  </si>
  <si>
    <t>Kirkwall.AP-Orkney.Islands</t>
  </si>
  <si>
    <t>030170</t>
  </si>
  <si>
    <t>Custom-030170</t>
  </si>
  <si>
    <t>ENG</t>
  </si>
  <si>
    <t>Woodvale</t>
  </si>
  <si>
    <t>030180</t>
  </si>
  <si>
    <t>Saint.Kilda.Island-Outer.Hebrides</t>
  </si>
  <si>
    <t>030200</t>
  </si>
  <si>
    <t>Lochboisdale-Outer.Hebrides</t>
  </si>
  <si>
    <t>030210</t>
  </si>
  <si>
    <t>Benbecula.AP-Outer.Hebrides</t>
  </si>
  <si>
    <t>030220</t>
  </si>
  <si>
    <t>Custom-030220</t>
  </si>
  <si>
    <t>South.Uist.Range-Outer.Hebrides</t>
  </si>
  <si>
    <t>030230</t>
  </si>
  <si>
    <t>Custom-030230</t>
  </si>
  <si>
    <t>Hyskeir.Lighthouse</t>
  </si>
  <si>
    <t>030240</t>
  </si>
  <si>
    <t>Butt.of.Lewis.Lighthouse-Outer.Hebrides</t>
  </si>
  <si>
    <t>030250</t>
  </si>
  <si>
    <t>Stornoway.AP-Outer.Hebrides</t>
  </si>
  <si>
    <t>030260</t>
  </si>
  <si>
    <t>Custom-030260</t>
  </si>
  <si>
    <t>Waterstein</t>
  </si>
  <si>
    <t>030270</t>
  </si>
  <si>
    <t>Neist.Point.Lighthouse</t>
  </si>
  <si>
    <t>030280</t>
  </si>
  <si>
    <t>Ardnamurchan.Lighthouse</t>
  </si>
  <si>
    <t>030290</t>
  </si>
  <si>
    <t>Loch.Glascarnoch</t>
  </si>
  <si>
    <t>030310</t>
  </si>
  <si>
    <t>Custom-030310</t>
  </si>
  <si>
    <t>Diabaig</t>
  </si>
  <si>
    <t>030330</t>
  </si>
  <si>
    <t>Aultbea</t>
  </si>
  <si>
    <t>030340</t>
  </si>
  <si>
    <t>Custom-030340</t>
  </si>
  <si>
    <t>Barra.Island.AP-Outer.Hebrides</t>
  </si>
  <si>
    <t>030350</t>
  </si>
  <si>
    <t>Lusa-Skye</t>
  </si>
  <si>
    <t>030370</t>
  </si>
  <si>
    <t>Custom-030370</t>
  </si>
  <si>
    <t>Fort.William</t>
  </si>
  <si>
    <t>030380</t>
  </si>
  <si>
    <t>Bealach.Na.Ba</t>
  </si>
  <si>
    <t>030390</t>
  </si>
  <si>
    <t>Custom-030390</t>
  </si>
  <si>
    <t>Kilmory</t>
  </si>
  <si>
    <t>030400</t>
  </si>
  <si>
    <t>Aonach.Mor</t>
  </si>
  <si>
    <t>030410</t>
  </si>
  <si>
    <t>Custom-030410</t>
  </si>
  <si>
    <t>Altnaharra</t>
  </si>
  <si>
    <t>030440</t>
  </si>
  <si>
    <t>Custom-030440</t>
  </si>
  <si>
    <t>Tulloch.Bridge</t>
  </si>
  <si>
    <t>030470</t>
  </si>
  <si>
    <t>Custom-030470</t>
  </si>
  <si>
    <t>Cape.Wrath.Lighthouse</t>
  </si>
  <si>
    <t>030490</t>
  </si>
  <si>
    <t>Fort.Augustus</t>
  </si>
  <si>
    <t>030500</t>
  </si>
  <si>
    <t>Strathy.Pt.Lighthouse</t>
  </si>
  <si>
    <t>030540</t>
  </si>
  <si>
    <t>Rackwick-Orkney.Islands</t>
  </si>
  <si>
    <t>030550</t>
  </si>
  <si>
    <t>Foyers</t>
  </si>
  <si>
    <t>030570</t>
  </si>
  <si>
    <t>Invergordon.Harbour</t>
  </si>
  <si>
    <t>030580</t>
  </si>
  <si>
    <t>Inverness.AP</t>
  </si>
  <si>
    <t>030590</t>
  </si>
  <si>
    <t>Custom-030590</t>
  </si>
  <si>
    <t>Tummel.Bridge</t>
  </si>
  <si>
    <t>030600</t>
  </si>
  <si>
    <t>Tarbat.Ness.Cape</t>
  </si>
  <si>
    <t>030610</t>
  </si>
  <si>
    <t>Tain.Range.SAWS.Met.Stn</t>
  </si>
  <si>
    <t>030620</t>
  </si>
  <si>
    <t>Custom-030620</t>
  </si>
  <si>
    <t>Aviemore</t>
  </si>
  <si>
    <t>030630</t>
  </si>
  <si>
    <t>Custom-030630</t>
  </si>
  <si>
    <t>Glenmore.Lodge</t>
  </si>
  <si>
    <t>030640</t>
  </si>
  <si>
    <t>Cairngorm.Summit</t>
  </si>
  <si>
    <t>030650</t>
  </si>
  <si>
    <t>Custom-030650</t>
  </si>
  <si>
    <t>RAF.Kinloss</t>
  </si>
  <si>
    <t>030660</t>
  </si>
  <si>
    <t>Custom-030660</t>
  </si>
  <si>
    <t>Fealar.Lodge</t>
  </si>
  <si>
    <t>030670</t>
  </si>
  <si>
    <t>Lossiemouth.AP</t>
  </si>
  <si>
    <t>030680</t>
  </si>
  <si>
    <t>Custom-030680</t>
  </si>
  <si>
    <t>Glenlivet</t>
  </si>
  <si>
    <t>030700</t>
  </si>
  <si>
    <t>Grantown.on.Spey</t>
  </si>
  <si>
    <t>030710</t>
  </si>
  <si>
    <t>Cairnwell</t>
  </si>
  <si>
    <t>030720</t>
  </si>
  <si>
    <t>Custom-030720</t>
  </si>
  <si>
    <t>Scrabster.Harbour</t>
  </si>
  <si>
    <t>030740</t>
  </si>
  <si>
    <t>Wick.AP</t>
  </si>
  <si>
    <t>030750</t>
  </si>
  <si>
    <t>Custom-030750</t>
  </si>
  <si>
    <t>Lybster</t>
  </si>
  <si>
    <t>030770</t>
  </si>
  <si>
    <t>Aboyne</t>
  </si>
  <si>
    <t>030800</t>
  </si>
  <si>
    <t>Custom-030800</t>
  </si>
  <si>
    <t>Inchmarlo</t>
  </si>
  <si>
    <t>030850</t>
  </si>
  <si>
    <t>Inverbervie</t>
  </si>
  <si>
    <t>030880</t>
  </si>
  <si>
    <t>Custom-030880</t>
  </si>
  <si>
    <t>Windy.Head</t>
  </si>
  <si>
    <t>030900</t>
  </si>
  <si>
    <t>Aberdeen.AP-Dyce</t>
  </si>
  <si>
    <t>030910</t>
  </si>
  <si>
    <t>Custom-030910</t>
  </si>
  <si>
    <t>Peterhead.Harbour</t>
  </si>
  <si>
    <t>030920</t>
  </si>
  <si>
    <t>Custom-030920</t>
  </si>
  <si>
    <t>Fraserburgh.Lighthouse</t>
  </si>
  <si>
    <t>030930</t>
  </si>
  <si>
    <t>Rosehearty</t>
  </si>
  <si>
    <t>030940</t>
  </si>
  <si>
    <t>Custom-030940</t>
  </si>
  <si>
    <t>Tiree.AP</t>
  </si>
  <si>
    <t>031000</t>
  </si>
  <si>
    <t>Custom-031000</t>
  </si>
  <si>
    <t>Rhins.of.Islay.Lighthouse</t>
  </si>
  <si>
    <t>031020</t>
  </si>
  <si>
    <t>Islay.Port.Ellen</t>
  </si>
  <si>
    <t>031050</t>
  </si>
  <si>
    <t>Custom-031050</t>
  </si>
  <si>
    <t>Rhuvaal-Islay</t>
  </si>
  <si>
    <t>031060</t>
  </si>
  <si>
    <t>Dhu.Loch</t>
  </si>
  <si>
    <t>031070</t>
  </si>
  <si>
    <t>Machrihanish-Campbeltown.AP</t>
  </si>
  <si>
    <t>031110</t>
  </si>
  <si>
    <t>Custom-031110</t>
  </si>
  <si>
    <t>Oban</t>
  </si>
  <si>
    <t>031140</t>
  </si>
  <si>
    <t>Custom-031140</t>
  </si>
  <si>
    <t>Dalmally.Stronmilchan</t>
  </si>
  <si>
    <t>031160</t>
  </si>
  <si>
    <t>Custom-031160</t>
  </si>
  <si>
    <t>Corsewall.Point.Lighthouse</t>
  </si>
  <si>
    <t>031180</t>
  </si>
  <si>
    <t>Lochranza</t>
  </si>
  <si>
    <t>031200</t>
  </si>
  <si>
    <t>Custom-031200</t>
  </si>
  <si>
    <t>Kildonan</t>
  </si>
  <si>
    <t>031210</t>
  </si>
  <si>
    <t>Ardrossan</t>
  </si>
  <si>
    <t>031290</t>
  </si>
  <si>
    <t>Mull.of.Galloway.Lighthouse</t>
  </si>
  <si>
    <t>031310</t>
  </si>
  <si>
    <t>West.Freugh.AP</t>
  </si>
  <si>
    <t>031320</t>
  </si>
  <si>
    <t>Custom-031320</t>
  </si>
  <si>
    <t>Sloy</t>
  </si>
  <si>
    <t>031330</t>
  </si>
  <si>
    <t>Glasgow.Bishopton</t>
  </si>
  <si>
    <t>031340</t>
  </si>
  <si>
    <t>Custom-031340</t>
  </si>
  <si>
    <t>Glasgow-Prestwick.Intl.AP</t>
  </si>
  <si>
    <t>031350</t>
  </si>
  <si>
    <t>Custom-031350</t>
  </si>
  <si>
    <t>Glasgow-Prestwick.RNAS</t>
  </si>
  <si>
    <t>031360</t>
  </si>
  <si>
    <t>Custom-031360</t>
  </si>
  <si>
    <t>Whithorn</t>
  </si>
  <si>
    <t>031370</t>
  </si>
  <si>
    <t>Greenock.MRCC</t>
  </si>
  <si>
    <t>031380</t>
  </si>
  <si>
    <t>Saughall</t>
  </si>
  <si>
    <t>031390</t>
  </si>
  <si>
    <t>Glasgow.AP</t>
  </si>
  <si>
    <t>031400</t>
  </si>
  <si>
    <t>Custom-031400</t>
  </si>
  <si>
    <t>Killin</t>
  </si>
  <si>
    <t>031430</t>
  </si>
  <si>
    <t>Strathallen.AF</t>
  </si>
  <si>
    <t>031440</t>
  </si>
  <si>
    <t>Custom-031440</t>
  </si>
  <si>
    <t>Glasgow.Wea.Center</t>
  </si>
  <si>
    <t>031450</t>
  </si>
  <si>
    <t>Glenlee</t>
  </si>
  <si>
    <t>031470</t>
  </si>
  <si>
    <t>Glenogle</t>
  </si>
  <si>
    <t>031480</t>
  </si>
  <si>
    <t>Custom-031480</t>
  </si>
  <si>
    <t>Duncarron.Medieval.Village</t>
  </si>
  <si>
    <t>031490</t>
  </si>
  <si>
    <t>Crawfordjohn</t>
  </si>
  <si>
    <t>031500</t>
  </si>
  <si>
    <t>Salsburgh</t>
  </si>
  <si>
    <t>031520</t>
  </si>
  <si>
    <t>Dundrennan</t>
  </si>
  <si>
    <t>031530</t>
  </si>
  <si>
    <t>Custom-031530</t>
  </si>
  <si>
    <t>Dumfries.Drungans</t>
  </si>
  <si>
    <t>031540</t>
  </si>
  <si>
    <t>Drumalbin</t>
  </si>
  <si>
    <t>031550</t>
  </si>
  <si>
    <t>Custom-031550</t>
  </si>
  <si>
    <t>Perth.Scone</t>
  </si>
  <si>
    <t>031570</t>
  </si>
  <si>
    <t>RAF.Charterhall</t>
  </si>
  <si>
    <t>031580</t>
  </si>
  <si>
    <t>Custom-031580</t>
  </si>
  <si>
    <t>Edinburgh.AP</t>
  </si>
  <si>
    <t>031600</t>
  </si>
  <si>
    <t>Custom-031600</t>
  </si>
  <si>
    <t>Eddleston</t>
  </si>
  <si>
    <t>031610</t>
  </si>
  <si>
    <t>Eskdalemuir</t>
  </si>
  <si>
    <t>031620</t>
  </si>
  <si>
    <t>Custom-031620</t>
  </si>
  <si>
    <t>Dundee.AP</t>
  </si>
  <si>
    <t>031634</t>
  </si>
  <si>
    <t>Custom-031634</t>
  </si>
  <si>
    <t>Edinburgh.Gogarbank</t>
  </si>
  <si>
    <t>031660</t>
  </si>
  <si>
    <t>Custom-031660</t>
  </si>
  <si>
    <t>Bass.Rock.Lighthouse</t>
  </si>
  <si>
    <t>031670</t>
  </si>
  <si>
    <t>Galashiels</t>
  </si>
  <si>
    <t>031680</t>
  </si>
  <si>
    <t>Shanwell</t>
  </si>
  <si>
    <t>031700</t>
  </si>
  <si>
    <t>RAF.Leuchars</t>
  </si>
  <si>
    <t>031710</t>
  </si>
  <si>
    <t>Custom-031710</t>
  </si>
  <si>
    <t>Fife.Ness</t>
  </si>
  <si>
    <t>031740</t>
  </si>
  <si>
    <t>Carterhouse</t>
  </si>
  <si>
    <t>031760</t>
  </si>
  <si>
    <t>Custom-031760</t>
  </si>
  <si>
    <t>Bell.Rock.Lighthouse</t>
  </si>
  <si>
    <t>031770</t>
  </si>
  <si>
    <t>St.Abbs.Head.Lighthouse</t>
  </si>
  <si>
    <t>031850</t>
  </si>
  <si>
    <t>Drumburgh</t>
  </si>
  <si>
    <t>032090</t>
  </si>
  <si>
    <t>Sandwith-St.Bees.Head</t>
  </si>
  <si>
    <t>032100</t>
  </si>
  <si>
    <t>Custom-032100</t>
  </si>
  <si>
    <t>St.Bees.Head.Lighthouse</t>
  </si>
  <si>
    <t>032110</t>
  </si>
  <si>
    <t>Keswick</t>
  </si>
  <si>
    <t>032120</t>
  </si>
  <si>
    <t>Custom-032120</t>
  </si>
  <si>
    <t>Eskmeals</t>
  </si>
  <si>
    <t>032130</t>
  </si>
  <si>
    <t>Walney.Island.AP</t>
  </si>
  <si>
    <t>032140</t>
  </si>
  <si>
    <t>Custom-032140</t>
  </si>
  <si>
    <t>Warton</t>
  </si>
  <si>
    <t>032145</t>
  </si>
  <si>
    <t>Aspatria</t>
  </si>
  <si>
    <t>032150</t>
  </si>
  <si>
    <t>RAF.Carlisle</t>
  </si>
  <si>
    <t>032200</t>
  </si>
  <si>
    <t>Custom-032200</t>
  </si>
  <si>
    <t>Carlisle.Lake.District.AP</t>
  </si>
  <si>
    <t>032220</t>
  </si>
  <si>
    <t>Custom-032220</t>
  </si>
  <si>
    <t>Rydal</t>
  </si>
  <si>
    <t>032230</t>
  </si>
  <si>
    <t>Spadeadam</t>
  </si>
  <si>
    <t>032240</t>
  </si>
  <si>
    <t>Custom-032240</t>
  </si>
  <si>
    <t>Shap</t>
  </si>
  <si>
    <t>032250</t>
  </si>
  <si>
    <t>Custom-032250</t>
  </si>
  <si>
    <t>Warcop.Range</t>
  </si>
  <si>
    <t>032260</t>
  </si>
  <si>
    <t>Custom-032260</t>
  </si>
  <si>
    <t>Great.Dun.Fell</t>
  </si>
  <si>
    <t>032270</t>
  </si>
  <si>
    <t>Custom-032270</t>
  </si>
  <si>
    <t>Whins.Pond.Aux</t>
  </si>
  <si>
    <t>032280</t>
  </si>
  <si>
    <t>Redesdale.Camp</t>
  </si>
  <si>
    <t>032300</t>
  </si>
  <si>
    <t>Custom-032300</t>
  </si>
  <si>
    <t>Boltshope.Park</t>
  </si>
  <si>
    <t>032350</t>
  </si>
  <si>
    <t>Albemarle-Ouston.AF</t>
  </si>
  <si>
    <t>032380</t>
  </si>
  <si>
    <t>Custom-032380</t>
  </si>
  <si>
    <t>Boulmer</t>
  </si>
  <si>
    <t>032400</t>
  </si>
  <si>
    <t>Custom-032400</t>
  </si>
  <si>
    <t>Long.Framlington</t>
  </si>
  <si>
    <t>032410</t>
  </si>
  <si>
    <t>Burnhope</t>
  </si>
  <si>
    <t>032420</t>
  </si>
  <si>
    <t>Newcastle.Intl.AP</t>
  </si>
  <si>
    <t>032433</t>
  </si>
  <si>
    <t>Custom-032433</t>
  </si>
  <si>
    <t>Newcastle.Wea.Centre</t>
  </si>
  <si>
    <t>032460</t>
  </si>
  <si>
    <t>RAF.Leeming</t>
  </si>
  <si>
    <t>032570</t>
  </si>
  <si>
    <t>Custom-032570</t>
  </si>
  <si>
    <t>RAF.Dishforth</t>
  </si>
  <si>
    <t>032610</t>
  </si>
  <si>
    <t>Custom-032610</t>
  </si>
  <si>
    <t>Tynemouth</t>
  </si>
  <si>
    <t>032620</t>
  </si>
  <si>
    <t>Durham.Tees.Valley.Intl.AP</t>
  </si>
  <si>
    <t>032635</t>
  </si>
  <si>
    <t>Custom-032635</t>
  </si>
  <si>
    <t>Topcliffe</t>
  </si>
  <si>
    <t>032650</t>
  </si>
  <si>
    <t>Custom-032650</t>
  </si>
  <si>
    <t>RAF.Linton-on-Ouse</t>
  </si>
  <si>
    <t>032660</t>
  </si>
  <si>
    <t>Custom-032660</t>
  </si>
  <si>
    <t>Teesmouth</t>
  </si>
  <si>
    <t>032690</t>
  </si>
  <si>
    <t>Teesmouth.Aux</t>
  </si>
  <si>
    <t>032710</t>
  </si>
  <si>
    <t>Loftus</t>
  </si>
  <si>
    <t>032750</t>
  </si>
  <si>
    <t>Custom-032750</t>
  </si>
  <si>
    <t>Fylingdales</t>
  </si>
  <si>
    <t>032810</t>
  </si>
  <si>
    <t>Custom-032810</t>
  </si>
  <si>
    <t>Whitby</t>
  </si>
  <si>
    <t>032820</t>
  </si>
  <si>
    <t>Flamborough.Head</t>
  </si>
  <si>
    <t>032910</t>
  </si>
  <si>
    <t>Bridlington.MRSC</t>
  </si>
  <si>
    <t>032920</t>
  </si>
  <si>
    <t>Custom-032920</t>
  </si>
  <si>
    <t>Mona.AP</t>
  </si>
  <si>
    <t>033010</t>
  </si>
  <si>
    <t>Custom-033010</t>
  </si>
  <si>
    <t>Anglesey.AP-RAF.Valley</t>
  </si>
  <si>
    <t>033020</t>
  </si>
  <si>
    <t>Custom-033020</t>
  </si>
  <si>
    <t>Amlwch</t>
  </si>
  <si>
    <t>033030</t>
  </si>
  <si>
    <t>Capel.Curig</t>
  </si>
  <si>
    <t>033050</t>
  </si>
  <si>
    <t>Custom-033050</t>
  </si>
  <si>
    <t>Snowdon.Natl.Park</t>
  </si>
  <si>
    <t>033080</t>
  </si>
  <si>
    <t>Yspytty.Ifan</t>
  </si>
  <si>
    <t>033090</t>
  </si>
  <si>
    <t>Rhyl.AP</t>
  </si>
  <si>
    <t>033130</t>
  </si>
  <si>
    <t>Custom-033130</t>
  </si>
  <si>
    <t>Moel.y.Crio</t>
  </si>
  <si>
    <t>033140</t>
  </si>
  <si>
    <t>Formby.Dead</t>
  </si>
  <si>
    <t>033150</t>
  </si>
  <si>
    <t>Crosby</t>
  </si>
  <si>
    <t>033160</t>
  </si>
  <si>
    <t>Custom-033160</t>
  </si>
  <si>
    <t>Blackpool.AP</t>
  </si>
  <si>
    <t>033180</t>
  </si>
  <si>
    <t>Custom-033180</t>
  </si>
  <si>
    <t>Fleetwood</t>
  </si>
  <si>
    <t>033190</t>
  </si>
  <si>
    <t>Hawarden.AP</t>
  </si>
  <si>
    <t>033210</t>
  </si>
  <si>
    <t>Custom-033210</t>
  </si>
  <si>
    <t>Aughton</t>
  </si>
  <si>
    <t>033220</t>
  </si>
  <si>
    <t>Liverpool.Lennon.AP</t>
  </si>
  <si>
    <t>033233</t>
  </si>
  <si>
    <t>Custom-033233</t>
  </si>
  <si>
    <t>Winter.Hill</t>
  </si>
  <si>
    <t>033290</t>
  </si>
  <si>
    <t>Leek-Thorncliffe</t>
  </si>
  <si>
    <t>033300</t>
  </si>
  <si>
    <t>Custom-033300</t>
  </si>
  <si>
    <t>Manchester.AP</t>
  </si>
  <si>
    <t>033340</t>
  </si>
  <si>
    <t>Custom-033340</t>
  </si>
  <si>
    <t>Manchester-Barton</t>
  </si>
  <si>
    <t>033350</t>
  </si>
  <si>
    <t>Cellarhead</t>
  </si>
  <si>
    <t>033380</t>
  </si>
  <si>
    <t>Skipton</t>
  </si>
  <si>
    <t>033390</t>
  </si>
  <si>
    <t>Holme.Moss</t>
  </si>
  <si>
    <t>033400</t>
  </si>
  <si>
    <t>Huddersfield.Oakes</t>
  </si>
  <si>
    <t>033430</t>
  </si>
  <si>
    <t>Bingley</t>
  </si>
  <si>
    <t>033440</t>
  </si>
  <si>
    <t>Custom-033440</t>
  </si>
  <si>
    <t>Emley.Moor</t>
  </si>
  <si>
    <t>033450</t>
  </si>
  <si>
    <t>Custom-033450</t>
  </si>
  <si>
    <t>Shelley-Emley.Moor</t>
  </si>
  <si>
    <t>033460</t>
  </si>
  <si>
    <t>Custom-033460</t>
  </si>
  <si>
    <t>Leeds.Bradford.AP</t>
  </si>
  <si>
    <t>033463</t>
  </si>
  <si>
    <t>Custom-033463</t>
  </si>
  <si>
    <t>Penzance.Helo</t>
  </si>
  <si>
    <t>033464</t>
  </si>
  <si>
    <t>Custom-033464</t>
  </si>
  <si>
    <t>Newquay-Cornwall.AP</t>
  </si>
  <si>
    <t>033465</t>
  </si>
  <si>
    <t>Custom-033465</t>
  </si>
  <si>
    <t>Leeds.Wea.Ctr</t>
  </si>
  <si>
    <t>033470</t>
  </si>
  <si>
    <t>Woodford.AP</t>
  </si>
  <si>
    <t>033480</t>
  </si>
  <si>
    <t>Custom-033480</t>
  </si>
  <si>
    <t>Rostherne.No</t>
  </si>
  <si>
    <t>033510</t>
  </si>
  <si>
    <t>Custom-033510</t>
  </si>
  <si>
    <t>Nottingham.Watnall</t>
  </si>
  <si>
    <t>033540</t>
  </si>
  <si>
    <t>Custom-033540</t>
  </si>
  <si>
    <t>RAF.Church.Fenton</t>
  </si>
  <si>
    <t>033550</t>
  </si>
  <si>
    <t>Custom-033550</t>
  </si>
  <si>
    <t>Barkston.Heath.RAF</t>
  </si>
  <si>
    <t>033723</t>
  </si>
  <si>
    <t>RAF.Scampton</t>
  </si>
  <si>
    <t>033730</t>
  </si>
  <si>
    <t>Custom-033730</t>
  </si>
  <si>
    <t>Humberside.AP</t>
  </si>
  <si>
    <t>033735</t>
  </si>
  <si>
    <t>Custom-033735</t>
  </si>
  <si>
    <t>RAF.Waddington</t>
  </si>
  <si>
    <t>033770</t>
  </si>
  <si>
    <t>Custom-033770</t>
  </si>
  <si>
    <t>Cranwell.AP</t>
  </si>
  <si>
    <t>033790</t>
  </si>
  <si>
    <t>Custom-033790</t>
  </si>
  <si>
    <t>Leconfield.AP</t>
  </si>
  <si>
    <t>033820</t>
  </si>
  <si>
    <t>Custom-033820</t>
  </si>
  <si>
    <t>Donna.Nook</t>
  </si>
  <si>
    <t>033850</t>
  </si>
  <si>
    <t>Custom-033850</t>
  </si>
  <si>
    <t>6.70000E-02</t>
  </si>
  <si>
    <t>RAF.Donna.Nook</t>
  </si>
  <si>
    <t>033851</t>
  </si>
  <si>
    <t>Custom-033851</t>
  </si>
  <si>
    <t>Easington</t>
  </si>
  <si>
    <t>033870</t>
  </si>
  <si>
    <t>RAF.Binbrook</t>
  </si>
  <si>
    <t>033880</t>
  </si>
  <si>
    <t>Inner.Dowsing.Lh</t>
  </si>
  <si>
    <t>033900</t>
  </si>
  <si>
    <t>RAF.Coningsby</t>
  </si>
  <si>
    <t>033910</t>
  </si>
  <si>
    <t>Custom-033910</t>
  </si>
  <si>
    <t>Wainfleet</t>
  </si>
  <si>
    <t>033920</t>
  </si>
  <si>
    <t>Custom-033920</t>
  </si>
  <si>
    <t>Gibraltar.Point</t>
  </si>
  <si>
    <t>033940</t>
  </si>
  <si>
    <t>Spurn.Head.Point</t>
  </si>
  <si>
    <t>033960</t>
  </si>
  <si>
    <t>Humber.Lgt.Vsl</t>
  </si>
  <si>
    <t>033980</t>
  </si>
  <si>
    <t>Dowsing.Light</t>
  </si>
  <si>
    <t>033990</t>
  </si>
  <si>
    <t>Bardsey.Island.Lighthouse</t>
  </si>
  <si>
    <t>034000</t>
  </si>
  <si>
    <t>Porthdynllaen</t>
  </si>
  <si>
    <t>034010</t>
  </si>
  <si>
    <t>Mynydd.Rhiw</t>
  </si>
  <si>
    <t>034020</t>
  </si>
  <si>
    <t>Nantmor</t>
  </si>
  <si>
    <t>034030</t>
  </si>
  <si>
    <t>Aberdovey</t>
  </si>
  <si>
    <t>034040</t>
  </si>
  <si>
    <t>Aberdaron</t>
  </si>
  <si>
    <t>034050</t>
  </si>
  <si>
    <t>Custom-034050</t>
  </si>
  <si>
    <t>Doncaster.Sheffield-Hood.AP</t>
  </si>
  <si>
    <t>034054</t>
  </si>
  <si>
    <t>Custom-034054</t>
  </si>
  <si>
    <t>Trawsfynydd</t>
  </si>
  <si>
    <t>034060</t>
  </si>
  <si>
    <t>Llanbedr</t>
  </si>
  <si>
    <t>034070</t>
  </si>
  <si>
    <t>Cynwyd</t>
  </si>
  <si>
    <t>034080</t>
  </si>
  <si>
    <t>Bala</t>
  </si>
  <si>
    <t>034090</t>
  </si>
  <si>
    <t>Custom-034090</t>
  </si>
  <si>
    <t>Lake.Vyrnwy</t>
  </si>
  <si>
    <t>034100</t>
  </si>
  <si>
    <t>Custom-034100</t>
  </si>
  <si>
    <t>Aberhosan</t>
  </si>
  <si>
    <t>034110</t>
  </si>
  <si>
    <t>RAF.Shawbury</t>
  </si>
  <si>
    <t>034140</t>
  </si>
  <si>
    <t>Custom-034140</t>
  </si>
  <si>
    <t>Cosford</t>
  </si>
  <si>
    <t>034145</t>
  </si>
  <si>
    <t>Ternhill.Raf</t>
  </si>
  <si>
    <t>034180</t>
  </si>
  <si>
    <t>Nottingham-East.Midlands.AP</t>
  </si>
  <si>
    <t>034185</t>
  </si>
  <si>
    <t>Custom-034185</t>
  </si>
  <si>
    <t>RAF.Cottesmore</t>
  </si>
  <si>
    <t>034530</t>
  </si>
  <si>
    <t>Custom-034530</t>
  </si>
  <si>
    <t>RAF.Wittering</t>
  </si>
  <si>
    <t>034620</t>
  </si>
  <si>
    <t>Custom-034620</t>
  </si>
  <si>
    <t>Holbeach</t>
  </si>
  <si>
    <t>034690</t>
  </si>
  <si>
    <t>Custom-034690</t>
  </si>
  <si>
    <t>Holbeach.Raf.Range</t>
  </si>
  <si>
    <t>034700</t>
  </si>
  <si>
    <t>RAF.Marham</t>
  </si>
  <si>
    <t>034820</t>
  </si>
  <si>
    <t>Custom-034820</t>
  </si>
  <si>
    <t>RAF.Sculthorpe</t>
  </si>
  <si>
    <t>034870</t>
  </si>
  <si>
    <t>Weybourne</t>
  </si>
  <si>
    <t>034880</t>
  </si>
  <si>
    <t>Custom-034880</t>
  </si>
  <si>
    <t>Norwich.Intl.AP</t>
  </si>
  <si>
    <t>034920</t>
  </si>
  <si>
    <t>Custom-034920</t>
  </si>
  <si>
    <t>Cromer</t>
  </si>
  <si>
    <t>034940</t>
  </si>
  <si>
    <t>RAF.Coltishall</t>
  </si>
  <si>
    <t>034950</t>
  </si>
  <si>
    <t>Hemsby</t>
  </si>
  <si>
    <t>034960</t>
  </si>
  <si>
    <t>Gorleston</t>
  </si>
  <si>
    <t>034970</t>
  </si>
  <si>
    <t>Newarp.Lgt.Vsl</t>
  </si>
  <si>
    <t>034980</t>
  </si>
  <si>
    <t>Capel.Dewi</t>
  </si>
  <si>
    <t>035010</t>
  </si>
  <si>
    <t>Aberporth-West.Wales.AP</t>
  </si>
  <si>
    <t>035020</t>
  </si>
  <si>
    <t>Custom-035020</t>
  </si>
  <si>
    <t>Trawsgoed</t>
  </si>
  <si>
    <t>035030</t>
  </si>
  <si>
    <t>Custom-035030</t>
  </si>
  <si>
    <t>Saint.Harmon</t>
  </si>
  <si>
    <t>035050</t>
  </si>
  <si>
    <t>Sennybridge</t>
  </si>
  <si>
    <t>035070</t>
  </si>
  <si>
    <t>Custom-035070</t>
  </si>
  <si>
    <t>Newcastle.on.Clun</t>
  </si>
  <si>
    <t>035110</t>
  </si>
  <si>
    <t>Shobdon.AF</t>
  </si>
  <si>
    <t>035200</t>
  </si>
  <si>
    <t>Custom-035200</t>
  </si>
  <si>
    <t>Madley.AP</t>
  </si>
  <si>
    <t>035210</t>
  </si>
  <si>
    <t>Hereford.Credenhill</t>
  </si>
  <si>
    <t>035220</t>
  </si>
  <si>
    <t>Custom-035220</t>
  </si>
  <si>
    <t>Barbourne</t>
  </si>
  <si>
    <t>035260</t>
  </si>
  <si>
    <t>Great.Malvern</t>
  </si>
  <si>
    <t>035270</t>
  </si>
  <si>
    <t>Custom-035270</t>
  </si>
  <si>
    <t>Pershore.AP</t>
  </si>
  <si>
    <t>035290</t>
  </si>
  <si>
    <t>Custom-035290</t>
  </si>
  <si>
    <t>Birmingham.AP</t>
  </si>
  <si>
    <t>035340</t>
  </si>
  <si>
    <t>Custom-035340</t>
  </si>
  <si>
    <t>Coleshill</t>
  </si>
  <si>
    <t>035350</t>
  </si>
  <si>
    <t>Custom-035350</t>
  </si>
  <si>
    <t>Coventry.AP</t>
  </si>
  <si>
    <t>035410</t>
  </si>
  <si>
    <t>Custom-035410</t>
  </si>
  <si>
    <t>Church.Lawford</t>
  </si>
  <si>
    <t>035440</t>
  </si>
  <si>
    <t>Custom-035440</t>
  </si>
  <si>
    <t>Cranfield.AP</t>
  </si>
  <si>
    <t>035573</t>
  </si>
  <si>
    <t>Custom-035573</t>
  </si>
  <si>
    <t>Cardington</t>
  </si>
  <si>
    <t>035590</t>
  </si>
  <si>
    <t>RAF.Bedford</t>
  </si>
  <si>
    <t>035600</t>
  </si>
  <si>
    <t>Custom-035600</t>
  </si>
  <si>
    <t>RAF.Alconbury</t>
  </si>
  <si>
    <t>035620</t>
  </si>
  <si>
    <t>Wyton.AP</t>
  </si>
  <si>
    <t>035660</t>
  </si>
  <si>
    <t>Custom-035660</t>
  </si>
  <si>
    <t>Islay.AP</t>
  </si>
  <si>
    <t>035661</t>
  </si>
  <si>
    <t>Custom-035661</t>
  </si>
  <si>
    <t>Cambridge.AP</t>
  </si>
  <si>
    <t>035715</t>
  </si>
  <si>
    <t>Custom-035715</t>
  </si>
  <si>
    <t>RAF.Mildenhall</t>
  </si>
  <si>
    <t>035770</t>
  </si>
  <si>
    <t>Custom-035770</t>
  </si>
  <si>
    <t>RAF.Lakenheath</t>
  </si>
  <si>
    <t>035830</t>
  </si>
  <si>
    <t>Custom-035830</t>
  </si>
  <si>
    <t>RAF.Honington</t>
  </si>
  <si>
    <t>035860</t>
  </si>
  <si>
    <t>Wattisham.AF</t>
  </si>
  <si>
    <t>035900</t>
  </si>
  <si>
    <t>Custom-035900</t>
  </si>
  <si>
    <t>Beccles</t>
  </si>
  <si>
    <t>035930</t>
  </si>
  <si>
    <t>RAF.Woodbridge</t>
  </si>
  <si>
    <t>035951</t>
  </si>
  <si>
    <t>Bentwaters.Park</t>
  </si>
  <si>
    <t>035961</t>
  </si>
  <si>
    <t>Aldeburgh</t>
  </si>
  <si>
    <t>035980</t>
  </si>
  <si>
    <t>RAF.Wynton-Henlow.Camp</t>
  </si>
  <si>
    <t>035990</t>
  </si>
  <si>
    <t>RAF.Brawdy</t>
  </si>
  <si>
    <t>036030</t>
  </si>
  <si>
    <t>Milford.Haven.Port.Authority</t>
  </si>
  <si>
    <t>036040</t>
  </si>
  <si>
    <t>Custom-036040</t>
  </si>
  <si>
    <t>Pembry.Sands</t>
  </si>
  <si>
    <t>036050</t>
  </si>
  <si>
    <t>Custom-036050</t>
  </si>
  <si>
    <t>Monkstone.Pt</t>
  </si>
  <si>
    <t>036060</t>
  </si>
  <si>
    <t>Pendine</t>
  </si>
  <si>
    <t>036080</t>
  </si>
  <si>
    <t>Mumbles.Head</t>
  </si>
  <si>
    <t>036090</t>
  </si>
  <si>
    <t>Custom-036090</t>
  </si>
  <si>
    <t>Swansea.AP</t>
  </si>
  <si>
    <t>036095</t>
  </si>
  <si>
    <t>Pencelli.Aux</t>
  </si>
  <si>
    <t>036100</t>
  </si>
  <si>
    <t>Brynamman</t>
  </si>
  <si>
    <t>036110</t>
  </si>
  <si>
    <t>Trecastle</t>
  </si>
  <si>
    <t>036120</t>
  </si>
  <si>
    <t>Cwmbargoed</t>
  </si>
  <si>
    <t>036130</t>
  </si>
  <si>
    <t>Cilfynydd</t>
  </si>
  <si>
    <t>036140</t>
  </si>
  <si>
    <t>Storey.Arms</t>
  </si>
  <si>
    <t>036170</t>
  </si>
  <si>
    <t>Bristol-Filton.AF</t>
  </si>
  <si>
    <t>036280</t>
  </si>
  <si>
    <t>Custom-036280</t>
  </si>
  <si>
    <t>Gloucester</t>
  </si>
  <si>
    <t>036330</t>
  </si>
  <si>
    <t>Gloucestershire.AP</t>
  </si>
  <si>
    <t>036333</t>
  </si>
  <si>
    <t>Custom-036333</t>
  </si>
  <si>
    <t>Kemble.RAF</t>
  </si>
  <si>
    <t>036380</t>
  </si>
  <si>
    <t>Fairford.AF</t>
  </si>
  <si>
    <t>036440</t>
  </si>
  <si>
    <t>Custom-036440</t>
  </si>
  <si>
    <t>RAF.Little.Rissington</t>
  </si>
  <si>
    <t>036470</t>
  </si>
  <si>
    <t>Custom-036470</t>
  </si>
  <si>
    <t>RAF.Brize.Norton</t>
  </si>
  <si>
    <t>036490</t>
  </si>
  <si>
    <t>Custom-036490</t>
  </si>
  <si>
    <t>Upper.Heyford.AF</t>
  </si>
  <si>
    <t>036553</t>
  </si>
  <si>
    <t>RAF.Benson</t>
  </si>
  <si>
    <t>036580</t>
  </si>
  <si>
    <t>Custom-036580</t>
  </si>
  <si>
    <t>Colerne</t>
  </si>
  <si>
    <t>036584</t>
  </si>
  <si>
    <t>High.Wycombe</t>
  </si>
  <si>
    <t>036600</t>
  </si>
  <si>
    <t>Custom-036600</t>
  </si>
  <si>
    <t>RAF.Northolt</t>
  </si>
  <si>
    <t>036720</t>
  </si>
  <si>
    <t>Custom-036720</t>
  </si>
  <si>
    <t>London-Luton.AP</t>
  </si>
  <si>
    <t>036733</t>
  </si>
  <si>
    <t>Custom-036733</t>
  </si>
  <si>
    <t>Chenies.Auto</t>
  </si>
  <si>
    <t>036740</t>
  </si>
  <si>
    <t>Rothamsted</t>
  </si>
  <si>
    <t>036800</t>
  </si>
  <si>
    <t>Custom-036800</t>
  </si>
  <si>
    <t>London-Stansted.AP</t>
  </si>
  <si>
    <t>036830</t>
  </si>
  <si>
    <t>Custom-036830</t>
  </si>
  <si>
    <t>Andrewsfield.AF</t>
  </si>
  <si>
    <t>036840</t>
  </si>
  <si>
    <t>Custom-036840</t>
  </si>
  <si>
    <t>London-Southend.AP</t>
  </si>
  <si>
    <t>036913</t>
  </si>
  <si>
    <t>Custom-036913</t>
  </si>
  <si>
    <t>Shoeburyness.Landwick</t>
  </si>
  <si>
    <t>036930</t>
  </si>
  <si>
    <t>Custom-036930</t>
  </si>
  <si>
    <t>Thames.Tower</t>
  </si>
  <si>
    <t>036950</t>
  </si>
  <si>
    <t>Walton.on.the.Naze</t>
  </si>
  <si>
    <t>036960</t>
  </si>
  <si>
    <t>Tongue.Light</t>
  </si>
  <si>
    <t>036980</t>
  </si>
  <si>
    <t>Saint.Gowan.L.V</t>
  </si>
  <si>
    <t>037000</t>
  </si>
  <si>
    <t>Gawlish</t>
  </si>
  <si>
    <t>037010</t>
  </si>
  <si>
    <t>Lundy.Island.Lighthouse</t>
  </si>
  <si>
    <t>037020</t>
  </si>
  <si>
    <t>Hartland.Point</t>
  </si>
  <si>
    <t>037030</t>
  </si>
  <si>
    <t>Hartland</t>
  </si>
  <si>
    <t>037040</t>
  </si>
  <si>
    <t>RMB.Chivenor</t>
  </si>
  <si>
    <t>037070</t>
  </si>
  <si>
    <t>Custom-037070</t>
  </si>
  <si>
    <t>Minehead</t>
  </si>
  <si>
    <t>037090</t>
  </si>
  <si>
    <t>Liscombe</t>
  </si>
  <si>
    <t>037100</t>
  </si>
  <si>
    <t>Custom-037100</t>
  </si>
  <si>
    <t>Exton</t>
  </si>
  <si>
    <t>037110</t>
  </si>
  <si>
    <t>Tivington</t>
  </si>
  <si>
    <t>037120</t>
  </si>
  <si>
    <t>Cardiff.AP</t>
  </si>
  <si>
    <t>037150</t>
  </si>
  <si>
    <t>Custom-037150</t>
  </si>
  <si>
    <t>St.Athan.AP</t>
  </si>
  <si>
    <t>037160</t>
  </si>
  <si>
    <t>Custom-037160</t>
  </si>
  <si>
    <t>Cardiff.Wea.Ctr</t>
  </si>
  <si>
    <t>037170</t>
  </si>
  <si>
    <t>Bristol.AP</t>
  </si>
  <si>
    <t>037243</t>
  </si>
  <si>
    <t>Custom-037243</t>
  </si>
  <si>
    <t>Bristol.Wea.Ctr</t>
  </si>
  <si>
    <t>037260</t>
  </si>
  <si>
    <t>RAF.Lyneham</t>
  </si>
  <si>
    <t>037400</t>
  </si>
  <si>
    <t>Custom-037400</t>
  </si>
  <si>
    <t>Larkhill</t>
  </si>
  <si>
    <t>037430</t>
  </si>
  <si>
    <t>Custom-037430</t>
  </si>
  <si>
    <t>Upavon</t>
  </si>
  <si>
    <t>037440</t>
  </si>
  <si>
    <t>Netheravon.Ra</t>
  </si>
  <si>
    <t>037450</t>
  </si>
  <si>
    <t>Boscombe.Down.AF</t>
  </si>
  <si>
    <t>037460</t>
  </si>
  <si>
    <t>Custom-037460</t>
  </si>
  <si>
    <t>Middle.Wallop.AF</t>
  </si>
  <si>
    <t>037490</t>
  </si>
  <si>
    <t>Custom-037490</t>
  </si>
  <si>
    <t>RAF.Odiham</t>
  </si>
  <si>
    <t>037610</t>
  </si>
  <si>
    <t>Custom-037610</t>
  </si>
  <si>
    <t>Bracknell.Beaufort</t>
  </si>
  <si>
    <t>037630</t>
  </si>
  <si>
    <t>London-Biggin.Hill.AP</t>
  </si>
  <si>
    <t>037663</t>
  </si>
  <si>
    <t>Custom-037663</t>
  </si>
  <si>
    <t>3.30000E-02</t>
  </si>
  <si>
    <t>Liphook</t>
  </si>
  <si>
    <t>037670</t>
  </si>
  <si>
    <t>Farnborough.AP</t>
  </si>
  <si>
    <t>037680</t>
  </si>
  <si>
    <t>Custom-037680</t>
  </si>
  <si>
    <t>London.City.AP</t>
  </si>
  <si>
    <t>037683</t>
  </si>
  <si>
    <t>Custom-037683</t>
  </si>
  <si>
    <t>5.50000E-02</t>
  </si>
  <si>
    <t>Charlwood</t>
  </si>
  <si>
    <t>037690</t>
  </si>
  <si>
    <t>Custom-037690</t>
  </si>
  <si>
    <t>London.Wea.Ctr-St.James.Park</t>
  </si>
  <si>
    <t>037700</t>
  </si>
  <si>
    <t>Custom-037700</t>
  </si>
  <si>
    <t>London-Heathrow.Intl.AP</t>
  </si>
  <si>
    <t>037720</t>
  </si>
  <si>
    <t>Custom-037720</t>
  </si>
  <si>
    <t>Kew.Observatory</t>
  </si>
  <si>
    <t>037750</t>
  </si>
  <si>
    <t>London-Gatwick.AP</t>
  </si>
  <si>
    <t>037760</t>
  </si>
  <si>
    <t>Custom-037760</t>
  </si>
  <si>
    <t>Kenley.AF</t>
  </si>
  <si>
    <t>037810</t>
  </si>
  <si>
    <t>Custom-037810</t>
  </si>
  <si>
    <t>Leavesden</t>
  </si>
  <si>
    <t>037815</t>
  </si>
  <si>
    <t>Blackwall</t>
  </si>
  <si>
    <t>037820</t>
  </si>
  <si>
    <t>1.70000E-02</t>
  </si>
  <si>
    <t>Gravesend.Broadness</t>
  </si>
  <si>
    <t>037840</t>
  </si>
  <si>
    <t>Custom-037840</t>
  </si>
  <si>
    <t>Charing</t>
  </si>
  <si>
    <t>037850</t>
  </si>
  <si>
    <t>Gravesend</t>
  </si>
  <si>
    <t>037860</t>
  </si>
  <si>
    <t>Jubilee.Corner</t>
  </si>
  <si>
    <t>037890</t>
  </si>
  <si>
    <t>East.Malling</t>
  </si>
  <si>
    <t>037900</t>
  </si>
  <si>
    <t>Sheerness</t>
  </si>
  <si>
    <t>037910</t>
  </si>
  <si>
    <t>Doddington</t>
  </si>
  <si>
    <t>037920</t>
  </si>
  <si>
    <t>Anvil.Green</t>
  </si>
  <si>
    <t>037930</t>
  </si>
  <si>
    <t>Langdon.Bay</t>
  </si>
  <si>
    <t>037960</t>
  </si>
  <si>
    <t>Custom-037960</t>
  </si>
  <si>
    <t>Manston.AP</t>
  </si>
  <si>
    <t>037970</t>
  </si>
  <si>
    <t>Custom-037970</t>
  </si>
  <si>
    <t>Falls.Light</t>
  </si>
  <si>
    <t>037980</t>
  </si>
  <si>
    <t>East.Goodwin.Light</t>
  </si>
  <si>
    <t>037990</t>
  </si>
  <si>
    <t>Round.Island-Scilly</t>
  </si>
  <si>
    <t>038020</t>
  </si>
  <si>
    <t>St.Marys.AP-Scilly</t>
  </si>
  <si>
    <t>038030</t>
  </si>
  <si>
    <t>Custom-038030</t>
  </si>
  <si>
    <t>St.Marys-Scilly</t>
  </si>
  <si>
    <t>038040</t>
  </si>
  <si>
    <t>Seven.Stones.L.V</t>
  </si>
  <si>
    <t>038050</t>
  </si>
  <si>
    <t>Gwennap.Head</t>
  </si>
  <si>
    <t>038060</t>
  </si>
  <si>
    <t>Camborne</t>
  </si>
  <si>
    <t>038080</t>
  </si>
  <si>
    <t>Custom-038080</t>
  </si>
  <si>
    <t>Culdrose.AF</t>
  </si>
  <si>
    <t>038090</t>
  </si>
  <si>
    <t>Custom-038090</t>
  </si>
  <si>
    <t>Falmouth-Pendennis.Point</t>
  </si>
  <si>
    <t>038100</t>
  </si>
  <si>
    <t>Lizard.Light</t>
  </si>
  <si>
    <t>038140</t>
  </si>
  <si>
    <t>Lizard.Lighthouse</t>
  </si>
  <si>
    <t>038150</t>
  </si>
  <si>
    <t>Davidstow.Moor</t>
  </si>
  <si>
    <t>038200</t>
  </si>
  <si>
    <t>Cardinham-Bodmin.AF</t>
  </si>
  <si>
    <t>038230</t>
  </si>
  <si>
    <t>Custom-038230</t>
  </si>
  <si>
    <t>Bastreet</t>
  </si>
  <si>
    <t>038240</t>
  </si>
  <si>
    <t>Plymouth-Mount.Batten</t>
  </si>
  <si>
    <t>038270</t>
  </si>
  <si>
    <t>Custom-038270</t>
  </si>
  <si>
    <t>Plymouth.AF</t>
  </si>
  <si>
    <t>038273</t>
  </si>
  <si>
    <t>Custom-038273</t>
  </si>
  <si>
    <t>Burrington-Eaglescott.AF</t>
  </si>
  <si>
    <t>038300</t>
  </si>
  <si>
    <t>North.Hessary.Tor</t>
  </si>
  <si>
    <t>038310</t>
  </si>
  <si>
    <t>Okehampton</t>
  </si>
  <si>
    <t>038320</t>
  </si>
  <si>
    <t>Chawleigh</t>
  </si>
  <si>
    <t>038330</t>
  </si>
  <si>
    <t>Brixham</t>
  </si>
  <si>
    <t>038370</t>
  </si>
  <si>
    <t>Exeter.AP</t>
  </si>
  <si>
    <t>038390</t>
  </si>
  <si>
    <t>Custom-038390</t>
  </si>
  <si>
    <t>Dunkeswell.AF</t>
  </si>
  <si>
    <t>038400</t>
  </si>
  <si>
    <t>Custom-038400</t>
  </si>
  <si>
    <t>Beer</t>
  </si>
  <si>
    <t>038450</t>
  </si>
  <si>
    <t>Yeovilton.AF</t>
  </si>
  <si>
    <t>038530</t>
  </si>
  <si>
    <t>Custom-038530</t>
  </si>
  <si>
    <t>Isle.of.Portland</t>
  </si>
  <si>
    <t>038570</t>
  </si>
  <si>
    <t>Custom-038570</t>
  </si>
  <si>
    <t>Portland.Helo</t>
  </si>
  <si>
    <t>038580</t>
  </si>
  <si>
    <t>Christchurch.Bay</t>
  </si>
  <si>
    <t>038610</t>
  </si>
  <si>
    <t>Bournemouth.Intl.AP</t>
  </si>
  <si>
    <t>038620</t>
  </si>
  <si>
    <t>Custom-038620</t>
  </si>
  <si>
    <t>The.Needles.Cape</t>
  </si>
  <si>
    <t>038630</t>
  </si>
  <si>
    <t>Southampton.AP</t>
  </si>
  <si>
    <t>038650</t>
  </si>
  <si>
    <t>Custom-038650</t>
  </si>
  <si>
    <t>St.Catherines.Point-Isle.of.Wight</t>
  </si>
  <si>
    <t>038660</t>
  </si>
  <si>
    <t>Custom-038660</t>
  </si>
  <si>
    <t>Calshot</t>
  </si>
  <si>
    <t>038690</t>
  </si>
  <si>
    <t>Thorney.Island.AF</t>
  </si>
  <si>
    <t>038720</t>
  </si>
  <si>
    <t>Custom-038720</t>
  </si>
  <si>
    <t>Totland</t>
  </si>
  <si>
    <t>038730</t>
  </si>
  <si>
    <t>Lee.On.Solent</t>
  </si>
  <si>
    <t>038740</t>
  </si>
  <si>
    <t>Custom-038740</t>
  </si>
  <si>
    <t>Wellow</t>
  </si>
  <si>
    <t>038750</t>
  </si>
  <si>
    <t>Brighton.City.AP</t>
  </si>
  <si>
    <t>038760</t>
  </si>
  <si>
    <t>Custom-038760</t>
  </si>
  <si>
    <t>East.Hoathly</t>
  </si>
  <si>
    <t>038770</t>
  </si>
  <si>
    <t>Shoreham.by.Sea</t>
  </si>
  <si>
    <t>038790</t>
  </si>
  <si>
    <t>Newhaven.Lighthouse</t>
  </si>
  <si>
    <t>038800</t>
  </si>
  <si>
    <t>5.71000E-02</t>
  </si>
  <si>
    <t>Brede</t>
  </si>
  <si>
    <t>038810</t>
  </si>
  <si>
    <t>Herstmonceux-West.End</t>
  </si>
  <si>
    <t>038820</t>
  </si>
  <si>
    <t>Custom-038820</t>
  </si>
  <si>
    <t>Eastbourne</t>
  </si>
  <si>
    <t>038830</t>
  </si>
  <si>
    <t>Herstmonceux.Obs</t>
  </si>
  <si>
    <t>038840</t>
  </si>
  <si>
    <t>Royal.Sovereign.Lighthouse</t>
  </si>
  <si>
    <t>038850</t>
  </si>
  <si>
    <t>Fairlight</t>
  </si>
  <si>
    <t>038860</t>
  </si>
  <si>
    <t>Lydd.AP</t>
  </si>
  <si>
    <t>038873</t>
  </si>
  <si>
    <t>Custom-038873</t>
  </si>
  <si>
    <t>Dungeness</t>
  </si>
  <si>
    <t>038880</t>
  </si>
  <si>
    <t>Varne.Light</t>
  </si>
  <si>
    <t>038980</t>
  </si>
  <si>
    <t>NIR</t>
  </si>
  <si>
    <t>Knockarevan</t>
  </si>
  <si>
    <t>039000</t>
  </si>
  <si>
    <t>Thomastown</t>
  </si>
  <si>
    <t>039010</t>
  </si>
  <si>
    <t>Custom-039010</t>
  </si>
  <si>
    <t>Corgary</t>
  </si>
  <si>
    <t>039020</t>
  </si>
  <si>
    <t>Enniskillen.AP</t>
  </si>
  <si>
    <t>039030</t>
  </si>
  <si>
    <t>Custom-039030</t>
  </si>
  <si>
    <t>Castlederg</t>
  </si>
  <si>
    <t>039040</t>
  </si>
  <si>
    <t>Custom-039040</t>
  </si>
  <si>
    <t>Carrigans</t>
  </si>
  <si>
    <t>039050</t>
  </si>
  <si>
    <t>Carmoney</t>
  </si>
  <si>
    <t>039060</t>
  </si>
  <si>
    <t>Magilligan</t>
  </si>
  <si>
    <t>039070</t>
  </si>
  <si>
    <t>Custom-039070</t>
  </si>
  <si>
    <t>Ballykelly.AF</t>
  </si>
  <si>
    <t>039080</t>
  </si>
  <si>
    <t>Custom-039080</t>
  </si>
  <si>
    <t>Derry.Londonderry.AP</t>
  </si>
  <si>
    <t>039084</t>
  </si>
  <si>
    <t>Custom-039084</t>
  </si>
  <si>
    <t>Moneydig</t>
  </si>
  <si>
    <t>039090</t>
  </si>
  <si>
    <t>Maghera</t>
  </si>
  <si>
    <t>039100</t>
  </si>
  <si>
    <t>Lough.Fea</t>
  </si>
  <si>
    <t>039110</t>
  </si>
  <si>
    <t>Custom-039110</t>
  </si>
  <si>
    <t>Moyola</t>
  </si>
  <si>
    <t>039120</t>
  </si>
  <si>
    <t>Portrush</t>
  </si>
  <si>
    <t>039140</t>
  </si>
  <si>
    <t>Portglenone</t>
  </si>
  <si>
    <t>039150</t>
  </si>
  <si>
    <t>Custom-039150</t>
  </si>
  <si>
    <t>Ballypatrick.Forest</t>
  </si>
  <si>
    <t>039160</t>
  </si>
  <si>
    <t>Custom-039160</t>
  </si>
  <si>
    <t>Belfast.Intl.AP</t>
  </si>
  <si>
    <t>039170</t>
  </si>
  <si>
    <t>Custom-039170</t>
  </si>
  <si>
    <t>Hillsborough.AF</t>
  </si>
  <si>
    <t>039200</t>
  </si>
  <si>
    <t>Kilkeel</t>
  </si>
  <si>
    <t>039220</t>
  </si>
  <si>
    <t>Glenanne</t>
  </si>
  <si>
    <t>039230</t>
  </si>
  <si>
    <t>Custom-039230</t>
  </si>
  <si>
    <t>Belfast.City.AP</t>
  </si>
  <si>
    <t>039240</t>
  </si>
  <si>
    <t>Custom-039240</t>
  </si>
  <si>
    <t>Orlock.Head</t>
  </si>
  <si>
    <t>039250</t>
  </si>
  <si>
    <t>Killough</t>
  </si>
  <si>
    <t>039260</t>
  </si>
  <si>
    <t>Bangor.Harbour</t>
  </si>
  <si>
    <t>039270</t>
  </si>
  <si>
    <t>Larne</t>
  </si>
  <si>
    <t>039280</t>
  </si>
  <si>
    <t>Out.Stack-Shetland.Islands</t>
  </si>
  <si>
    <t>GBR001</t>
  </si>
  <si>
    <t>GGY</t>
  </si>
  <si>
    <t>GG</t>
  </si>
  <si>
    <t>Alderney.AP</t>
  </si>
  <si>
    <t>038915</t>
  </si>
  <si>
    <t>Custom-038915</t>
  </si>
  <si>
    <t>Guernsey.AP</t>
  </si>
  <si>
    <t>038940</t>
  </si>
  <si>
    <t>Custom-038940</t>
  </si>
  <si>
    <t>GIB</t>
  </si>
  <si>
    <t>GI</t>
  </si>
  <si>
    <t>Gibraltar.Intl.AP</t>
  </si>
  <si>
    <t>084950</t>
  </si>
  <si>
    <t>Custom-084950</t>
  </si>
  <si>
    <t>GRC</t>
  </si>
  <si>
    <t>Serres</t>
  </si>
  <si>
    <t>EM</t>
  </si>
  <si>
    <t>Florina</t>
  </si>
  <si>
    <t>Kastoria-Aristotelis.AP</t>
  </si>
  <si>
    <t>Custom-166140</t>
  </si>
  <si>
    <t>Thessaloniki-Makedonia.AP</t>
  </si>
  <si>
    <t>Custom-166220</t>
  </si>
  <si>
    <t>Kavala-Megas-Alexandros.Intl.AP</t>
  </si>
  <si>
    <t>Custom-166240</t>
  </si>
  <si>
    <t>Alexandroupolis-Dimokritos.Intl.AP</t>
  </si>
  <si>
    <t>Custom-166270</t>
  </si>
  <si>
    <t>Kozani-Filippos.AP</t>
  </si>
  <si>
    <t>Custom-166320</t>
  </si>
  <si>
    <t>Corfu-Kapodistrias.Intl.AP</t>
  </si>
  <si>
    <t>Custom-166410</t>
  </si>
  <si>
    <t>Ioannina.AP</t>
  </si>
  <si>
    <t>Custom-166420</t>
  </si>
  <si>
    <t>Paros</t>
  </si>
  <si>
    <t>Custom-166421</t>
  </si>
  <si>
    <t>PW</t>
  </si>
  <si>
    <t>Aktion.AP</t>
  </si>
  <si>
    <t>Custom-166430</t>
  </si>
  <si>
    <t>TC</t>
  </si>
  <si>
    <t>Trikala</t>
  </si>
  <si>
    <t>Larisa.AP</t>
  </si>
  <si>
    <t>Custom-166480</t>
  </si>
  <si>
    <t>Limnos.Island.AP</t>
  </si>
  <si>
    <t>Custom-166500</t>
  </si>
  <si>
    <t>Skopelos.Island</t>
  </si>
  <si>
    <t>Nea.Anchialos.AP</t>
  </si>
  <si>
    <t>Custom-166650</t>
  </si>
  <si>
    <t>Skiathos-Papadiamantis.Intl.AP</t>
  </si>
  <si>
    <t>Custom-166653</t>
  </si>
  <si>
    <t>Mytiline.Intl.AP</t>
  </si>
  <si>
    <t>Custom-166670</t>
  </si>
  <si>
    <t>Agrinion.AP</t>
  </si>
  <si>
    <t>Lamia</t>
  </si>
  <si>
    <t>Custom-166750</t>
  </si>
  <si>
    <t>Andravida.AP</t>
  </si>
  <si>
    <t>Custom-166820</t>
  </si>
  <si>
    <t>Kymi</t>
  </si>
  <si>
    <t>Skiros.Island.AP</t>
  </si>
  <si>
    <t>Custom-166840</t>
  </si>
  <si>
    <t>Kefalonia.Intl.AP</t>
  </si>
  <si>
    <t>Custom-166850</t>
  </si>
  <si>
    <t>Araxos.AP</t>
  </si>
  <si>
    <t>Custom-166870</t>
  </si>
  <si>
    <t>Patras</t>
  </si>
  <si>
    <t>Tanagra.AP</t>
  </si>
  <si>
    <t>Custom-166990</t>
  </si>
  <si>
    <t>Chios</t>
  </si>
  <si>
    <t>Chios.Island.AP</t>
  </si>
  <si>
    <t>Custom-167060</t>
  </si>
  <si>
    <t>Tripolis.AP</t>
  </si>
  <si>
    <t>Custom-167100</t>
  </si>
  <si>
    <t>Nafplion</t>
  </si>
  <si>
    <t>Tatio.AP</t>
  </si>
  <si>
    <t>Athinai-Hellinikon.Olympic.Complex</t>
  </si>
  <si>
    <t>Custom-167160</t>
  </si>
  <si>
    <t>Elefsis.AP</t>
  </si>
  <si>
    <t>Custom-167180</t>
  </si>
  <si>
    <t>Zakinthos</t>
  </si>
  <si>
    <t>Zakinthos-Solomos.Intl.AP</t>
  </si>
  <si>
    <t>Custom-167193</t>
  </si>
  <si>
    <t>Samos.Island</t>
  </si>
  <si>
    <t>Samos.Intl.AP</t>
  </si>
  <si>
    <t>Custom-167230</t>
  </si>
  <si>
    <t>Kalamata.AP</t>
  </si>
  <si>
    <t>Custom-167260</t>
  </si>
  <si>
    <t>Mikonos.Intl.AP</t>
  </si>
  <si>
    <t>Custom-167263</t>
  </si>
  <si>
    <t>Syros.Island.AP</t>
  </si>
  <si>
    <t>Custom-167264</t>
  </si>
  <si>
    <t>Naxos</t>
  </si>
  <si>
    <t>Custom-167320</t>
  </si>
  <si>
    <t>Methoni</t>
  </si>
  <si>
    <t>Custom-167340</t>
  </si>
  <si>
    <t>Naxos.Island.AP</t>
  </si>
  <si>
    <t>Custom-167341</t>
  </si>
  <si>
    <t>Milos</t>
  </si>
  <si>
    <t>Custom-167380</t>
  </si>
  <si>
    <t>Athinai.Venizelos.Intl.AP</t>
  </si>
  <si>
    <t>Custom-167410</t>
  </si>
  <si>
    <t>Kos.Ippokratis.Intl.AP</t>
  </si>
  <si>
    <t>Custom-167420</t>
  </si>
  <si>
    <t>Kithira.Island.AP</t>
  </si>
  <si>
    <t>Custom-167430</t>
  </si>
  <si>
    <t>Thera</t>
  </si>
  <si>
    <t>Santorini.Intl.AP</t>
  </si>
  <si>
    <t>Custom-167443</t>
  </si>
  <si>
    <t>CR</t>
  </si>
  <si>
    <t>Chania-Daskalogiannis.Intl.AP</t>
  </si>
  <si>
    <t>Custom-167460</t>
  </si>
  <si>
    <t>Chania</t>
  </si>
  <si>
    <t>Rhodes-Diagoras.Intl.AP</t>
  </si>
  <si>
    <t>Custom-167490</t>
  </si>
  <si>
    <t>Rhodes-Paradissi.AP</t>
  </si>
  <si>
    <t>Heraklion-Kazantzakis.AP</t>
  </si>
  <si>
    <t>Custom-167540</t>
  </si>
  <si>
    <t>Sitia</t>
  </si>
  <si>
    <t>Tympaki.AP</t>
  </si>
  <si>
    <t>Kasteli.AP</t>
  </si>
  <si>
    <t>Karpathos.AP</t>
  </si>
  <si>
    <t>Custom-167650</t>
  </si>
  <si>
    <t>GRL</t>
  </si>
  <si>
    <t>QA</t>
  </si>
  <si>
    <t>Thule.AB-Pituffik.AP</t>
  </si>
  <si>
    <t>042020</t>
  </si>
  <si>
    <t>Custom-042020</t>
  </si>
  <si>
    <t>Kitsissut.Carey.Islands</t>
  </si>
  <si>
    <t>042030</t>
  </si>
  <si>
    <t>Custom-042030</t>
  </si>
  <si>
    <t>Qaanaaq.AP</t>
  </si>
  <si>
    <t>042050</t>
  </si>
  <si>
    <t>Custom-042050</t>
  </si>
  <si>
    <t>Kitsissorsuit-Edderfugle.Islands</t>
  </si>
  <si>
    <t>042080</t>
  </si>
  <si>
    <t>Custom-042080</t>
  </si>
  <si>
    <t>Upernavik.AP</t>
  </si>
  <si>
    <t>042110</t>
  </si>
  <si>
    <t>Custom-042110</t>
  </si>
  <si>
    <t>Qaarsut-Uummannaq.AP</t>
  </si>
  <si>
    <t>042130</t>
  </si>
  <si>
    <t>Custom-042130</t>
  </si>
  <si>
    <t>Nuussuaataa-Nuussuaq</t>
  </si>
  <si>
    <t>042140</t>
  </si>
  <si>
    <t>Custom-042140</t>
  </si>
  <si>
    <t>Godhavn.Port</t>
  </si>
  <si>
    <t>042180</t>
  </si>
  <si>
    <t>Aasiaat-Egedesminde</t>
  </si>
  <si>
    <t>042200</t>
  </si>
  <si>
    <t>Custom-042200</t>
  </si>
  <si>
    <t>Ilulissat-Jakobshavn.AP</t>
  </si>
  <si>
    <t>042210</t>
  </si>
  <si>
    <t>Custom-042210</t>
  </si>
  <si>
    <t>Qaanaaq</t>
  </si>
  <si>
    <t>042215</t>
  </si>
  <si>
    <t>Custom-042215</t>
  </si>
  <si>
    <t>Aasiaat-Egedesminde.AP</t>
  </si>
  <si>
    <t>042240</t>
  </si>
  <si>
    <t>Custom-042240</t>
  </si>
  <si>
    <t>Attu-Kitsissut.Islands</t>
  </si>
  <si>
    <t>042280</t>
  </si>
  <si>
    <t>Custom-042280</t>
  </si>
  <si>
    <t>QE</t>
  </si>
  <si>
    <t>Kangerlussuaq-Sondre.Stromfjord</t>
  </si>
  <si>
    <t>042310</t>
  </si>
  <si>
    <t>Custom-042310</t>
  </si>
  <si>
    <t>Sisimiut-Holsteinsborg.AP</t>
  </si>
  <si>
    <t>042340</t>
  </si>
  <si>
    <t>Custom-042340</t>
  </si>
  <si>
    <t>Maniitsoq-Sukkertoppen.AP</t>
  </si>
  <si>
    <t>042410</t>
  </si>
  <si>
    <t>Custom-042410</t>
  </si>
  <si>
    <t>Sioralik</t>
  </si>
  <si>
    <t>042420</t>
  </si>
  <si>
    <t>Custom-042420</t>
  </si>
  <si>
    <t>Nuuk-Godthaab</t>
  </si>
  <si>
    <t>042500</t>
  </si>
  <si>
    <t>Custom-042500</t>
  </si>
  <si>
    <t>Ukiivik-Frederikshaab.Islands</t>
  </si>
  <si>
    <t>042530</t>
  </si>
  <si>
    <t>Custom-042530</t>
  </si>
  <si>
    <t>Fredickshab-Paamiut.AP</t>
  </si>
  <si>
    <t>042605</t>
  </si>
  <si>
    <t>Custom-042605</t>
  </si>
  <si>
    <t>KU</t>
  </si>
  <si>
    <t>Nunarsuit</t>
  </si>
  <si>
    <t>042660</t>
  </si>
  <si>
    <t>Custom-042660</t>
  </si>
  <si>
    <t>Narsarsuaq.AP</t>
  </si>
  <si>
    <t>042700</t>
  </si>
  <si>
    <t>Custom-042700</t>
  </si>
  <si>
    <t>Qaqortoq-Julianehaab</t>
  </si>
  <si>
    <t>042720</t>
  </si>
  <si>
    <t>Custom-042720</t>
  </si>
  <si>
    <t>Angisoq</t>
  </si>
  <si>
    <t>042850</t>
  </si>
  <si>
    <t>Custom-042850</t>
  </si>
  <si>
    <t>UO</t>
  </si>
  <si>
    <t>Cape.Morris.Jesup</t>
  </si>
  <si>
    <t>043010</t>
  </si>
  <si>
    <t>Custom-043010</t>
  </si>
  <si>
    <t>Station.Nord.AWS</t>
  </si>
  <si>
    <t>043120</t>
  </si>
  <si>
    <t>Custom-043120</t>
  </si>
  <si>
    <t>Henrik.Kroeyer.Holme.Islands</t>
  </si>
  <si>
    <t>043130</t>
  </si>
  <si>
    <t>Custom-043130</t>
  </si>
  <si>
    <t>Danmarkshavn.Port</t>
  </si>
  <si>
    <t>043200</t>
  </si>
  <si>
    <t>Custom-043200</t>
  </si>
  <si>
    <t>Daneborg</t>
  </si>
  <si>
    <t>043300</t>
  </si>
  <si>
    <t>Custom-043300</t>
  </si>
  <si>
    <t>Ittoqqortoormiit-Scoresbysund</t>
  </si>
  <si>
    <t>043390</t>
  </si>
  <si>
    <t>Custom-043390</t>
  </si>
  <si>
    <t>Constable.Point</t>
  </si>
  <si>
    <t>043410</t>
  </si>
  <si>
    <t>Custom-043410</t>
  </si>
  <si>
    <t>Aputiteeq</t>
  </si>
  <si>
    <t>043510</t>
  </si>
  <si>
    <t>Custom-043510</t>
  </si>
  <si>
    <t>Tasiilaq.Ammassalik</t>
  </si>
  <si>
    <t>043600</t>
  </si>
  <si>
    <t>Custom-043600</t>
  </si>
  <si>
    <t>Kulusuk.AP</t>
  </si>
  <si>
    <t>043610</t>
  </si>
  <si>
    <t>Custom-043610</t>
  </si>
  <si>
    <t>Ikermiit</t>
  </si>
  <si>
    <t>043730</t>
  </si>
  <si>
    <t>Custom-043730</t>
  </si>
  <si>
    <t>Ikermiuarsuk</t>
  </si>
  <si>
    <t>043820</t>
  </si>
  <si>
    <t>Custom-043820</t>
  </si>
  <si>
    <t>Ikerassuaq-Prince.Christian.Sound</t>
  </si>
  <si>
    <t>043900</t>
  </si>
  <si>
    <t>Custom-043900</t>
  </si>
  <si>
    <t>Summit</t>
  </si>
  <si>
    <t>044160</t>
  </si>
  <si>
    <t>Custom-044160</t>
  </si>
  <si>
    <t>HRV</t>
  </si>
  <si>
    <t>PG</t>
  </si>
  <si>
    <t>Omisalj-Rijeka.AP</t>
  </si>
  <si>
    <t>Rijeka-Kozala</t>
  </si>
  <si>
    <t>Parg</t>
  </si>
  <si>
    <t>Custom-142190</t>
  </si>
  <si>
    <t>Karlovac</t>
  </si>
  <si>
    <t>Krapina</t>
  </si>
  <si>
    <t>Puntijarka.Mtn</t>
  </si>
  <si>
    <t>Custom-142350</t>
  </si>
  <si>
    <t>GZ</t>
  </si>
  <si>
    <t>Zagreb-Gradec</t>
  </si>
  <si>
    <t>Custom-142360</t>
  </si>
  <si>
    <t>Zagreb-Maksimir</t>
  </si>
  <si>
    <t>Custom-142400</t>
  </si>
  <si>
    <t>Zagreb-Tudman.AP</t>
  </si>
  <si>
    <t>Custom-142410</t>
  </si>
  <si>
    <t>Sisak</t>
  </si>
  <si>
    <t>VA</t>
  </si>
  <si>
    <t>Varazdin.AP</t>
  </si>
  <si>
    <t>Krizevci</t>
  </si>
  <si>
    <t>Custom-142480</t>
  </si>
  <si>
    <t>Bjelovar</t>
  </si>
  <si>
    <t>Losinj.Island.AP</t>
  </si>
  <si>
    <t>Custom-142531</t>
  </si>
  <si>
    <t>VP</t>
  </si>
  <si>
    <t>Bilogora</t>
  </si>
  <si>
    <t>Custom-142560</t>
  </si>
  <si>
    <t>Daruvar</t>
  </si>
  <si>
    <t>Custom-142580</t>
  </si>
  <si>
    <t>OB</t>
  </si>
  <si>
    <t>Osijek.AP</t>
  </si>
  <si>
    <t>Osijek.Cepin</t>
  </si>
  <si>
    <t>Custom-142800</t>
  </si>
  <si>
    <t>Osijek-Klisa.AP</t>
  </si>
  <si>
    <t>Custom-142840</t>
  </si>
  <si>
    <t>IS</t>
  </si>
  <si>
    <t>Porec</t>
  </si>
  <si>
    <t>Rovinj-St.John.Lighthouse</t>
  </si>
  <si>
    <t>Custom-143030</t>
  </si>
  <si>
    <t>Pula.AP</t>
  </si>
  <si>
    <t>Custom-143070</t>
  </si>
  <si>
    <t>Pazin</t>
  </si>
  <si>
    <t>Custom-143080</t>
  </si>
  <si>
    <t>Mali.Losinj</t>
  </si>
  <si>
    <t>Crikvenica</t>
  </si>
  <si>
    <t>Rab-Rab.Island</t>
  </si>
  <si>
    <t>Custom-143210</t>
  </si>
  <si>
    <t>LS</t>
  </si>
  <si>
    <t>Senj</t>
  </si>
  <si>
    <t>Zavizan.Mtn-Northern.Velebit.Natl.Park</t>
  </si>
  <si>
    <t>Ogulin</t>
  </si>
  <si>
    <t>Custom-143280</t>
  </si>
  <si>
    <t>Gospic</t>
  </si>
  <si>
    <t>Custom-143300</t>
  </si>
  <si>
    <t>SP</t>
  </si>
  <si>
    <t>Slavonski.Brod</t>
  </si>
  <si>
    <t>Custom-143700</t>
  </si>
  <si>
    <t>Gradiste</t>
  </si>
  <si>
    <t>Custom-143820</t>
  </si>
  <si>
    <t>ZD</t>
  </si>
  <si>
    <t>Otocic.Sestrica.Vela.Island</t>
  </si>
  <si>
    <t>Custom-144270</t>
  </si>
  <si>
    <t>Zadar</t>
  </si>
  <si>
    <t>Zadar.AP</t>
  </si>
  <si>
    <t>Custom-144310</t>
  </si>
  <si>
    <t>SB</t>
  </si>
  <si>
    <t>Sibenik</t>
  </si>
  <si>
    <t>Komiza-Vis.Island</t>
  </si>
  <si>
    <t>Knin</t>
  </si>
  <si>
    <t>Custom-144420</t>
  </si>
  <si>
    <t>DN</t>
  </si>
  <si>
    <t>Palagruza.Lighthouse</t>
  </si>
  <si>
    <t>Custom-144430</t>
  </si>
  <si>
    <t>Split.AP</t>
  </si>
  <si>
    <t>Custom-144440</t>
  </si>
  <si>
    <t>Split-Marjan.Hill</t>
  </si>
  <si>
    <t>Custom-144450</t>
  </si>
  <si>
    <t>Bol-Brac.AP-Brac.Island</t>
  </si>
  <si>
    <t>Hvar-Hvar.Island</t>
  </si>
  <si>
    <t>Custom-144470</t>
  </si>
  <si>
    <t>Lastovo-Lastovo.Island</t>
  </si>
  <si>
    <t>Custom-144520</t>
  </si>
  <si>
    <t>Makarska</t>
  </si>
  <si>
    <t>Custom-144540</t>
  </si>
  <si>
    <t>Ploce</t>
  </si>
  <si>
    <t>Custom-144620</t>
  </si>
  <si>
    <t>Dubrovnik.Gorica</t>
  </si>
  <si>
    <t>Dubrovnik.Intl.AP</t>
  </si>
  <si>
    <t>Custom-144740</t>
  </si>
  <si>
    <t>HUN</t>
  </si>
  <si>
    <t>NOR</t>
  </si>
  <si>
    <t>Szecseny</t>
  </si>
  <si>
    <t>Custom-127560</t>
  </si>
  <si>
    <t>Josvafo</t>
  </si>
  <si>
    <t>Custom-127660</t>
  </si>
  <si>
    <t>Miskolc</t>
  </si>
  <si>
    <t>Custom-127720</t>
  </si>
  <si>
    <t>NGP</t>
  </si>
  <si>
    <t>Zahony</t>
  </si>
  <si>
    <t>Custom-127860</t>
  </si>
  <si>
    <t>WTR</t>
  </si>
  <si>
    <t>Sopron</t>
  </si>
  <si>
    <t>Custom-128050</t>
  </si>
  <si>
    <t>Szombathely</t>
  </si>
  <si>
    <t>Custom-128120</t>
  </si>
  <si>
    <t>Mosonmagyarovar</t>
  </si>
  <si>
    <t>Custom-128150</t>
  </si>
  <si>
    <t>Gyor.AP</t>
  </si>
  <si>
    <t>Custom-128220</t>
  </si>
  <si>
    <t>CTR</t>
  </si>
  <si>
    <t>Papa.AB</t>
  </si>
  <si>
    <t>Custom-128250</t>
  </si>
  <si>
    <t>Veszprem-Szentkiralyszabadja</t>
  </si>
  <si>
    <t>Custom-128300</t>
  </si>
  <si>
    <t>Tata</t>
  </si>
  <si>
    <t>Custom-128360</t>
  </si>
  <si>
    <t>CEN</t>
  </si>
  <si>
    <t>Budaors.AF</t>
  </si>
  <si>
    <t>Budapest.Ferenc.Liszt.Intl.AP</t>
  </si>
  <si>
    <t>Custom-128390</t>
  </si>
  <si>
    <t>Budapest.Met.Center</t>
  </si>
  <si>
    <t>Budapest-Pestszentlorinc</t>
  </si>
  <si>
    <t>Custom-128430</t>
  </si>
  <si>
    <t>Agard</t>
  </si>
  <si>
    <t>Custom-128460</t>
  </si>
  <si>
    <t>Tat</t>
  </si>
  <si>
    <t>Custom-128470</t>
  </si>
  <si>
    <t>Kekesteto</t>
  </si>
  <si>
    <t>Custom-128510</t>
  </si>
  <si>
    <t>Szolnok.AB</t>
  </si>
  <si>
    <t>Custom-128600</t>
  </si>
  <si>
    <t>Szentkiralyszabadja.AP</t>
  </si>
  <si>
    <t>Poroszlo</t>
  </si>
  <si>
    <t>Custom-128660</t>
  </si>
  <si>
    <t>Eger</t>
  </si>
  <si>
    <t>Custom-128700</t>
  </si>
  <si>
    <t>Debrecen.AP</t>
  </si>
  <si>
    <t>Custom-128820</t>
  </si>
  <si>
    <t>Nyiregyhaza.AP</t>
  </si>
  <si>
    <t>Custom-128920</t>
  </si>
  <si>
    <t>Szentgotthard-Farkasfa</t>
  </si>
  <si>
    <t>Custom-129100</t>
  </si>
  <si>
    <t>Zalaegerszeg-Andrashida</t>
  </si>
  <si>
    <t>Custom-129150</t>
  </si>
  <si>
    <t>Keszthely</t>
  </si>
  <si>
    <t>Heviz-Balaton.AP</t>
  </si>
  <si>
    <t>Custom-129220</t>
  </si>
  <si>
    <t>Nagykanizsa</t>
  </si>
  <si>
    <t>Custom-129250</t>
  </si>
  <si>
    <t>STR</t>
  </si>
  <si>
    <t>Kaposvar</t>
  </si>
  <si>
    <t>Custom-129300</t>
  </si>
  <si>
    <t>Taszar.AB</t>
  </si>
  <si>
    <t>Siofok</t>
  </si>
  <si>
    <t>Custom-129350</t>
  </si>
  <si>
    <t>Pecs-Pogany.AP</t>
  </si>
  <si>
    <t>Custom-129420</t>
  </si>
  <si>
    <t>Paks</t>
  </si>
  <si>
    <t>Custom-129500</t>
  </si>
  <si>
    <t>SGP</t>
  </si>
  <si>
    <t>Baja</t>
  </si>
  <si>
    <t>Custom-129600</t>
  </si>
  <si>
    <t>Kecskemet.AB</t>
  </si>
  <si>
    <t>Custom-129700</t>
  </si>
  <si>
    <t>Szeged.AF</t>
  </si>
  <si>
    <t>Custom-129820</t>
  </si>
  <si>
    <t>Bekescsaba.AF</t>
  </si>
  <si>
    <t>Custom-129920</t>
  </si>
  <si>
    <t>IMN</t>
  </si>
  <si>
    <t>IM</t>
  </si>
  <si>
    <t>Isle.of.Man.AP</t>
  </si>
  <si>
    <t>032040</t>
  </si>
  <si>
    <t>Custom-032040</t>
  </si>
  <si>
    <t>Calf.of.Man.High.Lighthouse</t>
  </si>
  <si>
    <t>032050</t>
  </si>
  <si>
    <t>Snaefell.Isle</t>
  </si>
  <si>
    <t>032070</t>
  </si>
  <si>
    <t>Point.of.Ayre.Lighthouse</t>
  </si>
  <si>
    <t>032080</t>
  </si>
  <si>
    <t>IRL</t>
  </si>
  <si>
    <t>Sherkin.Island</t>
  </si>
  <si>
    <t>039510</t>
  </si>
  <si>
    <t>Custom-039510</t>
  </si>
  <si>
    <t>Roches.Point</t>
  </si>
  <si>
    <t>039520</t>
  </si>
  <si>
    <t>Custom-039520</t>
  </si>
  <si>
    <t>Valentia.Obs</t>
  </si>
  <si>
    <t>039530</t>
  </si>
  <si>
    <t>Custom-039530</t>
  </si>
  <si>
    <t>Cork.AP</t>
  </si>
  <si>
    <t>039550</t>
  </si>
  <si>
    <t>Custom-039550</t>
  </si>
  <si>
    <t>Johnstown.Castle</t>
  </si>
  <si>
    <t>039560</t>
  </si>
  <si>
    <t>Custom-039560</t>
  </si>
  <si>
    <t>Rosslare</t>
  </si>
  <si>
    <t>039570</t>
  </si>
  <si>
    <t>Kilkenny</t>
  </si>
  <si>
    <t>039600</t>
  </si>
  <si>
    <t>Carlow-Oak.Park</t>
  </si>
  <si>
    <t>039610</t>
  </si>
  <si>
    <t>Custom-039610</t>
  </si>
  <si>
    <t>Shannon.AP</t>
  </si>
  <si>
    <t>039620</t>
  </si>
  <si>
    <t>Custom-039620</t>
  </si>
  <si>
    <t>Mace.Head</t>
  </si>
  <si>
    <t>039630</t>
  </si>
  <si>
    <t>Custom-039630</t>
  </si>
  <si>
    <t>Galway</t>
  </si>
  <si>
    <t>039640</t>
  </si>
  <si>
    <t>Birr</t>
  </si>
  <si>
    <t>039650</t>
  </si>
  <si>
    <t>Custom-039650</t>
  </si>
  <si>
    <t>Gurteen</t>
  </si>
  <si>
    <t>039660</t>
  </si>
  <si>
    <t>Custom-039660</t>
  </si>
  <si>
    <t>Casement.AP</t>
  </si>
  <si>
    <t>039670</t>
  </si>
  <si>
    <t>Custom-039670</t>
  </si>
  <si>
    <t>Dublin.AP</t>
  </si>
  <si>
    <t>039690</t>
  </si>
  <si>
    <t>Custom-039690</t>
  </si>
  <si>
    <t>Claremorris</t>
  </si>
  <si>
    <t>039700</t>
  </si>
  <si>
    <t>Custom-039700</t>
  </si>
  <si>
    <t>Mullingar</t>
  </si>
  <si>
    <t>039710</t>
  </si>
  <si>
    <t>Custom-039710</t>
  </si>
  <si>
    <t>Knock-Ireland.West.AP</t>
  </si>
  <si>
    <t>039730</t>
  </si>
  <si>
    <t>Custom-039730</t>
  </si>
  <si>
    <t>Clones</t>
  </si>
  <si>
    <t>039740</t>
  </si>
  <si>
    <t>Belmullet</t>
  </si>
  <si>
    <t>039760</t>
  </si>
  <si>
    <t>Custom-039760</t>
  </si>
  <si>
    <t>Finner</t>
  </si>
  <si>
    <t>039780</t>
  </si>
  <si>
    <t>Custom-039780</t>
  </si>
  <si>
    <t>Ballyhaise</t>
  </si>
  <si>
    <t>039790</t>
  </si>
  <si>
    <t>Custom-039790</t>
  </si>
  <si>
    <t>Malin.Head</t>
  </si>
  <si>
    <t>039800</t>
  </si>
  <si>
    <t>Custom-039800</t>
  </si>
  <si>
    <t>ISL</t>
  </si>
  <si>
    <t>VF</t>
  </si>
  <si>
    <t>Bolungavik</t>
  </si>
  <si>
    <t>040050</t>
  </si>
  <si>
    <t>Custom-040050</t>
  </si>
  <si>
    <t>VL</t>
  </si>
  <si>
    <t>Stykkisholmur</t>
  </si>
  <si>
    <t>040130</t>
  </si>
  <si>
    <t>Custom-040130</t>
  </si>
  <si>
    <t>Isafjordur.AP</t>
  </si>
  <si>
    <t>040131</t>
  </si>
  <si>
    <t>Custom-040131</t>
  </si>
  <si>
    <t>Keflavik.Intl.AP</t>
  </si>
  <si>
    <t>040180</t>
  </si>
  <si>
    <t>Custom-040180</t>
  </si>
  <si>
    <t>Reykjavik.AP</t>
  </si>
  <si>
    <t>040300</t>
  </si>
  <si>
    <t>Custom-040300</t>
  </si>
  <si>
    <t>Storhofdi</t>
  </si>
  <si>
    <t>040480</t>
  </si>
  <si>
    <t>Custom-040480</t>
  </si>
  <si>
    <t>NV</t>
  </si>
  <si>
    <t>Bergstadir</t>
  </si>
  <si>
    <t>040530</t>
  </si>
  <si>
    <t>Custom-040530</t>
  </si>
  <si>
    <t>Saudanesviti</t>
  </si>
  <si>
    <t>040590</t>
  </si>
  <si>
    <t>Akureyri</t>
  </si>
  <si>
    <t>040630</t>
  </si>
  <si>
    <t>Custom-040630</t>
  </si>
  <si>
    <t>Bildudal.AP</t>
  </si>
  <si>
    <t>040655</t>
  </si>
  <si>
    <t>Custom-040655</t>
  </si>
  <si>
    <t>Grimsstadir</t>
  </si>
  <si>
    <t>040730</t>
  </si>
  <si>
    <t>Custom-040730</t>
  </si>
  <si>
    <t>AL</t>
  </si>
  <si>
    <t>Hornafjordur.AP</t>
  </si>
  <si>
    <t>040820</t>
  </si>
  <si>
    <t>Custom-040820</t>
  </si>
  <si>
    <t>Skjaldthingsstadir</t>
  </si>
  <si>
    <t>040850</t>
  </si>
  <si>
    <t>Custom-040850</t>
  </si>
  <si>
    <t>Egilsstadir.AP</t>
  </si>
  <si>
    <t>040890</t>
  </si>
  <si>
    <t>Custom-040890</t>
  </si>
  <si>
    <t>Dalatangi</t>
  </si>
  <si>
    <t>040970</t>
  </si>
  <si>
    <t>Custom-040970</t>
  </si>
  <si>
    <t>Gufuskalar</t>
  </si>
  <si>
    <t>041040</t>
  </si>
  <si>
    <t>Custom-041040</t>
  </si>
  <si>
    <t>Dynjandiheidi</t>
  </si>
  <si>
    <t>041150</t>
  </si>
  <si>
    <t>Custom-041150</t>
  </si>
  <si>
    <t>Hornbjargsviti</t>
  </si>
  <si>
    <t>041230</t>
  </si>
  <si>
    <t>Custom-041230</t>
  </si>
  <si>
    <t>Reykjavik</t>
  </si>
  <si>
    <t>041300</t>
  </si>
  <si>
    <t>Custom-041300</t>
  </si>
  <si>
    <t>Akureyri.2</t>
  </si>
  <si>
    <t>041370</t>
  </si>
  <si>
    <t>Custom-041370</t>
  </si>
  <si>
    <t>Blonduos</t>
  </si>
  <si>
    <t>041450</t>
  </si>
  <si>
    <t>Custom-041450</t>
  </si>
  <si>
    <t>Vestmannaeyjabaer</t>
  </si>
  <si>
    <t>041460</t>
  </si>
  <si>
    <t>Custom-041460</t>
  </si>
  <si>
    <t>Hveravellir</t>
  </si>
  <si>
    <t>041560</t>
  </si>
  <si>
    <t>Custom-041560</t>
  </si>
  <si>
    <t>Grimsey.AP-Grimsey.Island</t>
  </si>
  <si>
    <t>041650</t>
  </si>
  <si>
    <t>Custom-041650</t>
  </si>
  <si>
    <t>Sandbudir</t>
  </si>
  <si>
    <t>041680</t>
  </si>
  <si>
    <t>Karahnjukar</t>
  </si>
  <si>
    <t>041760</t>
  </si>
  <si>
    <t>Custom-041760</t>
  </si>
  <si>
    <t>ISR</t>
  </si>
  <si>
    <t>Z</t>
  </si>
  <si>
    <t>Zefat.Har.Kenaan.MS</t>
  </si>
  <si>
    <t>Custom-401530</t>
  </si>
  <si>
    <t>Haifa.AP</t>
  </si>
  <si>
    <t>Custom-401550</t>
  </si>
  <si>
    <t>Ramat.David.AB</t>
  </si>
  <si>
    <t>M</t>
  </si>
  <si>
    <t>Netanya</t>
  </si>
  <si>
    <t>Mahanaim-Pina.AP</t>
  </si>
  <si>
    <t>Custom-401761</t>
  </si>
  <si>
    <t>Tel.Aviv-Sde.Dov.AP</t>
  </si>
  <si>
    <t>Custom-401762</t>
  </si>
  <si>
    <t>Tel.Aviv-Bet.Dagan</t>
  </si>
  <si>
    <t>Custom-401790</t>
  </si>
  <si>
    <t>Tel.Aviv-Ben.Gurion.Intl.AP</t>
  </si>
  <si>
    <t>Custom-401800</t>
  </si>
  <si>
    <t>JM</t>
  </si>
  <si>
    <t>Jerusalem.Center</t>
  </si>
  <si>
    <t>Custom-401830</t>
  </si>
  <si>
    <t>Jerusalem-Atarot.AP</t>
  </si>
  <si>
    <t>D</t>
  </si>
  <si>
    <t>Beer.Sheva</t>
  </si>
  <si>
    <t>Custom-401900</t>
  </si>
  <si>
    <t>Beer.Sheva-Teyman.AP</t>
  </si>
  <si>
    <t>Ovda.AP</t>
  </si>
  <si>
    <t>Custom-401980</t>
  </si>
  <si>
    <t>Eilat-Hozman.AP</t>
  </si>
  <si>
    <t>Custom-401990</t>
  </si>
  <si>
    <t>ITA</t>
  </si>
  <si>
    <t>TT</t>
  </si>
  <si>
    <t>Brennero.Pass</t>
  </si>
  <si>
    <t>San.Valentino.Alla.Muta</t>
  </si>
  <si>
    <t>Custom-160080</t>
  </si>
  <si>
    <t>Reschen.Pass</t>
  </si>
  <si>
    <t>Custom-160083</t>
  </si>
  <si>
    <t>Vipiteno</t>
  </si>
  <si>
    <t>Bolzano.AP</t>
  </si>
  <si>
    <t>Custom-160200</t>
  </si>
  <si>
    <t>Rolle.Pass</t>
  </si>
  <si>
    <t>Custom-160210</t>
  </si>
  <si>
    <t>Paganella.Mtn</t>
  </si>
  <si>
    <t>Custom-160220</t>
  </si>
  <si>
    <t>Trento.AP</t>
  </si>
  <si>
    <t>Dobbiaco</t>
  </si>
  <si>
    <t>Custom-160330</t>
  </si>
  <si>
    <t>FV</t>
  </si>
  <si>
    <t>Aviano.AFB</t>
  </si>
  <si>
    <t>Tarvisio</t>
  </si>
  <si>
    <t>Custom-160400</t>
  </si>
  <si>
    <t>Udine.Campoformido.AF</t>
  </si>
  <si>
    <t>Udine-Rivolto.AB</t>
  </si>
  <si>
    <t>Gorizia</t>
  </si>
  <si>
    <t>Pian.Rosa.Mtn</t>
  </si>
  <si>
    <t>Custom-160520</t>
  </si>
  <si>
    <t>Colle.Del.Gigante</t>
  </si>
  <si>
    <t>Aosta.AP</t>
  </si>
  <si>
    <t>Bousson</t>
  </si>
  <si>
    <t>Torino-Caselle.AP</t>
  </si>
  <si>
    <t>Custom-160590</t>
  </si>
  <si>
    <t>Torino.AF</t>
  </si>
  <si>
    <t>Custom-160595</t>
  </si>
  <si>
    <t>Torino.Venaria</t>
  </si>
  <si>
    <t>Torino-Bric.della.Croce</t>
  </si>
  <si>
    <t>Custom-160610</t>
  </si>
  <si>
    <t>Novara-Cameri.AB</t>
  </si>
  <si>
    <t>LM</t>
  </si>
  <si>
    <t>Milano-Malpensa.AP</t>
  </si>
  <si>
    <t>Custom-160660</t>
  </si>
  <si>
    <t>Gallarate</t>
  </si>
  <si>
    <t>Casale.Monferrato</t>
  </si>
  <si>
    <t>Grigna.Settentrion</t>
  </si>
  <si>
    <t>Bisbino.Mtn</t>
  </si>
  <si>
    <t>Milano-Bergamo.Intl.AP</t>
  </si>
  <si>
    <t>Custom-160760</t>
  </si>
  <si>
    <t>Milano-Linate.AP</t>
  </si>
  <si>
    <t>Custom-160800</t>
  </si>
  <si>
    <t>ER</t>
  </si>
  <si>
    <t>Piacenza-San.Damiano.AB</t>
  </si>
  <si>
    <t>Custom-160840</t>
  </si>
  <si>
    <t>Ghedi.AB</t>
  </si>
  <si>
    <t>Custom-160880</t>
  </si>
  <si>
    <t>Desenzano.del.Garda</t>
  </si>
  <si>
    <t>Custom-160890</t>
  </si>
  <si>
    <t>Verona.Catullo.AP</t>
  </si>
  <si>
    <t>Custom-160900</t>
  </si>
  <si>
    <t>Grappa.Mtn</t>
  </si>
  <si>
    <t>Vicenza.AB</t>
  </si>
  <si>
    <t>Padova.AP</t>
  </si>
  <si>
    <t>Custom-160950</t>
  </si>
  <si>
    <t>Istrana.AB</t>
  </si>
  <si>
    <t>Custom-160980</t>
  </si>
  <si>
    <t>Treviso.AP</t>
  </si>
  <si>
    <t>Custom-160990</t>
  </si>
  <si>
    <t>Venezia-Lido.AF</t>
  </si>
  <si>
    <t>Venezia-Polo.AP</t>
  </si>
  <si>
    <t>Custom-161050</t>
  </si>
  <si>
    <t>Concordia.Sagittaria</t>
  </si>
  <si>
    <t>Trieste-Friuli.Venezia.Guilia.AP</t>
  </si>
  <si>
    <t>Custom-161080</t>
  </si>
  <si>
    <t>Trieste</t>
  </si>
  <si>
    <t>Custom-161100</t>
  </si>
  <si>
    <t>LG</t>
  </si>
  <si>
    <t>Settepani.Mtn</t>
  </si>
  <si>
    <t>Fraiteve.Mtn</t>
  </si>
  <si>
    <t>Mondovi</t>
  </si>
  <si>
    <t>Custom-161140</t>
  </si>
  <si>
    <t>Limone.Colle.di.Tenda</t>
  </si>
  <si>
    <t>Custom-161150</t>
  </si>
  <si>
    <t>Govone</t>
  </si>
  <si>
    <t>Cuneo-Levaldigi.AP</t>
  </si>
  <si>
    <t>Custom-161170</t>
  </si>
  <si>
    <t>Novi.Ligure</t>
  </si>
  <si>
    <t>Giovi.Pass</t>
  </si>
  <si>
    <t>Custom-161190</t>
  </si>
  <si>
    <t>Genoa.Colombo.AP</t>
  </si>
  <si>
    <t>Custom-161200</t>
  </si>
  <si>
    <t>Genoa</t>
  </si>
  <si>
    <t>Albenga-Riviera.AP</t>
  </si>
  <si>
    <t>Custom-161220</t>
  </si>
  <si>
    <t>Chiavari</t>
  </si>
  <si>
    <t>Cisa.Pass</t>
  </si>
  <si>
    <t>Custom-161240</t>
  </si>
  <si>
    <t>Sarzana-Luni.AB</t>
  </si>
  <si>
    <t>Sarzana.Luni.AP</t>
  </si>
  <si>
    <t>Modena</t>
  </si>
  <si>
    <t>La.Spezia-La.Castellana-Palmaria.Island</t>
  </si>
  <si>
    <t>Parma-Verdi.AP</t>
  </si>
  <si>
    <t>Custom-161300</t>
  </si>
  <si>
    <t>Cimone.Mtn</t>
  </si>
  <si>
    <t>Custom-161340</t>
  </si>
  <si>
    <t>Porretta.Pass</t>
  </si>
  <si>
    <t>Ferrara.AP</t>
  </si>
  <si>
    <t>Custom-161380</t>
  </si>
  <si>
    <t>Bologna-Marconi.AP</t>
  </si>
  <si>
    <t>Custom-161400</t>
  </si>
  <si>
    <t>Rifredo.Mugello</t>
  </si>
  <si>
    <t>Punta.Marina</t>
  </si>
  <si>
    <t>Forli.AP</t>
  </si>
  <si>
    <t>Custom-161470</t>
  </si>
  <si>
    <t>Cervia.AB</t>
  </si>
  <si>
    <t>Custom-161480</t>
  </si>
  <si>
    <t>Rimini-Fellini.AP</t>
  </si>
  <si>
    <t>Custom-161490</t>
  </si>
  <si>
    <t>Imperia</t>
  </si>
  <si>
    <t>Cape.Mele</t>
  </si>
  <si>
    <t>Custom-161530</t>
  </si>
  <si>
    <t>Isola.Gorgona</t>
  </si>
  <si>
    <t>Pisa-Galileo.Galilei.AP</t>
  </si>
  <si>
    <t>Custom-161580</t>
  </si>
  <si>
    <t>Volterra</t>
  </si>
  <si>
    <t>Argentario.Mtn</t>
  </si>
  <si>
    <t>Custom-161680</t>
  </si>
  <si>
    <t>Firenze-Peretola.AP</t>
  </si>
  <si>
    <t>Custom-161700</t>
  </si>
  <si>
    <t>Firenze</t>
  </si>
  <si>
    <t>Arezzo-Molin.Bianco.AP</t>
  </si>
  <si>
    <t>Custom-161720</t>
  </si>
  <si>
    <t>Frontone</t>
  </si>
  <si>
    <t>Custom-161790</t>
  </si>
  <si>
    <t>UM</t>
  </si>
  <si>
    <t>Umbria-Perugia-d-Assisi.AP</t>
  </si>
  <si>
    <t>Custom-161810</t>
  </si>
  <si>
    <t>Ancona</t>
  </si>
  <si>
    <t>Marche.AP</t>
  </si>
  <si>
    <t>Custom-161910</t>
  </si>
  <si>
    <t>Loreto</t>
  </si>
  <si>
    <t>Calamita.Mtn</t>
  </si>
  <si>
    <t>Custom-161970</t>
  </si>
  <si>
    <t>Isola.D-Elba</t>
  </si>
  <si>
    <t>Pianosa.Island</t>
  </si>
  <si>
    <t>Radicofani</t>
  </si>
  <si>
    <t>Grosseto.AP</t>
  </si>
  <si>
    <t>Custom-162060</t>
  </si>
  <si>
    <t>LZ</t>
  </si>
  <si>
    <t>Civitavecchia</t>
  </si>
  <si>
    <t>Custom-162140</t>
  </si>
  <si>
    <t>Viterbo.AP</t>
  </si>
  <si>
    <t>Custom-162160</t>
  </si>
  <si>
    <t>Orte</t>
  </si>
  <si>
    <t>Terminillo.Mtn</t>
  </si>
  <si>
    <t>Custom-162190</t>
  </si>
  <si>
    <t>Rieti.AF</t>
  </si>
  <si>
    <t>Custom-162210</t>
  </si>
  <si>
    <t>Vigna.di.Valle</t>
  </si>
  <si>
    <t>Custom-162240</t>
  </si>
  <si>
    <t>Grottammare</t>
  </si>
  <si>
    <t>AB</t>
  </si>
  <si>
    <t>Fucino</t>
  </si>
  <si>
    <t>Preturo</t>
  </si>
  <si>
    <t>Gran.Sasso.Mtn.Rng</t>
  </si>
  <si>
    <t>Pescara.Abruzzo.AP</t>
  </si>
  <si>
    <t>Custom-162300</t>
  </si>
  <si>
    <t>ML</t>
  </si>
  <si>
    <t>Termoli</t>
  </si>
  <si>
    <t>Custom-162320</t>
  </si>
  <si>
    <t>Guidonia.AB</t>
  </si>
  <si>
    <t>Custom-162340</t>
  </si>
  <si>
    <t>Roma.Urbe.Rgnl.AP</t>
  </si>
  <si>
    <t>Custom-162350</t>
  </si>
  <si>
    <t>Rome.Central</t>
  </si>
  <si>
    <t>Roma-Ciampino.AP</t>
  </si>
  <si>
    <t>Custom-162390</t>
  </si>
  <si>
    <t>Rome</t>
  </si>
  <si>
    <t>Rome-Fiumicino-da.Vinci.AP</t>
  </si>
  <si>
    <t>Custom-162420</t>
  </si>
  <si>
    <t>Latina.AP</t>
  </si>
  <si>
    <t>Custom-162430</t>
  </si>
  <si>
    <t>Frosinone.AB</t>
  </si>
  <si>
    <t>Custom-162440</t>
  </si>
  <si>
    <t>Pratica.di.Mare.AB</t>
  </si>
  <si>
    <t>Custom-162450</t>
  </si>
  <si>
    <t>Cape.Circeo</t>
  </si>
  <si>
    <t>Campobasso</t>
  </si>
  <si>
    <t>Custom-162520</t>
  </si>
  <si>
    <t>Grazzanise.AB</t>
  </si>
  <si>
    <t>Custom-162530</t>
  </si>
  <si>
    <t>PU</t>
  </si>
  <si>
    <t>S.Angelo.Mtn</t>
  </si>
  <si>
    <t>Custom-162580</t>
  </si>
  <si>
    <t>Brescia-Montichiari.AP</t>
  </si>
  <si>
    <t>Custom-162593</t>
  </si>
  <si>
    <t>Foggia.AP</t>
  </si>
  <si>
    <t>Custom-162600</t>
  </si>
  <si>
    <t>Amendola.AP</t>
  </si>
  <si>
    <t>Custom-162610</t>
  </si>
  <si>
    <t>Trevico</t>
  </si>
  <si>
    <t>Custom-162630</t>
  </si>
  <si>
    <t>Marina.di.Ginosa</t>
  </si>
  <si>
    <t>Vieste</t>
  </si>
  <si>
    <t>Bari-Wojtyla.Intl.AP</t>
  </si>
  <si>
    <t>Custom-162700</t>
  </si>
  <si>
    <t>Bari</t>
  </si>
  <si>
    <t>Custom-162710</t>
  </si>
  <si>
    <t>Isola.di.Ponza</t>
  </si>
  <si>
    <t>Custom-162800</t>
  </si>
  <si>
    <t>Caserta</t>
  </si>
  <si>
    <t>Napoli-Capodichino.AP</t>
  </si>
  <si>
    <t>Custom-162890</t>
  </si>
  <si>
    <t>Salerno-Pontecagnano.AP</t>
  </si>
  <si>
    <t>Custom-162920</t>
  </si>
  <si>
    <t>Capri.Island</t>
  </si>
  <si>
    <t>Custom-162940</t>
  </si>
  <si>
    <t>BC</t>
  </si>
  <si>
    <t>Potenza</t>
  </si>
  <si>
    <t>Cape.Palinuro</t>
  </si>
  <si>
    <t>Custom-163100</t>
  </si>
  <si>
    <t>Ramirez.AB</t>
  </si>
  <si>
    <t>Custom-163120</t>
  </si>
  <si>
    <t>Matera</t>
  </si>
  <si>
    <t>Latronico</t>
  </si>
  <si>
    <t>Custom-163160</t>
  </si>
  <si>
    <t>Martina.Franca</t>
  </si>
  <si>
    <t>Salento-Brindisi.AP</t>
  </si>
  <si>
    <t>Custom-163200</t>
  </si>
  <si>
    <t>Taranto-Grottaglie.AP</t>
  </si>
  <si>
    <t>Custom-163240</t>
  </si>
  <si>
    <t>Ginosa.Marina</t>
  </si>
  <si>
    <t>Custom-163250</t>
  </si>
  <si>
    <t>Lecce-Galatina.AB</t>
  </si>
  <si>
    <t>Custom-163320</t>
  </si>
  <si>
    <t>Otranto</t>
  </si>
  <si>
    <t>LB</t>
  </si>
  <si>
    <t>Bonifati</t>
  </si>
  <si>
    <t>Custom-163370</t>
  </si>
  <si>
    <t>Scuro.Mtn</t>
  </si>
  <si>
    <t>Custom-163440</t>
  </si>
  <si>
    <t>Crotone-S-Anna.AP</t>
  </si>
  <si>
    <t>Custom-163500</t>
  </si>
  <si>
    <t>Santa.Maria.di.Leuc</t>
  </si>
  <si>
    <t>Custom-163600</t>
  </si>
  <si>
    <t>Lamezia.Terme.Intl.AP</t>
  </si>
  <si>
    <t>Custom-163620</t>
  </si>
  <si>
    <t>Serralta.di.S.Vito</t>
  </si>
  <si>
    <t>Catanzaro</t>
  </si>
  <si>
    <t>SC</t>
  </si>
  <si>
    <t>Ustica.Island</t>
  </si>
  <si>
    <t>Custom-164000</t>
  </si>
  <si>
    <t>Palermo-Falcone.Borsellino.AP</t>
  </si>
  <si>
    <t>Custom-164050</t>
  </si>
  <si>
    <t>Palermo-Boccadifalco.AP</t>
  </si>
  <si>
    <t>Custom-164090</t>
  </si>
  <si>
    <t>Isola.Salina</t>
  </si>
  <si>
    <t>Isola.Stromboli</t>
  </si>
  <si>
    <t>Messina</t>
  </si>
  <si>
    <t>Custom-164200</t>
  </si>
  <si>
    <t>Reggio.di.Calabria-Minniti.AP</t>
  </si>
  <si>
    <t>Custom-164220</t>
  </si>
  <si>
    <t>Trapani.Birgi.AP</t>
  </si>
  <si>
    <t>Custom-164290</t>
  </si>
  <si>
    <t>Prizzi</t>
  </si>
  <si>
    <t>Custom-164340</t>
  </si>
  <si>
    <t>Sciacca</t>
  </si>
  <si>
    <t>Gibilmanna</t>
  </si>
  <si>
    <t>Enna</t>
  </si>
  <si>
    <t>Custom-164500</t>
  </si>
  <si>
    <t>Gela</t>
  </si>
  <si>
    <t>Custom-164530</t>
  </si>
  <si>
    <t>NAS.Signoella</t>
  </si>
  <si>
    <t>Custom-164590</t>
  </si>
  <si>
    <t>Catania.Fontanarossa.AP</t>
  </si>
  <si>
    <t>Custom-164600</t>
  </si>
  <si>
    <t>Siracusa</t>
  </si>
  <si>
    <t>Mezzo.Gregorio</t>
  </si>
  <si>
    <t>Cape.Spartivento</t>
  </si>
  <si>
    <t>Pantelleria.AP</t>
  </si>
  <si>
    <t>Custom-164700</t>
  </si>
  <si>
    <t>Comiso</t>
  </si>
  <si>
    <t>Cozzo.Spadaro</t>
  </si>
  <si>
    <t>Custom-164800</t>
  </si>
  <si>
    <t>Lampedusa.AP</t>
  </si>
  <si>
    <t>Custom-164900</t>
  </si>
  <si>
    <t>Guardiavecchia</t>
  </si>
  <si>
    <t>Alghero-Fertilia.AB</t>
  </si>
  <si>
    <t>Custom-165200</t>
  </si>
  <si>
    <t>Cape.Caccia</t>
  </si>
  <si>
    <t>Custom-165220</t>
  </si>
  <si>
    <t>Macomer.Sa-Crabarza</t>
  </si>
  <si>
    <t>Olsia</t>
  </si>
  <si>
    <t>Olbia-Costa.Smeralda.AP</t>
  </si>
  <si>
    <t>Custom-165310</t>
  </si>
  <si>
    <t>Limbara.Mtn</t>
  </si>
  <si>
    <t>Fonni</t>
  </si>
  <si>
    <t>Cape.Frasca</t>
  </si>
  <si>
    <t>Custom-165390</t>
  </si>
  <si>
    <t>Perdasdefogu</t>
  </si>
  <si>
    <t>Cape.S.Lorenzo</t>
  </si>
  <si>
    <t>Decimomannu.AB</t>
  </si>
  <si>
    <t>Custom-165460</t>
  </si>
  <si>
    <t>Carloforte</t>
  </si>
  <si>
    <t>Cape.Bellavista</t>
  </si>
  <si>
    <t>Custom-165500</t>
  </si>
  <si>
    <t>Cagliari.AP-Elmas.AB</t>
  </si>
  <si>
    <t>Custom-165600</t>
  </si>
  <si>
    <t>Cape.Carbonara</t>
  </si>
  <si>
    <t>Custom-165640</t>
  </si>
  <si>
    <t>JEY</t>
  </si>
  <si>
    <t>JE</t>
  </si>
  <si>
    <t>Jersey.AP</t>
  </si>
  <si>
    <t>038950</t>
  </si>
  <si>
    <t>Custom-038950</t>
  </si>
  <si>
    <t>St.Helier</t>
  </si>
  <si>
    <t>038960</t>
  </si>
  <si>
    <t>JOR</t>
  </si>
  <si>
    <t>Ruwaished-H4.AB</t>
  </si>
  <si>
    <t>Custom-402500</t>
  </si>
  <si>
    <t>IR</t>
  </si>
  <si>
    <t>Irbid.Met.Stn</t>
  </si>
  <si>
    <t>Custom-402550</t>
  </si>
  <si>
    <t>BA</t>
  </si>
  <si>
    <t>Wadi.Rayan</t>
  </si>
  <si>
    <t>MN</t>
  </si>
  <si>
    <t>Hasan.AB</t>
  </si>
  <si>
    <t>Custom-402600</t>
  </si>
  <si>
    <t>Hussein.AP</t>
  </si>
  <si>
    <t>Custom-402650</t>
  </si>
  <si>
    <t>AM</t>
  </si>
  <si>
    <t>Amman-Marka.AP</t>
  </si>
  <si>
    <t>Custom-402700</t>
  </si>
  <si>
    <t>Amman-Alia.Intl.AP</t>
  </si>
  <si>
    <t>Custom-402720</t>
  </si>
  <si>
    <t>Ghor.Safi</t>
  </si>
  <si>
    <t>Custom-402960</t>
  </si>
  <si>
    <t>Maan.AP</t>
  </si>
  <si>
    <t>Custom-403100</t>
  </si>
  <si>
    <t>AQ</t>
  </si>
  <si>
    <t>Aqaba-Hussein.Intl.AP</t>
  </si>
  <si>
    <t>Custom-403400</t>
  </si>
  <si>
    <t>Aqaba.Port</t>
  </si>
  <si>
    <t>LBN</t>
  </si>
  <si>
    <t>Beirut-Hariri.Intl.AP</t>
  </si>
  <si>
    <t>Custom-401000</t>
  </si>
  <si>
    <t>BI</t>
  </si>
  <si>
    <t>Chtaura-Houche.Oumara</t>
  </si>
  <si>
    <t>Custom-401010</t>
  </si>
  <si>
    <t>Rayak.AB</t>
  </si>
  <si>
    <t>Tripoli</t>
  </si>
  <si>
    <t>Custom-401030</t>
  </si>
  <si>
    <t>NA</t>
  </si>
  <si>
    <t>Merdjaayoun</t>
  </si>
  <si>
    <t>Bcharre-Cedars.of.God-Cedars.Ski.Resort</t>
  </si>
  <si>
    <t>Chateau.Ksara</t>
  </si>
  <si>
    <t>JL</t>
  </si>
  <si>
    <t>Hammana-Dahr.Baidar</t>
  </si>
  <si>
    <t>LIE</t>
  </si>
  <si>
    <t>Vaduz</t>
  </si>
  <si>
    <t>069900</t>
  </si>
  <si>
    <t>Custom-069900</t>
  </si>
  <si>
    <t>LTU</t>
  </si>
  <si>
    <t>KL</t>
  </si>
  <si>
    <t>Palanga.Intl.AP</t>
  </si>
  <si>
    <t>Custom-265020</t>
  </si>
  <si>
    <t>Siauliai.Intl.AP</t>
  </si>
  <si>
    <t>Custom-265021</t>
  </si>
  <si>
    <t>Klaipeda</t>
  </si>
  <si>
    <t>Custom-265090</t>
  </si>
  <si>
    <t>TE</t>
  </si>
  <si>
    <t>Telsiai</t>
  </si>
  <si>
    <t>Laukuva</t>
  </si>
  <si>
    <t>Custom-265180</t>
  </si>
  <si>
    <t>Siauliai</t>
  </si>
  <si>
    <t>Custom-265240</t>
  </si>
  <si>
    <t>PN</t>
  </si>
  <si>
    <t>Panevezys</t>
  </si>
  <si>
    <t>Birzai</t>
  </si>
  <si>
    <t>Custom-265310</t>
  </si>
  <si>
    <t>Silute</t>
  </si>
  <si>
    <t>Nida</t>
  </si>
  <si>
    <t>Taurage</t>
  </si>
  <si>
    <t>Dotnuva</t>
  </si>
  <si>
    <t>Raseiniai</t>
  </si>
  <si>
    <t>Kaunas</t>
  </si>
  <si>
    <t>Custom-266290</t>
  </si>
  <si>
    <t>Kaunas.Intl.AP</t>
  </si>
  <si>
    <t>Custom-266295</t>
  </si>
  <si>
    <t>UT</t>
  </si>
  <si>
    <t>Utena</t>
  </si>
  <si>
    <t>Custom-266330</t>
  </si>
  <si>
    <t>Ukmerge</t>
  </si>
  <si>
    <t>MR</t>
  </si>
  <si>
    <t>Kybartai</t>
  </si>
  <si>
    <t>Lazdijai</t>
  </si>
  <si>
    <t>Vilnius.Intl.AP</t>
  </si>
  <si>
    <t>Custom-267300</t>
  </si>
  <si>
    <t>Senoji.Varena</t>
  </si>
  <si>
    <t>LUX</t>
  </si>
  <si>
    <t>DI</t>
  </si>
  <si>
    <t>Clervaux</t>
  </si>
  <si>
    <t>065850</t>
  </si>
  <si>
    <t>Luxembourg.Univ</t>
  </si>
  <si>
    <t>065890</t>
  </si>
  <si>
    <t>Luxembourg.Intl.AP</t>
  </si>
  <si>
    <t>065900</t>
  </si>
  <si>
    <t>Custom-065900</t>
  </si>
  <si>
    <t>Echternach</t>
  </si>
  <si>
    <t>065970</t>
  </si>
  <si>
    <t>LVA</t>
  </si>
  <si>
    <t>Ainazi</t>
  </si>
  <si>
    <t>Custom-262290</t>
  </si>
  <si>
    <t>Rujiena</t>
  </si>
  <si>
    <t>Custom-262380</t>
  </si>
  <si>
    <t>KR</t>
  </si>
  <si>
    <t>Kolka</t>
  </si>
  <si>
    <t>Custom-263130</t>
  </si>
  <si>
    <t>Ventspils</t>
  </si>
  <si>
    <t>Custom-263140</t>
  </si>
  <si>
    <t>Dizstende</t>
  </si>
  <si>
    <t>Custom-263180</t>
  </si>
  <si>
    <t>Mersrags</t>
  </si>
  <si>
    <t>Custom-263240</t>
  </si>
  <si>
    <t>Skulte</t>
  </si>
  <si>
    <t>Custom-263260</t>
  </si>
  <si>
    <t>Priekuli</t>
  </si>
  <si>
    <t>Custom-263350</t>
  </si>
  <si>
    <t>Zoseni</t>
  </si>
  <si>
    <t>Custom-263390</t>
  </si>
  <si>
    <t>Aluksne</t>
  </si>
  <si>
    <t>Custom-263460</t>
  </si>
  <si>
    <t>Gulbene</t>
  </si>
  <si>
    <t>Custom-263480</t>
  </si>
  <si>
    <t>LT</t>
  </si>
  <si>
    <t>Vilaka</t>
  </si>
  <si>
    <t>Pavilosta</t>
  </si>
  <si>
    <t>Custom-264030</t>
  </si>
  <si>
    <t>Liepaja</t>
  </si>
  <si>
    <t>Custom-264060</t>
  </si>
  <si>
    <t>Kazdanga</t>
  </si>
  <si>
    <t>Saldus</t>
  </si>
  <si>
    <t>Custom-264160</t>
  </si>
  <si>
    <t>ZM</t>
  </si>
  <si>
    <t>Auce</t>
  </si>
  <si>
    <t>Riga</t>
  </si>
  <si>
    <t>Custom-264220</t>
  </si>
  <si>
    <t>Dobele</t>
  </si>
  <si>
    <t>Custom-264240</t>
  </si>
  <si>
    <t>Jelgava</t>
  </si>
  <si>
    <t>Custom-264250</t>
  </si>
  <si>
    <t>Bauska</t>
  </si>
  <si>
    <t>Custom-264290</t>
  </si>
  <si>
    <t>Skriveri</t>
  </si>
  <si>
    <t>Custom-264350</t>
  </si>
  <si>
    <t>Zilani</t>
  </si>
  <si>
    <t>Custom-264360</t>
  </si>
  <si>
    <t>Rezekne</t>
  </si>
  <si>
    <t>Custom-264460</t>
  </si>
  <si>
    <t>Madona</t>
  </si>
  <si>
    <t>Custom-264470</t>
  </si>
  <si>
    <t>Rucava</t>
  </si>
  <si>
    <t>Daugavpils</t>
  </si>
  <si>
    <t>Custom-265440</t>
  </si>
  <si>
    <t>Dagda</t>
  </si>
  <si>
    <t>MCO</t>
  </si>
  <si>
    <t>Larvotto</t>
  </si>
  <si>
    <t>MCO001</t>
  </si>
  <si>
    <t>Monte.Carlo</t>
  </si>
  <si>
    <t>MCO002</t>
  </si>
  <si>
    <t>MDA</t>
  </si>
  <si>
    <t>Briceni</t>
  </si>
  <si>
    <t>Soroca</t>
  </si>
  <si>
    <t>Camenca</t>
  </si>
  <si>
    <t>FL</t>
  </si>
  <si>
    <t>Marculesti.Intl.AP</t>
  </si>
  <si>
    <t>Falesti</t>
  </si>
  <si>
    <t>Balti</t>
  </si>
  <si>
    <t>UN</t>
  </si>
  <si>
    <t>Cornesti</t>
  </si>
  <si>
    <t>Bravicea</t>
  </si>
  <si>
    <t>Ribnita</t>
  </si>
  <si>
    <t>CU</t>
  </si>
  <si>
    <t>Chisinau</t>
  </si>
  <si>
    <t>Custom-338150</t>
  </si>
  <si>
    <t>Karpineny</t>
  </si>
  <si>
    <t>Dubasari</t>
  </si>
  <si>
    <t>Tiraspol</t>
  </si>
  <si>
    <t>Chisinau.Intl.AP</t>
  </si>
  <si>
    <t>Custom-338387</t>
  </si>
  <si>
    <t>Balti.Intl.AP</t>
  </si>
  <si>
    <t>Custom-338388</t>
  </si>
  <si>
    <t>Leova</t>
  </si>
  <si>
    <t>Komrat</t>
  </si>
  <si>
    <t>CA</t>
  </si>
  <si>
    <t>Cahul</t>
  </si>
  <si>
    <t>Ceadir.Lunga</t>
  </si>
  <si>
    <t>SV</t>
  </si>
  <si>
    <t>Stefan.Voda</t>
  </si>
  <si>
    <t>Olanesti</t>
  </si>
  <si>
    <t>MKD</t>
  </si>
  <si>
    <t>SWR</t>
  </si>
  <si>
    <t>Popova.Sapka.Ski.Resort</t>
  </si>
  <si>
    <t>Custom-134920</t>
  </si>
  <si>
    <t>NER</t>
  </si>
  <si>
    <t>Kriva.Palanka</t>
  </si>
  <si>
    <t>Custom-134930</t>
  </si>
  <si>
    <t>PGR</t>
  </si>
  <si>
    <t>Tetovo</t>
  </si>
  <si>
    <t>Pozharane-PGC</t>
  </si>
  <si>
    <t>Mavrovo</t>
  </si>
  <si>
    <t>Lazaropole</t>
  </si>
  <si>
    <t>Custom-135770</t>
  </si>
  <si>
    <t>Ohrid.Intl.AP</t>
  </si>
  <si>
    <t>Custom-135780</t>
  </si>
  <si>
    <t>Ohrid</t>
  </si>
  <si>
    <t>Custom-135790</t>
  </si>
  <si>
    <t>PLR</t>
  </si>
  <si>
    <t>Pretor-PGC</t>
  </si>
  <si>
    <t>Topolcani-PGC</t>
  </si>
  <si>
    <t>Krushevo</t>
  </si>
  <si>
    <t>Bitola</t>
  </si>
  <si>
    <t>Custom-135830</t>
  </si>
  <si>
    <t>SKR</t>
  </si>
  <si>
    <t>Solunska.Glava.Mtn-Jakupica.Mtns</t>
  </si>
  <si>
    <t>Custom-135840</t>
  </si>
  <si>
    <t>Prilep</t>
  </si>
  <si>
    <t>Custom-135850</t>
  </si>
  <si>
    <t>Skopje.Intl.AP</t>
  </si>
  <si>
    <t>Custom-135860</t>
  </si>
  <si>
    <t>Skopje-Zajcev.Rid.Met.Stn</t>
  </si>
  <si>
    <t>VRR</t>
  </si>
  <si>
    <t>Guriste-PGC</t>
  </si>
  <si>
    <t>ESR</t>
  </si>
  <si>
    <t>Shtip</t>
  </si>
  <si>
    <t>Custom-135910</t>
  </si>
  <si>
    <t>Demir.Kapija</t>
  </si>
  <si>
    <t>Custom-135920</t>
  </si>
  <si>
    <t>SER</t>
  </si>
  <si>
    <t>Pozar-PGC</t>
  </si>
  <si>
    <t>Vinica-PGC</t>
  </si>
  <si>
    <t>Strumitsa</t>
  </si>
  <si>
    <t>Gevgelija</t>
  </si>
  <si>
    <t>Custom-135970</t>
  </si>
  <si>
    <t>Berovo</t>
  </si>
  <si>
    <t>Custom-135980</t>
  </si>
  <si>
    <t>MLT</t>
  </si>
  <si>
    <t>Luqa-Malta.Intl.AP</t>
  </si>
  <si>
    <t>Custom-165970</t>
  </si>
  <si>
    <t>Mosta-Santa.Margerita</t>
  </si>
  <si>
    <t>Gudja</t>
  </si>
  <si>
    <t>MNE</t>
  </si>
  <si>
    <t>ZA</t>
  </si>
  <si>
    <t>Zabljak</t>
  </si>
  <si>
    <t>Custom-133610</t>
  </si>
  <si>
    <t>Plevlja</t>
  </si>
  <si>
    <t>Custom-133630</t>
  </si>
  <si>
    <t>HN</t>
  </si>
  <si>
    <t>Herceg-Novi.Igalo</t>
  </si>
  <si>
    <t>Tivat.AP</t>
  </si>
  <si>
    <t>Custom-134570</t>
  </si>
  <si>
    <t>Niksic</t>
  </si>
  <si>
    <t>Custom-134590</t>
  </si>
  <si>
    <t>Bar</t>
  </si>
  <si>
    <t>Custom-134610</t>
  </si>
  <si>
    <t>Podgorica.AP</t>
  </si>
  <si>
    <t>Custom-134620</t>
  </si>
  <si>
    <t>Podgorica-Titograd.District</t>
  </si>
  <si>
    <t>Custom-134630</t>
  </si>
  <si>
    <t>UL</t>
  </si>
  <si>
    <t>Ulcinj</t>
  </si>
  <si>
    <t>Custom-134640</t>
  </si>
  <si>
    <t>Kolasin</t>
  </si>
  <si>
    <t>Custom-134650</t>
  </si>
  <si>
    <t>NLD</t>
  </si>
  <si>
    <t>Ypenburg</t>
  </si>
  <si>
    <t>062000</t>
  </si>
  <si>
    <t>Valkenburg.AP</t>
  </si>
  <si>
    <t>062100</t>
  </si>
  <si>
    <t>Custom-062100</t>
  </si>
  <si>
    <t>Texel.Island</t>
  </si>
  <si>
    <t>062200</t>
  </si>
  <si>
    <t>NH</t>
  </si>
  <si>
    <t>Ijmuiden</t>
  </si>
  <si>
    <t>062250</t>
  </si>
  <si>
    <t>Den.Helder.AP</t>
  </si>
  <si>
    <t>062350</t>
  </si>
  <si>
    <t>Custom-062350</t>
  </si>
  <si>
    <t>Amsterdam-Schipol.AP</t>
  </si>
  <si>
    <t>062400</t>
  </si>
  <si>
    <t>Custom-062400</t>
  </si>
  <si>
    <t>Vlieland.Island</t>
  </si>
  <si>
    <t>062420</t>
  </si>
  <si>
    <t>Custom-062420</t>
  </si>
  <si>
    <t>Hooran.AWS</t>
  </si>
  <si>
    <t>062440</t>
  </si>
  <si>
    <t>Bloemendaal</t>
  </si>
  <si>
    <t>062470</t>
  </si>
  <si>
    <t>Wijdenes.WP</t>
  </si>
  <si>
    <t>062480</t>
  </si>
  <si>
    <t>Berkhout</t>
  </si>
  <si>
    <t>062490</t>
  </si>
  <si>
    <t>Custom-062490</t>
  </si>
  <si>
    <t>West.Terschelling</t>
  </si>
  <si>
    <t>062500</t>
  </si>
  <si>
    <t>Terschelling.Hoorn</t>
  </si>
  <si>
    <t>062510</t>
  </si>
  <si>
    <t>Custom-062510</t>
  </si>
  <si>
    <t>Wijk.aan.Zee</t>
  </si>
  <si>
    <t>062570</t>
  </si>
  <si>
    <t>Custom-062570</t>
  </si>
  <si>
    <t>De.Bilt</t>
  </si>
  <si>
    <t>062600</t>
  </si>
  <si>
    <t>Custom-062600</t>
  </si>
  <si>
    <t>Soesterberg.AB</t>
  </si>
  <si>
    <t>062650</t>
  </si>
  <si>
    <t>Custom-062650</t>
  </si>
  <si>
    <t>Stavoren</t>
  </si>
  <si>
    <t>062670</t>
  </si>
  <si>
    <t>Custom-062670</t>
  </si>
  <si>
    <t>Houtrib</t>
  </si>
  <si>
    <t>062680</t>
  </si>
  <si>
    <t>Lelystad.AP</t>
  </si>
  <si>
    <t>062690</t>
  </si>
  <si>
    <t>Custom-062690</t>
  </si>
  <si>
    <t>Leeuwarden.AB</t>
  </si>
  <si>
    <t>062700</t>
  </si>
  <si>
    <t>Custom-062700</t>
  </si>
  <si>
    <t>Ramspol</t>
  </si>
  <si>
    <t>062720</t>
  </si>
  <si>
    <t>Marknesse</t>
  </si>
  <si>
    <t>062730</t>
  </si>
  <si>
    <t>Custom-062730</t>
  </si>
  <si>
    <t>Deelen.AB</t>
  </si>
  <si>
    <t>062750</t>
  </si>
  <si>
    <t>Custom-062750</t>
  </si>
  <si>
    <t>Lauwersoog</t>
  </si>
  <si>
    <t>062770</t>
  </si>
  <si>
    <t>Custom-062770</t>
  </si>
  <si>
    <t>OV</t>
  </si>
  <si>
    <t>Heino</t>
  </si>
  <si>
    <t>062780</t>
  </si>
  <si>
    <t>Custom-062780</t>
  </si>
  <si>
    <t>DR</t>
  </si>
  <si>
    <t>Hoogeveen</t>
  </si>
  <si>
    <t>062790</t>
  </si>
  <si>
    <t>Custom-062790</t>
  </si>
  <si>
    <t>Eelde-Groningen.AP</t>
  </si>
  <si>
    <t>062800</t>
  </si>
  <si>
    <t>Custom-062800</t>
  </si>
  <si>
    <t>Hupsel</t>
  </si>
  <si>
    <t>062830</t>
  </si>
  <si>
    <t>Custom-062830</t>
  </si>
  <si>
    <t>Nieuw.Beerta</t>
  </si>
  <si>
    <t>062860</t>
  </si>
  <si>
    <t>Custom-062860</t>
  </si>
  <si>
    <t>Twenthe-Enschede.AP</t>
  </si>
  <si>
    <t>062900</t>
  </si>
  <si>
    <t>Custom-062900</t>
  </si>
  <si>
    <t>ZE</t>
  </si>
  <si>
    <t>Noordhinder.Lightship</t>
  </si>
  <si>
    <t>063000</t>
  </si>
  <si>
    <t>Vlissingen</t>
  </si>
  <si>
    <t>063100</t>
  </si>
  <si>
    <t>Custom-063100</t>
  </si>
  <si>
    <t>Hansweert</t>
  </si>
  <si>
    <t>063150</t>
  </si>
  <si>
    <t>Oosterschelde-Delta.Park.Neeltje.Jans</t>
  </si>
  <si>
    <t>063160</t>
  </si>
  <si>
    <t>Westdorpe</t>
  </si>
  <si>
    <t>063190</t>
  </si>
  <si>
    <t>Custom-063190</t>
  </si>
  <si>
    <t>Lichteiland.Goeree.Platform</t>
  </si>
  <si>
    <t>063200</t>
  </si>
  <si>
    <t>Custom-063200</t>
  </si>
  <si>
    <t>Wilhelminadorp</t>
  </si>
  <si>
    <t>063230</t>
  </si>
  <si>
    <t>Custom-063230</t>
  </si>
  <si>
    <t>Stavenisse.Nature.Preserve</t>
  </si>
  <si>
    <t>063240</t>
  </si>
  <si>
    <t>Zierikzee</t>
  </si>
  <si>
    <t>063250</t>
  </si>
  <si>
    <t>Hoek.van.Holland</t>
  </si>
  <si>
    <t>063300</t>
  </si>
  <si>
    <t>Custom-063300</t>
  </si>
  <si>
    <t>NB</t>
  </si>
  <si>
    <t>Woensdrecht.AB</t>
  </si>
  <si>
    <t>063400</t>
  </si>
  <si>
    <t>Custom-063400</t>
  </si>
  <si>
    <t>Rotterdam.Geulhaven.AWS</t>
  </si>
  <si>
    <t>063430</t>
  </si>
  <si>
    <t>Rotterdam.The.Hague.AP</t>
  </si>
  <si>
    <t>063440</t>
  </si>
  <si>
    <t>Custom-063440</t>
  </si>
  <si>
    <t>Cabauw.Tower</t>
  </si>
  <si>
    <t>063480</t>
  </si>
  <si>
    <t>Custom-063480</t>
  </si>
  <si>
    <t>Gilze-Rijen.AB</t>
  </si>
  <si>
    <t>063500</t>
  </si>
  <si>
    <t>Custom-063500</t>
  </si>
  <si>
    <t>Herwijnen</t>
  </si>
  <si>
    <t>063560</t>
  </si>
  <si>
    <t>Custom-063560</t>
  </si>
  <si>
    <t>Eindhoven.AP</t>
  </si>
  <si>
    <t>063700</t>
  </si>
  <si>
    <t>Custom-063700</t>
  </si>
  <si>
    <t>Volkel.AB</t>
  </si>
  <si>
    <t>063750</t>
  </si>
  <si>
    <t>Custom-063750</t>
  </si>
  <si>
    <t>Ell</t>
  </si>
  <si>
    <t>063770</t>
  </si>
  <si>
    <t>Custom-063770</t>
  </si>
  <si>
    <t>Maastricht.Aachen.AP</t>
  </si>
  <si>
    <t>063800</t>
  </si>
  <si>
    <t>Custom-063800</t>
  </si>
  <si>
    <t>De.Peel.AFB</t>
  </si>
  <si>
    <t>063850</t>
  </si>
  <si>
    <t>Arcen</t>
  </si>
  <si>
    <t>063910</t>
  </si>
  <si>
    <t>Custom-063910</t>
  </si>
  <si>
    <t>Sorstokken-Stord.AP</t>
  </si>
  <si>
    <t>010014</t>
  </si>
  <si>
    <t>Bringeland-Forde.AP</t>
  </si>
  <si>
    <t>010015</t>
  </si>
  <si>
    <t>Andoya.AP</t>
  </si>
  <si>
    <t>010100</t>
  </si>
  <si>
    <t>Custom-010100</t>
  </si>
  <si>
    <t>Senja.Laukhella</t>
  </si>
  <si>
    <t>010140</t>
  </si>
  <si>
    <t>Custom-010140</t>
  </si>
  <si>
    <t>Hekkingen.Lighthouse</t>
  </si>
  <si>
    <t>010150</t>
  </si>
  <si>
    <t>Custom-010150</t>
  </si>
  <si>
    <t>Bardufoss.AP</t>
  </si>
  <si>
    <t>010230</t>
  </si>
  <si>
    <t>Custom-010230</t>
  </si>
  <si>
    <t>Tromso.AP-Langnes</t>
  </si>
  <si>
    <t>010250</t>
  </si>
  <si>
    <t>Custom-010250</t>
  </si>
  <si>
    <t>Tromso</t>
  </si>
  <si>
    <t>010260</t>
  </si>
  <si>
    <t>Custom-010260</t>
  </si>
  <si>
    <t>Tromso-Holt</t>
  </si>
  <si>
    <t>010270</t>
  </si>
  <si>
    <t>Custom-010270</t>
  </si>
  <si>
    <t>Kistefjell</t>
  </si>
  <si>
    <t>010300</t>
  </si>
  <si>
    <t>Overbygd</t>
  </si>
  <si>
    <t>010320</t>
  </si>
  <si>
    <t>Torsvag.Lighthouse</t>
  </si>
  <si>
    <t>010330</t>
  </si>
  <si>
    <t>Custom-010330</t>
  </si>
  <si>
    <t>FI</t>
  </si>
  <si>
    <t>Fugloykalven.Lighthouse</t>
  </si>
  <si>
    <t>010340</t>
  </si>
  <si>
    <t>Lyngen-Gjerdvassbu</t>
  </si>
  <si>
    <t>010350</t>
  </si>
  <si>
    <t>Custom-010350</t>
  </si>
  <si>
    <t>Nordnesfjellet</t>
  </si>
  <si>
    <t>010360</t>
  </si>
  <si>
    <t>Skibotn</t>
  </si>
  <si>
    <t>010370</t>
  </si>
  <si>
    <t>Custom-010370</t>
  </si>
  <si>
    <t>Nordreisa-Oyeng</t>
  </si>
  <si>
    <t>010410</t>
  </si>
  <si>
    <t>Hasvik-Sluskfjellet</t>
  </si>
  <si>
    <t>010420</t>
  </si>
  <si>
    <t>Custom-010420</t>
  </si>
  <si>
    <t>Rognsundet</t>
  </si>
  <si>
    <t>010430</t>
  </si>
  <si>
    <t>Custom-010430</t>
  </si>
  <si>
    <t>Hasvik.AP</t>
  </si>
  <si>
    <t>010440</t>
  </si>
  <si>
    <t>Custom-010440</t>
  </si>
  <si>
    <t>Nordstraum-Kvaenangen</t>
  </si>
  <si>
    <t>010450</t>
  </si>
  <si>
    <t>Custom-010450</t>
  </si>
  <si>
    <t>Sorkjosen.AP</t>
  </si>
  <si>
    <t>010460</t>
  </si>
  <si>
    <t>Custom-010460</t>
  </si>
  <si>
    <t>Kautokeino</t>
  </si>
  <si>
    <t>010470</t>
  </si>
  <si>
    <t>Custom-010470</t>
  </si>
  <si>
    <t>Alta.AP</t>
  </si>
  <si>
    <t>010490</t>
  </si>
  <si>
    <t>Custom-010490</t>
  </si>
  <si>
    <t>Hammerfest.AP</t>
  </si>
  <si>
    <t>010520</t>
  </si>
  <si>
    <t>Custom-010520</t>
  </si>
  <si>
    <t>Fruholmen.Lighthouse</t>
  </si>
  <si>
    <t>010550</t>
  </si>
  <si>
    <t>Custom-010550</t>
  </si>
  <si>
    <t>Cuovddatmohkki</t>
  </si>
  <si>
    <t>010570</t>
  </si>
  <si>
    <t>Custom-010570</t>
  </si>
  <si>
    <t>Suolovuopmi-Lulit</t>
  </si>
  <si>
    <t>010580</t>
  </si>
  <si>
    <t>Custom-010580</t>
  </si>
  <si>
    <t>Banak-Lakselv.AP</t>
  </si>
  <si>
    <t>010590</t>
  </si>
  <si>
    <t>Custom-010590</t>
  </si>
  <si>
    <t>Kistrand</t>
  </si>
  <si>
    <t>010630</t>
  </si>
  <si>
    <t>Karasjok</t>
  </si>
  <si>
    <t>010650</t>
  </si>
  <si>
    <t>Custom-010650</t>
  </si>
  <si>
    <t>Helnes.Lighthouse</t>
  </si>
  <si>
    <t>010660</t>
  </si>
  <si>
    <t>Honningsvag.AP</t>
  </si>
  <si>
    <t>010680</t>
  </si>
  <si>
    <t>Custom-010680</t>
  </si>
  <si>
    <t>Mehamn.AP</t>
  </si>
  <si>
    <t>010740</t>
  </si>
  <si>
    <t>Custom-010740</t>
  </si>
  <si>
    <t>Rustefjelbma</t>
  </si>
  <si>
    <t>010750</t>
  </si>
  <si>
    <t>Custom-010750</t>
  </si>
  <si>
    <t>Tanabru</t>
  </si>
  <si>
    <t>010760</t>
  </si>
  <si>
    <t>Custom-010760</t>
  </si>
  <si>
    <t>Slettnes.Lighthouse</t>
  </si>
  <si>
    <t>010780</t>
  </si>
  <si>
    <t>Custom-010780</t>
  </si>
  <si>
    <t>Nyrud</t>
  </si>
  <si>
    <t>010820</t>
  </si>
  <si>
    <t>Custom-010820</t>
  </si>
  <si>
    <t>Berlevag.AP</t>
  </si>
  <si>
    <t>010830</t>
  </si>
  <si>
    <t>Custom-010830</t>
  </si>
  <si>
    <t>Pasvik</t>
  </si>
  <si>
    <t>010840</t>
  </si>
  <si>
    <t>Custom-010840</t>
  </si>
  <si>
    <t>Batsfjord.AP</t>
  </si>
  <si>
    <t>010860</t>
  </si>
  <si>
    <t>Custom-010860</t>
  </si>
  <si>
    <t>Vadso.AP</t>
  </si>
  <si>
    <t>010880</t>
  </si>
  <si>
    <t>Custom-010880</t>
  </si>
  <si>
    <t>Kirkenes.AP-Hoybuktmoen</t>
  </si>
  <si>
    <t>010890</t>
  </si>
  <si>
    <t>Custom-010890</t>
  </si>
  <si>
    <t>Makkaur.Lighthouse</t>
  </si>
  <si>
    <t>010920</t>
  </si>
  <si>
    <t>Custom-010920</t>
  </si>
  <si>
    <t>Vardo</t>
  </si>
  <si>
    <t>010980</t>
  </si>
  <si>
    <t>Custom-010980</t>
  </si>
  <si>
    <t>Vardo.AP-Svartnes</t>
  </si>
  <si>
    <t>010990</t>
  </si>
  <si>
    <t>Custom-010990</t>
  </si>
  <si>
    <t>TD</t>
  </si>
  <si>
    <t>Sklinna.Lighthouse</t>
  </si>
  <si>
    <t>011020</t>
  </si>
  <si>
    <t>Custom-011020</t>
  </si>
  <si>
    <t>Leka</t>
  </si>
  <si>
    <t>011030</t>
  </si>
  <si>
    <t>Rotvaer</t>
  </si>
  <si>
    <t>011050</t>
  </si>
  <si>
    <t>Custom-011050</t>
  </si>
  <si>
    <t>Rost.AP</t>
  </si>
  <si>
    <t>011070</t>
  </si>
  <si>
    <t>Custom-011070</t>
  </si>
  <si>
    <t>Vega.Vallsjo</t>
  </si>
  <si>
    <t>011080</t>
  </si>
  <si>
    <t>Custom-011080</t>
  </si>
  <si>
    <t>Ytterholmen.Lighthouse</t>
  </si>
  <si>
    <t>011100</t>
  </si>
  <si>
    <t>Bronnoysund.AP</t>
  </si>
  <si>
    <t>011120</t>
  </si>
  <si>
    <t>Custom-011120</t>
  </si>
  <si>
    <t>Dagali.AP</t>
  </si>
  <si>
    <t>011133</t>
  </si>
  <si>
    <t>Reipa</t>
  </si>
  <si>
    <t>011140</t>
  </si>
  <si>
    <t>Custom-011140</t>
  </si>
  <si>
    <t>Myken</t>
  </si>
  <si>
    <t>011150</t>
  </si>
  <si>
    <t>Custom-011150</t>
  </si>
  <si>
    <t>Sandnessjoen.AP-Stokka</t>
  </si>
  <si>
    <t>011160</t>
  </si>
  <si>
    <t>Custom-011160</t>
  </si>
  <si>
    <t>AK</t>
  </si>
  <si>
    <t>Tjotta</t>
  </si>
  <si>
    <t>011170</t>
  </si>
  <si>
    <t>Custom-011170</t>
  </si>
  <si>
    <t>Solvaer</t>
  </si>
  <si>
    <t>011210</t>
  </si>
  <si>
    <t>Custom-011210</t>
  </si>
  <si>
    <t>Mosjoen.AP-Kjaerstad</t>
  </si>
  <si>
    <t>011220</t>
  </si>
  <si>
    <t>Custom-011220</t>
  </si>
  <si>
    <t>Snasa</t>
  </si>
  <si>
    <t>011240</t>
  </si>
  <si>
    <t>Custom-011240</t>
  </si>
  <si>
    <t>Majavatn</t>
  </si>
  <si>
    <t>011320</t>
  </si>
  <si>
    <t>Custom-011320</t>
  </si>
  <si>
    <t>Laksfors</t>
  </si>
  <si>
    <t>011330</t>
  </si>
  <si>
    <t>Custom-011330</t>
  </si>
  <si>
    <t>Seljelia</t>
  </si>
  <si>
    <t>011350</t>
  </si>
  <si>
    <t>Custom-011350</t>
  </si>
  <si>
    <t>Stott</t>
  </si>
  <si>
    <t>011370</t>
  </si>
  <si>
    <t>Tennholmen.Lighthouse</t>
  </si>
  <si>
    <t>011380</t>
  </si>
  <si>
    <t>Vaeroy.Heli</t>
  </si>
  <si>
    <t>011390</t>
  </si>
  <si>
    <t>Custom-011390</t>
  </si>
  <si>
    <t>Leknes.AP</t>
  </si>
  <si>
    <t>011410</t>
  </si>
  <si>
    <t>Drag.Ajluokta</t>
  </si>
  <si>
    <t>011430</t>
  </si>
  <si>
    <t>Custom-011430</t>
  </si>
  <si>
    <t>Helligvaer</t>
  </si>
  <si>
    <t>011440</t>
  </si>
  <si>
    <t>Custom-011440</t>
  </si>
  <si>
    <t>Skamdal</t>
  </si>
  <si>
    <t>011460</t>
  </si>
  <si>
    <t>Custom-011460</t>
  </si>
  <si>
    <t>Varntresk</t>
  </si>
  <si>
    <t>011470</t>
  </si>
  <si>
    <t>Custom-011470</t>
  </si>
  <si>
    <t>Storforshei</t>
  </si>
  <si>
    <t>011480</t>
  </si>
  <si>
    <t>Custom-011480</t>
  </si>
  <si>
    <t>Rana.Basmoen</t>
  </si>
  <si>
    <t>011490</t>
  </si>
  <si>
    <t>Hjartasen</t>
  </si>
  <si>
    <t>011500</t>
  </si>
  <si>
    <t>Custom-011500</t>
  </si>
  <si>
    <t>Mo.i.Rana.AP-Rossvoll</t>
  </si>
  <si>
    <t>011510</t>
  </si>
  <si>
    <t>Custom-011510</t>
  </si>
  <si>
    <t>Bodo.AP</t>
  </si>
  <si>
    <t>011520</t>
  </si>
  <si>
    <t>Custom-011520</t>
  </si>
  <si>
    <t>Litloy.Lighthouse</t>
  </si>
  <si>
    <t>011540</t>
  </si>
  <si>
    <t>Bo.i.Vesteralen</t>
  </si>
  <si>
    <t>011560</t>
  </si>
  <si>
    <t>Custom-011560</t>
  </si>
  <si>
    <t>Setsa</t>
  </si>
  <si>
    <t>011580</t>
  </si>
  <si>
    <t>Custom-011580</t>
  </si>
  <si>
    <t>Skrova.Lighthouse</t>
  </si>
  <si>
    <t>011600</t>
  </si>
  <si>
    <t>Custom-011600</t>
  </si>
  <si>
    <t>Svolvaer.AP-Helle</t>
  </si>
  <si>
    <t>011610</t>
  </si>
  <si>
    <t>Custom-011610</t>
  </si>
  <si>
    <t>Storkmarknes.AP-Skagen</t>
  </si>
  <si>
    <t>011620</t>
  </si>
  <si>
    <t>Custom-011620</t>
  </si>
  <si>
    <t>Sortland</t>
  </si>
  <si>
    <t>011670</t>
  </si>
  <si>
    <t>Custom-011670</t>
  </si>
  <si>
    <t>Kleiva.I.Sortland</t>
  </si>
  <si>
    <t>011680</t>
  </si>
  <si>
    <t>Saltdal-Nordnes</t>
  </si>
  <si>
    <t>011690</t>
  </si>
  <si>
    <t>Custom-011690</t>
  </si>
  <si>
    <t>Fauske.Veten</t>
  </si>
  <si>
    <t>011700</t>
  </si>
  <si>
    <t>Finnoy.i.Hamaroy</t>
  </si>
  <si>
    <t>011720</t>
  </si>
  <si>
    <t>Harstad</t>
  </si>
  <si>
    <t>011800</t>
  </si>
  <si>
    <t>Custom-011800</t>
  </si>
  <si>
    <t>Evenskjer</t>
  </si>
  <si>
    <t>011820</t>
  </si>
  <si>
    <t>Harstad-Narvik.AP-Evenes</t>
  </si>
  <si>
    <t>011830</t>
  </si>
  <si>
    <t>Custom-011830</t>
  </si>
  <si>
    <t>Sandsoy</t>
  </si>
  <si>
    <t>011840</t>
  </si>
  <si>
    <t>Liland</t>
  </si>
  <si>
    <t>011890</t>
  </si>
  <si>
    <t>Skjomen.Slettjord</t>
  </si>
  <si>
    <t>011910</t>
  </si>
  <si>
    <t>Straumsnes</t>
  </si>
  <si>
    <t>011920</t>
  </si>
  <si>
    <t>Custom-011920</t>
  </si>
  <si>
    <t>Narvik.AP-Framnes</t>
  </si>
  <si>
    <t>011940</t>
  </si>
  <si>
    <t>Custom-011940</t>
  </si>
  <si>
    <t>Tennevoll</t>
  </si>
  <si>
    <t>011960</t>
  </si>
  <si>
    <t>Dividalen</t>
  </si>
  <si>
    <t>011980</t>
  </si>
  <si>
    <t>Custom-011980</t>
  </si>
  <si>
    <t>Sihccajavri</t>
  </si>
  <si>
    <t>011990</t>
  </si>
  <si>
    <t>Custom-011990</t>
  </si>
  <si>
    <t>Krakenes.Lighthouse</t>
  </si>
  <si>
    <t>012030</t>
  </si>
  <si>
    <t>Custom-012030</t>
  </si>
  <si>
    <t>Svinoy.Lighthouse</t>
  </si>
  <si>
    <t>012050</t>
  </si>
  <si>
    <t>Custom-012050</t>
  </si>
  <si>
    <t>Fiskabygd</t>
  </si>
  <si>
    <t>012070</t>
  </si>
  <si>
    <t>Custom-012070</t>
  </si>
  <si>
    <t>Orsta.Volda.AP-Hovden</t>
  </si>
  <si>
    <t>012090</t>
  </si>
  <si>
    <t>Custom-012090</t>
  </si>
  <si>
    <t>Alesund.AP-Vigra</t>
  </si>
  <si>
    <t>012100</t>
  </si>
  <si>
    <t>Custom-012100</t>
  </si>
  <si>
    <t>Ona</t>
  </si>
  <si>
    <t>012120</t>
  </si>
  <si>
    <t>Custom-012120</t>
  </si>
  <si>
    <t>Rekdal</t>
  </si>
  <si>
    <t>012140</t>
  </si>
  <si>
    <t>Custom-012140</t>
  </si>
  <si>
    <t>Hjelvik.i.Romsdal</t>
  </si>
  <si>
    <t>012160</t>
  </si>
  <si>
    <t>Molde.AP-Aro</t>
  </si>
  <si>
    <t>012170</t>
  </si>
  <si>
    <t>Custom-012170</t>
  </si>
  <si>
    <t>Tafjord</t>
  </si>
  <si>
    <t>012180</t>
  </si>
  <si>
    <t>Custom-012180</t>
  </si>
  <si>
    <t>Mannen</t>
  </si>
  <si>
    <t>012200</t>
  </si>
  <si>
    <t>Custom-012200</t>
  </si>
  <si>
    <t>Tagdalen</t>
  </si>
  <si>
    <t>012210</t>
  </si>
  <si>
    <t>Custom-012210</t>
  </si>
  <si>
    <t>Kristiansund.AP-Kvernberget</t>
  </si>
  <si>
    <t>012230</t>
  </si>
  <si>
    <t>Custom-012230</t>
  </si>
  <si>
    <t>Aalesund</t>
  </si>
  <si>
    <t>012240</t>
  </si>
  <si>
    <t>Custom-012240</t>
  </si>
  <si>
    <t>Veiholmen</t>
  </si>
  <si>
    <t>012250</t>
  </si>
  <si>
    <t>Custom-012250</t>
  </si>
  <si>
    <t>Innerdalen</t>
  </si>
  <si>
    <t>012270</t>
  </si>
  <si>
    <t>Custom-012270</t>
  </si>
  <si>
    <t>Sula</t>
  </si>
  <si>
    <t>012280</t>
  </si>
  <si>
    <t>Custom-012280</t>
  </si>
  <si>
    <t>OP</t>
  </si>
  <si>
    <t>Bjorli</t>
  </si>
  <si>
    <t>012300</t>
  </si>
  <si>
    <t>Custom-012300</t>
  </si>
  <si>
    <t>Lesjaskog</t>
  </si>
  <si>
    <t>012310</t>
  </si>
  <si>
    <t>Marstein</t>
  </si>
  <si>
    <t>012320</t>
  </si>
  <si>
    <t>Custom-012320</t>
  </si>
  <si>
    <t>Dombaas</t>
  </si>
  <si>
    <t>012330</t>
  </si>
  <si>
    <t>Custom-012330</t>
  </si>
  <si>
    <t>Orkdal-Thamshamn</t>
  </si>
  <si>
    <t>012340</t>
  </si>
  <si>
    <t>Custom-012340</t>
  </si>
  <si>
    <t>Hitra</t>
  </si>
  <si>
    <t>012370</t>
  </si>
  <si>
    <t>Custom-012370</t>
  </si>
  <si>
    <t>Fokstua</t>
  </si>
  <si>
    <t>012380</t>
  </si>
  <si>
    <t>Custom-012380</t>
  </si>
  <si>
    <t>Hjerkinn</t>
  </si>
  <si>
    <t>012390</t>
  </si>
  <si>
    <t>Custom-012390</t>
  </si>
  <si>
    <t>Halten.Lighthouse</t>
  </si>
  <si>
    <t>012400</t>
  </si>
  <si>
    <t>Custom-012400</t>
  </si>
  <si>
    <t>Orland.AP</t>
  </si>
  <si>
    <t>012410</t>
  </si>
  <si>
    <t>Custom-012410</t>
  </si>
  <si>
    <t>Afjord</t>
  </si>
  <si>
    <t>012420</t>
  </si>
  <si>
    <t>Custom-012420</t>
  </si>
  <si>
    <t>Oppdal-Seter</t>
  </si>
  <si>
    <t>012450</t>
  </si>
  <si>
    <t>Custom-012450</t>
  </si>
  <si>
    <t>Folldal.Fredheim</t>
  </si>
  <si>
    <t>012500</t>
  </si>
  <si>
    <t>Custom-012500</t>
  </si>
  <si>
    <t>Berkak.Lyngholt</t>
  </si>
  <si>
    <t>012520</t>
  </si>
  <si>
    <t>Soknedal</t>
  </si>
  <si>
    <t>012530</t>
  </si>
  <si>
    <t>Custom-012530</t>
  </si>
  <si>
    <t>Kotsoy</t>
  </si>
  <si>
    <t>012540</t>
  </si>
  <si>
    <t>Custom-012540</t>
  </si>
  <si>
    <t>Trondheim-Voll</t>
  </si>
  <si>
    <t>012570</t>
  </si>
  <si>
    <t>Custom-012570</t>
  </si>
  <si>
    <t>Buholmrasa.Lighthouse</t>
  </si>
  <si>
    <t>012590</t>
  </si>
  <si>
    <t>Custom-012590</t>
  </si>
  <si>
    <t>Nordoyan.Lighthouse</t>
  </si>
  <si>
    <t>012620</t>
  </si>
  <si>
    <t>Custom-012620</t>
  </si>
  <si>
    <t>Tynset.Hansmoen</t>
  </si>
  <si>
    <t>012650</t>
  </si>
  <si>
    <t>Custom-012650</t>
  </si>
  <si>
    <t>Kvithammer</t>
  </si>
  <si>
    <t>012700</t>
  </si>
  <si>
    <t>Custom-012700</t>
  </si>
  <si>
    <t>Trondheim.AP-Vaernes</t>
  </si>
  <si>
    <t>012710</t>
  </si>
  <si>
    <t>Custom-012710</t>
  </si>
  <si>
    <t>Frosta</t>
  </si>
  <si>
    <t>012720</t>
  </si>
  <si>
    <t>Custom-012720</t>
  </si>
  <si>
    <t>Selbu</t>
  </si>
  <si>
    <t>012730</t>
  </si>
  <si>
    <t>Custom-012730</t>
  </si>
  <si>
    <t>Selbu.Stubbe</t>
  </si>
  <si>
    <t>012740</t>
  </si>
  <si>
    <t>Steinkjer</t>
  </si>
  <si>
    <t>012770</t>
  </si>
  <si>
    <t>Custom-012770</t>
  </si>
  <si>
    <t>Verdal-Reppe</t>
  </si>
  <si>
    <t>012780</t>
  </si>
  <si>
    <t>Custom-012780</t>
  </si>
  <si>
    <t>Namdalseid.Vengstad</t>
  </si>
  <si>
    <t>012800</t>
  </si>
  <si>
    <t>Custom-012800</t>
  </si>
  <si>
    <t>Namsskogan-Trones</t>
  </si>
  <si>
    <t>012810</t>
  </si>
  <si>
    <t>Custom-012810</t>
  </si>
  <si>
    <t>Rorvik.AP-Ryum</t>
  </si>
  <si>
    <t>012820</t>
  </si>
  <si>
    <t>Custom-012820</t>
  </si>
  <si>
    <t>Solendet</t>
  </si>
  <si>
    <t>012870</t>
  </si>
  <si>
    <t>Custom-012870</t>
  </si>
  <si>
    <t>Roros.AP</t>
  </si>
  <si>
    <t>012880</t>
  </si>
  <si>
    <t>Custom-012880</t>
  </si>
  <si>
    <t>Namsos.AP</t>
  </si>
  <si>
    <t>012900</t>
  </si>
  <si>
    <t>Custom-012900</t>
  </si>
  <si>
    <t>Gartland</t>
  </si>
  <si>
    <t>012910</t>
  </si>
  <si>
    <t>Custom-012910</t>
  </si>
  <si>
    <t>Meraker-Egge</t>
  </si>
  <si>
    <t>012930</t>
  </si>
  <si>
    <t>Custom-012930</t>
  </si>
  <si>
    <t>Hoylandet</t>
  </si>
  <si>
    <t>012950</t>
  </si>
  <si>
    <t>Nordli-Holand</t>
  </si>
  <si>
    <t>012980</t>
  </si>
  <si>
    <t>Custom-012980</t>
  </si>
  <si>
    <t>Ytteroyane.Lighthouse</t>
  </si>
  <si>
    <t>013040</t>
  </si>
  <si>
    <t>Custom-013040</t>
  </si>
  <si>
    <t>Hellisoy.Lighthouse</t>
  </si>
  <si>
    <t>013060</t>
  </si>
  <si>
    <t>Fedje</t>
  </si>
  <si>
    <t>013070</t>
  </si>
  <si>
    <t>Custom-013070</t>
  </si>
  <si>
    <t>Furuneset</t>
  </si>
  <si>
    <t>013080</t>
  </si>
  <si>
    <t>Custom-013080</t>
  </si>
  <si>
    <t>Kinn.Island</t>
  </si>
  <si>
    <t>013090</t>
  </si>
  <si>
    <t>Floro.AP</t>
  </si>
  <si>
    <t>013100</t>
  </si>
  <si>
    <t>Custom-013100</t>
  </si>
  <si>
    <t>Bergen.AP-Flesland</t>
  </si>
  <si>
    <t>013110</t>
  </si>
  <si>
    <t>Custom-013110</t>
  </si>
  <si>
    <t>Fossmark</t>
  </si>
  <si>
    <t>013140</t>
  </si>
  <si>
    <t>Custom-013140</t>
  </si>
  <si>
    <t>Evanger</t>
  </si>
  <si>
    <t>013150</t>
  </si>
  <si>
    <t>Custom-013150</t>
  </si>
  <si>
    <t>Bergen-Florida</t>
  </si>
  <si>
    <t>013170</t>
  </si>
  <si>
    <t>Custom-013170</t>
  </si>
  <si>
    <t>Sandane</t>
  </si>
  <si>
    <t>013180</t>
  </si>
  <si>
    <t>Custom-013180</t>
  </si>
  <si>
    <t>Takle</t>
  </si>
  <si>
    <t>013190</t>
  </si>
  <si>
    <t>Custom-013190</t>
  </si>
  <si>
    <t>Sandane.AP-Anda</t>
  </si>
  <si>
    <t>013200</t>
  </si>
  <si>
    <t>Custom-013200</t>
  </si>
  <si>
    <t>Stryn</t>
  </si>
  <si>
    <t>013210</t>
  </si>
  <si>
    <t>Custom-013210</t>
  </si>
  <si>
    <t>Forde.Tefre</t>
  </si>
  <si>
    <t>013220</t>
  </si>
  <si>
    <t>Custom-013220</t>
  </si>
  <si>
    <t>Forde.AP-Bringeland</t>
  </si>
  <si>
    <t>013230</t>
  </si>
  <si>
    <t>Custom-013230</t>
  </si>
  <si>
    <t>Modalen</t>
  </si>
  <si>
    <t>013260</t>
  </si>
  <si>
    <t>Custom-013260</t>
  </si>
  <si>
    <t>Kvamskogen-Jonshogdi</t>
  </si>
  <si>
    <t>013270</t>
  </si>
  <si>
    <t>Custom-013270</t>
  </si>
  <si>
    <t>Kvamsoy.Island</t>
  </si>
  <si>
    <t>013290</t>
  </si>
  <si>
    <t>Custom-013290</t>
  </si>
  <si>
    <t>Omastrand</t>
  </si>
  <si>
    <t>013300</t>
  </si>
  <si>
    <t>Fjaerland.Bremuseet</t>
  </si>
  <si>
    <t>013320</t>
  </si>
  <si>
    <t>Custom-013320</t>
  </si>
  <si>
    <t>Bulken</t>
  </si>
  <si>
    <t>013360</t>
  </si>
  <si>
    <t>Vossevangen</t>
  </si>
  <si>
    <t>013370</t>
  </si>
  <si>
    <t>Custom-013370</t>
  </si>
  <si>
    <t>Vangsnes</t>
  </si>
  <si>
    <t>013380</t>
  </si>
  <si>
    <t>Custom-013380</t>
  </si>
  <si>
    <t>Fet.i.Eidfjord</t>
  </si>
  <si>
    <t>013400</t>
  </si>
  <si>
    <t>Custom-013400</t>
  </si>
  <si>
    <t>Eidfjord</t>
  </si>
  <si>
    <t>013410</t>
  </si>
  <si>
    <t>Ullensvang</t>
  </si>
  <si>
    <t>013420</t>
  </si>
  <si>
    <t>Custom-013420</t>
  </si>
  <si>
    <t>Mjolfjell</t>
  </si>
  <si>
    <t>013440</t>
  </si>
  <si>
    <t>Custom-013440</t>
  </si>
  <si>
    <t>Klevavatnet</t>
  </si>
  <si>
    <t>013450</t>
  </si>
  <si>
    <t>Midtstova</t>
  </si>
  <si>
    <t>013460</t>
  </si>
  <si>
    <t>Custom-013460</t>
  </si>
  <si>
    <t>Sogndal.AP-Haukasen</t>
  </si>
  <si>
    <t>013470</t>
  </si>
  <si>
    <t>Custom-013470</t>
  </si>
  <si>
    <t>Finsevatn</t>
  </si>
  <si>
    <t>013500</t>
  </si>
  <si>
    <t>Custom-013500</t>
  </si>
  <si>
    <t>Sandhaug</t>
  </si>
  <si>
    <t>013520</t>
  </si>
  <si>
    <t>Custom-013520</t>
  </si>
  <si>
    <t>Laerdal</t>
  </si>
  <si>
    <t>013550</t>
  </si>
  <si>
    <t>Custom-013550</t>
  </si>
  <si>
    <t>Fannaraki</t>
  </si>
  <si>
    <t>013560</t>
  </si>
  <si>
    <t>Hollekolten</t>
  </si>
  <si>
    <t>013570</t>
  </si>
  <si>
    <t>Custom-013570</t>
  </si>
  <si>
    <t>Hemsedal</t>
  </si>
  <si>
    <t>013580</t>
  </si>
  <si>
    <t>Custom-013580</t>
  </si>
  <si>
    <t>Geilo-Oldebraten</t>
  </si>
  <si>
    <t>013590</t>
  </si>
  <si>
    <t>Custom-013590</t>
  </si>
  <si>
    <t>Brata.Slettom</t>
  </si>
  <si>
    <t>013600</t>
  </si>
  <si>
    <t>Custom-013600</t>
  </si>
  <si>
    <t>Grotli</t>
  </si>
  <si>
    <t>013610</t>
  </si>
  <si>
    <t>Custom-013610</t>
  </si>
  <si>
    <t>Juvvasshoe</t>
  </si>
  <si>
    <t>013620</t>
  </si>
  <si>
    <t>Custom-013620</t>
  </si>
  <si>
    <t>Filefjell</t>
  </si>
  <si>
    <t>013640</t>
  </si>
  <si>
    <t>Custom-013640</t>
  </si>
  <si>
    <t>Beitostolen</t>
  </si>
  <si>
    <t>013650</t>
  </si>
  <si>
    <t>Custom-013650</t>
  </si>
  <si>
    <t>Sognefjell</t>
  </si>
  <si>
    <t>013660</t>
  </si>
  <si>
    <t>Custom-013660</t>
  </si>
  <si>
    <t>Fagernes</t>
  </si>
  <si>
    <t>013670</t>
  </si>
  <si>
    <t>Custom-013670</t>
  </si>
  <si>
    <t>Fagernes.AP-Leirin</t>
  </si>
  <si>
    <t>013680</t>
  </si>
  <si>
    <t>Custom-013680</t>
  </si>
  <si>
    <t>Abjorsbraten</t>
  </si>
  <si>
    <t>013690</t>
  </si>
  <si>
    <t>Custom-013690</t>
  </si>
  <si>
    <t>Skabu</t>
  </si>
  <si>
    <t>013700</t>
  </si>
  <si>
    <t>Custom-013700</t>
  </si>
  <si>
    <t>Loken.i.Volbu</t>
  </si>
  <si>
    <t>013710</t>
  </si>
  <si>
    <t>Custom-013710</t>
  </si>
  <si>
    <t>Nesbyen-Todokk-Skoglund</t>
  </si>
  <si>
    <t>013730</t>
  </si>
  <si>
    <t>Custom-013730</t>
  </si>
  <si>
    <t>Vest.Torpa</t>
  </si>
  <si>
    <t>013740</t>
  </si>
  <si>
    <t>Custom-013740</t>
  </si>
  <si>
    <t>Kvitfjell</t>
  </si>
  <si>
    <t>013750</t>
  </si>
  <si>
    <t>Custom-013750</t>
  </si>
  <si>
    <t>Gulsvik</t>
  </si>
  <si>
    <t>013760</t>
  </si>
  <si>
    <t>Custom-013760</t>
  </si>
  <si>
    <t>Lillehammer-Saetherengen</t>
  </si>
  <si>
    <t>013780</t>
  </si>
  <si>
    <t>Custom-013780</t>
  </si>
  <si>
    <t>Sor.Nesset</t>
  </si>
  <si>
    <t>013790</t>
  </si>
  <si>
    <t>Venabu</t>
  </si>
  <si>
    <t>013800</t>
  </si>
  <si>
    <t>Custom-013800</t>
  </si>
  <si>
    <t>Apelsvoll</t>
  </si>
  <si>
    <t>013810</t>
  </si>
  <si>
    <t>Custom-013810</t>
  </si>
  <si>
    <t>Kise</t>
  </si>
  <si>
    <t>013820</t>
  </si>
  <si>
    <t>Custom-013820</t>
  </si>
  <si>
    <t>Evenstad.Overenget</t>
  </si>
  <si>
    <t>013830</t>
  </si>
  <si>
    <t>Custom-013830</t>
  </si>
  <si>
    <t>Oslo.AP-Gardermoen</t>
  </si>
  <si>
    <t>013840</t>
  </si>
  <si>
    <t>Custom-013840</t>
  </si>
  <si>
    <t>Hamar.AP</t>
  </si>
  <si>
    <t>013850</t>
  </si>
  <si>
    <t>Custom-013850</t>
  </si>
  <si>
    <t>Hamar</t>
  </si>
  <si>
    <t>013860</t>
  </si>
  <si>
    <t>Custom-013860</t>
  </si>
  <si>
    <t>Favang</t>
  </si>
  <si>
    <t>013870</t>
  </si>
  <si>
    <t>Custom-013870</t>
  </si>
  <si>
    <t>Rena.AP</t>
  </si>
  <si>
    <t>013890</t>
  </si>
  <si>
    <t>Custom-013890</t>
  </si>
  <si>
    <t>Flisa</t>
  </si>
  <si>
    <t>013920</t>
  </si>
  <si>
    <t>Custom-013920</t>
  </si>
  <si>
    <t>Drevsjo</t>
  </si>
  <si>
    <t>013930</t>
  </si>
  <si>
    <t>Custom-013930</t>
  </si>
  <si>
    <t>Trysil.Vegstasjon</t>
  </si>
  <si>
    <t>013970</t>
  </si>
  <si>
    <t>Custom-013970</t>
  </si>
  <si>
    <t>RO</t>
  </si>
  <si>
    <t>Utsira.Lighthouse</t>
  </si>
  <si>
    <t>014030</t>
  </si>
  <si>
    <t>Custom-014030</t>
  </si>
  <si>
    <t>Slatteroy.Lighthouse</t>
  </si>
  <si>
    <t>014060</t>
  </si>
  <si>
    <t>Custom-014060</t>
  </si>
  <si>
    <t>Haugesund.AP-Karmoy</t>
  </si>
  <si>
    <t>014080</t>
  </si>
  <si>
    <t>Custom-014080</t>
  </si>
  <si>
    <t>Kvitsoy-Nordbo</t>
  </si>
  <si>
    <t>014110</t>
  </si>
  <si>
    <t>Custom-014110</t>
  </si>
  <si>
    <t>Obrestad</t>
  </si>
  <si>
    <t>014120</t>
  </si>
  <si>
    <t>Custom-014120</t>
  </si>
  <si>
    <t>Saerheim</t>
  </si>
  <si>
    <t>014130</t>
  </si>
  <si>
    <t>Custom-014130</t>
  </si>
  <si>
    <t>Rovaer</t>
  </si>
  <si>
    <t>014140</t>
  </si>
  <si>
    <t>Custom-014140</t>
  </si>
  <si>
    <t>Stavanger.AP-Sola</t>
  </si>
  <si>
    <t>014150</t>
  </si>
  <si>
    <t>Custom-014150</t>
  </si>
  <si>
    <t>Stavanger.Vaaland</t>
  </si>
  <si>
    <t>014160</t>
  </si>
  <si>
    <t>Custom-014160</t>
  </si>
  <si>
    <t>Nedre.Vats</t>
  </si>
  <si>
    <t>014170</t>
  </si>
  <si>
    <t>Custom-014170</t>
  </si>
  <si>
    <t>Austevoll</t>
  </si>
  <si>
    <t>014180</t>
  </si>
  <si>
    <t>Custom-014180</t>
  </si>
  <si>
    <t>Liarvatn</t>
  </si>
  <si>
    <t>014190</t>
  </si>
  <si>
    <t>Custom-014190</t>
  </si>
  <si>
    <t>Fister.Sigmundstad</t>
  </si>
  <si>
    <t>014220</t>
  </si>
  <si>
    <t>Custom-014220</t>
  </si>
  <si>
    <t>Sauda</t>
  </si>
  <si>
    <t>014240</t>
  </si>
  <si>
    <t>Custom-014240</t>
  </si>
  <si>
    <t>Eik.Hove</t>
  </si>
  <si>
    <t>014250</t>
  </si>
  <si>
    <t>Custom-014250</t>
  </si>
  <si>
    <t>Eigeroy.Lighthouse</t>
  </si>
  <si>
    <t>014260</t>
  </si>
  <si>
    <t>Custom-014260</t>
  </si>
  <si>
    <t>Lista.Lighthouse</t>
  </si>
  <si>
    <t>014270</t>
  </si>
  <si>
    <t>Custom-014270</t>
  </si>
  <si>
    <t>Lista-Farsund.AP</t>
  </si>
  <si>
    <t>014280</t>
  </si>
  <si>
    <t>Mandal</t>
  </si>
  <si>
    <t>014300</t>
  </si>
  <si>
    <t>Custom-014300</t>
  </si>
  <si>
    <t>Sirdal.Sinnes</t>
  </si>
  <si>
    <t>014310</t>
  </si>
  <si>
    <t>Custom-014310</t>
  </si>
  <si>
    <t>Sirdal.Tjorhom</t>
  </si>
  <si>
    <t>014320</t>
  </si>
  <si>
    <t>Custom-014320</t>
  </si>
  <si>
    <t>Midtlaeger</t>
  </si>
  <si>
    <t>014330</t>
  </si>
  <si>
    <t>Custom-014330</t>
  </si>
  <si>
    <t>Vagsli</t>
  </si>
  <si>
    <t>014340</t>
  </si>
  <si>
    <t>Custom-014340</t>
  </si>
  <si>
    <t>Haukeliseter.Testfelt</t>
  </si>
  <si>
    <t>014350</t>
  </si>
  <si>
    <t>Lindesnes.Lighthouse</t>
  </si>
  <si>
    <t>014360</t>
  </si>
  <si>
    <t>Custom-014360</t>
  </si>
  <si>
    <t>Konsmo.Hoyland</t>
  </si>
  <si>
    <t>014390</t>
  </si>
  <si>
    <t>Custom-014390</t>
  </si>
  <si>
    <t>AA</t>
  </si>
  <si>
    <t>Blasjo</t>
  </si>
  <si>
    <t>014400</t>
  </si>
  <si>
    <t>Custom-014400</t>
  </si>
  <si>
    <t>Hovden.Lundane</t>
  </si>
  <si>
    <t>014410</t>
  </si>
  <si>
    <t>Custom-014410</t>
  </si>
  <si>
    <t>Byglandsfjord</t>
  </si>
  <si>
    <t>014420</t>
  </si>
  <si>
    <t>Custom-014420</t>
  </si>
  <si>
    <t>Valle</t>
  </si>
  <si>
    <t>014440</t>
  </si>
  <si>
    <t>Custom-014440</t>
  </si>
  <si>
    <t>Oyfjell.Trovatn</t>
  </si>
  <si>
    <t>014460</t>
  </si>
  <si>
    <t>Hoydalsmo</t>
  </si>
  <si>
    <t>014470</t>
  </si>
  <si>
    <t>Custom-014470</t>
  </si>
  <si>
    <t>Oksoy.Lighthouse</t>
  </si>
  <si>
    <t>014480</t>
  </si>
  <si>
    <t>Custom-014480</t>
  </si>
  <si>
    <t>Gjerstad</t>
  </si>
  <si>
    <t>014490</t>
  </si>
  <si>
    <t>Custom-014490</t>
  </si>
  <si>
    <t>Mosstrand</t>
  </si>
  <si>
    <t>014500</t>
  </si>
  <si>
    <t>Custom-014500</t>
  </si>
  <si>
    <t>Kristiansand.AP-Kjevik</t>
  </si>
  <si>
    <t>014520</t>
  </si>
  <si>
    <t>Custom-014520</t>
  </si>
  <si>
    <t>Hynnekleiv</t>
  </si>
  <si>
    <t>014530</t>
  </si>
  <si>
    <t>Custom-014530</t>
  </si>
  <si>
    <t>Tveitsund</t>
  </si>
  <si>
    <t>014550</t>
  </si>
  <si>
    <t>Custom-014550</t>
  </si>
  <si>
    <t>Nelaug</t>
  </si>
  <si>
    <t>014590</t>
  </si>
  <si>
    <t>Custom-014590</t>
  </si>
  <si>
    <t>Gullholmen</t>
  </si>
  <si>
    <t>014600</t>
  </si>
  <si>
    <t>Custom-014600</t>
  </si>
  <si>
    <t>Gaustatoppen.Mtn</t>
  </si>
  <si>
    <t>014611</t>
  </si>
  <si>
    <t>Porsgrunn</t>
  </si>
  <si>
    <t>014620</t>
  </si>
  <si>
    <t>Custom-014620</t>
  </si>
  <si>
    <t>As</t>
  </si>
  <si>
    <t>014630</t>
  </si>
  <si>
    <t>Custom-014630</t>
  </si>
  <si>
    <t>Landvik</t>
  </si>
  <si>
    <t>014640</t>
  </si>
  <si>
    <t>Custom-014640</t>
  </si>
  <si>
    <t>Torungen.Lighthouse</t>
  </si>
  <si>
    <t>014650</t>
  </si>
  <si>
    <t>Custom-014650</t>
  </si>
  <si>
    <t>Kjeller.AP</t>
  </si>
  <si>
    <t>014660</t>
  </si>
  <si>
    <t>Custom-014660</t>
  </si>
  <si>
    <t>Lyngor.Lighthouse</t>
  </si>
  <si>
    <t>014670</t>
  </si>
  <si>
    <t>Custom-014670</t>
  </si>
  <si>
    <t>Kongsvinger</t>
  </si>
  <si>
    <t>014680</t>
  </si>
  <si>
    <t>Custom-014680</t>
  </si>
  <si>
    <t>Honefoss.Hoyby</t>
  </si>
  <si>
    <t>014690</t>
  </si>
  <si>
    <t>Custom-014690</t>
  </si>
  <si>
    <t>Gvarv</t>
  </si>
  <si>
    <t>014700</t>
  </si>
  <si>
    <t>Custom-014700</t>
  </si>
  <si>
    <t>Notodden.AP</t>
  </si>
  <si>
    <t>014703</t>
  </si>
  <si>
    <t>Custom-014703</t>
  </si>
  <si>
    <t>Veggli</t>
  </si>
  <si>
    <t>014710</t>
  </si>
  <si>
    <t>Custom-014710</t>
  </si>
  <si>
    <t>Kongsberg-Brannstasjon</t>
  </si>
  <si>
    <t>014730</t>
  </si>
  <si>
    <t>Custom-014730</t>
  </si>
  <si>
    <t>Lyngdal.i.Numedal</t>
  </si>
  <si>
    <t>014740</t>
  </si>
  <si>
    <t>Skien.AP</t>
  </si>
  <si>
    <t>014750</t>
  </si>
  <si>
    <t>Jomfruland.Lighthouse</t>
  </si>
  <si>
    <t>014760</t>
  </si>
  <si>
    <t>Custom-014760</t>
  </si>
  <si>
    <t>Konnerud</t>
  </si>
  <si>
    <t>014770</t>
  </si>
  <si>
    <t>Custom-014770</t>
  </si>
  <si>
    <t>Svenner.Lighthouse</t>
  </si>
  <si>
    <t>014780</t>
  </si>
  <si>
    <t>Custom-014780</t>
  </si>
  <si>
    <t>Drammen-Berskog</t>
  </si>
  <si>
    <t>014800</t>
  </si>
  <si>
    <t>Custom-014800</t>
  </si>
  <si>
    <t>Melsom</t>
  </si>
  <si>
    <t>014810</t>
  </si>
  <si>
    <t>Custom-014810</t>
  </si>
  <si>
    <t>Faerder.Lighthouse</t>
  </si>
  <si>
    <t>014820</t>
  </si>
  <si>
    <t>Custom-014820</t>
  </si>
  <si>
    <t>Sandefjord.AP-Torp</t>
  </si>
  <si>
    <t>014830</t>
  </si>
  <si>
    <t>Custom-014830</t>
  </si>
  <si>
    <t>Aurskog</t>
  </si>
  <si>
    <t>014840</t>
  </si>
  <si>
    <t>Custom-014840</t>
  </si>
  <si>
    <t>Oseberg</t>
  </si>
  <si>
    <t>014843</t>
  </si>
  <si>
    <t>Custom-014843</t>
  </si>
  <si>
    <t>Sande-Galleberg</t>
  </si>
  <si>
    <t>014850</t>
  </si>
  <si>
    <t>Custom-014850</t>
  </si>
  <si>
    <t>Asker</t>
  </si>
  <si>
    <t>014860</t>
  </si>
  <si>
    <t>Custom-014860</t>
  </si>
  <si>
    <t>Alna</t>
  </si>
  <si>
    <t>014870</t>
  </si>
  <si>
    <t>Custom-014870</t>
  </si>
  <si>
    <t>Hakadal</t>
  </si>
  <si>
    <t>014880</t>
  </si>
  <si>
    <t>Custom-014880</t>
  </si>
  <si>
    <t>Oslo-Fornebu.AP</t>
  </si>
  <si>
    <t>014881</t>
  </si>
  <si>
    <t>Custom-014881</t>
  </si>
  <si>
    <t>Bjornholt</t>
  </si>
  <si>
    <t>014890</t>
  </si>
  <si>
    <t>Custom-014890</t>
  </si>
  <si>
    <t>Tryvannshogda</t>
  </si>
  <si>
    <t>014900</t>
  </si>
  <si>
    <t>Custom-014900</t>
  </si>
  <si>
    <t>Oslo.Blindern</t>
  </si>
  <si>
    <t>014920</t>
  </si>
  <si>
    <t>Custom-014920</t>
  </si>
  <si>
    <t>OF</t>
  </si>
  <si>
    <t>Sarpsborg</t>
  </si>
  <si>
    <t>014930</t>
  </si>
  <si>
    <t>Custom-014930</t>
  </si>
  <si>
    <t>Moss.AP-Rygge</t>
  </si>
  <si>
    <t>014940</t>
  </si>
  <si>
    <t>Custom-014940</t>
  </si>
  <si>
    <t>Stromtangen.Lighthouse</t>
  </si>
  <si>
    <t>014950</t>
  </si>
  <si>
    <t>Custom-014950</t>
  </si>
  <si>
    <t>Holand.Fosser</t>
  </si>
  <si>
    <t>014960</t>
  </si>
  <si>
    <t>Prestebakke</t>
  </si>
  <si>
    <t>014970</t>
  </si>
  <si>
    <t>Custom-014970</t>
  </si>
  <si>
    <t>Magnor</t>
  </si>
  <si>
    <t>014980</t>
  </si>
  <si>
    <t>POL</t>
  </si>
  <si>
    <t>ZP</t>
  </si>
  <si>
    <t>Kolobrzeg</t>
  </si>
  <si>
    <t>Custom-121000</t>
  </si>
  <si>
    <t>Dziwnow</t>
  </si>
  <si>
    <t>Koszalin</t>
  </si>
  <si>
    <t>Custom-121050</t>
  </si>
  <si>
    <t>Babice</t>
  </si>
  <si>
    <t>Custom-121051</t>
  </si>
  <si>
    <t>KP</t>
  </si>
  <si>
    <t>Inowroclaw</t>
  </si>
  <si>
    <t>Custom-121052</t>
  </si>
  <si>
    <t>LD</t>
  </si>
  <si>
    <t>Leczyca</t>
  </si>
  <si>
    <t>Custom-121053</t>
  </si>
  <si>
    <t>Tomaszow.Mazowiecki</t>
  </si>
  <si>
    <t>Custom-121054</t>
  </si>
  <si>
    <t>MZ</t>
  </si>
  <si>
    <t>Modlin.AP</t>
  </si>
  <si>
    <t>Custom-121056</t>
  </si>
  <si>
    <t>Niechorze</t>
  </si>
  <si>
    <t>Ustka</t>
  </si>
  <si>
    <t>Custom-121150</t>
  </si>
  <si>
    <t>Mrzezyno</t>
  </si>
  <si>
    <t>Lublin.AP</t>
  </si>
  <si>
    <t>Leba</t>
  </si>
  <si>
    <t>Custom-121200</t>
  </si>
  <si>
    <t>Wicko.Morskie.AF</t>
  </si>
  <si>
    <t>Darlowo.AP</t>
  </si>
  <si>
    <t>Custom-121240</t>
  </si>
  <si>
    <t>Lebork</t>
  </si>
  <si>
    <t>Custom-121250</t>
  </si>
  <si>
    <t>Koszalin-Zegrze.Pomorskie.AP</t>
  </si>
  <si>
    <t>Hel</t>
  </si>
  <si>
    <t>Custom-121350</t>
  </si>
  <si>
    <t>Cewice-Lebunia.AP</t>
  </si>
  <si>
    <t>Custom-121360</t>
  </si>
  <si>
    <t>Gdansk-Port.Polnocny</t>
  </si>
  <si>
    <t>Custom-121400</t>
  </si>
  <si>
    <t>Oksywie-Gdynia.AP</t>
  </si>
  <si>
    <t>Custom-121420</t>
  </si>
  <si>
    <t>Pruszcz-Gdanski</t>
  </si>
  <si>
    <t>Custom-121460</t>
  </si>
  <si>
    <t>Piotrkow.Trybunalski.AP</t>
  </si>
  <si>
    <t>Gdansk-Walesy.Intl.AP-Rebiechowo.Intl.AP</t>
  </si>
  <si>
    <t>Custom-121500</t>
  </si>
  <si>
    <t>Gdansk-Swibno</t>
  </si>
  <si>
    <t>WN</t>
  </si>
  <si>
    <t>Elblag.Milejewo</t>
  </si>
  <si>
    <t>Custom-121600</t>
  </si>
  <si>
    <t>Ketrzyn</t>
  </si>
  <si>
    <t>Custom-121850</t>
  </si>
  <si>
    <t>Suwalki</t>
  </si>
  <si>
    <t>Custom-121950</t>
  </si>
  <si>
    <t>Swinoujscie</t>
  </si>
  <si>
    <t>Custom-122000</t>
  </si>
  <si>
    <t>Szczecin-Dabie.AP</t>
  </si>
  <si>
    <t>Custom-122050</t>
  </si>
  <si>
    <t>Stargard.Szczecinski</t>
  </si>
  <si>
    <t>Resko.Smolsko</t>
  </si>
  <si>
    <t>Custom-122100</t>
  </si>
  <si>
    <t>Swidwin.AP</t>
  </si>
  <si>
    <t>Custom-122120</t>
  </si>
  <si>
    <t>Szczecinek</t>
  </si>
  <si>
    <t>Custom-122150</t>
  </si>
  <si>
    <t>WP</t>
  </si>
  <si>
    <t>Nadarzyce</t>
  </si>
  <si>
    <t>Custom-122250</t>
  </si>
  <si>
    <t>Miroslawiec</t>
  </si>
  <si>
    <t>Custom-122260</t>
  </si>
  <si>
    <t>Pila</t>
  </si>
  <si>
    <t>Custom-122300</t>
  </si>
  <si>
    <t>Chojnice</t>
  </si>
  <si>
    <t>Custom-122350</t>
  </si>
  <si>
    <t>Grudziadz</t>
  </si>
  <si>
    <t>Bydgoszcz-Paderewski.AP</t>
  </si>
  <si>
    <t>Custom-122400</t>
  </si>
  <si>
    <t>Torun</t>
  </si>
  <si>
    <t>Custom-122500</t>
  </si>
  <si>
    <t>Mlawa</t>
  </si>
  <si>
    <t>Custom-122700</t>
  </si>
  <si>
    <t>Olsztyn</t>
  </si>
  <si>
    <t>Custom-122720</t>
  </si>
  <si>
    <t>Ciechanow</t>
  </si>
  <si>
    <t>Mikolajki</t>
  </si>
  <si>
    <t>Custom-122800</t>
  </si>
  <si>
    <t>Szczytno</t>
  </si>
  <si>
    <t>Ostroleka</t>
  </si>
  <si>
    <t>Custom-122850</t>
  </si>
  <si>
    <t>Bialystok-Krywlany.AP</t>
  </si>
  <si>
    <t>Custom-122950</t>
  </si>
  <si>
    <t>Gorzow-Wielkopolski</t>
  </si>
  <si>
    <t>Custom-123000</t>
  </si>
  <si>
    <t>Slubice</t>
  </si>
  <si>
    <t>Custom-123100</t>
  </si>
  <si>
    <t>Babimost.Rgnl.AP</t>
  </si>
  <si>
    <t>Poznan-Krzesiny.AP</t>
  </si>
  <si>
    <t>Custom-123260</t>
  </si>
  <si>
    <t>Poznan-Lawica-Wieniawski.AP</t>
  </si>
  <si>
    <t>Custom-123300</t>
  </si>
  <si>
    <t>Powidz</t>
  </si>
  <si>
    <t>Custom-123360</t>
  </si>
  <si>
    <t>Kolo</t>
  </si>
  <si>
    <t>Custom-123450</t>
  </si>
  <si>
    <t>Plock</t>
  </si>
  <si>
    <t>Custom-123600</t>
  </si>
  <si>
    <t>Okecie-Warszawa-Chopina.Intl.AP</t>
  </si>
  <si>
    <t>Custom-123750</t>
  </si>
  <si>
    <t>Minsk-Mazowiecki.AP</t>
  </si>
  <si>
    <t>Custom-123760</t>
  </si>
  <si>
    <t>Nowa.Deba</t>
  </si>
  <si>
    <t>Malbork</t>
  </si>
  <si>
    <t>Custom-123765</t>
  </si>
  <si>
    <t>Siedlce</t>
  </si>
  <si>
    <t>Custom-123850</t>
  </si>
  <si>
    <t>Biala-Podlaska</t>
  </si>
  <si>
    <t>Podlaska</t>
  </si>
  <si>
    <t>Terespol</t>
  </si>
  <si>
    <t>Custom-123990</t>
  </si>
  <si>
    <t>Zielona-Gora</t>
  </si>
  <si>
    <t>Custom-124000</t>
  </si>
  <si>
    <t>DS</t>
  </si>
  <si>
    <t>Legnica</t>
  </si>
  <si>
    <t>Custom-124150</t>
  </si>
  <si>
    <t>Leszno-Strzyrzowice.AP</t>
  </si>
  <si>
    <t>Custom-124180</t>
  </si>
  <si>
    <t>Strachowice-Wroclaw-Copernicus.AP</t>
  </si>
  <si>
    <t>Custom-124240</t>
  </si>
  <si>
    <t>Kalisz</t>
  </si>
  <si>
    <t>Custom-124350</t>
  </si>
  <si>
    <t>Lask.AP</t>
  </si>
  <si>
    <t>Custom-124540</t>
  </si>
  <si>
    <t>Wielun</t>
  </si>
  <si>
    <t>Custom-124550</t>
  </si>
  <si>
    <t>Lodz-Reymont.AP</t>
  </si>
  <si>
    <t>Custom-124650</t>
  </si>
  <si>
    <t>Sulejow</t>
  </si>
  <si>
    <t>Custom-124690</t>
  </si>
  <si>
    <t>Radom</t>
  </si>
  <si>
    <t>Custom-124850</t>
  </si>
  <si>
    <t>Kozienice</t>
  </si>
  <si>
    <t>Custom-124880</t>
  </si>
  <si>
    <t>Deblin.AP</t>
  </si>
  <si>
    <t>Custom-124900</t>
  </si>
  <si>
    <t>Lublin-Radawiec.AP</t>
  </si>
  <si>
    <t>Custom-124950</t>
  </si>
  <si>
    <t>Wlodawa</t>
  </si>
  <si>
    <t>Custom-124970</t>
  </si>
  <si>
    <t>Jelenia-Gora</t>
  </si>
  <si>
    <t>Custom-125000</t>
  </si>
  <si>
    <t>Sniezka.Obs.Meteorologiczne.Holdysa</t>
  </si>
  <si>
    <t>Custom-125100</t>
  </si>
  <si>
    <t>Klodzko</t>
  </si>
  <si>
    <t>Custom-125200</t>
  </si>
  <si>
    <t>Opole</t>
  </si>
  <si>
    <t>Custom-125300</t>
  </si>
  <si>
    <t>Raciborz</t>
  </si>
  <si>
    <t>Custom-125400</t>
  </si>
  <si>
    <t>Czestochowa</t>
  </si>
  <si>
    <t>Custom-125500</t>
  </si>
  <si>
    <t>Katowice.Intl.AP</t>
  </si>
  <si>
    <t>Custom-125600</t>
  </si>
  <si>
    <t>Krakow-Balice-Jana.Pawla.II.Intl.AP</t>
  </si>
  <si>
    <t>Custom-125660</t>
  </si>
  <si>
    <t>Kielce-Sukow</t>
  </si>
  <si>
    <t>Custom-125700</t>
  </si>
  <si>
    <t>Tarnow</t>
  </si>
  <si>
    <t>Custom-125750</t>
  </si>
  <si>
    <t>Rzeszow-Jasionka.Intl.AP</t>
  </si>
  <si>
    <t>Custom-125800</t>
  </si>
  <si>
    <t>Sandomierz</t>
  </si>
  <si>
    <t>Custom-125850</t>
  </si>
  <si>
    <t>Zamosc</t>
  </si>
  <si>
    <t>Custom-125950</t>
  </si>
  <si>
    <t>Bielsko-Biala.AP</t>
  </si>
  <si>
    <t>Custom-126000</t>
  </si>
  <si>
    <t>Zakopane</t>
  </si>
  <si>
    <t>Custom-126250</t>
  </si>
  <si>
    <t>Kasprowy.Wierch.Obs.Meteorologiczne</t>
  </si>
  <si>
    <t>Custom-126500</t>
  </si>
  <si>
    <t>Nowy.Sacz</t>
  </si>
  <si>
    <t>Custom-126600</t>
  </si>
  <si>
    <t>Krosno</t>
  </si>
  <si>
    <t>Custom-126700</t>
  </si>
  <si>
    <t>Lesko</t>
  </si>
  <si>
    <t>Custom-126900</t>
  </si>
  <si>
    <t>Przemysl</t>
  </si>
  <si>
    <t>Custom-126950</t>
  </si>
  <si>
    <t>PRT</t>
  </si>
  <si>
    <t>Flores.AP</t>
  </si>
  <si>
    <t>085010</t>
  </si>
  <si>
    <t>Custom-085010</t>
  </si>
  <si>
    <t>Corvo.Island.AP</t>
  </si>
  <si>
    <t>085020</t>
  </si>
  <si>
    <t>Horta.AP</t>
  </si>
  <si>
    <t>085050</t>
  </si>
  <si>
    <t>Custom-085050</t>
  </si>
  <si>
    <t>Horta</t>
  </si>
  <si>
    <t>085060</t>
  </si>
  <si>
    <t>Custom-085060</t>
  </si>
  <si>
    <t>Lajes.AP</t>
  </si>
  <si>
    <t>085090</t>
  </si>
  <si>
    <t>Custom-085090</t>
  </si>
  <si>
    <t>Sao.Jorge.AP</t>
  </si>
  <si>
    <t>085095</t>
  </si>
  <si>
    <t>Angra.do.Heroismo</t>
  </si>
  <si>
    <t>085110</t>
  </si>
  <si>
    <t>Custom-085110</t>
  </si>
  <si>
    <t>Ponta.Delgada-Joao.Paulo.AP</t>
  </si>
  <si>
    <t>085120</t>
  </si>
  <si>
    <t>Custom-085120</t>
  </si>
  <si>
    <t>Pico.AP</t>
  </si>
  <si>
    <t>085125</t>
  </si>
  <si>
    <t>Custom-085125</t>
  </si>
  <si>
    <t>Santa.Maria.AP</t>
  </si>
  <si>
    <t>085150</t>
  </si>
  <si>
    <t>Custom-085150</t>
  </si>
  <si>
    <t>Graciosa.AP</t>
  </si>
  <si>
    <t>085155</t>
  </si>
  <si>
    <t>Madeira.AP</t>
  </si>
  <si>
    <t>085210</t>
  </si>
  <si>
    <t>Custom-085210</t>
  </si>
  <si>
    <t>Funchal</t>
  </si>
  <si>
    <t>085220</t>
  </si>
  <si>
    <t>Custom-085220</t>
  </si>
  <si>
    <t>Porto.Santo.AP</t>
  </si>
  <si>
    <t>085240</t>
  </si>
  <si>
    <t>Custom-085240</t>
  </si>
  <si>
    <t>Cabo.Carvoeiro</t>
  </si>
  <si>
    <t>085310</t>
  </si>
  <si>
    <t>Custom-085310</t>
  </si>
  <si>
    <t>Sintra.AB</t>
  </si>
  <si>
    <t>085320</t>
  </si>
  <si>
    <t>Custom-085320</t>
  </si>
  <si>
    <t>Sagres</t>
  </si>
  <si>
    <t>085330</t>
  </si>
  <si>
    <t>Custom-085330</t>
  </si>
  <si>
    <t>Montijo.AB</t>
  </si>
  <si>
    <t>085340</t>
  </si>
  <si>
    <t>Custom-085340</t>
  </si>
  <si>
    <t>Lisboa-Geof</t>
  </si>
  <si>
    <t>085350</t>
  </si>
  <si>
    <t>Custom-085350</t>
  </si>
  <si>
    <t>Lisboa.Portela.AP</t>
  </si>
  <si>
    <t>085360</t>
  </si>
  <si>
    <t>Custom-085360</t>
  </si>
  <si>
    <t>Alverca.AP</t>
  </si>
  <si>
    <t>085370</t>
  </si>
  <si>
    <t>Monte.Real.AB</t>
  </si>
  <si>
    <t>085400</t>
  </si>
  <si>
    <t>Custom-085400</t>
  </si>
  <si>
    <t>Sines-Montes.Chaos</t>
  </si>
  <si>
    <t>085410</t>
  </si>
  <si>
    <t>Custom-085410</t>
  </si>
  <si>
    <t>Viana.do.Castelo</t>
  </si>
  <si>
    <t>085430</t>
  </si>
  <si>
    <t>Ovar.AB</t>
  </si>
  <si>
    <t>085440</t>
  </si>
  <si>
    <t>Custom-085440</t>
  </si>
  <si>
    <t>Porto-Carneiro.AP</t>
  </si>
  <si>
    <t>085450</t>
  </si>
  <si>
    <t>Custom-085450</t>
  </si>
  <si>
    <t>Porto-Serra.do.Pilar</t>
  </si>
  <si>
    <t>085460</t>
  </si>
  <si>
    <t>Coimbra.AP</t>
  </si>
  <si>
    <t>085480</t>
  </si>
  <si>
    <t>Custom-085480</t>
  </si>
  <si>
    <t>Coimbra</t>
  </si>
  <si>
    <t>085490</t>
  </si>
  <si>
    <t>Viana.do.Castelo-Chafe</t>
  </si>
  <si>
    <t>085510</t>
  </si>
  <si>
    <t>Custom-085510</t>
  </si>
  <si>
    <t>Tancos.AP</t>
  </si>
  <si>
    <t>085520</t>
  </si>
  <si>
    <t>Faro.AP</t>
  </si>
  <si>
    <t>085540</t>
  </si>
  <si>
    <t>Custom-085540</t>
  </si>
  <si>
    <t>Faro</t>
  </si>
  <si>
    <t>085550</t>
  </si>
  <si>
    <t>Evora</t>
  </si>
  <si>
    <t>085570</t>
  </si>
  <si>
    <t>Evora.AP</t>
  </si>
  <si>
    <t>085580</t>
  </si>
  <si>
    <t>Custom-085580</t>
  </si>
  <si>
    <t>Viseu.AP</t>
  </si>
  <si>
    <t>085600</t>
  </si>
  <si>
    <t>Custom-085600</t>
  </si>
  <si>
    <t>Beja.AP</t>
  </si>
  <si>
    <t>085610</t>
  </si>
  <si>
    <t>Beja</t>
  </si>
  <si>
    <t>085620</t>
  </si>
  <si>
    <t>Custom-085620</t>
  </si>
  <si>
    <t>Vila.Real.AP</t>
  </si>
  <si>
    <t>085660</t>
  </si>
  <si>
    <t>085670</t>
  </si>
  <si>
    <t>Custom-085670</t>
  </si>
  <si>
    <t>Penhas.Douradas</t>
  </si>
  <si>
    <t>085680</t>
  </si>
  <si>
    <t>Custom-085680</t>
  </si>
  <si>
    <t>Castelo.Branco</t>
  </si>
  <si>
    <t>085700</t>
  </si>
  <si>
    <t>Custom-085700</t>
  </si>
  <si>
    <t>Portalegre</t>
  </si>
  <si>
    <t>085710</t>
  </si>
  <si>
    <t>Custom-085710</t>
  </si>
  <si>
    <t>Braganca.AP</t>
  </si>
  <si>
    <t>085750</t>
  </si>
  <si>
    <t>Custom-085750</t>
  </si>
  <si>
    <t>Lisboa.Gago.Coutinho</t>
  </si>
  <si>
    <t>085790</t>
  </si>
  <si>
    <t>PSE</t>
  </si>
  <si>
    <t>GZZ</t>
  </si>
  <si>
    <t>Yasser.Arafat.Intl.AP-Gaza.Intl.AP</t>
  </si>
  <si>
    <t>WBK</t>
  </si>
  <si>
    <t>Hebron</t>
  </si>
  <si>
    <t>Jericho</t>
  </si>
  <si>
    <t>Gaza</t>
  </si>
  <si>
    <t>ROU</t>
  </si>
  <si>
    <t>Darabani</t>
  </si>
  <si>
    <t>BZ</t>
  </si>
  <si>
    <t>Boboc.AB</t>
  </si>
  <si>
    <t>Custom-150001</t>
  </si>
  <si>
    <t>IL</t>
  </si>
  <si>
    <t>Borcea.Fetesti.AB</t>
  </si>
  <si>
    <t>MM</t>
  </si>
  <si>
    <t>Sighetul.Marmatiei</t>
  </si>
  <si>
    <t>Custom-150040</t>
  </si>
  <si>
    <t>Radauti</t>
  </si>
  <si>
    <t>Dorohoi</t>
  </si>
  <si>
    <t>Satu.Mare.Intl.AP</t>
  </si>
  <si>
    <t>Custom-150100</t>
  </si>
  <si>
    <t>Tautii.Magheraus-Maramures.Intl.AP</t>
  </si>
  <si>
    <t>Custom-150140</t>
  </si>
  <si>
    <t>Ocna.Sugatag</t>
  </si>
  <si>
    <t>Custom-150150</t>
  </si>
  <si>
    <t>Botosani</t>
  </si>
  <si>
    <t>Custom-150200</t>
  </si>
  <si>
    <t>Suceava</t>
  </si>
  <si>
    <t>Custom-150230</t>
  </si>
  <si>
    <t>Stanca.Stefanesti</t>
  </si>
  <si>
    <t>Rodnei.Mtn.Rng.Met.Stn</t>
  </si>
  <si>
    <t>Iezer</t>
  </si>
  <si>
    <t>Cimpulung.Moldovenesc</t>
  </si>
  <si>
    <t>Rauseni</t>
  </si>
  <si>
    <t>BH</t>
  </si>
  <si>
    <t>Sacuieni</t>
  </si>
  <si>
    <t>Supuru.de.Jos</t>
  </si>
  <si>
    <t>Targu.Lapus</t>
  </si>
  <si>
    <t>Rarau.Mtn</t>
  </si>
  <si>
    <t>Radaseni</t>
  </si>
  <si>
    <t>Cotnari</t>
  </si>
  <si>
    <t>SJ</t>
  </si>
  <si>
    <t>Zalau</t>
  </si>
  <si>
    <t>Poiana.Stampei</t>
  </si>
  <si>
    <t>NT</t>
  </si>
  <si>
    <t>Targu.Neamt</t>
  </si>
  <si>
    <t>Podu.Iloaiei</t>
  </si>
  <si>
    <t>Oradea.AP</t>
  </si>
  <si>
    <t>Custom-150800</t>
  </si>
  <si>
    <t>CJ</t>
  </si>
  <si>
    <t>Dej</t>
  </si>
  <si>
    <t>BN</t>
  </si>
  <si>
    <t>Bistrita</t>
  </si>
  <si>
    <t>Retitis-Calimani.Natl.Park-Carpathian.Mtns</t>
  </si>
  <si>
    <t>Ceahlau</t>
  </si>
  <si>
    <t>Iasi.Intl.AP</t>
  </si>
  <si>
    <t>Custom-150900</t>
  </si>
  <si>
    <t>Barnova</t>
  </si>
  <si>
    <t>Borod</t>
  </si>
  <si>
    <t>Huedin</t>
  </si>
  <si>
    <t>Toplita</t>
  </si>
  <si>
    <t>Ceahlau.Natl.Park-Carpathian.Mtns</t>
  </si>
  <si>
    <t>Custom-151080</t>
  </si>
  <si>
    <t>Piatra.Neamt</t>
  </si>
  <si>
    <t>Roman</t>
  </si>
  <si>
    <t>Negresti</t>
  </si>
  <si>
    <t>Holod</t>
  </si>
  <si>
    <t>Stana.de.Vale.Resort</t>
  </si>
  <si>
    <t>Vladeasa.Met.Stn</t>
  </si>
  <si>
    <t>Cluj.Napoca</t>
  </si>
  <si>
    <t>Custom-151200</t>
  </si>
  <si>
    <t>MS</t>
  </si>
  <si>
    <t>Sarmasu</t>
  </si>
  <si>
    <t>Batos</t>
  </si>
  <si>
    <t>Joseni</t>
  </si>
  <si>
    <t>Plopana</t>
  </si>
  <si>
    <t>Husi</t>
  </si>
  <si>
    <t>Chisineu-Cris</t>
  </si>
  <si>
    <t>Dumbravita.de.Codru</t>
  </si>
  <si>
    <t>Turda</t>
  </si>
  <si>
    <t>Targu.Mures</t>
  </si>
  <si>
    <t>Custom-151450</t>
  </si>
  <si>
    <t>Bucin.Ski.Resort</t>
  </si>
  <si>
    <t>Bacau</t>
  </si>
  <si>
    <t>Custom-151500</t>
  </si>
  <si>
    <t>Vaslui</t>
  </si>
  <si>
    <t>Zarand</t>
  </si>
  <si>
    <t>Mocrea</t>
  </si>
  <si>
    <t>Stei</t>
  </si>
  <si>
    <t>Campeni</t>
  </si>
  <si>
    <t>Baisoara.Mtn.Resort</t>
  </si>
  <si>
    <t>Custom-151630</t>
  </si>
  <si>
    <t>Tarnaveni</t>
  </si>
  <si>
    <t>Odorheiul.Secuiesc</t>
  </si>
  <si>
    <t>Miercurea.Ciuc</t>
  </si>
  <si>
    <t>Custom-151700</t>
  </si>
  <si>
    <t>Oncesti</t>
  </si>
  <si>
    <t>Siria</t>
  </si>
  <si>
    <t>Gurahont</t>
  </si>
  <si>
    <t>Rosia.Montana</t>
  </si>
  <si>
    <t>Dumbraveni</t>
  </si>
  <si>
    <t>Targu.Ocna</t>
  </si>
  <si>
    <t>Barlad</t>
  </si>
  <si>
    <t>TM</t>
  </si>
  <si>
    <t>Sannicolau.Mare</t>
  </si>
  <si>
    <t>Arad</t>
  </si>
  <si>
    <t>Custom-152000</t>
  </si>
  <si>
    <t>Varadia.de.Mures</t>
  </si>
  <si>
    <t>HD</t>
  </si>
  <si>
    <t>Tebea</t>
  </si>
  <si>
    <t>Alba.Iulia</t>
  </si>
  <si>
    <t>Blaj</t>
  </si>
  <si>
    <t>BV</t>
  </si>
  <si>
    <t>Homorod</t>
  </si>
  <si>
    <t>CV</t>
  </si>
  <si>
    <t>Baraolt</t>
  </si>
  <si>
    <t>Targu.Secuiesc</t>
  </si>
  <si>
    <t>Adjud</t>
  </si>
  <si>
    <t>Balintesti</t>
  </si>
  <si>
    <t>Deva</t>
  </si>
  <si>
    <t>Custom-152300</t>
  </si>
  <si>
    <t>Sebes</t>
  </si>
  <si>
    <t>Fagaras</t>
  </si>
  <si>
    <t>Sfantu.Gheorghe</t>
  </si>
  <si>
    <t>Tulnici</t>
  </si>
  <si>
    <t>Jimbolia</t>
  </si>
  <si>
    <t>Timisoara</t>
  </si>
  <si>
    <t>Custom-152470</t>
  </si>
  <si>
    <t>Paltinis</t>
  </si>
  <si>
    <t>Sibiu.Intl.AP</t>
  </si>
  <si>
    <t>Custom-152600</t>
  </si>
  <si>
    <t>Intorsura.Buzaului</t>
  </si>
  <si>
    <t>Lacauti</t>
  </si>
  <si>
    <t>Focsani</t>
  </si>
  <si>
    <t>Tecuci</t>
  </si>
  <si>
    <t>Rauti</t>
  </si>
  <si>
    <t>Lugoj</t>
  </si>
  <si>
    <t>Paclisa</t>
  </si>
  <si>
    <t>Boita</t>
  </si>
  <si>
    <t>Lake.Balea-Fagaras.Mtns</t>
  </si>
  <si>
    <t>Varfu.Omu.Mtn.Resort</t>
  </si>
  <si>
    <t>Custom-152800</t>
  </si>
  <si>
    <t>Poiana.Brasov.Ski.Resort</t>
  </si>
  <si>
    <t>Penteleu</t>
  </si>
  <si>
    <t>Bisoca</t>
  </si>
  <si>
    <t>Maicanesti</t>
  </si>
  <si>
    <t>Banloc</t>
  </si>
  <si>
    <t>CS</t>
  </si>
  <si>
    <t>Caransebes.AP</t>
  </si>
  <si>
    <t>Custom-152920</t>
  </si>
  <si>
    <t>Petrosani</t>
  </si>
  <si>
    <t>Obarsia.Lotrului</t>
  </si>
  <si>
    <t>Cozia.Pass.Met.Stn</t>
  </si>
  <si>
    <t>Rucar</t>
  </si>
  <si>
    <t>Brasov.Ghimbav.Intl.AP</t>
  </si>
  <si>
    <t>Fundata</t>
  </si>
  <si>
    <t>Predeal</t>
  </si>
  <si>
    <t>Ramnicu.Sarat</t>
  </si>
  <si>
    <t>Galati</t>
  </si>
  <si>
    <t>Custom-153100</t>
  </si>
  <si>
    <t>Resita</t>
  </si>
  <si>
    <t>Semenic</t>
  </si>
  <si>
    <t>Cuntu.River</t>
  </si>
  <si>
    <t>Tarcu.Mtn</t>
  </si>
  <si>
    <t>Voineasa</t>
  </si>
  <si>
    <t>Parang</t>
  </si>
  <si>
    <t>Paring.Met.Stn</t>
  </si>
  <si>
    <t>Campulung.Muscel</t>
  </si>
  <si>
    <t>Sinaia.Mtn.Resort</t>
  </si>
  <si>
    <t>Patarlagele</t>
  </si>
  <si>
    <t>Braila</t>
  </si>
  <si>
    <t>TL</t>
  </si>
  <si>
    <t>Tulcea-Cataloi</t>
  </si>
  <si>
    <t>Custom-153350</t>
  </si>
  <si>
    <t>Gorgova</t>
  </si>
  <si>
    <t>Mahmudia</t>
  </si>
  <si>
    <t>Oravita</t>
  </si>
  <si>
    <t>GJ</t>
  </si>
  <si>
    <t>Targu.Jiu</t>
  </si>
  <si>
    <t>Apa.Neagra</t>
  </si>
  <si>
    <t>Polovragi</t>
  </si>
  <si>
    <t>Moraresti</t>
  </si>
  <si>
    <t>Ramnicu.Valcea</t>
  </si>
  <si>
    <t>Custom-153460</t>
  </si>
  <si>
    <t>Curtea.de.Arges.Met.Stn</t>
  </si>
  <si>
    <t>Campina</t>
  </si>
  <si>
    <t>Buzau</t>
  </si>
  <si>
    <t>Custom-153500</t>
  </si>
  <si>
    <t>Faurei-Sat</t>
  </si>
  <si>
    <t>Viziru</t>
  </si>
  <si>
    <t>Sulina</t>
  </si>
  <si>
    <t>Custom-153600</t>
  </si>
  <si>
    <t>Carbunari</t>
  </si>
  <si>
    <t>Bozovici</t>
  </si>
  <si>
    <t>Baile.Herculane</t>
  </si>
  <si>
    <t>Targu.Logresti</t>
  </si>
  <si>
    <t>Pitesti</t>
  </si>
  <si>
    <t>Targoviste</t>
  </si>
  <si>
    <t>Ploiesti</t>
  </si>
  <si>
    <t>Sfantu.Gheorghe.Delta</t>
  </si>
  <si>
    <t>Moldova.Veche</t>
  </si>
  <si>
    <t>Berzasca</t>
  </si>
  <si>
    <t>Dragasani</t>
  </si>
  <si>
    <t>Urziceni</t>
  </si>
  <si>
    <t>Grivita</t>
  </si>
  <si>
    <t>Harsova</t>
  </si>
  <si>
    <t>Corugea</t>
  </si>
  <si>
    <t>Jurilovca</t>
  </si>
  <si>
    <t>Drobeta-Turnu.Severin</t>
  </si>
  <si>
    <t>Custom-154100</t>
  </si>
  <si>
    <t>Bacles</t>
  </si>
  <si>
    <t>Stolnici</t>
  </si>
  <si>
    <t>Titu</t>
  </si>
  <si>
    <t>B</t>
  </si>
  <si>
    <t>Bucharest-Baneasa-Vlaicu.AP</t>
  </si>
  <si>
    <t>Custom-154200</t>
  </si>
  <si>
    <t>Bucharest-Afumati</t>
  </si>
  <si>
    <t>Custom-154210</t>
  </si>
  <si>
    <t>Campia.Turzii-71st.AB</t>
  </si>
  <si>
    <t>Custom-154215</t>
  </si>
  <si>
    <t>Bucharest</t>
  </si>
  <si>
    <t>Fundulea</t>
  </si>
  <si>
    <t>Slobozia</t>
  </si>
  <si>
    <t>Gura.Portitei</t>
  </si>
  <si>
    <t>Sarulesti</t>
  </si>
  <si>
    <t>OT</t>
  </si>
  <si>
    <t>Slatina</t>
  </si>
  <si>
    <t>Dor.Marunt</t>
  </si>
  <si>
    <t>Fetesti</t>
  </si>
  <si>
    <t>Cernavoda</t>
  </si>
  <si>
    <t>DJ</t>
  </si>
  <si>
    <t>Craiova.Intl.AP</t>
  </si>
  <si>
    <t>Custom-154500</t>
  </si>
  <si>
    <t>Videle</t>
  </si>
  <si>
    <t>Calarasi</t>
  </si>
  <si>
    <t>Custom-154600</t>
  </si>
  <si>
    <t>Medgidia</t>
  </si>
  <si>
    <t>Bailesti</t>
  </si>
  <si>
    <t>Caracal</t>
  </si>
  <si>
    <t>Rosiorii.de.Vede</t>
  </si>
  <si>
    <t>Custom-154700</t>
  </si>
  <si>
    <t>Oltenita</t>
  </si>
  <si>
    <t>Greaca</t>
  </si>
  <si>
    <t>Adamclisi</t>
  </si>
  <si>
    <t>Constanta</t>
  </si>
  <si>
    <t>Custom-154800</t>
  </si>
  <si>
    <t>Kogalniceanu.Intl.AP</t>
  </si>
  <si>
    <t>Custom-154810</t>
  </si>
  <si>
    <t>Calafat</t>
  </si>
  <si>
    <t>Alexandria</t>
  </si>
  <si>
    <t>Turnu.Magurele</t>
  </si>
  <si>
    <t>Giurgiu</t>
  </si>
  <si>
    <t>Tuzla.AF</t>
  </si>
  <si>
    <t>Custom-154931</t>
  </si>
  <si>
    <t>Bechet</t>
  </si>
  <si>
    <t>Zimnicea</t>
  </si>
  <si>
    <t>Mangalia</t>
  </si>
  <si>
    <t>SJM</t>
  </si>
  <si>
    <t>Jan.Mayen</t>
  </si>
  <si>
    <t>010010</t>
  </si>
  <si>
    <t>Custom-010010</t>
  </si>
  <si>
    <t>Verlegenhuken</t>
  </si>
  <si>
    <t>010020</t>
  </si>
  <si>
    <t>Custom-010020</t>
  </si>
  <si>
    <t>Hornsund</t>
  </si>
  <si>
    <t>010030</t>
  </si>
  <si>
    <t>Custom-010030</t>
  </si>
  <si>
    <t>Isfjord.Radio</t>
  </si>
  <si>
    <t>010050</t>
  </si>
  <si>
    <t>Edgeoya</t>
  </si>
  <si>
    <t>010060</t>
  </si>
  <si>
    <t>Custom-010060</t>
  </si>
  <si>
    <t>Ny-Alesund</t>
  </si>
  <si>
    <t>010070</t>
  </si>
  <si>
    <t>Custom-010070</t>
  </si>
  <si>
    <t>Svalbard.AP-Longyear</t>
  </si>
  <si>
    <t>010080</t>
  </si>
  <si>
    <t>Custom-010080</t>
  </si>
  <si>
    <t>Karl.XII.Oya.Island</t>
  </si>
  <si>
    <t>010090</t>
  </si>
  <si>
    <t>Custom-010090</t>
  </si>
  <si>
    <t>Kvitoya</t>
  </si>
  <si>
    <t>010110</t>
  </si>
  <si>
    <t>Custom-010110</t>
  </si>
  <si>
    <t>Kongsoya</t>
  </si>
  <si>
    <t>010160</t>
  </si>
  <si>
    <t>Custom-010160</t>
  </si>
  <si>
    <t>Akseloya</t>
  </si>
  <si>
    <t>010170</t>
  </si>
  <si>
    <t>Custom-010170</t>
  </si>
  <si>
    <t>Sorkappoya</t>
  </si>
  <si>
    <t>010200</t>
  </si>
  <si>
    <t>Custom-010200</t>
  </si>
  <si>
    <t>Pyramiden</t>
  </si>
  <si>
    <t>010240</t>
  </si>
  <si>
    <t>Bjornoya.Island</t>
  </si>
  <si>
    <t>010280</t>
  </si>
  <si>
    <t>Custom-010280</t>
  </si>
  <si>
    <t>Hopen.Island</t>
  </si>
  <si>
    <t>010620</t>
  </si>
  <si>
    <t>Custom-010620</t>
  </si>
  <si>
    <t>Barentsburg</t>
  </si>
  <si>
    <t>Custom-201070</t>
  </si>
  <si>
    <t>SMR</t>
  </si>
  <si>
    <t>San.Marino</t>
  </si>
  <si>
    <t>SMR001</t>
  </si>
  <si>
    <t>Serravalle-Dogana</t>
  </si>
  <si>
    <t>SMR002</t>
  </si>
  <si>
    <t>SRB</t>
  </si>
  <si>
    <t>VVR</t>
  </si>
  <si>
    <t>Palic</t>
  </si>
  <si>
    <t>Custom-130670</t>
  </si>
  <si>
    <t>Sombor</t>
  </si>
  <si>
    <t>Custom-131600</t>
  </si>
  <si>
    <t>Novi.Sad-Rimski.Sancevi</t>
  </si>
  <si>
    <t>Custom-131680</t>
  </si>
  <si>
    <t>Novi.Sad-Petrovaradin</t>
  </si>
  <si>
    <t>Zrenjanin</t>
  </si>
  <si>
    <t>Custom-131730</t>
  </si>
  <si>
    <t>Kikinda</t>
  </si>
  <si>
    <t>Custom-131740</t>
  </si>
  <si>
    <t>Banatski.Karlovac</t>
  </si>
  <si>
    <t>Custom-131800</t>
  </si>
  <si>
    <t>Vrsac.AP</t>
  </si>
  <si>
    <t>Custom-131830</t>
  </si>
  <si>
    <t>WSR</t>
  </si>
  <si>
    <t>Loznica</t>
  </si>
  <si>
    <t>Custom-132620</t>
  </si>
  <si>
    <t>Sremska.Mitrovica</t>
  </si>
  <si>
    <t>Custom-132660</t>
  </si>
  <si>
    <t>Valjevo</t>
  </si>
  <si>
    <t>Custom-132690</t>
  </si>
  <si>
    <t>Surcin-Belgrade-Tesla.Intl.AP</t>
  </si>
  <si>
    <t>Custom-132720</t>
  </si>
  <si>
    <t>Belgrade-Batajnica.AB</t>
  </si>
  <si>
    <t>Custom-132725</t>
  </si>
  <si>
    <t>Belgrade</t>
  </si>
  <si>
    <t>Custom-132740</t>
  </si>
  <si>
    <t>Belgrade-Kosutnjak</t>
  </si>
  <si>
    <t>Kragujevac</t>
  </si>
  <si>
    <t>Custom-132780</t>
  </si>
  <si>
    <t>Smederevska.Palanka</t>
  </si>
  <si>
    <t>Custom-132790</t>
  </si>
  <si>
    <t>Veliko.Gradiste</t>
  </si>
  <si>
    <t>Custom-132850</t>
  </si>
  <si>
    <t>Crni.Vrh.Mtn</t>
  </si>
  <si>
    <t>Custom-132890</t>
  </si>
  <si>
    <t>Negotin</t>
  </si>
  <si>
    <t>Custom-132950</t>
  </si>
  <si>
    <t>Zlatibor</t>
  </si>
  <si>
    <t>Custom-133670</t>
  </si>
  <si>
    <t>Sjenica</t>
  </si>
  <si>
    <t>Custom-133690</t>
  </si>
  <si>
    <t>Pozega-Uzicka</t>
  </si>
  <si>
    <t>Custom-133700</t>
  </si>
  <si>
    <t>Kraljevo</t>
  </si>
  <si>
    <t>Custom-133760</t>
  </si>
  <si>
    <t>Uzice.Ponikve.AP</t>
  </si>
  <si>
    <t>Custom-133766</t>
  </si>
  <si>
    <t>Kopaonik.Mtn.Resort</t>
  </si>
  <si>
    <t>Custom-133780</t>
  </si>
  <si>
    <t>Kursumlija</t>
  </si>
  <si>
    <t>Krusevac</t>
  </si>
  <si>
    <t>Custom-133830</t>
  </si>
  <si>
    <t>Cuprija</t>
  </si>
  <si>
    <t>Custom-133840</t>
  </si>
  <si>
    <t>Nis-Constantine.AP</t>
  </si>
  <si>
    <t>Custom-133880</t>
  </si>
  <si>
    <t>Leskovac</t>
  </si>
  <si>
    <t>Custom-133890</t>
  </si>
  <si>
    <t>Dimitrovgrad</t>
  </si>
  <si>
    <t>Custom-133970</t>
  </si>
  <si>
    <t>KMR</t>
  </si>
  <si>
    <t>Peja</t>
  </si>
  <si>
    <t>Prizren</t>
  </si>
  <si>
    <t>Pristina.Intl.AP</t>
  </si>
  <si>
    <t>Custom-134810</t>
  </si>
  <si>
    <t>Vranje</t>
  </si>
  <si>
    <t>Custom-134890</t>
  </si>
  <si>
    <t>SVK</t>
  </si>
  <si>
    <t>Malacky.AP</t>
  </si>
  <si>
    <t>Custom-118010</t>
  </si>
  <si>
    <t>Maly.Javornik</t>
  </si>
  <si>
    <t>Custom-118120</t>
  </si>
  <si>
    <t>Bratislava.Loliba</t>
  </si>
  <si>
    <t>Custom-118130</t>
  </si>
  <si>
    <t>Bratislava-Stefanik.AP</t>
  </si>
  <si>
    <t>Custom-118160</t>
  </si>
  <si>
    <t>Jaslovske.Bohunice</t>
  </si>
  <si>
    <t>Custom-118190</t>
  </si>
  <si>
    <t>Piestany.AP</t>
  </si>
  <si>
    <t>Custom-118260</t>
  </si>
  <si>
    <t>ZI</t>
  </si>
  <si>
    <t>Zilina.AP</t>
  </si>
  <si>
    <t>Custom-118410</t>
  </si>
  <si>
    <t>Nitra.AP</t>
  </si>
  <si>
    <t>Custom-118550</t>
  </si>
  <si>
    <t>Mochovce</t>
  </si>
  <si>
    <t>Custom-118560</t>
  </si>
  <si>
    <t>Hurbanovo</t>
  </si>
  <si>
    <t>Custom-118580</t>
  </si>
  <si>
    <t>Prievidza.AP</t>
  </si>
  <si>
    <t>Custom-118670</t>
  </si>
  <si>
    <t>Dudince</t>
  </si>
  <si>
    <t>Custom-118800</t>
  </si>
  <si>
    <t>Sliac.AP</t>
  </si>
  <si>
    <t>Custom-119030</t>
  </si>
  <si>
    <t>Chopok.Mtn</t>
  </si>
  <si>
    <t>Custom-119160</t>
  </si>
  <si>
    <t>Liesek</t>
  </si>
  <si>
    <t>Custom-119180</t>
  </si>
  <si>
    <t>Lucenec</t>
  </si>
  <si>
    <t>Custom-119270</t>
  </si>
  <si>
    <t>Lomnicky.Stit.Mtn</t>
  </si>
  <si>
    <t>Custom-119300</t>
  </si>
  <si>
    <t>Strbske.Pleso</t>
  </si>
  <si>
    <t>Poprad-Tatry.AP</t>
  </si>
  <si>
    <t>Custom-119340</t>
  </si>
  <si>
    <t>Telgart</t>
  </si>
  <si>
    <t>Custom-119380</t>
  </si>
  <si>
    <t>Poprad.Ganovce</t>
  </si>
  <si>
    <t>Custom-119520</t>
  </si>
  <si>
    <t>Presov</t>
  </si>
  <si>
    <t>Custom-119550</t>
  </si>
  <si>
    <t>KI</t>
  </si>
  <si>
    <t>Kojsovska.Hola.Mtn</t>
  </si>
  <si>
    <t>Custom-119580</t>
  </si>
  <si>
    <t>Kosice.AP</t>
  </si>
  <si>
    <t>Custom-119680</t>
  </si>
  <si>
    <t>Stropkov.Tisinec</t>
  </si>
  <si>
    <t>Custom-119760</t>
  </si>
  <si>
    <t>Milhostov</t>
  </si>
  <si>
    <t>Custom-119780</t>
  </si>
  <si>
    <t>Kamenica.nad.Cirochou</t>
  </si>
  <si>
    <t>Custom-119930</t>
  </si>
  <si>
    <t>SVN</t>
  </si>
  <si>
    <t>GO</t>
  </si>
  <si>
    <t>Rogla.Ski.Resort</t>
  </si>
  <si>
    <t>Bovec-Kanin.Sella.Nevea.Ski.Resort</t>
  </si>
  <si>
    <t>Vogel.Ski.Resort-Triglav.Natl.Park</t>
  </si>
  <si>
    <t>Ratece</t>
  </si>
  <si>
    <t>Custom-140070</t>
  </si>
  <si>
    <t>Kredarica-Trugkav.Mtn.Lodge</t>
  </si>
  <si>
    <t>Custom-140080</t>
  </si>
  <si>
    <t>Vojsko</t>
  </si>
  <si>
    <t>Lesce.AP</t>
  </si>
  <si>
    <t>Custom-140100</t>
  </si>
  <si>
    <t>LJ</t>
  </si>
  <si>
    <t>Katarina.Mtn</t>
  </si>
  <si>
    <t>Ljubljana-Pocnik.Intl.AP</t>
  </si>
  <si>
    <t>Custom-140140</t>
  </si>
  <si>
    <t>Ljubljana-Bezigrad</t>
  </si>
  <si>
    <t>Custom-140150</t>
  </si>
  <si>
    <t>KO</t>
  </si>
  <si>
    <t>Slovenj.Gradec</t>
  </si>
  <si>
    <t>Custom-140210</t>
  </si>
  <si>
    <t>Celje</t>
  </si>
  <si>
    <t>Custom-140230</t>
  </si>
  <si>
    <t>PS</t>
  </si>
  <si>
    <t>Lisca.Hill-Jurko.Lodge</t>
  </si>
  <si>
    <t>Custom-140240</t>
  </si>
  <si>
    <t>Maribor-Tabor</t>
  </si>
  <si>
    <t>Maribor-Rusjan.Intl.AP</t>
  </si>
  <si>
    <t>Custom-140260</t>
  </si>
  <si>
    <t>Murska.Sobota</t>
  </si>
  <si>
    <t>Custom-140310</t>
  </si>
  <si>
    <t>Portoroz.AP</t>
  </si>
  <si>
    <t>Custom-141050</t>
  </si>
  <si>
    <t>Nova.Gorica</t>
  </si>
  <si>
    <t>Custom-141060</t>
  </si>
  <si>
    <t>Ilirska.Bistrica</t>
  </si>
  <si>
    <t>Postojna</t>
  </si>
  <si>
    <t>Custom-141120</t>
  </si>
  <si>
    <t>Kocevje</t>
  </si>
  <si>
    <t>Custom-141180</t>
  </si>
  <si>
    <t>Crnomelj</t>
  </si>
  <si>
    <t>Custom-141200</t>
  </si>
  <si>
    <t>Novo.Mesto</t>
  </si>
  <si>
    <t>Custom-141210</t>
  </si>
  <si>
    <t>Kriki-Cerklje.AB</t>
  </si>
  <si>
    <t>Custom-141220</t>
  </si>
  <si>
    <t>SWE</t>
  </si>
  <si>
    <t>Ljungbyhed.AP</t>
  </si>
  <si>
    <t>020001</t>
  </si>
  <si>
    <t>Custom-020001</t>
  </si>
  <si>
    <t>Ritsem</t>
  </si>
  <si>
    <t>020130</t>
  </si>
  <si>
    <t>Custom-020130</t>
  </si>
  <si>
    <t>Riksgransen-Katterjakk.Stn</t>
  </si>
  <si>
    <t>020200</t>
  </si>
  <si>
    <t>Custom-020200</t>
  </si>
  <si>
    <t>Tornehamn</t>
  </si>
  <si>
    <t>020230</t>
  </si>
  <si>
    <t>Stora.Sjofallet</t>
  </si>
  <si>
    <t>020240</t>
  </si>
  <si>
    <t>Custom-020240</t>
  </si>
  <si>
    <t>Tarfala</t>
  </si>
  <si>
    <t>020290</t>
  </si>
  <si>
    <t>Custom-020290</t>
  </si>
  <si>
    <t>Rensjon</t>
  </si>
  <si>
    <t>020310</t>
  </si>
  <si>
    <t>Custom-020310</t>
  </si>
  <si>
    <t>Tornetrask.Lake</t>
  </si>
  <si>
    <t>020320</t>
  </si>
  <si>
    <t>Nikkaluokta</t>
  </si>
  <si>
    <t>020360</t>
  </si>
  <si>
    <t>Custom-020360</t>
  </si>
  <si>
    <t>Ladnivare</t>
  </si>
  <si>
    <t>020380</t>
  </si>
  <si>
    <t>Custom-020380</t>
  </si>
  <si>
    <t>Esrange</t>
  </si>
  <si>
    <t>020430</t>
  </si>
  <si>
    <t>Kiruna.AP</t>
  </si>
  <si>
    <t>020440</t>
  </si>
  <si>
    <t>Custom-020440</t>
  </si>
  <si>
    <t>Kiruna-Swedish.Institute.Space.Physics</t>
  </si>
  <si>
    <t>020450</t>
  </si>
  <si>
    <t>Gallivare-Lapland-Malmberget</t>
  </si>
  <si>
    <t>020490</t>
  </si>
  <si>
    <t>Custom-020490</t>
  </si>
  <si>
    <t>Kvikkjokk.Heliport</t>
  </si>
  <si>
    <t>020520</t>
  </si>
  <si>
    <t>Nedre.Soppero</t>
  </si>
  <si>
    <t>020540</t>
  </si>
  <si>
    <t>Custom-020540</t>
  </si>
  <si>
    <t>Naimakka</t>
  </si>
  <si>
    <t>020550</t>
  </si>
  <si>
    <t>Custom-020550</t>
  </si>
  <si>
    <t>Saittarova</t>
  </si>
  <si>
    <t>020640</t>
  </si>
  <si>
    <t>Custom-020640</t>
  </si>
  <si>
    <t>Parkalompolo</t>
  </si>
  <si>
    <t>020720</t>
  </si>
  <si>
    <t>Custom-020720</t>
  </si>
  <si>
    <t>OR</t>
  </si>
  <si>
    <t>Orebro-Eekeby</t>
  </si>
  <si>
    <t>020740</t>
  </si>
  <si>
    <t>Karesuando</t>
  </si>
  <si>
    <t>020810</t>
  </si>
  <si>
    <t>Custom-020810</t>
  </si>
  <si>
    <t>Lannavaara</t>
  </si>
  <si>
    <t>020840</t>
  </si>
  <si>
    <t>Lainio</t>
  </si>
  <si>
    <t>020860</t>
  </si>
  <si>
    <t>Kompelusvaara</t>
  </si>
  <si>
    <t>020880</t>
  </si>
  <si>
    <t>Muodoslompolo</t>
  </si>
  <si>
    <t>020920</t>
  </si>
  <si>
    <t>Pajala</t>
  </si>
  <si>
    <t>020950</t>
  </si>
  <si>
    <t>Custom-020950</t>
  </si>
  <si>
    <t>Ystad</t>
  </si>
  <si>
    <t>020990</t>
  </si>
  <si>
    <t>VB</t>
  </si>
  <si>
    <t>Hemavan.Tarnaby.AP</t>
  </si>
  <si>
    <t>021010</t>
  </si>
  <si>
    <t>Custom-021010</t>
  </si>
  <si>
    <t>Stekenjokk</t>
  </si>
  <si>
    <t>021020</t>
  </si>
  <si>
    <t>Custom-021020</t>
  </si>
  <si>
    <t>Hemavan.Gierevarto</t>
  </si>
  <si>
    <t>021030</t>
  </si>
  <si>
    <t>Custom-021030</t>
  </si>
  <si>
    <t>Abelvattnet.Hydro.Power.Plant</t>
  </si>
  <si>
    <t>021050</t>
  </si>
  <si>
    <t>Klimpen-Klimpfjall</t>
  </si>
  <si>
    <t>021080</t>
  </si>
  <si>
    <t>Gielas</t>
  </si>
  <si>
    <t>021100</t>
  </si>
  <si>
    <t>Custom-021100</t>
  </si>
  <si>
    <t>JA</t>
  </si>
  <si>
    <t>Morsil</t>
  </si>
  <si>
    <t>021160</t>
  </si>
  <si>
    <t>Dikanas-Skansnas</t>
  </si>
  <si>
    <t>021180</t>
  </si>
  <si>
    <t>Kvikkjokk.Arrenjarka</t>
  </si>
  <si>
    <t>021190</t>
  </si>
  <si>
    <t>Custom-021190</t>
  </si>
  <si>
    <t>Merkenes</t>
  </si>
  <si>
    <t>021210</t>
  </si>
  <si>
    <t>Custom-021210</t>
  </si>
  <si>
    <t>Jakkvik</t>
  </si>
  <si>
    <t>021230</t>
  </si>
  <si>
    <t>Arjeplog</t>
  </si>
  <si>
    <t>021240</t>
  </si>
  <si>
    <t>Custom-021240</t>
  </si>
  <si>
    <t>Gunnarn</t>
  </si>
  <si>
    <t>021260</t>
  </si>
  <si>
    <t>Custom-021260</t>
  </si>
  <si>
    <t>Stensele</t>
  </si>
  <si>
    <t>021270</t>
  </si>
  <si>
    <t>Gunnarn-Storuman.AP</t>
  </si>
  <si>
    <t>021290</t>
  </si>
  <si>
    <t>Custom-021290</t>
  </si>
  <si>
    <t>Roparudden</t>
  </si>
  <si>
    <t>021300</t>
  </si>
  <si>
    <t>Custom-021300</t>
  </si>
  <si>
    <t>Buresjon</t>
  </si>
  <si>
    <t>021350</t>
  </si>
  <si>
    <t>Custom-021350</t>
  </si>
  <si>
    <t>UP</t>
  </si>
  <si>
    <t>Grundkallen.Lighthouse</t>
  </si>
  <si>
    <t>021380</t>
  </si>
  <si>
    <t>Tjakaape</t>
  </si>
  <si>
    <t>021410</t>
  </si>
  <si>
    <t>Custom-021410</t>
  </si>
  <si>
    <t>Lake.Abraur</t>
  </si>
  <si>
    <t>021440</t>
  </si>
  <si>
    <t>Vajmat</t>
  </si>
  <si>
    <t>021460</t>
  </si>
  <si>
    <t>Custom-021460</t>
  </si>
  <si>
    <t>Mala-Brannan</t>
  </si>
  <si>
    <t>021470</t>
  </si>
  <si>
    <t>Custom-021470</t>
  </si>
  <si>
    <t>Arvidsjaur.AP</t>
  </si>
  <si>
    <t>021490</t>
  </si>
  <si>
    <t>Custom-021490</t>
  </si>
  <si>
    <t>Jokkmokk.AP</t>
  </si>
  <si>
    <t>021510</t>
  </si>
  <si>
    <t>Custom-021510</t>
  </si>
  <si>
    <t>Sudok</t>
  </si>
  <si>
    <t>021520</t>
  </si>
  <si>
    <t>Vidsels.AP</t>
  </si>
  <si>
    <t>021540</t>
  </si>
  <si>
    <t>Custom-021540</t>
  </si>
  <si>
    <t>Stensjon</t>
  </si>
  <si>
    <t>021560</t>
  </si>
  <si>
    <t>Fallfors.AP</t>
  </si>
  <si>
    <t>021590</t>
  </si>
  <si>
    <t>Nattavaara</t>
  </si>
  <si>
    <t>021610</t>
  </si>
  <si>
    <t>Custom-021610</t>
  </si>
  <si>
    <t>Markaryd</t>
  </si>
  <si>
    <t>021620</t>
  </si>
  <si>
    <t>Palkem</t>
  </si>
  <si>
    <t>021640</t>
  </si>
  <si>
    <t>Savast</t>
  </si>
  <si>
    <t>021700</t>
  </si>
  <si>
    <t>Boden</t>
  </si>
  <si>
    <t>021710</t>
  </si>
  <si>
    <t>Custom-021710</t>
  </si>
  <si>
    <t>Alvsbyn</t>
  </si>
  <si>
    <t>021730</t>
  </si>
  <si>
    <t>Custom-021730</t>
  </si>
  <si>
    <t>Lakatrask</t>
  </si>
  <si>
    <t>021740</t>
  </si>
  <si>
    <t>Custom-021740</t>
  </si>
  <si>
    <t>Pite-Ronnskar.Lighthouse</t>
  </si>
  <si>
    <t>021760</t>
  </si>
  <si>
    <t>Custom-021760</t>
  </si>
  <si>
    <t>Overkalix-Svartbyn</t>
  </si>
  <si>
    <t>021810</t>
  </si>
  <si>
    <t>Custom-021810</t>
  </si>
  <si>
    <t>Paharova</t>
  </si>
  <si>
    <t>021840</t>
  </si>
  <si>
    <t>Custom-021840</t>
  </si>
  <si>
    <t>Lulea.AP</t>
  </si>
  <si>
    <t>021860</t>
  </si>
  <si>
    <t>Custom-021860</t>
  </si>
  <si>
    <t>Rodkallen.Lighthouse</t>
  </si>
  <si>
    <t>021880</t>
  </si>
  <si>
    <t>Custom-021880</t>
  </si>
  <si>
    <t>Kalix-Storon</t>
  </si>
  <si>
    <t>021910</t>
  </si>
  <si>
    <t>Custom-021910</t>
  </si>
  <si>
    <t>Haparanda</t>
  </si>
  <si>
    <t>021970</t>
  </si>
  <si>
    <t>Custom-021970</t>
  </si>
  <si>
    <t>Ylinenjarvi</t>
  </si>
  <si>
    <t>021990</t>
  </si>
  <si>
    <t>Custom-021990</t>
  </si>
  <si>
    <t>Edevik</t>
  </si>
  <si>
    <t>022000</t>
  </si>
  <si>
    <t>Storlien-Visjovalen</t>
  </si>
  <si>
    <t>022070</t>
  </si>
  <si>
    <t>Custom-022070</t>
  </si>
  <si>
    <t>Sylarna</t>
  </si>
  <si>
    <t>022090</t>
  </si>
  <si>
    <t>Custom-022090</t>
  </si>
  <si>
    <t>Blahammaren</t>
  </si>
  <si>
    <t>022100</t>
  </si>
  <si>
    <t>Custom-022100</t>
  </si>
  <si>
    <t>Mattmar</t>
  </si>
  <si>
    <t>022160</t>
  </si>
  <si>
    <t>Custom-022160</t>
  </si>
  <si>
    <t>Are</t>
  </si>
  <si>
    <t>022170</t>
  </si>
  <si>
    <t>Custom-022170</t>
  </si>
  <si>
    <t>Gaddede</t>
  </si>
  <si>
    <t>022190</t>
  </si>
  <si>
    <t>Custom-022190</t>
  </si>
  <si>
    <t>Korsvattnet</t>
  </si>
  <si>
    <t>022210</t>
  </si>
  <si>
    <t>Custom-022210</t>
  </si>
  <si>
    <t>Are.Ostersund.AP</t>
  </si>
  <si>
    <t>022260</t>
  </si>
  <si>
    <t>Custom-022260</t>
  </si>
  <si>
    <t>Gubbhogen</t>
  </si>
  <si>
    <t>022300</t>
  </si>
  <si>
    <t>Custom-022300</t>
  </si>
  <si>
    <t>Follinge</t>
  </si>
  <si>
    <t>022310</t>
  </si>
  <si>
    <t>Custom-022310</t>
  </si>
  <si>
    <t>Norraker</t>
  </si>
  <si>
    <t>022320</t>
  </si>
  <si>
    <t>Saxnas</t>
  </si>
  <si>
    <t>022330</t>
  </si>
  <si>
    <t>Custom-022330</t>
  </si>
  <si>
    <t>Stromsund</t>
  </si>
  <si>
    <t>022340</t>
  </si>
  <si>
    <t>Hallhaxasen</t>
  </si>
  <si>
    <t>022360</t>
  </si>
  <si>
    <t>Custom-022360</t>
  </si>
  <si>
    <t>Hoting</t>
  </si>
  <si>
    <t>022420</t>
  </si>
  <si>
    <t>Custom-022420</t>
  </si>
  <si>
    <t>Junsele</t>
  </si>
  <si>
    <t>022430</t>
  </si>
  <si>
    <t>Custom-022430</t>
  </si>
  <si>
    <t>Vilhelmina-South.Lapland.AP</t>
  </si>
  <si>
    <t>022450</t>
  </si>
  <si>
    <t>Custom-022450</t>
  </si>
  <si>
    <t>Krangede</t>
  </si>
  <si>
    <t>022470</t>
  </si>
  <si>
    <t>Custom-022470</t>
  </si>
  <si>
    <t>Idvattnet</t>
  </si>
  <si>
    <t>022520</t>
  </si>
  <si>
    <t>Asele</t>
  </si>
  <si>
    <t>022540</t>
  </si>
  <si>
    <t>Custom-022540</t>
  </si>
  <si>
    <t>Ristrask</t>
  </si>
  <si>
    <t>022560</t>
  </si>
  <si>
    <t>Custom-022560</t>
  </si>
  <si>
    <t>Kramfors-Solleftea-High.Coast.AP</t>
  </si>
  <si>
    <t>022590</t>
  </si>
  <si>
    <t>Custom-022590</t>
  </si>
  <si>
    <t>Vastmarkum</t>
  </si>
  <si>
    <t>022600</t>
  </si>
  <si>
    <t>Custom-022600</t>
  </si>
  <si>
    <t>Lycksele.AP</t>
  </si>
  <si>
    <t>022610</t>
  </si>
  <si>
    <t>Custom-022610</t>
  </si>
  <si>
    <t>Vuoggatjalme</t>
  </si>
  <si>
    <t>022620</t>
  </si>
  <si>
    <t>Fredrika</t>
  </si>
  <si>
    <t>022630</t>
  </si>
  <si>
    <t>Custom-022630</t>
  </si>
  <si>
    <t>Hemling</t>
  </si>
  <si>
    <t>022650</t>
  </si>
  <si>
    <t>Custom-022650</t>
  </si>
  <si>
    <t>Ornskoldsvik.AP</t>
  </si>
  <si>
    <t>022670</t>
  </si>
  <si>
    <t>Custom-022670</t>
  </si>
  <si>
    <t>Skagsudde.Lighthouse</t>
  </si>
  <si>
    <t>022690</t>
  </si>
  <si>
    <t>Custom-022690</t>
  </si>
  <si>
    <t>Norsjo</t>
  </si>
  <si>
    <t>022710</t>
  </si>
  <si>
    <t>Custom-022710</t>
  </si>
  <si>
    <t>Nordmaling</t>
  </si>
  <si>
    <t>022760</t>
  </si>
  <si>
    <t>Petistrask</t>
  </si>
  <si>
    <t>022820</t>
  </si>
  <si>
    <t>Custom-022820</t>
  </si>
  <si>
    <t>Jarnasklubb</t>
  </si>
  <si>
    <t>022840</t>
  </si>
  <si>
    <t>Custom-022840</t>
  </si>
  <si>
    <t>Umea.AP</t>
  </si>
  <si>
    <t>022860</t>
  </si>
  <si>
    <t>Custom-022860</t>
  </si>
  <si>
    <t>GV</t>
  </si>
  <si>
    <t>Soderhamn-Helsinge.AP</t>
  </si>
  <si>
    <t>022861</t>
  </si>
  <si>
    <t>Custom-022861</t>
  </si>
  <si>
    <t>Holmon</t>
  </si>
  <si>
    <t>022870</t>
  </si>
  <si>
    <t>Custom-022870</t>
  </si>
  <si>
    <t>Holmogadd.Lighthouse</t>
  </si>
  <si>
    <t>022880</t>
  </si>
  <si>
    <t>Sydostbrotten.Lighthouse</t>
  </si>
  <si>
    <t>022890</t>
  </si>
  <si>
    <t>Hokmarksberget</t>
  </si>
  <si>
    <t>022920</t>
  </si>
  <si>
    <t>Custom-022920</t>
  </si>
  <si>
    <t>Skelleftea.AP</t>
  </si>
  <si>
    <t>022930</t>
  </si>
  <si>
    <t>Custom-022930</t>
  </si>
  <si>
    <t>Bjuroklubb.Lighthouse</t>
  </si>
  <si>
    <t>022970</t>
  </si>
  <si>
    <t>Custom-022970</t>
  </si>
  <si>
    <t>Storbo</t>
  </si>
  <si>
    <t>023020</t>
  </si>
  <si>
    <t>Custom-023020</t>
  </si>
  <si>
    <t>Flatruet</t>
  </si>
  <si>
    <t>023030</t>
  </si>
  <si>
    <t>Custom-023030</t>
  </si>
  <si>
    <t>Flotningen</t>
  </si>
  <si>
    <t>023040</t>
  </si>
  <si>
    <t>Rorbacksnas</t>
  </si>
  <si>
    <t>023060</t>
  </si>
  <si>
    <t>Idrefjall</t>
  </si>
  <si>
    <t>023070</t>
  </si>
  <si>
    <t>Custom-023070</t>
  </si>
  <si>
    <t>Tannas</t>
  </si>
  <si>
    <t>023080</t>
  </si>
  <si>
    <t>Custom-023080</t>
  </si>
  <si>
    <t>Storsjo.Kapell</t>
  </si>
  <si>
    <t>023100</t>
  </si>
  <si>
    <t>Hogfjallshotellet</t>
  </si>
  <si>
    <t>023110</t>
  </si>
  <si>
    <t>Custom-023110</t>
  </si>
  <si>
    <t>Sarna</t>
  </si>
  <si>
    <t>023160</t>
  </si>
  <si>
    <t>Dravagen</t>
  </si>
  <si>
    <t>023170</t>
  </si>
  <si>
    <t>Custom-023170</t>
  </si>
  <si>
    <t>Bortnan</t>
  </si>
  <si>
    <t>023190</t>
  </si>
  <si>
    <t>Custom-023190</t>
  </si>
  <si>
    <t>Alvdalen</t>
  </si>
  <si>
    <t>023210</t>
  </si>
  <si>
    <t>Custom-023210</t>
  </si>
  <si>
    <t>Klovsjohojden</t>
  </si>
  <si>
    <t>023250</t>
  </si>
  <si>
    <t>Custom-023250</t>
  </si>
  <si>
    <t>Harjedalen.Sveg.AP</t>
  </si>
  <si>
    <t>023270</t>
  </si>
  <si>
    <t>Custom-023270</t>
  </si>
  <si>
    <t>Hamra</t>
  </si>
  <si>
    <t>023290</t>
  </si>
  <si>
    <t>Custom-023290</t>
  </si>
  <si>
    <t>Hunge</t>
  </si>
  <si>
    <t>023310</t>
  </si>
  <si>
    <t>Custom-023310</t>
  </si>
  <si>
    <t>Finneby</t>
  </si>
  <si>
    <t>023340</t>
  </si>
  <si>
    <t>Norrhog</t>
  </si>
  <si>
    <t>023370</t>
  </si>
  <si>
    <t>Custom-023370</t>
  </si>
  <si>
    <t>Edsbyn</t>
  </si>
  <si>
    <t>023380</t>
  </si>
  <si>
    <t>Custom-023380</t>
  </si>
  <si>
    <t>Fransta</t>
  </si>
  <si>
    <t>023420</t>
  </si>
  <si>
    <t>Torpshammar</t>
  </si>
  <si>
    <t>023430</t>
  </si>
  <si>
    <t>Custom-023430</t>
  </si>
  <si>
    <t>Delsbo</t>
  </si>
  <si>
    <t>023470</t>
  </si>
  <si>
    <t>Custom-023470</t>
  </si>
  <si>
    <t>Sillre</t>
  </si>
  <si>
    <t>023490</t>
  </si>
  <si>
    <t>Custom-023490</t>
  </si>
  <si>
    <t>Rasta</t>
  </si>
  <si>
    <t>023540</t>
  </si>
  <si>
    <t>Custom-023540</t>
  </si>
  <si>
    <t>Kuggoren</t>
  </si>
  <si>
    <t>023550</t>
  </si>
  <si>
    <t>Custom-023550</t>
  </si>
  <si>
    <t>Harnosand</t>
  </si>
  <si>
    <t>023610</t>
  </si>
  <si>
    <t>Harnosand-Sundsvall.Timra.AP</t>
  </si>
  <si>
    <t>023660</t>
  </si>
  <si>
    <t>Custom-023660</t>
  </si>
  <si>
    <t>Spikarna-Alnon.Island</t>
  </si>
  <si>
    <t>023670</t>
  </si>
  <si>
    <t>Bramon.Lighthouse</t>
  </si>
  <si>
    <t>023680</t>
  </si>
  <si>
    <t>Custom-023680</t>
  </si>
  <si>
    <t>Lungo.Lighthouse</t>
  </si>
  <si>
    <t>023820</t>
  </si>
  <si>
    <t>Custom-023820</t>
  </si>
  <si>
    <t>Ostmark</t>
  </si>
  <si>
    <t>024000</t>
  </si>
  <si>
    <t>Skillingmark</t>
  </si>
  <si>
    <t>024020</t>
  </si>
  <si>
    <t>Naven.Lighthouse-Vanern.Lake</t>
  </si>
  <si>
    <t>024030</t>
  </si>
  <si>
    <t>Custom-024030</t>
  </si>
  <si>
    <t>Malung</t>
  </si>
  <si>
    <t>024070</t>
  </si>
  <si>
    <t>Custom-024070</t>
  </si>
  <si>
    <t>Blomskog</t>
  </si>
  <si>
    <t>024080</t>
  </si>
  <si>
    <t>Custom-024080</t>
  </si>
  <si>
    <t>Amal</t>
  </si>
  <si>
    <t>024090</t>
  </si>
  <si>
    <t>Arvika.AP</t>
  </si>
  <si>
    <t>024110</t>
  </si>
  <si>
    <t>Custom-024110</t>
  </si>
  <si>
    <t>Brattmon</t>
  </si>
  <si>
    <t>024130</t>
  </si>
  <si>
    <t>Custom-024130</t>
  </si>
  <si>
    <t>Palgrunden.Water.Quality.Monitoring.Stn-Vanern.Lak</t>
  </si>
  <si>
    <t>024170</t>
  </si>
  <si>
    <t>Karlstad.AP</t>
  </si>
  <si>
    <t>024180</t>
  </si>
  <si>
    <t>Custom-024180</t>
  </si>
  <si>
    <t>Karlstad</t>
  </si>
  <si>
    <t>024190</t>
  </si>
  <si>
    <t>Custom-024190</t>
  </si>
  <si>
    <t>Sunne-Holmby.AP</t>
  </si>
  <si>
    <t>024230</t>
  </si>
  <si>
    <t>Custom-024230</t>
  </si>
  <si>
    <t>Stalldalen</t>
  </si>
  <si>
    <t>024240</t>
  </si>
  <si>
    <t>Gustavsfors</t>
  </si>
  <si>
    <t>024260</t>
  </si>
  <si>
    <t>Custom-024260</t>
  </si>
  <si>
    <t>Atorp</t>
  </si>
  <si>
    <t>024280</t>
  </si>
  <si>
    <t>Torsby.AP</t>
  </si>
  <si>
    <t>024285</t>
  </si>
  <si>
    <t>Daglosen</t>
  </si>
  <si>
    <t>024290</t>
  </si>
  <si>
    <t>Custom-024290</t>
  </si>
  <si>
    <t>Kloten</t>
  </si>
  <si>
    <t>024310</t>
  </si>
  <si>
    <t>Custom-024310</t>
  </si>
  <si>
    <t>Orebro.AP</t>
  </si>
  <si>
    <t>024320</t>
  </si>
  <si>
    <t>Custom-024320</t>
  </si>
  <si>
    <t>Borlange-Dala.AP</t>
  </si>
  <si>
    <t>024350</t>
  </si>
  <si>
    <t>Custom-024350</t>
  </si>
  <si>
    <t>Amot</t>
  </si>
  <si>
    <t>024400</t>
  </si>
  <si>
    <t>Custom-024400</t>
  </si>
  <si>
    <t>Mora-Siljan.AP</t>
  </si>
  <si>
    <t>024410</t>
  </si>
  <si>
    <t>Custom-024410</t>
  </si>
  <si>
    <t>Enkoping</t>
  </si>
  <si>
    <t>024430</t>
  </si>
  <si>
    <t>Custom-024430</t>
  </si>
  <si>
    <t>Folkarna</t>
  </si>
  <si>
    <t>024440</t>
  </si>
  <si>
    <t>VM</t>
  </si>
  <si>
    <t>Stockholm.Vasteras.AP</t>
  </si>
  <si>
    <t>024460</t>
  </si>
  <si>
    <t>Custom-024460</t>
  </si>
  <si>
    <t>Eskilstuna.AP</t>
  </si>
  <si>
    <t>024490</t>
  </si>
  <si>
    <t>Custom-024490</t>
  </si>
  <si>
    <t>Eggegrund.Lighthouse</t>
  </si>
  <si>
    <t>024500</t>
  </si>
  <si>
    <t>Custom-024500</t>
  </si>
  <si>
    <t>Kilsbergen-Suttarboda</t>
  </si>
  <si>
    <t>024520</t>
  </si>
  <si>
    <t>Custom-024520</t>
  </si>
  <si>
    <t>Gavle</t>
  </si>
  <si>
    <t>024530</t>
  </si>
  <si>
    <t>Custom-024530</t>
  </si>
  <si>
    <t>Film</t>
  </si>
  <si>
    <t>024560</t>
  </si>
  <si>
    <t>Custom-024560</t>
  </si>
  <si>
    <t>Uppsala-Arna.AP</t>
  </si>
  <si>
    <t>024580</t>
  </si>
  <si>
    <t>Custom-024580</t>
  </si>
  <si>
    <t>Stockholm.Arlanda.AP</t>
  </si>
  <si>
    <t>024600</t>
  </si>
  <si>
    <t>Custom-024600</t>
  </si>
  <si>
    <t>Uppsala.Univ</t>
  </si>
  <si>
    <t>024620</t>
  </si>
  <si>
    <t>Custom-024620</t>
  </si>
  <si>
    <t>Stockholm.Bromma.AP</t>
  </si>
  <si>
    <t>024640</t>
  </si>
  <si>
    <t>Custom-024640</t>
  </si>
  <si>
    <t>Stora.Spansberget</t>
  </si>
  <si>
    <t>024680</t>
  </si>
  <si>
    <t>Custom-024680</t>
  </si>
  <si>
    <t>Tullinge.AP</t>
  </si>
  <si>
    <t>024690</t>
  </si>
  <si>
    <t>Custom-024690</t>
  </si>
  <si>
    <t>Skeppmora</t>
  </si>
  <si>
    <t>024720</t>
  </si>
  <si>
    <t>Custom-024720</t>
  </si>
  <si>
    <t>Singo.Island</t>
  </si>
  <si>
    <t>024740</t>
  </si>
  <si>
    <t>Floda</t>
  </si>
  <si>
    <t>024760</t>
  </si>
  <si>
    <t>Custom-024760</t>
  </si>
  <si>
    <t>Sala</t>
  </si>
  <si>
    <t>024810</t>
  </si>
  <si>
    <t>Custom-024810</t>
  </si>
  <si>
    <t>Kerstinbo</t>
  </si>
  <si>
    <t>024820</t>
  </si>
  <si>
    <t>Custom-024820</t>
  </si>
  <si>
    <t>Stockholm</t>
  </si>
  <si>
    <t>024850</t>
  </si>
  <si>
    <t>Custom-024850</t>
  </si>
  <si>
    <t>Adelso</t>
  </si>
  <si>
    <t>024860</t>
  </si>
  <si>
    <t>Custom-024860</t>
  </si>
  <si>
    <t>Skarpo-Stavnas</t>
  </si>
  <si>
    <t>024870</t>
  </si>
  <si>
    <t>Custom-024870</t>
  </si>
  <si>
    <t>Orskar.Lighthouse</t>
  </si>
  <si>
    <t>024880</t>
  </si>
  <si>
    <t>Custom-024880</t>
  </si>
  <si>
    <t>Berga</t>
  </si>
  <si>
    <t>024890</t>
  </si>
  <si>
    <t>Custom-024890</t>
  </si>
  <si>
    <t>Svanberga</t>
  </si>
  <si>
    <t>024900</t>
  </si>
  <si>
    <t>Custom-024900</t>
  </si>
  <si>
    <t>Soderarm</t>
  </si>
  <si>
    <t>024930</t>
  </si>
  <si>
    <t>Custom-024930</t>
  </si>
  <si>
    <t>Svenska.Bjorn.Lighthouse</t>
  </si>
  <si>
    <t>024950</t>
  </si>
  <si>
    <t>Svenska.Hogarna.Lighthouse</t>
  </si>
  <si>
    <t>024960</t>
  </si>
  <si>
    <t>Custom-024960</t>
  </si>
  <si>
    <t>Almagrundet.Lighthouse</t>
  </si>
  <si>
    <t>024990</t>
  </si>
  <si>
    <t>Nordkoster.Natl.Park</t>
  </si>
  <si>
    <t>025000</t>
  </si>
  <si>
    <t>Custom-025000</t>
  </si>
  <si>
    <t>Vaderoarna</t>
  </si>
  <si>
    <t>025010</t>
  </si>
  <si>
    <t>Custom-025010</t>
  </si>
  <si>
    <t>Svarteborg</t>
  </si>
  <si>
    <t>025040</t>
  </si>
  <si>
    <t>Maseskar.Lighthouse</t>
  </si>
  <si>
    <t>025050</t>
  </si>
  <si>
    <t>Custom-025050</t>
  </si>
  <si>
    <t>Hud</t>
  </si>
  <si>
    <t>025070</t>
  </si>
  <si>
    <t>Custom-025070</t>
  </si>
  <si>
    <t>Ljungskile</t>
  </si>
  <si>
    <t>025100</t>
  </si>
  <si>
    <t>Trollhattan.Vanersborg.AP</t>
  </si>
  <si>
    <t>025103</t>
  </si>
  <si>
    <t>Goteborg.City.AP</t>
  </si>
  <si>
    <t>025120</t>
  </si>
  <si>
    <t>Custom-025120</t>
  </si>
  <si>
    <t>Goteborg</t>
  </si>
  <si>
    <t>025130</t>
  </si>
  <si>
    <t>Custom-025130</t>
  </si>
  <si>
    <t>Torpabron</t>
  </si>
  <si>
    <t>025150</t>
  </si>
  <si>
    <t>Custom-025150</t>
  </si>
  <si>
    <t>Vinga.Lighthouse</t>
  </si>
  <si>
    <t>025160</t>
  </si>
  <si>
    <t>Custom-025160</t>
  </si>
  <si>
    <t>Trubaduren</t>
  </si>
  <si>
    <t>025170</t>
  </si>
  <si>
    <t>Nidingen.Lighthouse</t>
  </si>
  <si>
    <t>025180</t>
  </si>
  <si>
    <t>Custom-025180</t>
  </si>
  <si>
    <t>Satenas.AP</t>
  </si>
  <si>
    <t>025200</t>
  </si>
  <si>
    <t>Custom-025200</t>
  </si>
  <si>
    <t>Bergarud</t>
  </si>
  <si>
    <t>025210</t>
  </si>
  <si>
    <t>Custom-025210</t>
  </si>
  <si>
    <t>Molla</t>
  </si>
  <si>
    <t>025240</t>
  </si>
  <si>
    <t>Gothenburg-Landvetter.AP</t>
  </si>
  <si>
    <t>025260</t>
  </si>
  <si>
    <t>Custom-025260</t>
  </si>
  <si>
    <t>Tandadalen</t>
  </si>
  <si>
    <t>025280</t>
  </si>
  <si>
    <t>Nashuvud</t>
  </si>
  <si>
    <t>025300</t>
  </si>
  <si>
    <t>Skara</t>
  </si>
  <si>
    <t>025330</t>
  </si>
  <si>
    <t>Skovde.AP</t>
  </si>
  <si>
    <t>025350</t>
  </si>
  <si>
    <t>Custom-025350</t>
  </si>
  <si>
    <t>Rangedala</t>
  </si>
  <si>
    <t>025360</t>
  </si>
  <si>
    <t>Custom-025360</t>
  </si>
  <si>
    <t>Dalsjofors</t>
  </si>
  <si>
    <t>025361</t>
  </si>
  <si>
    <t>Ullared</t>
  </si>
  <si>
    <t>025390</t>
  </si>
  <si>
    <t>Custom-025390</t>
  </si>
  <si>
    <t>Kroppefjall-Granan</t>
  </si>
  <si>
    <t>025400</t>
  </si>
  <si>
    <t>Custom-025400</t>
  </si>
  <si>
    <t>Snavlunda</t>
  </si>
  <si>
    <t>025410</t>
  </si>
  <si>
    <t>Hallum</t>
  </si>
  <si>
    <t>025420</t>
  </si>
  <si>
    <t>Custom-025420</t>
  </si>
  <si>
    <t>Karlsborg.AP</t>
  </si>
  <si>
    <t>025440</t>
  </si>
  <si>
    <t>Custom-025440</t>
  </si>
  <si>
    <t>Axstal</t>
  </si>
  <si>
    <t>025450</t>
  </si>
  <si>
    <t>Custom-025450</t>
  </si>
  <si>
    <t>Gardsjo</t>
  </si>
  <si>
    <t>025460</t>
  </si>
  <si>
    <t>Custom-025460</t>
  </si>
  <si>
    <t>JO</t>
  </si>
  <si>
    <t>Visingso</t>
  </si>
  <si>
    <t>025480</t>
  </si>
  <si>
    <t>Custom-025480</t>
  </si>
  <si>
    <t>Tomtabacken</t>
  </si>
  <si>
    <t>025490</t>
  </si>
  <si>
    <t>Custom-025490</t>
  </si>
  <si>
    <t>Jonkoping.AP</t>
  </si>
  <si>
    <t>025500</t>
  </si>
  <si>
    <t>Custom-025500</t>
  </si>
  <si>
    <t>OG</t>
  </si>
  <si>
    <t>Malexander</t>
  </si>
  <si>
    <t>025520</t>
  </si>
  <si>
    <t>Custom-025520</t>
  </si>
  <si>
    <t>Kymbo</t>
  </si>
  <si>
    <t>025530</t>
  </si>
  <si>
    <t>Custom-025530</t>
  </si>
  <si>
    <t>Kettstaka</t>
  </si>
  <si>
    <t>025540</t>
  </si>
  <si>
    <t>Custom-025540</t>
  </si>
  <si>
    <t>Nassjo</t>
  </si>
  <si>
    <t>025550</t>
  </si>
  <si>
    <t>Hagshult.AP</t>
  </si>
  <si>
    <t>025560</t>
  </si>
  <si>
    <t>Custom-025560</t>
  </si>
  <si>
    <t>Horn</t>
  </si>
  <si>
    <t>025570</t>
  </si>
  <si>
    <t>Custom-025570</t>
  </si>
  <si>
    <t>Kolmarden-Stromsfors</t>
  </si>
  <si>
    <t>025580</t>
  </si>
  <si>
    <t>Custom-025580</t>
  </si>
  <si>
    <t>Gladhammar</t>
  </si>
  <si>
    <t>025590</t>
  </si>
  <si>
    <t>Custom-025590</t>
  </si>
  <si>
    <t>Kvarn</t>
  </si>
  <si>
    <t>025610</t>
  </si>
  <si>
    <t>Custom-025610</t>
  </si>
  <si>
    <t>Malmen.AP</t>
  </si>
  <si>
    <t>025620</t>
  </si>
  <si>
    <t>Custom-025620</t>
  </si>
  <si>
    <t>Linkoping.AP</t>
  </si>
  <si>
    <t>025625</t>
  </si>
  <si>
    <t>Custom-025625</t>
  </si>
  <si>
    <t>Harstena</t>
  </si>
  <si>
    <t>025630</t>
  </si>
  <si>
    <t>Custom-025630</t>
  </si>
  <si>
    <t>Hultsfred.AP</t>
  </si>
  <si>
    <t>025650</t>
  </si>
  <si>
    <t>Custom-025650</t>
  </si>
  <si>
    <t>Malilla</t>
  </si>
  <si>
    <t>025660</t>
  </si>
  <si>
    <t>Landsort.Lighthouse</t>
  </si>
  <si>
    <t>025670</t>
  </si>
  <si>
    <t>Custom-025670</t>
  </si>
  <si>
    <t>Aboda</t>
  </si>
  <si>
    <t>025680</t>
  </si>
  <si>
    <t>Norrkoping-Bravalla</t>
  </si>
  <si>
    <t>025700</t>
  </si>
  <si>
    <t>Norrkoping.AP</t>
  </si>
  <si>
    <t>025710</t>
  </si>
  <si>
    <t>Custom-025710</t>
  </si>
  <si>
    <t>Stockholm.Skavsta.AP-Nykoping</t>
  </si>
  <si>
    <t>025720</t>
  </si>
  <si>
    <t>Custom-025720</t>
  </si>
  <si>
    <t>Norrkoping</t>
  </si>
  <si>
    <t>025740</t>
  </si>
  <si>
    <t>Custom-025740</t>
  </si>
  <si>
    <t>Olands.Norra.Udde</t>
  </si>
  <si>
    <t>025750</t>
  </si>
  <si>
    <t>Custom-025750</t>
  </si>
  <si>
    <t>Stabbo</t>
  </si>
  <si>
    <t>025800</t>
  </si>
  <si>
    <t>Gustaf.Dalen</t>
  </si>
  <si>
    <t>025830</t>
  </si>
  <si>
    <t>Custom-025830</t>
  </si>
  <si>
    <t>GT</t>
  </si>
  <si>
    <t>Farosund.Ar</t>
  </si>
  <si>
    <t>025870</t>
  </si>
  <si>
    <t>Custom-025870</t>
  </si>
  <si>
    <t>Faro.Island.Lighthouse</t>
  </si>
  <si>
    <t>025880</t>
  </si>
  <si>
    <t>Gotska.Sandon.Island</t>
  </si>
  <si>
    <t>025890</t>
  </si>
  <si>
    <t>Custom-025890</t>
  </si>
  <si>
    <t>Visby.AP</t>
  </si>
  <si>
    <t>025900</t>
  </si>
  <si>
    <t>Custom-025900</t>
  </si>
  <si>
    <t>Roma</t>
  </si>
  <si>
    <t>025950</t>
  </si>
  <si>
    <t>Custom-025950</t>
  </si>
  <si>
    <t>Ostergarnsholm</t>
  </si>
  <si>
    <t>025980</t>
  </si>
  <si>
    <t>Custom-025980</t>
  </si>
  <si>
    <t>Hallandsasen</t>
  </si>
  <si>
    <t>026020</t>
  </si>
  <si>
    <t>Custom-026020</t>
  </si>
  <si>
    <t>Broen</t>
  </si>
  <si>
    <t>026030</t>
  </si>
  <si>
    <t>Custom-026030</t>
  </si>
  <si>
    <t>Halmstad</t>
  </si>
  <si>
    <t>026040</t>
  </si>
  <si>
    <t>Custom-026040</t>
  </si>
  <si>
    <t>Hallands.Vadero</t>
  </si>
  <si>
    <t>026050</t>
  </si>
  <si>
    <t>Custom-026050</t>
  </si>
  <si>
    <t>Kullen.Lighthouse</t>
  </si>
  <si>
    <t>026060</t>
  </si>
  <si>
    <t>Angelholm-Helsingborg.AP</t>
  </si>
  <si>
    <t>026070</t>
  </si>
  <si>
    <t>Custom-026070</t>
  </si>
  <si>
    <t>Rynge</t>
  </si>
  <si>
    <t>026090</t>
  </si>
  <si>
    <t>Custom-026090</t>
  </si>
  <si>
    <t>Orja</t>
  </si>
  <si>
    <t>026100</t>
  </si>
  <si>
    <t>Helsingborg</t>
  </si>
  <si>
    <t>026110</t>
  </si>
  <si>
    <t>Custom-026110</t>
  </si>
  <si>
    <t>Oskarsgrundet</t>
  </si>
  <si>
    <t>026140</t>
  </si>
  <si>
    <t>Falsterbo.Lighthouse</t>
  </si>
  <si>
    <t>026160</t>
  </si>
  <si>
    <t>Custom-026160</t>
  </si>
  <si>
    <t>Torup</t>
  </si>
  <si>
    <t>026180</t>
  </si>
  <si>
    <t>Custom-026180</t>
  </si>
  <si>
    <t>Ljungby</t>
  </si>
  <si>
    <t>026220</t>
  </si>
  <si>
    <t>Custom-026220</t>
  </si>
  <si>
    <t>Horby</t>
  </si>
  <si>
    <t>026230</t>
  </si>
  <si>
    <t>Custom-026230</t>
  </si>
  <si>
    <t>Skillinge</t>
  </si>
  <si>
    <t>026250</t>
  </si>
  <si>
    <t>Custom-026250</t>
  </si>
  <si>
    <t>Osby</t>
  </si>
  <si>
    <t>026260</t>
  </si>
  <si>
    <t>Hano.Island</t>
  </si>
  <si>
    <t>026280</t>
  </si>
  <si>
    <t>Custom-026280</t>
  </si>
  <si>
    <t>Hastveda</t>
  </si>
  <si>
    <t>026290</t>
  </si>
  <si>
    <t>Custom-026290</t>
  </si>
  <si>
    <t>Utklippan.Lighthouse</t>
  </si>
  <si>
    <t>026320</t>
  </si>
  <si>
    <t>Custom-026320</t>
  </si>
  <si>
    <t>Lund.Sol</t>
  </si>
  <si>
    <t>026330</t>
  </si>
  <si>
    <t>Malmo</t>
  </si>
  <si>
    <t>026350</t>
  </si>
  <si>
    <t>Custom-026350</t>
  </si>
  <si>
    <t>Malmo.AP-Sturup</t>
  </si>
  <si>
    <t>026360</t>
  </si>
  <si>
    <t>Custom-026360</t>
  </si>
  <si>
    <t>Smygehuk.Lighthouse</t>
  </si>
  <si>
    <t>026380</t>
  </si>
  <si>
    <t>Vaxjo.Smaland.AP</t>
  </si>
  <si>
    <t>026410</t>
  </si>
  <si>
    <t>Custom-026410</t>
  </si>
  <si>
    <t>Olands.Sodra.Udde.Lighthouse</t>
  </si>
  <si>
    <t>026440</t>
  </si>
  <si>
    <t>Custom-026440</t>
  </si>
  <si>
    <t>Olandsbron.Bridge</t>
  </si>
  <si>
    <t>026460</t>
  </si>
  <si>
    <t>Custom-026460</t>
  </si>
  <si>
    <t>Vaxjo</t>
  </si>
  <si>
    <t>026480</t>
  </si>
  <si>
    <t>Custom-026480</t>
  </si>
  <si>
    <t>Kristianstad.AP</t>
  </si>
  <si>
    <t>026510</t>
  </si>
  <si>
    <t>Custom-026510</t>
  </si>
  <si>
    <t>Kristianstad</t>
  </si>
  <si>
    <t>026520</t>
  </si>
  <si>
    <t>Rinkaby.AF</t>
  </si>
  <si>
    <t>026531</t>
  </si>
  <si>
    <t>Stenshuvud.National.Park</t>
  </si>
  <si>
    <t>026540</t>
  </si>
  <si>
    <t>Kosta.Orrefors</t>
  </si>
  <si>
    <t>026610</t>
  </si>
  <si>
    <t>Custom-026610</t>
  </si>
  <si>
    <t>Ronneby.AP</t>
  </si>
  <si>
    <t>026640</t>
  </si>
  <si>
    <t>Custom-026640</t>
  </si>
  <si>
    <t>Ungskar</t>
  </si>
  <si>
    <t>026660</t>
  </si>
  <si>
    <t>Karlskrona-Soderstjerna</t>
  </si>
  <si>
    <t>026670</t>
  </si>
  <si>
    <t>Custom-026670</t>
  </si>
  <si>
    <t>Kalmar.AP</t>
  </si>
  <si>
    <t>026700</t>
  </si>
  <si>
    <t>Custom-026700</t>
  </si>
  <si>
    <t>Hoburg.Lighthouse</t>
  </si>
  <si>
    <t>026790</t>
  </si>
  <si>
    <t>Custom-026790</t>
  </si>
  <si>
    <t>Olands.Sodra.Grund</t>
  </si>
  <si>
    <t>026850</t>
  </si>
  <si>
    <t>SYR</t>
  </si>
  <si>
    <t>Kamishli.Intl.AP</t>
  </si>
  <si>
    <t>Custom-400010</t>
  </si>
  <si>
    <t>HL</t>
  </si>
  <si>
    <t>Jarabulus</t>
  </si>
  <si>
    <t>Aleppo.Intl.AP</t>
  </si>
  <si>
    <t>Custom-400070</t>
  </si>
  <si>
    <t>Tell.Abiad</t>
  </si>
  <si>
    <t>Custom-400090</t>
  </si>
  <si>
    <t>Hasakah</t>
  </si>
  <si>
    <t>ID</t>
  </si>
  <si>
    <t>Idlib</t>
  </si>
  <si>
    <t>Lattakia</t>
  </si>
  <si>
    <t>Custom-400220</t>
  </si>
  <si>
    <t>Lattakia-Assad.Intl.AP</t>
  </si>
  <si>
    <t>Custom-400250</t>
  </si>
  <si>
    <t>Etheria</t>
  </si>
  <si>
    <t>Salamya</t>
  </si>
  <si>
    <t>Hamah</t>
  </si>
  <si>
    <t>Custom-400300</t>
  </si>
  <si>
    <t>Raqqah</t>
  </si>
  <si>
    <t>Custom-400390</t>
  </si>
  <si>
    <t>Al.Rastan</t>
  </si>
  <si>
    <t>DY</t>
  </si>
  <si>
    <t>Deir.ez-Zur.AP</t>
  </si>
  <si>
    <t>Custom-400450</t>
  </si>
  <si>
    <t>Tartus</t>
  </si>
  <si>
    <t>Homs</t>
  </si>
  <si>
    <t>Palmyra.AP</t>
  </si>
  <si>
    <t>Custom-400610</t>
  </si>
  <si>
    <t>Safita</t>
  </si>
  <si>
    <t>Custom-400660</t>
  </si>
  <si>
    <t>QU</t>
  </si>
  <si>
    <t>Sweida-UNDOF</t>
  </si>
  <si>
    <t>Abukmal</t>
  </si>
  <si>
    <t>Custom-400720</t>
  </si>
  <si>
    <t>Damascus-Dimashq.AP</t>
  </si>
  <si>
    <t>Damascus.Intl.AP</t>
  </si>
  <si>
    <t>Custom-400800</t>
  </si>
  <si>
    <t>RD</t>
  </si>
  <si>
    <t>Nabk</t>
  </si>
  <si>
    <t>Custom-400830</t>
  </si>
  <si>
    <t>Sabe.Abar</t>
  </si>
  <si>
    <t>Jabal.Ettanf</t>
  </si>
  <si>
    <t>Fiq</t>
  </si>
  <si>
    <t>Daraa</t>
  </si>
  <si>
    <t>Custom-400950</t>
  </si>
  <si>
    <t>TUR</t>
  </si>
  <si>
    <t>Bartin</t>
  </si>
  <si>
    <t>Custom-170200</t>
  </si>
  <si>
    <t>ZO</t>
  </si>
  <si>
    <t>Zonguldak</t>
  </si>
  <si>
    <t>Custom-170220</t>
  </si>
  <si>
    <t>Samandira.Intl.AP</t>
  </si>
  <si>
    <t>KS</t>
  </si>
  <si>
    <t>Inebolu</t>
  </si>
  <si>
    <t>Custom-170240</t>
  </si>
  <si>
    <t>Sinop</t>
  </si>
  <si>
    <t>Custom-170260</t>
  </si>
  <si>
    <t>Samsun-Meydan</t>
  </si>
  <si>
    <t>Samsun</t>
  </si>
  <si>
    <t>Custom-170300</t>
  </si>
  <si>
    <t>Samsun-Carsamba.AP</t>
  </si>
  <si>
    <t>Custom-170310</t>
  </si>
  <si>
    <t>Ordu</t>
  </si>
  <si>
    <t>Custom-170330</t>
  </si>
  <si>
    <t>Giresun</t>
  </si>
  <si>
    <t>Custom-170340</t>
  </si>
  <si>
    <t>TB</t>
  </si>
  <si>
    <t>Trabzon.AP</t>
  </si>
  <si>
    <t>Custom-170380</t>
  </si>
  <si>
    <t>Rize</t>
  </si>
  <si>
    <t>Custom-170400</t>
  </si>
  <si>
    <t>Hopa</t>
  </si>
  <si>
    <t>Custom-170420</t>
  </si>
  <si>
    <t>Artvin</t>
  </si>
  <si>
    <t>Custom-170450</t>
  </si>
  <si>
    <t>Ardahan</t>
  </si>
  <si>
    <t>Custom-170460</t>
  </si>
  <si>
    <t>ED</t>
  </si>
  <si>
    <t>Edirne</t>
  </si>
  <si>
    <t>Custom-170500</t>
  </si>
  <si>
    <t>Kirklareli</t>
  </si>
  <si>
    <t>Custom-170520</t>
  </si>
  <si>
    <t>Corlu</t>
  </si>
  <si>
    <t>Custom-170540</t>
  </si>
  <si>
    <t>Tekirdag</t>
  </si>
  <si>
    <t>Custom-170560</t>
  </si>
  <si>
    <t>Kumkoy</t>
  </si>
  <si>
    <t>Custom-170590</t>
  </si>
  <si>
    <t>Istanbul-Ataturk.AP</t>
  </si>
  <si>
    <t>Custom-170600</t>
  </si>
  <si>
    <t>Sariyer</t>
  </si>
  <si>
    <t>Custom-170610</t>
  </si>
  <si>
    <t>Sabiha-Gokcen.Intl.AP</t>
  </si>
  <si>
    <t>Custom-170630</t>
  </si>
  <si>
    <t>Istanbul.Bolge.Kartal-Goztepe</t>
  </si>
  <si>
    <t>Custom-170640</t>
  </si>
  <si>
    <t>KC</t>
  </si>
  <si>
    <t>Izmit</t>
  </si>
  <si>
    <t>Golcuk-Dumlupinar</t>
  </si>
  <si>
    <t>Custom-170670</t>
  </si>
  <si>
    <t>Cengiztopel</t>
  </si>
  <si>
    <t>Custom-170680</t>
  </si>
  <si>
    <t>Adapazari</t>
  </si>
  <si>
    <t>Custom-170690</t>
  </si>
  <si>
    <t>Bolu</t>
  </si>
  <si>
    <t>Custom-170700</t>
  </si>
  <si>
    <t>Duzce</t>
  </si>
  <si>
    <t>Custom-170720</t>
  </si>
  <si>
    <t>Kastamonu</t>
  </si>
  <si>
    <t>Custom-170740</t>
  </si>
  <si>
    <t>KB</t>
  </si>
  <si>
    <t>Karabuk</t>
  </si>
  <si>
    <t>Custom-170780</t>
  </si>
  <si>
    <t>CI</t>
  </si>
  <si>
    <t>Cankiri</t>
  </si>
  <si>
    <t>Custom-170800</t>
  </si>
  <si>
    <t>Merzifon.AP</t>
  </si>
  <si>
    <t>Custom-170820</t>
  </si>
  <si>
    <t>Corum</t>
  </si>
  <si>
    <t>Custom-170840</t>
  </si>
  <si>
    <t>Amasya</t>
  </si>
  <si>
    <t>Custom-170850</t>
  </si>
  <si>
    <t>Tokat</t>
  </si>
  <si>
    <t>Custom-170860</t>
  </si>
  <si>
    <t>GU</t>
  </si>
  <si>
    <t>Gumushane</t>
  </si>
  <si>
    <t>Custom-170880</t>
  </si>
  <si>
    <t>Bayburt</t>
  </si>
  <si>
    <t>Custom-170890</t>
  </si>
  <si>
    <t>Sivas</t>
  </si>
  <si>
    <t>Custom-170900</t>
  </si>
  <si>
    <t>EN</t>
  </si>
  <si>
    <t>Erzincan.AP</t>
  </si>
  <si>
    <t>Custom-170920</t>
  </si>
  <si>
    <t>Erzurum.Bolge</t>
  </si>
  <si>
    <t>Erzurum.AP</t>
  </si>
  <si>
    <t>Custom-170960</t>
  </si>
  <si>
    <t>Kars.AP</t>
  </si>
  <si>
    <t>Custom-170980</t>
  </si>
  <si>
    <t>Siirt.AP</t>
  </si>
  <si>
    <t>Custom-170981</t>
  </si>
  <si>
    <t>Agri</t>
  </si>
  <si>
    <t>Custom-170990</t>
  </si>
  <si>
    <t>IG</t>
  </si>
  <si>
    <t>Igdir</t>
  </si>
  <si>
    <t>Custom-171000</t>
  </si>
  <si>
    <t>Igdir.Airport</t>
  </si>
  <si>
    <t>Custom-171001</t>
  </si>
  <si>
    <t>Gokceada.AP</t>
  </si>
  <si>
    <t>Bozcaada</t>
  </si>
  <si>
    <t>Canakkale</t>
  </si>
  <si>
    <t>Custom-171120</t>
  </si>
  <si>
    <t>Bandirma.AP</t>
  </si>
  <si>
    <t>Custom-171150</t>
  </si>
  <si>
    <t>Bursa.AP</t>
  </si>
  <si>
    <t>Custom-171160</t>
  </si>
  <si>
    <t>Kutahya.AFB</t>
  </si>
  <si>
    <t>Yenisehir</t>
  </si>
  <si>
    <t>Custom-171180</t>
  </si>
  <si>
    <t>ES</t>
  </si>
  <si>
    <t>Sivrihisar</t>
  </si>
  <si>
    <t>YL</t>
  </si>
  <si>
    <t>Yalova</t>
  </si>
  <si>
    <t>Custom-171190</t>
  </si>
  <si>
    <t>Bilecik</t>
  </si>
  <si>
    <t>Custom-171200</t>
  </si>
  <si>
    <t>Eskisehir.AB</t>
  </si>
  <si>
    <t>Custom-171240</t>
  </si>
  <si>
    <t>Ankara-Akinci.AP-Murted.AF</t>
  </si>
  <si>
    <t>Custom-171270</t>
  </si>
  <si>
    <t>Ankara-Esenboga.AP</t>
  </si>
  <si>
    <t>Custom-171280</t>
  </si>
  <si>
    <t>Ankara-Etimesgut.AP</t>
  </si>
  <si>
    <t>Custom-171290</t>
  </si>
  <si>
    <t>Ankara.Central</t>
  </si>
  <si>
    <t>Custom-171300</t>
  </si>
  <si>
    <t>Ankara-Guvercinlik.AP</t>
  </si>
  <si>
    <t>Custom-171310</t>
  </si>
  <si>
    <t>Kirikkale</t>
  </si>
  <si>
    <t>Custom-171350</t>
  </si>
  <si>
    <t>YZ</t>
  </si>
  <si>
    <t>Yozgat</t>
  </si>
  <si>
    <t>Custom-171400</t>
  </si>
  <si>
    <t>Balikesir-Edremit.Korfez.AP-Balikesir.Koca.Seyit.AP</t>
  </si>
  <si>
    <t>Custom-171450</t>
  </si>
  <si>
    <t>Balikesir-Merkez.Havalimani.AP</t>
  </si>
  <si>
    <t>Custom-171500</t>
  </si>
  <si>
    <t>Kutahya</t>
  </si>
  <si>
    <t>Custom-171550</t>
  </si>
  <si>
    <t>Kirsehir</t>
  </si>
  <si>
    <t>Custom-171600</t>
  </si>
  <si>
    <t>Gemerek</t>
  </si>
  <si>
    <t>Tunceli</t>
  </si>
  <si>
    <t>Custom-171650</t>
  </si>
  <si>
    <t>Van.Feritmelen.AP</t>
  </si>
  <si>
    <t>Custom-171700</t>
  </si>
  <si>
    <t>Ayvalik</t>
  </si>
  <si>
    <t>Custom-171750</t>
  </si>
  <si>
    <t>IZ</t>
  </si>
  <si>
    <t>Dikili</t>
  </si>
  <si>
    <t>Custom-171800</t>
  </si>
  <si>
    <t>Akhisar</t>
  </si>
  <si>
    <t>Custom-171840</t>
  </si>
  <si>
    <t>Manisa</t>
  </si>
  <si>
    <t>Custom-171860</t>
  </si>
  <si>
    <t>Manisa.Industrial.Park</t>
  </si>
  <si>
    <t>Custom-171865</t>
  </si>
  <si>
    <t>Usak</t>
  </si>
  <si>
    <t>Custom-171880</t>
  </si>
  <si>
    <t>AF</t>
  </si>
  <si>
    <t>Afyon</t>
  </si>
  <si>
    <t>Custom-171890</t>
  </si>
  <si>
    <t>Afyonkarahisar.AP</t>
  </si>
  <si>
    <t>Cihanbeyli</t>
  </si>
  <si>
    <t>Custom-171910</t>
  </si>
  <si>
    <t>Aksaray</t>
  </si>
  <si>
    <t>Custom-171920</t>
  </si>
  <si>
    <t>Nevsehir</t>
  </si>
  <si>
    <t>Custom-171930</t>
  </si>
  <si>
    <t>Kapodokya.AP</t>
  </si>
  <si>
    <t>Custom-171940</t>
  </si>
  <si>
    <t>Erkilet-Kayseri.AP</t>
  </si>
  <si>
    <t>Custom-171950</t>
  </si>
  <si>
    <t>Tulga.AP</t>
  </si>
  <si>
    <t>Custom-171970</t>
  </si>
  <si>
    <t>Malatya-Bolge</t>
  </si>
  <si>
    <t>Custom-171990</t>
  </si>
  <si>
    <t>Malatya-Erhac.AP</t>
  </si>
  <si>
    <t>Custom-172000</t>
  </si>
  <si>
    <t>Cengiz-Topel.AP</t>
  </si>
  <si>
    <t>Custom-172005</t>
  </si>
  <si>
    <t>Eskisehir-Anadolu.AP</t>
  </si>
  <si>
    <t>Custom-172006</t>
  </si>
  <si>
    <t>EG</t>
  </si>
  <si>
    <t>Elazig.AP</t>
  </si>
  <si>
    <t>Custom-172020</t>
  </si>
  <si>
    <t>BG</t>
  </si>
  <si>
    <t>Bingol</t>
  </si>
  <si>
    <t>Custom-172030</t>
  </si>
  <si>
    <t>Mus</t>
  </si>
  <si>
    <t>Custom-172040</t>
  </si>
  <si>
    <t>Mus.AP</t>
  </si>
  <si>
    <t>Custom-172043</t>
  </si>
  <si>
    <t>Tatvan</t>
  </si>
  <si>
    <t>Siirt</t>
  </si>
  <si>
    <t>Custom-172100</t>
  </si>
  <si>
    <t>Cigli.AB</t>
  </si>
  <si>
    <t>Custom-172180</t>
  </si>
  <si>
    <t>Izmir-Adnan.Menderes.Univ.AP</t>
  </si>
  <si>
    <t>Custom-172190</t>
  </si>
  <si>
    <t>Gaziemir.AB</t>
  </si>
  <si>
    <t>Izmir-Guzelyali</t>
  </si>
  <si>
    <t>Custom-172200</t>
  </si>
  <si>
    <t>Cesme</t>
  </si>
  <si>
    <t>Custom-172210</t>
  </si>
  <si>
    <t>AY</t>
  </si>
  <si>
    <t>Kusadasi</t>
  </si>
  <si>
    <t>Custom-172320</t>
  </si>
  <si>
    <t>Aydin</t>
  </si>
  <si>
    <t>Custom-172340</t>
  </si>
  <si>
    <t>Denizli</t>
  </si>
  <si>
    <t>Custom-172370</t>
  </si>
  <si>
    <t>Denzili-Cardak.AP</t>
  </si>
  <si>
    <t>Custom-172375</t>
  </si>
  <si>
    <t>BD</t>
  </si>
  <si>
    <t>Burdur</t>
  </si>
  <si>
    <t>Custom-172380</t>
  </si>
  <si>
    <t>Aksehir</t>
  </si>
  <si>
    <t>Custom-172390</t>
  </si>
  <si>
    <t>IP</t>
  </si>
  <si>
    <t>Isparta</t>
  </si>
  <si>
    <t>Custom-172400</t>
  </si>
  <si>
    <t>Isparta-Suleyman.Demirel.Univ.AP</t>
  </si>
  <si>
    <t>Custom-172410</t>
  </si>
  <si>
    <t>Konya.AP</t>
  </si>
  <si>
    <t>Custom-172440</t>
  </si>
  <si>
    <t>Karaman</t>
  </si>
  <si>
    <t>Custom-172460</t>
  </si>
  <si>
    <t>Konya-Eregli</t>
  </si>
  <si>
    <t>Custom-172480</t>
  </si>
  <si>
    <t>NG</t>
  </si>
  <si>
    <t>Nigde</t>
  </si>
  <si>
    <t>Custom-172500</t>
  </si>
  <si>
    <t>Kahramanmaras</t>
  </si>
  <si>
    <t>Custom-172550</t>
  </si>
  <si>
    <t>Gaziantep-Oguzeli.AP</t>
  </si>
  <si>
    <t>Custom-172600</t>
  </si>
  <si>
    <t>Kilis</t>
  </si>
  <si>
    <t>Custom-172620</t>
  </si>
  <si>
    <t>AD</t>
  </si>
  <si>
    <t>Adiyaman</t>
  </si>
  <si>
    <t>Custom-172650</t>
  </si>
  <si>
    <t>Sanliurfa</t>
  </si>
  <si>
    <t>Custom-172700</t>
  </si>
  <si>
    <t>Sanliurfa.GAP.AP</t>
  </si>
  <si>
    <t>Custom-172710</t>
  </si>
  <si>
    <t>Mardin</t>
  </si>
  <si>
    <t>Custom-172750</t>
  </si>
  <si>
    <t>Diyarbakir.AP</t>
  </si>
  <si>
    <t>Custom-172800</t>
  </si>
  <si>
    <t>BM</t>
  </si>
  <si>
    <t>Batman.AP</t>
  </si>
  <si>
    <t>Custom-172820</t>
  </si>
  <si>
    <t>Sirnak</t>
  </si>
  <si>
    <t>Custom-172821</t>
  </si>
  <si>
    <t>Hakkari</t>
  </si>
  <si>
    <t>Custom-172850</t>
  </si>
  <si>
    <t>MG</t>
  </si>
  <si>
    <t>Bodrum</t>
  </si>
  <si>
    <t>Custom-172900</t>
  </si>
  <si>
    <t>Milas-Bodrum.Intl.AP</t>
  </si>
  <si>
    <t>Custom-172910</t>
  </si>
  <si>
    <t>Mugla</t>
  </si>
  <si>
    <t>Custom-172920</t>
  </si>
  <si>
    <t>Dalaman.AP</t>
  </si>
  <si>
    <t>Custom-172950</t>
  </si>
  <si>
    <t>Fethiye</t>
  </si>
  <si>
    <t>Custom-172960</t>
  </si>
  <si>
    <t>Datca</t>
  </si>
  <si>
    <t>Custom-172970</t>
  </si>
  <si>
    <t>Marmaris</t>
  </si>
  <si>
    <t>Custom-172980</t>
  </si>
  <si>
    <t>Antalya.AP</t>
  </si>
  <si>
    <t>Custom-173000</t>
  </si>
  <si>
    <t>Antalya-Bolge</t>
  </si>
  <si>
    <t>Custom-173020</t>
  </si>
  <si>
    <t>Alanya</t>
  </si>
  <si>
    <t>Custom-173100</t>
  </si>
  <si>
    <t>Anamur</t>
  </si>
  <si>
    <t>Custom-173200</t>
  </si>
  <si>
    <t>IC</t>
  </si>
  <si>
    <t>Silifke</t>
  </si>
  <si>
    <t>Custom-173300</t>
  </si>
  <si>
    <t>Mersin</t>
  </si>
  <si>
    <t>Custom-173400</t>
  </si>
  <si>
    <t>Adana-Incirlik.AB</t>
  </si>
  <si>
    <t>Custom-173500</t>
  </si>
  <si>
    <t>Adana.Bolge</t>
  </si>
  <si>
    <t>Adana-Sakirpasa.AP</t>
  </si>
  <si>
    <t>Custom-173520</t>
  </si>
  <si>
    <t>Osmaniye</t>
  </si>
  <si>
    <t>Custom-173550</t>
  </si>
  <si>
    <t>HT</t>
  </si>
  <si>
    <t>Iskenderun</t>
  </si>
  <si>
    <t>Custom-173700</t>
  </si>
  <si>
    <t>Hatay.Antajta</t>
  </si>
  <si>
    <t>Hatay</t>
  </si>
  <si>
    <t>Custom-173725</t>
  </si>
  <si>
    <t>Finike</t>
  </si>
  <si>
    <t>Custom-173750</t>
  </si>
  <si>
    <t>Kas</t>
  </si>
  <si>
    <t>Custom-173800</t>
  </si>
  <si>
    <t>UKR</t>
  </si>
  <si>
    <t>LH</t>
  </si>
  <si>
    <t>Luhansk.Intl.AP</t>
  </si>
  <si>
    <t>Custom-330001</t>
  </si>
  <si>
    <t>CH</t>
  </si>
  <si>
    <t>Semenivka</t>
  </si>
  <si>
    <t>Druzhba</t>
  </si>
  <si>
    <t>Svityaz</t>
  </si>
  <si>
    <t>Pnivne</t>
  </si>
  <si>
    <t>RV</t>
  </si>
  <si>
    <t>Sarny</t>
  </si>
  <si>
    <t>Custom-330880</t>
  </si>
  <si>
    <t>Chernihiv</t>
  </si>
  <si>
    <t>Custom-331350</t>
  </si>
  <si>
    <t>Voloskivtsi</t>
  </si>
  <si>
    <t>Hlukhiv-Glukhov</t>
  </si>
  <si>
    <t>Kovel</t>
  </si>
  <si>
    <t>Volodymyr-Volynsky</t>
  </si>
  <si>
    <t>Custom-331770</t>
  </si>
  <si>
    <t>Manevychi</t>
  </si>
  <si>
    <t>Lutsk</t>
  </si>
  <si>
    <t>ZT</t>
  </si>
  <si>
    <t>Olevsk</t>
  </si>
  <si>
    <t>Ovruch</t>
  </si>
  <si>
    <t>Korosten</t>
  </si>
  <si>
    <t>KV</t>
  </si>
  <si>
    <t>Volya</t>
  </si>
  <si>
    <t>Teteriv</t>
  </si>
  <si>
    <t>Chernobyl</t>
  </si>
  <si>
    <t>Oster</t>
  </si>
  <si>
    <t>Nizhyn</t>
  </si>
  <si>
    <t>Konotop</t>
  </si>
  <si>
    <t>Custom-332610</t>
  </si>
  <si>
    <t>Romny</t>
  </si>
  <si>
    <t>Bilopillya</t>
  </si>
  <si>
    <t>Sumy.AP</t>
  </si>
  <si>
    <t>Custom-332750</t>
  </si>
  <si>
    <t>Rava-Ruska</t>
  </si>
  <si>
    <t>Kamyanka.Buzka</t>
  </si>
  <si>
    <t>Dubno</t>
  </si>
  <si>
    <t>Brody</t>
  </si>
  <si>
    <t>TP</t>
  </si>
  <si>
    <t>Kremenets</t>
  </si>
  <si>
    <t>Rivne.AP</t>
  </si>
  <si>
    <t>Custom-333010</t>
  </si>
  <si>
    <t>Novohrad-Volynskyi</t>
  </si>
  <si>
    <t>Shepetivka</t>
  </si>
  <si>
    <t>Custom-333170</t>
  </si>
  <si>
    <t>Zhytomyr</t>
  </si>
  <si>
    <t>Custom-333250</t>
  </si>
  <si>
    <t>Fastov</t>
  </si>
  <si>
    <t>Kyiv</t>
  </si>
  <si>
    <t>Custom-333450</t>
  </si>
  <si>
    <t>Kyiv-Antonov.AP</t>
  </si>
  <si>
    <t>Custom-333451</t>
  </si>
  <si>
    <t>Boryspil</t>
  </si>
  <si>
    <t>Custom-333470</t>
  </si>
  <si>
    <t>Yahotyn</t>
  </si>
  <si>
    <t>Pryluky</t>
  </si>
  <si>
    <t>Hrebinka-Grebenka</t>
  </si>
  <si>
    <t>Hadiach</t>
  </si>
  <si>
    <t>Lubny</t>
  </si>
  <si>
    <t>Custom-333770</t>
  </si>
  <si>
    <t>Mostyska</t>
  </si>
  <si>
    <t>Lviv.Intl.AP</t>
  </si>
  <si>
    <t>Custom-333930</t>
  </si>
  <si>
    <t>Drohobych</t>
  </si>
  <si>
    <t>Berezhany</t>
  </si>
  <si>
    <t>Ternopil.AP</t>
  </si>
  <si>
    <t>Custom-334150</t>
  </si>
  <si>
    <t>Khmelnytskyi.AP</t>
  </si>
  <si>
    <t>Custom-334290</t>
  </si>
  <si>
    <t>Khmilnyk</t>
  </si>
  <si>
    <t>Bila.Tserkva</t>
  </si>
  <si>
    <t>Myronivka</t>
  </si>
  <si>
    <t>Custom-334660</t>
  </si>
  <si>
    <t>Zolotonosha</t>
  </si>
  <si>
    <t>Cherkasy.AP</t>
  </si>
  <si>
    <t>Veselyi.Podil</t>
  </si>
  <si>
    <t>Poltava</t>
  </si>
  <si>
    <t>Custom-335060</t>
  </si>
  <si>
    <t>Turka</t>
  </si>
  <si>
    <t>Stryi</t>
  </si>
  <si>
    <t>Velykyi.Bereznyi</t>
  </si>
  <si>
    <t>Skole</t>
  </si>
  <si>
    <t>Slavske</t>
  </si>
  <si>
    <t>Perechyn</t>
  </si>
  <si>
    <t>Kalush</t>
  </si>
  <si>
    <t>Ivano-Frankivsk.AP</t>
  </si>
  <si>
    <t>Custom-335260</t>
  </si>
  <si>
    <t>Chortkiv</t>
  </si>
  <si>
    <t>Kamyanets-Podilskyi</t>
  </si>
  <si>
    <t>Nova.Ushytsya</t>
  </si>
  <si>
    <t>Vinnytsia.AP</t>
  </si>
  <si>
    <t>Custom-335620</t>
  </si>
  <si>
    <t>Zhmerynka</t>
  </si>
  <si>
    <t>Lypovets</t>
  </si>
  <si>
    <t>Haisyn</t>
  </si>
  <si>
    <t>Zhashkiv</t>
  </si>
  <si>
    <t>Zvenihorodka</t>
  </si>
  <si>
    <t>Uman</t>
  </si>
  <si>
    <t>Custom-335870</t>
  </si>
  <si>
    <t>Rotmistrovka</t>
  </si>
  <si>
    <t>Novomyrhorod</t>
  </si>
  <si>
    <t>Chyhyryn</t>
  </si>
  <si>
    <t>Znamianka.AP</t>
  </si>
  <si>
    <t>Svitlovodsk</t>
  </si>
  <si>
    <t>Custom-336140</t>
  </si>
  <si>
    <t>Kremenchuk</t>
  </si>
  <si>
    <t>Kobelyaky</t>
  </si>
  <si>
    <t>Uzhhorod.AP</t>
  </si>
  <si>
    <t>Custom-336310</t>
  </si>
  <si>
    <t>Berehove</t>
  </si>
  <si>
    <t>Khust</t>
  </si>
  <si>
    <t>Yasinya</t>
  </si>
  <si>
    <t>Rakhiv</t>
  </si>
  <si>
    <t>Kolomyia</t>
  </si>
  <si>
    <t>Selyatyn</t>
  </si>
  <si>
    <t>Chernivtsi.AP</t>
  </si>
  <si>
    <t>Custom-336580</t>
  </si>
  <si>
    <t>Mohyliv-Podilskyi</t>
  </si>
  <si>
    <t>Custom-336630</t>
  </si>
  <si>
    <t>Haryachkivka-Goryachkovka</t>
  </si>
  <si>
    <t>Haivoron</t>
  </si>
  <si>
    <t>MY</t>
  </si>
  <si>
    <t>Pervomaisk</t>
  </si>
  <si>
    <t>Pomichna</t>
  </si>
  <si>
    <t>Kirovohrad.AP</t>
  </si>
  <si>
    <t>Custom-337110</t>
  </si>
  <si>
    <t>Bobrynets</t>
  </si>
  <si>
    <t>Komisarivka</t>
  </si>
  <si>
    <t>OD</t>
  </si>
  <si>
    <t>Zatyshshya</t>
  </si>
  <si>
    <t>Lyubashivka</t>
  </si>
  <si>
    <t>Custom-337610</t>
  </si>
  <si>
    <t>Voznesensk</t>
  </si>
  <si>
    <t>Bashtanka</t>
  </si>
  <si>
    <t>DP</t>
  </si>
  <si>
    <t>Kryvyi.Rih-Lozuvatka.Intl.AP</t>
  </si>
  <si>
    <t>Custom-337910</t>
  </si>
  <si>
    <t>Nikopol</t>
  </si>
  <si>
    <t>Serbka</t>
  </si>
  <si>
    <t>Rozdilna</t>
  </si>
  <si>
    <t>Odessa</t>
  </si>
  <si>
    <t>Custom-338370</t>
  </si>
  <si>
    <t>DT</t>
  </si>
  <si>
    <t>Sverdlovo</t>
  </si>
  <si>
    <t>Berezanka</t>
  </si>
  <si>
    <t>Mykolaiv.AP</t>
  </si>
  <si>
    <t>Custom-338460</t>
  </si>
  <si>
    <t>Ochakiv</t>
  </si>
  <si>
    <t>Velyka.Oleksandrivka</t>
  </si>
  <si>
    <t>Nova.Kakhovka</t>
  </si>
  <si>
    <t>Nyzhni.Sirohozy</t>
  </si>
  <si>
    <t>Bolhrad</t>
  </si>
  <si>
    <t>Izmail</t>
  </si>
  <si>
    <t>Sarata</t>
  </si>
  <si>
    <t>Tatarbunary</t>
  </si>
  <si>
    <t>Kherson</t>
  </si>
  <si>
    <t>Custom-339020</t>
  </si>
  <si>
    <t>Bekhtery</t>
  </si>
  <si>
    <t>Henichesk</t>
  </si>
  <si>
    <t>Askaniya-Nova</t>
  </si>
  <si>
    <t>Prymorske</t>
  </si>
  <si>
    <t>Sterehusche</t>
  </si>
  <si>
    <t>Novoselivske</t>
  </si>
  <si>
    <t>Chornomorske</t>
  </si>
  <si>
    <t>Custom-339240</t>
  </si>
  <si>
    <t>Yevpatoriia</t>
  </si>
  <si>
    <t>Strilkove</t>
  </si>
  <si>
    <t>Dzankoi</t>
  </si>
  <si>
    <t>Voronky</t>
  </si>
  <si>
    <t>Klepynine</t>
  </si>
  <si>
    <t>Poshtove</t>
  </si>
  <si>
    <t>Simferopol.Intl.AP</t>
  </si>
  <si>
    <t>Custom-339460</t>
  </si>
  <si>
    <t>Alushta</t>
  </si>
  <si>
    <t>Sovjetskyi</t>
  </si>
  <si>
    <t>Azovskoye</t>
  </si>
  <si>
    <t>Nyzhnohirskyi</t>
  </si>
  <si>
    <t>Bilohirsk</t>
  </si>
  <si>
    <t>Vladyslavivka</t>
  </si>
  <si>
    <t>Feodosia</t>
  </si>
  <si>
    <t>Cape.Kazantip.Lighthouse</t>
  </si>
  <si>
    <t>Kerch.AP</t>
  </si>
  <si>
    <t>Custom-339830</t>
  </si>
  <si>
    <t>Yalta</t>
  </si>
  <si>
    <t>Bakhchysarai</t>
  </si>
  <si>
    <t>Sevastopol-Belbek.AP</t>
  </si>
  <si>
    <t>Hurzuf-Gurzuf</t>
  </si>
  <si>
    <t>Ai.Petri.Mtn</t>
  </si>
  <si>
    <t>Kharkiv.Intl.AP</t>
  </si>
  <si>
    <t>Custom-343000</t>
  </si>
  <si>
    <t>Bohodukhiv</t>
  </si>
  <si>
    <t>Kolomak</t>
  </si>
  <si>
    <t>Artemivka</t>
  </si>
  <si>
    <t>Velykyi.Burluk</t>
  </si>
  <si>
    <t>Kupyansk-Vuzlovyi</t>
  </si>
  <si>
    <t>Krasnohrad</t>
  </si>
  <si>
    <t>Hubynykha</t>
  </si>
  <si>
    <t>Lozova</t>
  </si>
  <si>
    <t>Izyum</t>
  </si>
  <si>
    <t>Custom-344150</t>
  </si>
  <si>
    <t>Lyman</t>
  </si>
  <si>
    <t>Svatove</t>
  </si>
  <si>
    <t>Starobilsk</t>
  </si>
  <si>
    <t>Bilovodsk</t>
  </si>
  <si>
    <t>Pavlohrad</t>
  </si>
  <si>
    <t>Dnipropetrovsk.Intl.AP</t>
  </si>
  <si>
    <t>Custom-345040</t>
  </si>
  <si>
    <t>Chaplyne</t>
  </si>
  <si>
    <t>Bakhmut</t>
  </si>
  <si>
    <t>Oleksandropil</t>
  </si>
  <si>
    <t>Krasnoarmiisk</t>
  </si>
  <si>
    <t>Donetsk.Intl.AP</t>
  </si>
  <si>
    <t>Custom-345190</t>
  </si>
  <si>
    <t>Luhansk</t>
  </si>
  <si>
    <t>Custom-345230</t>
  </si>
  <si>
    <t>Debaltseve</t>
  </si>
  <si>
    <t>DarIvka</t>
  </si>
  <si>
    <t>Zaporizhzhia</t>
  </si>
  <si>
    <t>Custom-346010</t>
  </si>
  <si>
    <t>Hulyaipole-Gulyaypole</t>
  </si>
  <si>
    <t>Pryshyb</t>
  </si>
  <si>
    <t>Kyrylivka</t>
  </si>
  <si>
    <t>Volnovakha</t>
  </si>
  <si>
    <t>Amvrosiivka</t>
  </si>
  <si>
    <t>Melitopol</t>
  </si>
  <si>
    <t>Botijeve</t>
  </si>
  <si>
    <t>Mariupol</t>
  </si>
  <si>
    <t>Custom-347120</t>
  </si>
  <si>
    <t>Berdyansk</t>
  </si>
  <si>
    <t>VAT</t>
  </si>
  <si>
    <t>Vatican.City</t>
  </si>
  <si>
    <t>VAT001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</si>
</sst>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quotePrefix="1"/>
    <xf numFmtId="11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8059-6BCD-4E29-9754-733842A60757}">
  <dimension ref="A1:J1257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9" bestFit="1" customWidth="1"/>
    <col min="4" max="4" width="8.140625" bestFit="1" customWidth="1"/>
    <col min="5" max="5" width="14.5703125" bestFit="1" customWidth="1"/>
    <col min="7" max="7" width="9.855468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s="1" t="s">
        <v>13</v>
      </c>
      <c r="E2" t="s">
        <v>14</v>
      </c>
      <c r="F2">
        <v>60.1158</v>
      </c>
      <c r="G2">
        <v>20.297499999999999</v>
      </c>
      <c r="H2">
        <v>2</v>
      </c>
      <c r="I2">
        <v>12.5</v>
      </c>
      <c r="J2" t="str">
        <f>HYPERLINK("https://climate.onebuilding.org/WMO_Region_6_Europe/ALA_Aland_Islands/ALA_LU_Lumparland.Langnas.Harbour.027240_TMYx.2007-2021.zip")</f>
        <v>https://climate.onebuilding.org/WMO_Region_6_Europe/ALA_Aland_Islands/ALA_LU_Lumparland.Langnas.Harbour.027240_TMYx.2007-2021.zip</v>
      </c>
    </row>
    <row r="3" spans="1:10" x14ac:dyDescent="0.25">
      <c r="A3" t="s">
        <v>10</v>
      </c>
      <c r="B3" t="s">
        <v>11</v>
      </c>
      <c r="C3" t="s">
        <v>12</v>
      </c>
      <c r="D3" s="1" t="s">
        <v>13</v>
      </c>
      <c r="E3" t="s">
        <v>14</v>
      </c>
      <c r="F3">
        <v>60.1158</v>
      </c>
      <c r="G3">
        <v>20.297499999999999</v>
      </c>
      <c r="H3">
        <v>2</v>
      </c>
      <c r="I3">
        <v>12.5</v>
      </c>
      <c r="J3" t="str">
        <f>HYPERLINK("https://climate.onebuilding.org/WMO_Region_6_Europe/ALA_Aland_Islands/ALA_LU_Lumparland.Langnas.Harbour.027240_TMYx.2009-2023.zip")</f>
        <v>https://climate.onebuilding.org/WMO_Region_6_Europe/ALA_Aland_Islands/ALA_LU_Lumparland.Langnas.Harbour.027240_TMYx.2009-2023.zip</v>
      </c>
    </row>
    <row r="4" spans="1:10" x14ac:dyDescent="0.25">
      <c r="A4" t="s">
        <v>10</v>
      </c>
      <c r="B4" t="s">
        <v>11</v>
      </c>
      <c r="C4" t="s">
        <v>12</v>
      </c>
      <c r="D4" s="1" t="s">
        <v>13</v>
      </c>
      <c r="E4" t="s">
        <v>14</v>
      </c>
      <c r="F4">
        <v>60.1158</v>
      </c>
      <c r="G4">
        <v>20.297499999999999</v>
      </c>
      <c r="H4">
        <v>2</v>
      </c>
      <c r="I4">
        <v>12.5</v>
      </c>
      <c r="J4" t="str">
        <f>HYPERLINK("https://climate.onebuilding.org/WMO_Region_6_Europe/ALA_Aland_Islands/ALA_LU_Lumparland.Langnas.Harbour.027240_TMYx.zip")</f>
        <v>https://climate.onebuilding.org/WMO_Region_6_Europe/ALA_Aland_Islands/ALA_LU_Lumparland.Langnas.Harbour.027240_TMYx.zip</v>
      </c>
    </row>
    <row r="5" spans="1:10" x14ac:dyDescent="0.25">
      <c r="A5" t="s">
        <v>10</v>
      </c>
      <c r="B5" t="s">
        <v>15</v>
      </c>
      <c r="C5" t="s">
        <v>16</v>
      </c>
      <c r="D5" s="1" t="s">
        <v>17</v>
      </c>
      <c r="E5" t="s">
        <v>18</v>
      </c>
      <c r="F5">
        <v>60.1783</v>
      </c>
      <c r="G5">
        <v>19.9864</v>
      </c>
      <c r="H5">
        <v>2</v>
      </c>
      <c r="I5">
        <v>11</v>
      </c>
      <c r="J5" t="str">
        <f>HYPERLINK("https://climate.onebuilding.org/WMO_Region_6_Europe/ALA_Aland_Islands/ALA_MH_Jomalby.027410_TMYx.2004-2018.zip")</f>
        <v>https://climate.onebuilding.org/WMO_Region_6_Europe/ALA_Aland_Islands/ALA_MH_Jomalby.027410_TMYx.2004-2018.zip</v>
      </c>
    </row>
    <row r="6" spans="1:10" x14ac:dyDescent="0.25">
      <c r="A6" t="s">
        <v>10</v>
      </c>
      <c r="B6" t="s">
        <v>15</v>
      </c>
      <c r="C6" t="s">
        <v>16</v>
      </c>
      <c r="D6" s="1" t="s">
        <v>17</v>
      </c>
      <c r="E6" t="s">
        <v>14</v>
      </c>
      <c r="F6">
        <v>60.1783</v>
      </c>
      <c r="G6">
        <v>19.9864</v>
      </c>
      <c r="H6">
        <v>2</v>
      </c>
      <c r="I6">
        <v>11</v>
      </c>
      <c r="J6" t="str">
        <f>HYPERLINK("https://climate.onebuilding.org/WMO_Region_6_Europe/ALA_Aland_Islands/ALA_MH_Jomalby.027410_TMYx.2007-2021.zip")</f>
        <v>https://climate.onebuilding.org/WMO_Region_6_Europe/ALA_Aland_Islands/ALA_MH_Jomalby.027410_TMYx.2007-2021.zip</v>
      </c>
    </row>
    <row r="7" spans="1:10" x14ac:dyDescent="0.25">
      <c r="A7" t="s">
        <v>10</v>
      </c>
      <c r="B7" t="s">
        <v>15</v>
      </c>
      <c r="C7" t="s">
        <v>16</v>
      </c>
      <c r="D7" s="1" t="s">
        <v>17</v>
      </c>
      <c r="E7" t="s">
        <v>14</v>
      </c>
      <c r="F7">
        <v>60.1783</v>
      </c>
      <c r="G7">
        <v>19.9864</v>
      </c>
      <c r="H7">
        <v>2</v>
      </c>
      <c r="I7">
        <v>11</v>
      </c>
      <c r="J7" t="str">
        <f>HYPERLINK("https://climate.onebuilding.org/WMO_Region_6_Europe/ALA_Aland_Islands/ALA_MH_Jomalby.027410_TMYx.2009-2023.zip")</f>
        <v>https://climate.onebuilding.org/WMO_Region_6_Europe/ALA_Aland_Islands/ALA_MH_Jomalby.027410_TMYx.2009-2023.zip</v>
      </c>
    </row>
    <row r="8" spans="1:10" x14ac:dyDescent="0.25">
      <c r="A8" t="s">
        <v>10</v>
      </c>
      <c r="B8" t="s">
        <v>15</v>
      </c>
      <c r="C8" t="s">
        <v>16</v>
      </c>
      <c r="D8" s="1" t="s">
        <v>17</v>
      </c>
      <c r="E8" t="s">
        <v>14</v>
      </c>
      <c r="F8">
        <v>60.1783</v>
      </c>
      <c r="G8">
        <v>19.9864</v>
      </c>
      <c r="H8">
        <v>2</v>
      </c>
      <c r="I8">
        <v>11</v>
      </c>
      <c r="J8" t="str">
        <f>HYPERLINK("https://climate.onebuilding.org/WMO_Region_6_Europe/ALA_Aland_Islands/ALA_MH_Jomalby.027410_TMYx.zip")</f>
        <v>https://climate.onebuilding.org/WMO_Region_6_Europe/ALA_Aland_Islands/ALA_MH_Jomalby.027410_TMYx.zip</v>
      </c>
    </row>
    <row r="9" spans="1:10" x14ac:dyDescent="0.25">
      <c r="A9" t="s">
        <v>10</v>
      </c>
      <c r="B9" t="s">
        <v>19</v>
      </c>
      <c r="C9" t="s">
        <v>20</v>
      </c>
      <c r="D9" s="1" t="s">
        <v>21</v>
      </c>
      <c r="E9" t="s">
        <v>22</v>
      </c>
      <c r="F9">
        <v>60.258099999999999</v>
      </c>
      <c r="G9">
        <v>20.747199999999999</v>
      </c>
      <c r="H9">
        <v>2</v>
      </c>
      <c r="I9">
        <v>22.5</v>
      </c>
      <c r="J9" t="str">
        <f>HYPERLINK("https://climate.onebuilding.org/WMO_Region_6_Europe/ALA_Aland_Islands/ALA_KM_Kumlinge.027900_TMYx.2004-2018.zip")</f>
        <v>https://climate.onebuilding.org/WMO_Region_6_Europe/ALA_Aland_Islands/ALA_KM_Kumlinge.027900_TMYx.2004-2018.zip</v>
      </c>
    </row>
    <row r="10" spans="1:10" x14ac:dyDescent="0.25">
      <c r="A10" t="s">
        <v>10</v>
      </c>
      <c r="B10" t="s">
        <v>19</v>
      </c>
      <c r="C10" t="s">
        <v>20</v>
      </c>
      <c r="D10" s="1" t="s">
        <v>21</v>
      </c>
      <c r="E10" t="s">
        <v>14</v>
      </c>
      <c r="F10">
        <v>60.258099999999999</v>
      </c>
      <c r="G10">
        <v>20.747199999999999</v>
      </c>
      <c r="H10">
        <v>2</v>
      </c>
      <c r="I10">
        <v>22.5</v>
      </c>
      <c r="J10" t="str">
        <f>HYPERLINK("https://climate.onebuilding.org/WMO_Region_6_Europe/ALA_Aland_Islands/ALA_KM_Kumlinge.027900_TMYx.2007-2021.zip")</f>
        <v>https://climate.onebuilding.org/WMO_Region_6_Europe/ALA_Aland_Islands/ALA_KM_Kumlinge.027900_TMYx.2007-2021.zip</v>
      </c>
    </row>
    <row r="11" spans="1:10" x14ac:dyDescent="0.25">
      <c r="A11" t="s">
        <v>10</v>
      </c>
      <c r="B11" t="s">
        <v>19</v>
      </c>
      <c r="C11" t="s">
        <v>20</v>
      </c>
      <c r="D11" s="1" t="s">
        <v>21</v>
      </c>
      <c r="E11" t="s">
        <v>14</v>
      </c>
      <c r="F11">
        <v>60.258099999999999</v>
      </c>
      <c r="G11">
        <v>20.747199999999999</v>
      </c>
      <c r="H11">
        <v>2</v>
      </c>
      <c r="I11">
        <v>22.5</v>
      </c>
      <c r="J11" t="str">
        <f>HYPERLINK("https://climate.onebuilding.org/WMO_Region_6_Europe/ALA_Aland_Islands/ALA_KM_Kumlinge.027900_TMYx.2009-2023.zip")</f>
        <v>https://climate.onebuilding.org/WMO_Region_6_Europe/ALA_Aland_Islands/ALA_KM_Kumlinge.027900_TMYx.2009-2023.zip</v>
      </c>
    </row>
    <row r="12" spans="1:10" x14ac:dyDescent="0.25">
      <c r="A12" t="s">
        <v>10</v>
      </c>
      <c r="B12" t="s">
        <v>19</v>
      </c>
      <c r="C12" t="s">
        <v>20</v>
      </c>
      <c r="D12" s="1" t="s">
        <v>21</v>
      </c>
      <c r="E12" t="s">
        <v>14</v>
      </c>
      <c r="F12">
        <v>60.258099999999999</v>
      </c>
      <c r="G12">
        <v>20.747199999999999</v>
      </c>
      <c r="H12">
        <v>2</v>
      </c>
      <c r="I12">
        <v>22.5</v>
      </c>
      <c r="J12" t="str">
        <f>HYPERLINK("https://climate.onebuilding.org/WMO_Region_6_Europe/ALA_Aland_Islands/ALA_KM_Kumlinge.027900_TMYx.zip")</f>
        <v>https://climate.onebuilding.org/WMO_Region_6_Europe/ALA_Aland_Islands/ALA_KM_Kumlinge.027900_TMYx.zip</v>
      </c>
    </row>
    <row r="13" spans="1:10" x14ac:dyDescent="0.25">
      <c r="A13" t="s">
        <v>10</v>
      </c>
      <c r="B13" t="s">
        <v>15</v>
      </c>
      <c r="C13" t="s">
        <v>23</v>
      </c>
      <c r="D13" s="1" t="s">
        <v>24</v>
      </c>
      <c r="E13" t="s">
        <v>25</v>
      </c>
      <c r="F13">
        <v>60.124699999999997</v>
      </c>
      <c r="G13">
        <v>19.903300000000002</v>
      </c>
      <c r="H13">
        <v>2</v>
      </c>
      <c r="I13">
        <v>6.1</v>
      </c>
      <c r="J13" t="str">
        <f>HYPERLINK("https://climate.onebuilding.org/WMO_Region_6_Europe/ALA_Aland_Islands/ALA_MH_Jomala-Mariehamn.AP.029700_TMYx.2004-2018.zip")</f>
        <v>https://climate.onebuilding.org/WMO_Region_6_Europe/ALA_Aland_Islands/ALA_MH_Jomala-Mariehamn.AP.029700_TMYx.2004-2018.zip</v>
      </c>
    </row>
    <row r="14" spans="1:10" x14ac:dyDescent="0.25">
      <c r="A14" t="s">
        <v>10</v>
      </c>
      <c r="B14" t="s">
        <v>15</v>
      </c>
      <c r="C14" t="s">
        <v>23</v>
      </c>
      <c r="D14" s="1" t="s">
        <v>24</v>
      </c>
      <c r="E14" t="s">
        <v>14</v>
      </c>
      <c r="F14">
        <v>60.124699999999997</v>
      </c>
      <c r="G14">
        <v>19.903300000000002</v>
      </c>
      <c r="H14">
        <v>2</v>
      </c>
      <c r="I14">
        <v>6.1</v>
      </c>
      <c r="J14" t="str">
        <f>HYPERLINK("https://climate.onebuilding.org/WMO_Region_6_Europe/ALA_Aland_Islands/ALA_MH_Jomala-Mariehamn.AP.029700_TMYx.2007-2021.zip")</f>
        <v>https://climate.onebuilding.org/WMO_Region_6_Europe/ALA_Aland_Islands/ALA_MH_Jomala-Mariehamn.AP.029700_TMYx.2007-2021.zip</v>
      </c>
    </row>
    <row r="15" spans="1:10" x14ac:dyDescent="0.25">
      <c r="A15" t="s">
        <v>10</v>
      </c>
      <c r="B15" t="s">
        <v>15</v>
      </c>
      <c r="C15" t="s">
        <v>23</v>
      </c>
      <c r="D15" s="1" t="s">
        <v>24</v>
      </c>
      <c r="E15" t="s">
        <v>14</v>
      </c>
      <c r="F15">
        <v>60.124699999999997</v>
      </c>
      <c r="G15">
        <v>19.903300000000002</v>
      </c>
      <c r="H15">
        <v>2</v>
      </c>
      <c r="I15">
        <v>6.1</v>
      </c>
      <c r="J15" t="str">
        <f>HYPERLINK("https://climate.onebuilding.org/WMO_Region_6_Europe/ALA_Aland_Islands/ALA_MH_Jomala-Mariehamn.AP.029700_TMYx.2009-2023.zip")</f>
        <v>https://climate.onebuilding.org/WMO_Region_6_Europe/ALA_Aland_Islands/ALA_MH_Jomala-Mariehamn.AP.029700_TMYx.2009-2023.zip</v>
      </c>
    </row>
    <row r="16" spans="1:10" x14ac:dyDescent="0.25">
      <c r="A16" t="s">
        <v>10</v>
      </c>
      <c r="B16" t="s">
        <v>15</v>
      </c>
      <c r="C16" t="s">
        <v>23</v>
      </c>
      <c r="D16" s="1" t="s">
        <v>24</v>
      </c>
      <c r="E16" t="s">
        <v>14</v>
      </c>
      <c r="F16">
        <v>60.124699999999997</v>
      </c>
      <c r="G16">
        <v>19.903300000000002</v>
      </c>
      <c r="H16">
        <v>2</v>
      </c>
      <c r="I16">
        <v>6.1</v>
      </c>
      <c r="J16" t="str">
        <f>HYPERLINK("https://climate.onebuilding.org/WMO_Region_6_Europe/ALA_Aland_Islands/ALA_MH_Jomala-Mariehamn.AP.029700_TMYx.zip")</f>
        <v>https://climate.onebuilding.org/WMO_Region_6_Europe/ALA_Aland_Islands/ALA_MH_Jomala-Mariehamn.AP.029700_TMYx.zip</v>
      </c>
    </row>
    <row r="17" spans="1:10" x14ac:dyDescent="0.25">
      <c r="A17" t="s">
        <v>10</v>
      </c>
      <c r="B17" t="s">
        <v>26</v>
      </c>
      <c r="C17" t="s">
        <v>27</v>
      </c>
      <c r="D17" s="1" t="s">
        <v>28</v>
      </c>
      <c r="E17" t="s">
        <v>29</v>
      </c>
      <c r="F17">
        <v>59.504399999999997</v>
      </c>
      <c r="G17">
        <v>20.346699999999998</v>
      </c>
      <c r="H17">
        <v>2</v>
      </c>
      <c r="I17">
        <v>16</v>
      </c>
      <c r="J17" t="str">
        <f>HYPERLINK("https://climate.onebuilding.org/WMO_Region_6_Europe/ALA_Aland_Islands/ALA_KK_Bogskar.Lighthouse.029790_TMYx.2004-2018.zip")</f>
        <v>https://climate.onebuilding.org/WMO_Region_6_Europe/ALA_Aland_Islands/ALA_KK_Bogskar.Lighthouse.029790_TMYx.2004-2018.zip</v>
      </c>
    </row>
    <row r="18" spans="1:10" x14ac:dyDescent="0.25">
      <c r="A18" t="s">
        <v>10</v>
      </c>
      <c r="B18" t="s">
        <v>26</v>
      </c>
      <c r="C18" t="s">
        <v>27</v>
      </c>
      <c r="D18" s="1" t="s">
        <v>28</v>
      </c>
      <c r="E18" t="s">
        <v>14</v>
      </c>
      <c r="F18">
        <v>59.504399999999997</v>
      </c>
      <c r="G18">
        <v>20.346699999999998</v>
      </c>
      <c r="H18">
        <v>2</v>
      </c>
      <c r="I18">
        <v>16</v>
      </c>
      <c r="J18" t="str">
        <f>HYPERLINK("https://climate.onebuilding.org/WMO_Region_6_Europe/ALA_Aland_Islands/ALA_KK_Bogskar.Lighthouse.029790_TMYx.2007-2021.zip")</f>
        <v>https://climate.onebuilding.org/WMO_Region_6_Europe/ALA_Aland_Islands/ALA_KK_Bogskar.Lighthouse.029790_TMYx.2007-2021.zip</v>
      </c>
    </row>
    <row r="19" spans="1:10" x14ac:dyDescent="0.25">
      <c r="A19" t="s">
        <v>10</v>
      </c>
      <c r="B19" t="s">
        <v>26</v>
      </c>
      <c r="C19" t="s">
        <v>27</v>
      </c>
      <c r="D19" s="1" t="s">
        <v>28</v>
      </c>
      <c r="E19" t="s">
        <v>14</v>
      </c>
      <c r="F19">
        <v>59.504399999999997</v>
      </c>
      <c r="G19">
        <v>20.346699999999998</v>
      </c>
      <c r="H19">
        <v>2</v>
      </c>
      <c r="I19">
        <v>16</v>
      </c>
      <c r="J19" t="str">
        <f>HYPERLINK("https://climate.onebuilding.org/WMO_Region_6_Europe/ALA_Aland_Islands/ALA_KK_Bogskar.Lighthouse.029790_TMYx.2009-2023.zip")</f>
        <v>https://climate.onebuilding.org/WMO_Region_6_Europe/ALA_Aland_Islands/ALA_KK_Bogskar.Lighthouse.029790_TMYx.2009-2023.zip</v>
      </c>
    </row>
    <row r="20" spans="1:10" x14ac:dyDescent="0.25">
      <c r="A20" t="s">
        <v>10</v>
      </c>
      <c r="B20" t="s">
        <v>26</v>
      </c>
      <c r="C20" t="s">
        <v>27</v>
      </c>
      <c r="D20" s="1" t="s">
        <v>28</v>
      </c>
      <c r="E20" t="s">
        <v>14</v>
      </c>
      <c r="F20">
        <v>59.504399999999997</v>
      </c>
      <c r="G20">
        <v>20.346699999999998</v>
      </c>
      <c r="H20">
        <v>2</v>
      </c>
      <c r="I20">
        <v>16</v>
      </c>
      <c r="J20" t="str">
        <f>HYPERLINK("https://climate.onebuilding.org/WMO_Region_6_Europe/ALA_Aland_Islands/ALA_KK_Bogskar.Lighthouse.029790_TMYx.zip")</f>
        <v>https://climate.onebuilding.org/WMO_Region_6_Europe/ALA_Aland_Islands/ALA_KK_Bogskar.Lighthouse.029790_TMYx.zip</v>
      </c>
    </row>
    <row r="21" spans="1:10" x14ac:dyDescent="0.25">
      <c r="A21" t="s">
        <v>10</v>
      </c>
      <c r="B21" t="s">
        <v>30</v>
      </c>
      <c r="C21" t="s">
        <v>31</v>
      </c>
      <c r="D21" s="1" t="s">
        <v>32</v>
      </c>
      <c r="E21" t="s">
        <v>33</v>
      </c>
      <c r="F21">
        <v>59.959200000000003</v>
      </c>
      <c r="G21">
        <v>19.953900000000001</v>
      </c>
      <c r="H21">
        <v>2</v>
      </c>
      <c r="I21">
        <v>10</v>
      </c>
      <c r="J21" t="str">
        <f>HYPERLINK("https://climate.onebuilding.org/WMO_Region_6_Europe/ALA_Aland_Islands/ALA_LE_Nyhamn.029800_TMYx.2004-2018.zip")</f>
        <v>https://climate.onebuilding.org/WMO_Region_6_Europe/ALA_Aland_Islands/ALA_LE_Nyhamn.029800_TMYx.2004-2018.zip</v>
      </c>
    </row>
    <row r="22" spans="1:10" x14ac:dyDescent="0.25">
      <c r="A22" t="s">
        <v>10</v>
      </c>
      <c r="B22" t="s">
        <v>30</v>
      </c>
      <c r="C22" t="s">
        <v>31</v>
      </c>
      <c r="D22" s="1" t="s">
        <v>32</v>
      </c>
      <c r="E22" t="s">
        <v>14</v>
      </c>
      <c r="F22">
        <v>59.959200000000003</v>
      </c>
      <c r="G22">
        <v>19.953900000000001</v>
      </c>
      <c r="H22">
        <v>2</v>
      </c>
      <c r="I22">
        <v>10</v>
      </c>
      <c r="J22" t="str">
        <f>HYPERLINK("https://climate.onebuilding.org/WMO_Region_6_Europe/ALA_Aland_Islands/ALA_LE_Nyhamn.029800_TMYx.2007-2021.zip")</f>
        <v>https://climate.onebuilding.org/WMO_Region_6_Europe/ALA_Aland_Islands/ALA_LE_Nyhamn.029800_TMYx.2007-2021.zip</v>
      </c>
    </row>
    <row r="23" spans="1:10" x14ac:dyDescent="0.25">
      <c r="A23" t="s">
        <v>10</v>
      </c>
      <c r="B23" t="s">
        <v>30</v>
      </c>
      <c r="C23" t="s">
        <v>31</v>
      </c>
      <c r="D23" s="1" t="s">
        <v>32</v>
      </c>
      <c r="E23" t="s">
        <v>14</v>
      </c>
      <c r="F23">
        <v>59.959200000000003</v>
      </c>
      <c r="G23">
        <v>19.953900000000001</v>
      </c>
      <c r="H23">
        <v>2</v>
      </c>
      <c r="I23">
        <v>10</v>
      </c>
      <c r="J23" t="str">
        <f>HYPERLINK("https://climate.onebuilding.org/WMO_Region_6_Europe/ALA_Aland_Islands/ALA_LE_Nyhamn.029800_TMYx.2009-2023.zip")</f>
        <v>https://climate.onebuilding.org/WMO_Region_6_Europe/ALA_Aland_Islands/ALA_LE_Nyhamn.029800_TMYx.2009-2023.zip</v>
      </c>
    </row>
    <row r="24" spans="1:10" x14ac:dyDescent="0.25">
      <c r="A24" t="s">
        <v>10</v>
      </c>
      <c r="B24" t="s">
        <v>30</v>
      </c>
      <c r="C24" t="s">
        <v>31</v>
      </c>
      <c r="D24" s="1" t="s">
        <v>32</v>
      </c>
      <c r="E24" t="s">
        <v>14</v>
      </c>
      <c r="F24">
        <v>59.959200000000003</v>
      </c>
      <c r="G24">
        <v>19.953900000000001</v>
      </c>
      <c r="H24">
        <v>2</v>
      </c>
      <c r="I24">
        <v>10</v>
      </c>
      <c r="J24" t="str">
        <f>HYPERLINK("https://climate.onebuilding.org/WMO_Region_6_Europe/ALA_Aland_Islands/ALA_LE_Nyhamn.029800_TMYx.zip")</f>
        <v>https://climate.onebuilding.org/WMO_Region_6_Europe/ALA_Aland_Islands/ALA_LE_Nyhamn.029800_TMYx.zip</v>
      </c>
    </row>
    <row r="25" spans="1:10" x14ac:dyDescent="0.25">
      <c r="A25" t="s">
        <v>10</v>
      </c>
      <c r="B25" t="s">
        <v>26</v>
      </c>
      <c r="C25" t="s">
        <v>34</v>
      </c>
      <c r="D25" s="1" t="s">
        <v>35</v>
      </c>
      <c r="E25" t="s">
        <v>36</v>
      </c>
      <c r="F25">
        <v>59.784199999999998</v>
      </c>
      <c r="G25">
        <v>21.367799999999999</v>
      </c>
      <c r="H25">
        <v>2</v>
      </c>
      <c r="I25">
        <v>6.8</v>
      </c>
      <c r="J25" t="str">
        <f>HYPERLINK("https://climate.onebuilding.org/WMO_Region_6_Europe/ALA_Aland_Islands/ALA_KK_Parainen.Uto.029810_TMYx.2004-2018.zip")</f>
        <v>https://climate.onebuilding.org/WMO_Region_6_Europe/ALA_Aland_Islands/ALA_KK_Parainen.Uto.029810_TMYx.2004-2018.zip</v>
      </c>
    </row>
    <row r="26" spans="1:10" x14ac:dyDescent="0.25">
      <c r="A26" t="s">
        <v>10</v>
      </c>
      <c r="B26" t="s">
        <v>26</v>
      </c>
      <c r="C26" t="s">
        <v>34</v>
      </c>
      <c r="D26" s="1" t="s">
        <v>35</v>
      </c>
      <c r="E26" t="s">
        <v>14</v>
      </c>
      <c r="F26">
        <v>59.784199999999998</v>
      </c>
      <c r="G26">
        <v>21.367799999999999</v>
      </c>
      <c r="H26">
        <v>2</v>
      </c>
      <c r="I26">
        <v>6.8</v>
      </c>
      <c r="J26" t="str">
        <f>HYPERLINK("https://climate.onebuilding.org/WMO_Region_6_Europe/ALA_Aland_Islands/ALA_KK_Parainen.Uto.029810_TMYx.2007-2021.zip")</f>
        <v>https://climate.onebuilding.org/WMO_Region_6_Europe/ALA_Aland_Islands/ALA_KK_Parainen.Uto.029810_TMYx.2007-2021.zip</v>
      </c>
    </row>
    <row r="27" spans="1:10" x14ac:dyDescent="0.25">
      <c r="A27" t="s">
        <v>10</v>
      </c>
      <c r="B27" t="s">
        <v>26</v>
      </c>
      <c r="C27" t="s">
        <v>34</v>
      </c>
      <c r="D27" s="1" t="s">
        <v>35</v>
      </c>
      <c r="E27" t="s">
        <v>14</v>
      </c>
      <c r="F27">
        <v>59.784199999999998</v>
      </c>
      <c r="G27">
        <v>21.367799999999999</v>
      </c>
      <c r="H27">
        <v>2</v>
      </c>
      <c r="I27">
        <v>6.8</v>
      </c>
      <c r="J27" t="str">
        <f>HYPERLINK("https://climate.onebuilding.org/WMO_Region_6_Europe/ALA_Aland_Islands/ALA_KK_Parainen.Uto.029810_TMYx.2009-2023.zip")</f>
        <v>https://climate.onebuilding.org/WMO_Region_6_Europe/ALA_Aland_Islands/ALA_KK_Parainen.Uto.029810_TMYx.2009-2023.zip</v>
      </c>
    </row>
    <row r="28" spans="1:10" x14ac:dyDescent="0.25">
      <c r="A28" t="s">
        <v>10</v>
      </c>
      <c r="B28" t="s">
        <v>26</v>
      </c>
      <c r="C28" t="s">
        <v>34</v>
      </c>
      <c r="D28" s="1" t="s">
        <v>35</v>
      </c>
      <c r="E28" t="s">
        <v>14</v>
      </c>
      <c r="F28">
        <v>59.784199999999998</v>
      </c>
      <c r="G28">
        <v>21.367799999999999</v>
      </c>
      <c r="H28">
        <v>2</v>
      </c>
      <c r="I28">
        <v>6.8</v>
      </c>
      <c r="J28" t="str">
        <f>HYPERLINK("https://climate.onebuilding.org/WMO_Region_6_Europe/ALA_Aland_Islands/ALA_KK_Parainen.Uto.029810_TMYx.zip")</f>
        <v>https://climate.onebuilding.org/WMO_Region_6_Europe/ALA_Aland_Islands/ALA_KK_Parainen.Uto.029810_TMYx.zip</v>
      </c>
    </row>
    <row r="29" spans="1:10" x14ac:dyDescent="0.25">
      <c r="A29" t="s">
        <v>10</v>
      </c>
      <c r="B29" t="s">
        <v>19</v>
      </c>
      <c r="C29" t="s">
        <v>37</v>
      </c>
      <c r="D29" s="1" t="s">
        <v>38</v>
      </c>
      <c r="E29" t="s">
        <v>14</v>
      </c>
      <c r="F29">
        <v>60.3</v>
      </c>
      <c r="G29">
        <v>20.75</v>
      </c>
      <c r="H29">
        <v>2</v>
      </c>
      <c r="I29">
        <v>5</v>
      </c>
      <c r="J29" t="str">
        <f>HYPERLINK("https://climate.onebuilding.org/WMO_Region_6_Europe/ALA_Aland_Islands/ALA_KM_Kumlinge.Island.029900_TMYx.zip")</f>
        <v>https://climate.onebuilding.org/WMO_Region_6_Europe/ALA_Aland_Islands/ALA_KM_Kumlinge.Island.029900_TMYx.zip</v>
      </c>
    </row>
    <row r="30" spans="1:10" x14ac:dyDescent="0.25">
      <c r="A30" t="s">
        <v>10</v>
      </c>
      <c r="B30" t="s">
        <v>39</v>
      </c>
      <c r="C30" t="s">
        <v>40</v>
      </c>
      <c r="D30" s="1" t="s">
        <v>41</v>
      </c>
      <c r="E30" t="s">
        <v>42</v>
      </c>
      <c r="F30">
        <v>60.301099999999998</v>
      </c>
      <c r="G30">
        <v>19.131399999999999</v>
      </c>
      <c r="H30">
        <v>2</v>
      </c>
      <c r="I30">
        <v>15.1</v>
      </c>
      <c r="J30" t="str">
        <f>HYPERLINK("https://climate.onebuilding.org/WMO_Region_6_Europe/ALA_Aland_Islands/ALA_HM_Market.Island.029930_TMYx.2004-2018.zip")</f>
        <v>https://climate.onebuilding.org/WMO_Region_6_Europe/ALA_Aland_Islands/ALA_HM_Market.Island.029930_TMYx.2004-2018.zip</v>
      </c>
    </row>
    <row r="31" spans="1:10" x14ac:dyDescent="0.25">
      <c r="A31" t="s">
        <v>10</v>
      </c>
      <c r="B31" t="s">
        <v>39</v>
      </c>
      <c r="C31" t="s">
        <v>40</v>
      </c>
      <c r="D31" s="1" t="s">
        <v>41</v>
      </c>
      <c r="E31" t="s">
        <v>14</v>
      </c>
      <c r="F31">
        <v>60.301099999999998</v>
      </c>
      <c r="G31">
        <v>19.131399999999999</v>
      </c>
      <c r="H31">
        <v>2</v>
      </c>
      <c r="I31">
        <v>15.1</v>
      </c>
      <c r="J31" t="str">
        <f>HYPERLINK("https://climate.onebuilding.org/WMO_Region_6_Europe/ALA_Aland_Islands/ALA_HM_Market.Island.029930_TMYx.2007-2021.zip")</f>
        <v>https://climate.onebuilding.org/WMO_Region_6_Europe/ALA_Aland_Islands/ALA_HM_Market.Island.029930_TMYx.2007-2021.zip</v>
      </c>
    </row>
    <row r="32" spans="1:10" x14ac:dyDescent="0.25">
      <c r="A32" t="s">
        <v>10</v>
      </c>
      <c r="B32" t="s">
        <v>39</v>
      </c>
      <c r="C32" t="s">
        <v>40</v>
      </c>
      <c r="D32" s="1" t="s">
        <v>41</v>
      </c>
      <c r="E32" t="s">
        <v>14</v>
      </c>
      <c r="F32">
        <v>60.301099999999998</v>
      </c>
      <c r="G32">
        <v>19.131399999999999</v>
      </c>
      <c r="H32">
        <v>2</v>
      </c>
      <c r="I32">
        <v>15.1</v>
      </c>
      <c r="J32" t="str">
        <f>HYPERLINK("https://climate.onebuilding.org/WMO_Region_6_Europe/ALA_Aland_Islands/ALA_HM_Market.Island.029930_TMYx.2009-2023.zip")</f>
        <v>https://climate.onebuilding.org/WMO_Region_6_Europe/ALA_Aland_Islands/ALA_HM_Market.Island.029930_TMYx.2009-2023.zip</v>
      </c>
    </row>
    <row r="33" spans="1:10" x14ac:dyDescent="0.25">
      <c r="A33" t="s">
        <v>10</v>
      </c>
      <c r="B33" t="s">
        <v>39</v>
      </c>
      <c r="C33" t="s">
        <v>40</v>
      </c>
      <c r="D33" s="1" t="s">
        <v>41</v>
      </c>
      <c r="E33" t="s">
        <v>14</v>
      </c>
      <c r="F33">
        <v>60.301099999999998</v>
      </c>
      <c r="G33">
        <v>19.131399999999999</v>
      </c>
      <c r="H33">
        <v>2</v>
      </c>
      <c r="I33">
        <v>15.1</v>
      </c>
      <c r="J33" t="str">
        <f>HYPERLINK("https://climate.onebuilding.org/WMO_Region_6_Europe/ALA_Aland_Islands/ALA_HM_Market.Island.029930_TMYx.zip")</f>
        <v>https://climate.onebuilding.org/WMO_Region_6_Europe/ALA_Aland_Islands/ALA_HM_Market.Island.029930_TMYx.zip</v>
      </c>
    </row>
    <row r="34" spans="1:10" x14ac:dyDescent="0.25">
      <c r="A34" t="s">
        <v>43</v>
      </c>
      <c r="B34" t="s">
        <v>44</v>
      </c>
      <c r="C34" t="s">
        <v>45</v>
      </c>
      <c r="D34">
        <v>136000</v>
      </c>
      <c r="E34" t="s">
        <v>46</v>
      </c>
      <c r="F34">
        <v>42.1</v>
      </c>
      <c r="G34">
        <v>19.533000000000001</v>
      </c>
      <c r="H34">
        <v>1</v>
      </c>
      <c r="I34">
        <v>43</v>
      </c>
      <c r="J34" t="str">
        <f>HYPERLINK("https://climate.onebuilding.org/WMO_Region_6_Europe/ALB_Albania/ALB_SD_Shkodra.136000_TMYx.2004-2018.zip")</f>
        <v>https://climate.onebuilding.org/WMO_Region_6_Europe/ALB_Albania/ALB_SD_Shkodra.136000_TMYx.2004-2018.zip</v>
      </c>
    </row>
    <row r="35" spans="1:10" x14ac:dyDescent="0.25">
      <c r="A35" t="s">
        <v>43</v>
      </c>
      <c r="B35" t="s">
        <v>44</v>
      </c>
      <c r="C35" t="s">
        <v>45</v>
      </c>
      <c r="D35">
        <v>136000</v>
      </c>
      <c r="E35" t="s">
        <v>14</v>
      </c>
      <c r="F35">
        <v>42.1</v>
      </c>
      <c r="G35">
        <v>19.533000000000001</v>
      </c>
      <c r="H35">
        <v>1</v>
      </c>
      <c r="I35">
        <v>43</v>
      </c>
      <c r="J35" t="str">
        <f>HYPERLINK("https://climate.onebuilding.org/WMO_Region_6_Europe/ALB_Albania/ALB_SD_Shkodra.136000_TMYx.2007-2021.zip")</f>
        <v>https://climate.onebuilding.org/WMO_Region_6_Europe/ALB_Albania/ALB_SD_Shkodra.136000_TMYx.2007-2021.zip</v>
      </c>
    </row>
    <row r="36" spans="1:10" x14ac:dyDescent="0.25">
      <c r="A36" t="s">
        <v>43</v>
      </c>
      <c r="B36" t="s">
        <v>44</v>
      </c>
      <c r="C36" t="s">
        <v>45</v>
      </c>
      <c r="D36">
        <v>136000</v>
      </c>
      <c r="E36" t="s">
        <v>14</v>
      </c>
      <c r="F36">
        <v>42.1</v>
      </c>
      <c r="G36">
        <v>19.533000000000001</v>
      </c>
      <c r="H36">
        <v>1</v>
      </c>
      <c r="I36">
        <v>43</v>
      </c>
      <c r="J36" t="str">
        <f>HYPERLINK("https://climate.onebuilding.org/WMO_Region_6_Europe/ALB_Albania/ALB_SD_Shkodra.136000_TMYx.2009-2023.zip")</f>
        <v>https://climate.onebuilding.org/WMO_Region_6_Europe/ALB_Albania/ALB_SD_Shkodra.136000_TMYx.2009-2023.zip</v>
      </c>
    </row>
    <row r="37" spans="1:10" x14ac:dyDescent="0.25">
      <c r="A37" t="s">
        <v>43</v>
      </c>
      <c r="B37" t="s">
        <v>44</v>
      </c>
      <c r="C37" t="s">
        <v>45</v>
      </c>
      <c r="D37">
        <v>136000</v>
      </c>
      <c r="E37" t="s">
        <v>14</v>
      </c>
      <c r="F37">
        <v>42.1</v>
      </c>
      <c r="G37">
        <v>19.533000000000001</v>
      </c>
      <c r="H37">
        <v>1</v>
      </c>
      <c r="I37">
        <v>43</v>
      </c>
      <c r="J37" t="str">
        <f>HYPERLINK("https://climate.onebuilding.org/WMO_Region_6_Europe/ALB_Albania/ALB_SD_Shkodra.136000_TMYx.zip")</f>
        <v>https://climate.onebuilding.org/WMO_Region_6_Europe/ALB_Albania/ALB_SD_Shkodra.136000_TMYx.zip</v>
      </c>
    </row>
    <row r="38" spans="1:10" x14ac:dyDescent="0.25">
      <c r="A38" t="s">
        <v>43</v>
      </c>
      <c r="B38" t="s">
        <v>47</v>
      </c>
      <c r="C38" t="s">
        <v>48</v>
      </c>
      <c r="D38">
        <v>136010</v>
      </c>
      <c r="E38" t="s">
        <v>49</v>
      </c>
      <c r="F38">
        <v>41.333300000000001</v>
      </c>
      <c r="G38">
        <v>19.8</v>
      </c>
      <c r="H38">
        <v>1</v>
      </c>
      <c r="I38">
        <v>97</v>
      </c>
      <c r="J38" t="str">
        <f>HYPERLINK("https://climate.onebuilding.org/WMO_Region_6_Europe/ALB_Albania/ALB_TI_Tirana-Laprake.136010_TMYx.2004-2018.zip")</f>
        <v>https://climate.onebuilding.org/WMO_Region_6_Europe/ALB_Albania/ALB_TI_Tirana-Laprake.136010_TMYx.2004-2018.zip</v>
      </c>
    </row>
    <row r="39" spans="1:10" x14ac:dyDescent="0.25">
      <c r="A39" t="s">
        <v>43</v>
      </c>
      <c r="B39" t="s">
        <v>47</v>
      </c>
      <c r="C39" t="s">
        <v>48</v>
      </c>
      <c r="D39">
        <v>136010</v>
      </c>
      <c r="E39" t="s">
        <v>14</v>
      </c>
      <c r="F39">
        <v>41.333300000000001</v>
      </c>
      <c r="G39">
        <v>19.8</v>
      </c>
      <c r="H39">
        <v>1</v>
      </c>
      <c r="I39">
        <v>97</v>
      </c>
      <c r="J39" t="str">
        <f>HYPERLINK("https://climate.onebuilding.org/WMO_Region_6_Europe/ALB_Albania/ALB_TI_Tirana-Laprake.136010_TMYx.2007-2021.zip")</f>
        <v>https://climate.onebuilding.org/WMO_Region_6_Europe/ALB_Albania/ALB_TI_Tirana-Laprake.136010_TMYx.2007-2021.zip</v>
      </c>
    </row>
    <row r="40" spans="1:10" x14ac:dyDescent="0.25">
      <c r="A40" t="s">
        <v>43</v>
      </c>
      <c r="B40" t="s">
        <v>47</v>
      </c>
      <c r="C40" t="s">
        <v>48</v>
      </c>
      <c r="D40">
        <v>136010</v>
      </c>
      <c r="E40" t="s">
        <v>14</v>
      </c>
      <c r="F40">
        <v>41.333300000000001</v>
      </c>
      <c r="G40">
        <v>19.8</v>
      </c>
      <c r="H40">
        <v>1</v>
      </c>
      <c r="I40">
        <v>97</v>
      </c>
      <c r="J40" t="str">
        <f>HYPERLINK("https://climate.onebuilding.org/WMO_Region_6_Europe/ALB_Albania/ALB_TI_Tirana-Laprake.136010_TMYx.2009-2023.zip")</f>
        <v>https://climate.onebuilding.org/WMO_Region_6_Europe/ALB_Albania/ALB_TI_Tirana-Laprake.136010_TMYx.2009-2023.zip</v>
      </c>
    </row>
    <row r="41" spans="1:10" x14ac:dyDescent="0.25">
      <c r="A41" t="s">
        <v>43</v>
      </c>
      <c r="B41" t="s">
        <v>47</v>
      </c>
      <c r="C41" t="s">
        <v>48</v>
      </c>
      <c r="D41">
        <v>136010</v>
      </c>
      <c r="E41" t="s">
        <v>14</v>
      </c>
      <c r="F41">
        <v>41.333300000000001</v>
      </c>
      <c r="G41">
        <v>19.8</v>
      </c>
      <c r="H41">
        <v>1</v>
      </c>
      <c r="I41">
        <v>97</v>
      </c>
      <c r="J41" t="str">
        <f>HYPERLINK("https://climate.onebuilding.org/WMO_Region_6_Europe/ALB_Albania/ALB_TI_Tirana-Laprake.136010_TMYx.zip")</f>
        <v>https://climate.onebuilding.org/WMO_Region_6_Europe/ALB_Albania/ALB_TI_Tirana-Laprake.136010_TMYx.zip</v>
      </c>
    </row>
    <row r="42" spans="1:10" x14ac:dyDescent="0.25">
      <c r="A42" t="s">
        <v>43</v>
      </c>
      <c r="B42" t="s">
        <v>26</v>
      </c>
      <c r="C42" t="s">
        <v>50</v>
      </c>
      <c r="D42">
        <v>136100</v>
      </c>
      <c r="E42" t="s">
        <v>51</v>
      </c>
      <c r="F42">
        <v>42.033299999999997</v>
      </c>
      <c r="G42">
        <v>20.416699999999999</v>
      </c>
      <c r="H42">
        <v>1</v>
      </c>
      <c r="I42">
        <v>354</v>
      </c>
      <c r="J42" t="str">
        <f>HYPERLINK("https://climate.onebuilding.org/WMO_Region_6_Europe/ALB_Albania/ALB_KK_Kukes.Intl.AP.136100_TMYx.2004-2018.zip")</f>
        <v>https://climate.onebuilding.org/WMO_Region_6_Europe/ALB_Albania/ALB_KK_Kukes.Intl.AP.136100_TMYx.2004-2018.zip</v>
      </c>
    </row>
    <row r="43" spans="1:10" x14ac:dyDescent="0.25">
      <c r="A43" t="s">
        <v>43</v>
      </c>
      <c r="B43" t="s">
        <v>26</v>
      </c>
      <c r="C43" t="s">
        <v>50</v>
      </c>
      <c r="D43">
        <v>136100</v>
      </c>
      <c r="E43" t="s">
        <v>14</v>
      </c>
      <c r="F43">
        <v>42.033299999999997</v>
      </c>
      <c r="G43">
        <v>20.416699999999999</v>
      </c>
      <c r="H43">
        <v>1</v>
      </c>
      <c r="I43">
        <v>354</v>
      </c>
      <c r="J43" t="str">
        <f>HYPERLINK("https://climate.onebuilding.org/WMO_Region_6_Europe/ALB_Albania/ALB_KK_Kukes.Intl.AP.136100_TMYx.2007-2021.zip")</f>
        <v>https://climate.onebuilding.org/WMO_Region_6_Europe/ALB_Albania/ALB_KK_Kukes.Intl.AP.136100_TMYx.2007-2021.zip</v>
      </c>
    </row>
    <row r="44" spans="1:10" x14ac:dyDescent="0.25">
      <c r="A44" t="s">
        <v>43</v>
      </c>
      <c r="B44" t="s">
        <v>26</v>
      </c>
      <c r="C44" t="s">
        <v>50</v>
      </c>
      <c r="D44">
        <v>136100</v>
      </c>
      <c r="E44" t="s">
        <v>14</v>
      </c>
      <c r="F44">
        <v>42.033299999999997</v>
      </c>
      <c r="G44">
        <v>20.416699999999999</v>
      </c>
      <c r="H44">
        <v>1</v>
      </c>
      <c r="I44">
        <v>354</v>
      </c>
      <c r="J44" t="str">
        <f>HYPERLINK("https://climate.onebuilding.org/WMO_Region_6_Europe/ALB_Albania/ALB_KK_Kukes.Intl.AP.136100_TMYx.2009-2023.zip")</f>
        <v>https://climate.onebuilding.org/WMO_Region_6_Europe/ALB_Albania/ALB_KK_Kukes.Intl.AP.136100_TMYx.2009-2023.zip</v>
      </c>
    </row>
    <row r="45" spans="1:10" x14ac:dyDescent="0.25">
      <c r="A45" t="s">
        <v>43</v>
      </c>
      <c r="B45" t="s">
        <v>26</v>
      </c>
      <c r="C45" t="s">
        <v>50</v>
      </c>
      <c r="D45">
        <v>136100</v>
      </c>
      <c r="E45" t="s">
        <v>14</v>
      </c>
      <c r="F45">
        <v>42.033299999999997</v>
      </c>
      <c r="G45">
        <v>20.416699999999999</v>
      </c>
      <c r="H45">
        <v>1</v>
      </c>
      <c r="I45">
        <v>354</v>
      </c>
      <c r="J45" t="str">
        <f>HYPERLINK("https://climate.onebuilding.org/WMO_Region_6_Europe/ALB_Albania/ALB_KK_Kukes.Intl.AP.136100_TMYx.zip")</f>
        <v>https://climate.onebuilding.org/WMO_Region_6_Europe/ALB_Albania/ALB_KK_Kukes.Intl.AP.136100_TMYx.zip</v>
      </c>
    </row>
    <row r="46" spans="1:10" x14ac:dyDescent="0.25">
      <c r="A46" t="s">
        <v>43</v>
      </c>
      <c r="B46" t="s">
        <v>52</v>
      </c>
      <c r="C46" t="s">
        <v>53</v>
      </c>
      <c r="D46">
        <v>136110</v>
      </c>
      <c r="E46" t="s">
        <v>54</v>
      </c>
      <c r="F46">
        <v>41.311900000000001</v>
      </c>
      <c r="G46">
        <v>19.440799999999999</v>
      </c>
      <c r="H46">
        <v>1</v>
      </c>
      <c r="I46">
        <v>12</v>
      </c>
      <c r="J46" t="str">
        <f>HYPERLINK("https://climate.onebuilding.org/WMO_Region_6_Europe/ALB_Albania/ALB_DU_Durres.136110_TMYx.2004-2018.zip")</f>
        <v>https://climate.onebuilding.org/WMO_Region_6_Europe/ALB_Albania/ALB_DU_Durres.136110_TMYx.2004-2018.zip</v>
      </c>
    </row>
    <row r="47" spans="1:10" x14ac:dyDescent="0.25">
      <c r="A47" t="s">
        <v>43</v>
      </c>
      <c r="B47" t="s">
        <v>52</v>
      </c>
      <c r="C47" t="s">
        <v>53</v>
      </c>
      <c r="D47">
        <v>136110</v>
      </c>
      <c r="E47" t="s">
        <v>14</v>
      </c>
      <c r="F47">
        <v>41.311900000000001</v>
      </c>
      <c r="G47">
        <v>19.440799999999999</v>
      </c>
      <c r="H47">
        <v>1</v>
      </c>
      <c r="I47">
        <v>12</v>
      </c>
      <c r="J47" t="str">
        <f>HYPERLINK("https://climate.onebuilding.org/WMO_Region_6_Europe/ALB_Albania/ALB_DU_Durres.136110_TMYx.2007-2021.zip")</f>
        <v>https://climate.onebuilding.org/WMO_Region_6_Europe/ALB_Albania/ALB_DU_Durres.136110_TMYx.2007-2021.zip</v>
      </c>
    </row>
    <row r="48" spans="1:10" x14ac:dyDescent="0.25">
      <c r="A48" t="s">
        <v>43</v>
      </c>
      <c r="B48" t="s">
        <v>52</v>
      </c>
      <c r="C48" t="s">
        <v>53</v>
      </c>
      <c r="D48">
        <v>136110</v>
      </c>
      <c r="E48" t="s">
        <v>14</v>
      </c>
      <c r="F48">
        <v>41.311900000000001</v>
      </c>
      <c r="G48">
        <v>19.440799999999999</v>
      </c>
      <c r="H48">
        <v>1</v>
      </c>
      <c r="I48">
        <v>12</v>
      </c>
      <c r="J48" t="str">
        <f>HYPERLINK("https://climate.onebuilding.org/WMO_Region_6_Europe/ALB_Albania/ALB_DU_Durres.136110_TMYx.2009-2023.zip")</f>
        <v>https://climate.onebuilding.org/WMO_Region_6_Europe/ALB_Albania/ALB_DU_Durres.136110_TMYx.2009-2023.zip</v>
      </c>
    </row>
    <row r="49" spans="1:10" x14ac:dyDescent="0.25">
      <c r="A49" t="s">
        <v>43</v>
      </c>
      <c r="B49" t="s">
        <v>52</v>
      </c>
      <c r="C49" t="s">
        <v>53</v>
      </c>
      <c r="D49">
        <v>136110</v>
      </c>
      <c r="E49" t="s">
        <v>14</v>
      </c>
      <c r="F49">
        <v>41.311900000000001</v>
      </c>
      <c r="G49">
        <v>19.440799999999999</v>
      </c>
      <c r="H49">
        <v>1</v>
      </c>
      <c r="I49">
        <v>12</v>
      </c>
      <c r="J49" t="str">
        <f>HYPERLINK("https://climate.onebuilding.org/WMO_Region_6_Europe/ALB_Albania/ALB_DU_Durres.136110_TMYx.zip")</f>
        <v>https://climate.onebuilding.org/WMO_Region_6_Europe/ALB_Albania/ALB_DU_Durres.136110_TMYx.zip</v>
      </c>
    </row>
    <row r="50" spans="1:10" x14ac:dyDescent="0.25">
      <c r="A50" t="s">
        <v>43</v>
      </c>
      <c r="B50" t="s">
        <v>47</v>
      </c>
      <c r="C50" t="s">
        <v>55</v>
      </c>
      <c r="D50">
        <v>136150</v>
      </c>
      <c r="E50" t="s">
        <v>56</v>
      </c>
      <c r="F50">
        <v>41.414999999999999</v>
      </c>
      <c r="G50">
        <v>19.721</v>
      </c>
      <c r="H50">
        <v>1</v>
      </c>
      <c r="I50">
        <v>38.4</v>
      </c>
      <c r="J50" t="str">
        <f>HYPERLINK("https://climate.onebuilding.org/WMO_Region_6_Europe/ALB_Albania/ALB_TI_Tirana-Rinas.Intl.AP.136150_TMYx.2004-2018.zip")</f>
        <v>https://climate.onebuilding.org/WMO_Region_6_Europe/ALB_Albania/ALB_TI_Tirana-Rinas.Intl.AP.136150_TMYx.2004-2018.zip</v>
      </c>
    </row>
    <row r="51" spans="1:10" x14ac:dyDescent="0.25">
      <c r="A51" t="s">
        <v>43</v>
      </c>
      <c r="B51" t="s">
        <v>47</v>
      </c>
      <c r="C51" t="s">
        <v>55</v>
      </c>
      <c r="D51">
        <v>136150</v>
      </c>
      <c r="E51" t="s">
        <v>14</v>
      </c>
      <c r="F51">
        <v>41.414999999999999</v>
      </c>
      <c r="G51">
        <v>19.721</v>
      </c>
      <c r="H51">
        <v>1</v>
      </c>
      <c r="I51">
        <v>38.4</v>
      </c>
      <c r="J51" t="str">
        <f>HYPERLINK("https://climate.onebuilding.org/WMO_Region_6_Europe/ALB_Albania/ALB_TI_Tirana-Rinas.Intl.AP.136150_TMYx.2007-2021.zip")</f>
        <v>https://climate.onebuilding.org/WMO_Region_6_Europe/ALB_Albania/ALB_TI_Tirana-Rinas.Intl.AP.136150_TMYx.2007-2021.zip</v>
      </c>
    </row>
    <row r="52" spans="1:10" x14ac:dyDescent="0.25">
      <c r="A52" t="s">
        <v>43</v>
      </c>
      <c r="B52" t="s">
        <v>47</v>
      </c>
      <c r="C52" t="s">
        <v>55</v>
      </c>
      <c r="D52">
        <v>136150</v>
      </c>
      <c r="E52" t="s">
        <v>14</v>
      </c>
      <c r="F52">
        <v>41.414999999999999</v>
      </c>
      <c r="G52">
        <v>19.721</v>
      </c>
      <c r="H52">
        <v>1</v>
      </c>
      <c r="I52">
        <v>38.4</v>
      </c>
      <c r="J52" t="str">
        <f>HYPERLINK("https://climate.onebuilding.org/WMO_Region_6_Europe/ALB_Albania/ALB_TI_Tirana-Rinas.Intl.AP.136150_TMYx.2009-2023.zip")</f>
        <v>https://climate.onebuilding.org/WMO_Region_6_Europe/ALB_Albania/ALB_TI_Tirana-Rinas.Intl.AP.136150_TMYx.2009-2023.zip</v>
      </c>
    </row>
    <row r="53" spans="1:10" x14ac:dyDescent="0.25">
      <c r="A53" t="s">
        <v>43</v>
      </c>
      <c r="B53" t="s">
        <v>47</v>
      </c>
      <c r="C53" t="s">
        <v>55</v>
      </c>
      <c r="D53">
        <v>136150</v>
      </c>
      <c r="E53" t="s">
        <v>14</v>
      </c>
      <c r="F53">
        <v>41.414999999999999</v>
      </c>
      <c r="G53">
        <v>19.721</v>
      </c>
      <c r="H53">
        <v>1</v>
      </c>
      <c r="I53">
        <v>38.4</v>
      </c>
      <c r="J53" t="str">
        <f>HYPERLINK("https://climate.onebuilding.org/WMO_Region_6_Europe/ALB_Albania/ALB_TI_Tirana-Rinas.Intl.AP.136150_TMYx.zip")</f>
        <v>https://climate.onebuilding.org/WMO_Region_6_Europe/ALB_Albania/ALB_TI_Tirana-Rinas.Intl.AP.136150_TMYx.zip</v>
      </c>
    </row>
    <row r="54" spans="1:10" x14ac:dyDescent="0.25">
      <c r="A54" t="s">
        <v>43</v>
      </c>
      <c r="B54" t="s">
        <v>57</v>
      </c>
      <c r="C54" t="s">
        <v>58</v>
      </c>
      <c r="D54">
        <v>136190</v>
      </c>
      <c r="E54" t="s">
        <v>59</v>
      </c>
      <c r="F54">
        <v>41.683300000000003</v>
      </c>
      <c r="G54">
        <v>20.433299999999999</v>
      </c>
      <c r="H54">
        <v>1</v>
      </c>
      <c r="I54">
        <v>653</v>
      </c>
      <c r="J54" t="str">
        <f>HYPERLINK("https://climate.onebuilding.org/WMO_Region_6_Europe/ALB_Albania/ALB_DB_Peshkopi.136190_TMYx.2004-2018.zip")</f>
        <v>https://climate.onebuilding.org/WMO_Region_6_Europe/ALB_Albania/ALB_DB_Peshkopi.136190_TMYx.2004-2018.zip</v>
      </c>
    </row>
    <row r="55" spans="1:10" x14ac:dyDescent="0.25">
      <c r="A55" t="s">
        <v>43</v>
      </c>
      <c r="B55" t="s">
        <v>57</v>
      </c>
      <c r="C55" t="s">
        <v>58</v>
      </c>
      <c r="D55">
        <v>136190</v>
      </c>
      <c r="E55" t="s">
        <v>14</v>
      </c>
      <c r="F55">
        <v>41.683300000000003</v>
      </c>
      <c r="G55">
        <v>20.433299999999999</v>
      </c>
      <c r="H55">
        <v>1</v>
      </c>
      <c r="I55">
        <v>653</v>
      </c>
      <c r="J55" t="str">
        <f>HYPERLINK("https://climate.onebuilding.org/WMO_Region_6_Europe/ALB_Albania/ALB_DB_Peshkopi.136190_TMYx.2007-2021.zip")</f>
        <v>https://climate.onebuilding.org/WMO_Region_6_Europe/ALB_Albania/ALB_DB_Peshkopi.136190_TMYx.2007-2021.zip</v>
      </c>
    </row>
    <row r="56" spans="1:10" x14ac:dyDescent="0.25">
      <c r="A56" t="s">
        <v>43</v>
      </c>
      <c r="B56" t="s">
        <v>57</v>
      </c>
      <c r="C56" t="s">
        <v>58</v>
      </c>
      <c r="D56">
        <v>136190</v>
      </c>
      <c r="E56" t="s">
        <v>14</v>
      </c>
      <c r="F56">
        <v>41.683300000000003</v>
      </c>
      <c r="G56">
        <v>20.433299999999999</v>
      </c>
      <c r="H56">
        <v>1</v>
      </c>
      <c r="I56">
        <v>653</v>
      </c>
      <c r="J56" t="str">
        <f>HYPERLINK("https://climate.onebuilding.org/WMO_Region_6_Europe/ALB_Albania/ALB_DB_Peshkopi.136190_TMYx.2009-2023.zip")</f>
        <v>https://climate.onebuilding.org/WMO_Region_6_Europe/ALB_Albania/ALB_DB_Peshkopi.136190_TMYx.2009-2023.zip</v>
      </c>
    </row>
    <row r="57" spans="1:10" x14ac:dyDescent="0.25">
      <c r="A57" t="s">
        <v>43</v>
      </c>
      <c r="B57" t="s">
        <v>57</v>
      </c>
      <c r="C57" t="s">
        <v>58</v>
      </c>
      <c r="D57">
        <v>136190</v>
      </c>
      <c r="E57" t="s">
        <v>14</v>
      </c>
      <c r="F57">
        <v>41.683300000000003</v>
      </c>
      <c r="G57">
        <v>20.433299999999999</v>
      </c>
      <c r="H57">
        <v>1</v>
      </c>
      <c r="I57">
        <v>653</v>
      </c>
      <c r="J57" t="str">
        <f>HYPERLINK("https://climate.onebuilding.org/WMO_Region_6_Europe/ALB_Albania/ALB_DB_Peshkopi.136190_TMYx.zip")</f>
        <v>https://climate.onebuilding.org/WMO_Region_6_Europe/ALB_Albania/ALB_DB_Peshkopi.136190_TMYx.zip</v>
      </c>
    </row>
    <row r="58" spans="1:10" x14ac:dyDescent="0.25">
      <c r="A58" t="s">
        <v>43</v>
      </c>
      <c r="B58" t="s">
        <v>60</v>
      </c>
      <c r="C58" t="s">
        <v>61</v>
      </c>
      <c r="D58">
        <v>136220</v>
      </c>
      <c r="E58" t="s">
        <v>62</v>
      </c>
      <c r="F58">
        <v>40.466999999999999</v>
      </c>
      <c r="G58">
        <v>19.483000000000001</v>
      </c>
      <c r="H58">
        <v>1</v>
      </c>
      <c r="I58">
        <v>5</v>
      </c>
      <c r="J58" t="str">
        <f>HYPERLINK("https://climate.onebuilding.org/WMO_Region_6_Europe/ALB_Albania/ALB_VR_Vlore.136220_TMYx.2004-2018.zip")</f>
        <v>https://climate.onebuilding.org/WMO_Region_6_Europe/ALB_Albania/ALB_VR_Vlore.136220_TMYx.2004-2018.zip</v>
      </c>
    </row>
    <row r="59" spans="1:10" x14ac:dyDescent="0.25">
      <c r="A59" t="s">
        <v>43</v>
      </c>
      <c r="B59" t="s">
        <v>60</v>
      </c>
      <c r="C59" t="s">
        <v>61</v>
      </c>
      <c r="D59">
        <v>136220</v>
      </c>
      <c r="E59" t="s">
        <v>14</v>
      </c>
      <c r="F59">
        <v>40.466999999999999</v>
      </c>
      <c r="G59">
        <v>19.483000000000001</v>
      </c>
      <c r="H59">
        <v>1</v>
      </c>
      <c r="I59">
        <v>5</v>
      </c>
      <c r="J59" t="str">
        <f>HYPERLINK("https://climate.onebuilding.org/WMO_Region_6_Europe/ALB_Albania/ALB_VR_Vlore.136220_TMYx.2007-2021.zip")</f>
        <v>https://climate.onebuilding.org/WMO_Region_6_Europe/ALB_Albania/ALB_VR_Vlore.136220_TMYx.2007-2021.zip</v>
      </c>
    </row>
    <row r="60" spans="1:10" x14ac:dyDescent="0.25">
      <c r="A60" t="s">
        <v>43</v>
      </c>
      <c r="B60" t="s">
        <v>60</v>
      </c>
      <c r="C60" t="s">
        <v>61</v>
      </c>
      <c r="D60">
        <v>136220</v>
      </c>
      <c r="E60" t="s">
        <v>14</v>
      </c>
      <c r="F60">
        <v>40.466999999999999</v>
      </c>
      <c r="G60">
        <v>19.483000000000001</v>
      </c>
      <c r="H60">
        <v>1</v>
      </c>
      <c r="I60">
        <v>5</v>
      </c>
      <c r="J60" t="str">
        <f>HYPERLINK("https://climate.onebuilding.org/WMO_Region_6_Europe/ALB_Albania/ALB_VR_Vlore.136220_TMYx.2009-2023.zip")</f>
        <v>https://climate.onebuilding.org/WMO_Region_6_Europe/ALB_Albania/ALB_VR_Vlore.136220_TMYx.2009-2023.zip</v>
      </c>
    </row>
    <row r="61" spans="1:10" x14ac:dyDescent="0.25">
      <c r="A61" t="s">
        <v>43</v>
      </c>
      <c r="B61" t="s">
        <v>60</v>
      </c>
      <c r="C61" t="s">
        <v>61</v>
      </c>
      <c r="D61">
        <v>136220</v>
      </c>
      <c r="E61" t="s">
        <v>14</v>
      </c>
      <c r="F61">
        <v>40.466999999999999</v>
      </c>
      <c r="G61">
        <v>19.483000000000001</v>
      </c>
      <c r="H61">
        <v>1</v>
      </c>
      <c r="I61">
        <v>5</v>
      </c>
      <c r="J61" t="str">
        <f>HYPERLINK("https://climate.onebuilding.org/WMO_Region_6_Europe/ALB_Albania/ALB_VR_Vlore.136220_TMYx.zip")</f>
        <v>https://climate.onebuilding.org/WMO_Region_6_Europe/ALB_Albania/ALB_VR_Vlore.136220_TMYx.zip</v>
      </c>
    </row>
    <row r="62" spans="1:10" x14ac:dyDescent="0.25">
      <c r="A62" t="s">
        <v>43</v>
      </c>
      <c r="B62" t="s">
        <v>60</v>
      </c>
      <c r="C62" t="s">
        <v>63</v>
      </c>
      <c r="D62">
        <v>136230</v>
      </c>
      <c r="E62" t="s">
        <v>64</v>
      </c>
      <c r="F62">
        <v>40.487499999999997</v>
      </c>
      <c r="G62">
        <v>19.282499999999999</v>
      </c>
      <c r="H62">
        <v>1</v>
      </c>
      <c r="I62">
        <v>240</v>
      </c>
      <c r="J62" t="str">
        <f>HYPERLINK("https://climate.onebuilding.org/WMO_Region_6_Europe/ALB_Albania/ALB_VR_Sazan.Island.136230_TMYx.2004-2018.zip")</f>
        <v>https://climate.onebuilding.org/WMO_Region_6_Europe/ALB_Albania/ALB_VR_Sazan.Island.136230_TMYx.2004-2018.zip</v>
      </c>
    </row>
    <row r="63" spans="1:10" x14ac:dyDescent="0.25">
      <c r="A63" t="s">
        <v>43</v>
      </c>
      <c r="B63" t="s">
        <v>60</v>
      </c>
      <c r="C63" t="s">
        <v>63</v>
      </c>
      <c r="D63">
        <v>136230</v>
      </c>
      <c r="E63" t="s">
        <v>14</v>
      </c>
      <c r="F63">
        <v>40.487499999999997</v>
      </c>
      <c r="G63">
        <v>19.282499999999999</v>
      </c>
      <c r="H63">
        <v>1</v>
      </c>
      <c r="I63">
        <v>240</v>
      </c>
      <c r="J63" t="str">
        <f>HYPERLINK("https://climate.onebuilding.org/WMO_Region_6_Europe/ALB_Albania/ALB_VR_Sazan.Island.136230_TMYx.2007-2021.zip")</f>
        <v>https://climate.onebuilding.org/WMO_Region_6_Europe/ALB_Albania/ALB_VR_Sazan.Island.136230_TMYx.2007-2021.zip</v>
      </c>
    </row>
    <row r="64" spans="1:10" x14ac:dyDescent="0.25">
      <c r="A64" t="s">
        <v>43</v>
      </c>
      <c r="B64" t="s">
        <v>60</v>
      </c>
      <c r="C64" t="s">
        <v>63</v>
      </c>
      <c r="D64">
        <v>136230</v>
      </c>
      <c r="E64" t="s">
        <v>14</v>
      </c>
      <c r="F64">
        <v>40.487499999999997</v>
      </c>
      <c r="G64">
        <v>19.282499999999999</v>
      </c>
      <c r="H64">
        <v>1</v>
      </c>
      <c r="I64">
        <v>240</v>
      </c>
      <c r="J64" t="str">
        <f>HYPERLINK("https://climate.onebuilding.org/WMO_Region_6_Europe/ALB_Albania/ALB_VR_Sazan.Island.136230_TMYx.2009-2023.zip")</f>
        <v>https://climate.onebuilding.org/WMO_Region_6_Europe/ALB_Albania/ALB_VR_Sazan.Island.136230_TMYx.2009-2023.zip</v>
      </c>
    </row>
    <row r="65" spans="1:10" x14ac:dyDescent="0.25">
      <c r="A65" t="s">
        <v>43</v>
      </c>
      <c r="B65" t="s">
        <v>60</v>
      </c>
      <c r="C65" t="s">
        <v>63</v>
      </c>
      <c r="D65">
        <v>136230</v>
      </c>
      <c r="E65" t="s">
        <v>14</v>
      </c>
      <c r="F65">
        <v>40.487499999999997</v>
      </c>
      <c r="G65">
        <v>19.282499999999999</v>
      </c>
      <c r="H65">
        <v>1</v>
      </c>
      <c r="I65">
        <v>240</v>
      </c>
      <c r="J65" t="str">
        <f>HYPERLINK("https://climate.onebuilding.org/WMO_Region_6_Europe/ALB_Albania/ALB_VR_Sazan.Island.136230_TMYx.zip")</f>
        <v>https://climate.onebuilding.org/WMO_Region_6_Europe/ALB_Albania/ALB_VR_Sazan.Island.136230_TMYx.zip</v>
      </c>
    </row>
    <row r="66" spans="1:10" x14ac:dyDescent="0.25">
      <c r="A66" t="s">
        <v>43</v>
      </c>
      <c r="B66" t="s">
        <v>65</v>
      </c>
      <c r="C66" t="s">
        <v>66</v>
      </c>
      <c r="D66">
        <v>136240</v>
      </c>
      <c r="E66" t="s">
        <v>67</v>
      </c>
      <c r="F66">
        <v>40.799999999999997</v>
      </c>
      <c r="G66">
        <v>19.899999999999999</v>
      </c>
      <c r="H66">
        <v>1</v>
      </c>
      <c r="I66">
        <v>33</v>
      </c>
      <c r="J66" t="str">
        <f>HYPERLINK("https://climate.onebuilding.org/WMO_Region_6_Europe/ALB_Albania/ALB_BE_Kucove.136240_TMYx.2004-2018.zip")</f>
        <v>https://climate.onebuilding.org/WMO_Region_6_Europe/ALB_Albania/ALB_BE_Kucove.136240_TMYx.2004-2018.zip</v>
      </c>
    </row>
    <row r="67" spans="1:10" x14ac:dyDescent="0.25">
      <c r="A67" t="s">
        <v>43</v>
      </c>
      <c r="B67" t="s">
        <v>65</v>
      </c>
      <c r="C67" t="s">
        <v>66</v>
      </c>
      <c r="D67">
        <v>136240</v>
      </c>
      <c r="E67" t="s">
        <v>14</v>
      </c>
      <c r="F67">
        <v>40.799999999999997</v>
      </c>
      <c r="G67">
        <v>19.899999999999999</v>
      </c>
      <c r="H67">
        <v>1</v>
      </c>
      <c r="I67">
        <v>33</v>
      </c>
      <c r="J67" t="str">
        <f>HYPERLINK("https://climate.onebuilding.org/WMO_Region_6_Europe/ALB_Albania/ALB_BE_Kucove.136240_TMYx.2007-2021.zip")</f>
        <v>https://climate.onebuilding.org/WMO_Region_6_Europe/ALB_Albania/ALB_BE_Kucove.136240_TMYx.2007-2021.zip</v>
      </c>
    </row>
    <row r="68" spans="1:10" x14ac:dyDescent="0.25">
      <c r="A68" t="s">
        <v>43</v>
      </c>
      <c r="B68" t="s">
        <v>65</v>
      </c>
      <c r="C68" t="s">
        <v>66</v>
      </c>
      <c r="D68">
        <v>136240</v>
      </c>
      <c r="E68" t="s">
        <v>14</v>
      </c>
      <c r="F68">
        <v>40.799999999999997</v>
      </c>
      <c r="G68">
        <v>19.899999999999999</v>
      </c>
      <c r="H68">
        <v>1</v>
      </c>
      <c r="I68">
        <v>33</v>
      </c>
      <c r="J68" t="str">
        <f>HYPERLINK("https://climate.onebuilding.org/WMO_Region_6_Europe/ALB_Albania/ALB_BE_Kucove.136240_TMYx.2009-2023.zip")</f>
        <v>https://climate.onebuilding.org/WMO_Region_6_Europe/ALB_Albania/ALB_BE_Kucove.136240_TMYx.2009-2023.zip</v>
      </c>
    </row>
    <row r="69" spans="1:10" x14ac:dyDescent="0.25">
      <c r="A69" t="s">
        <v>43</v>
      </c>
      <c r="B69" t="s">
        <v>65</v>
      </c>
      <c r="C69" t="s">
        <v>66</v>
      </c>
      <c r="D69">
        <v>136240</v>
      </c>
      <c r="E69" t="s">
        <v>14</v>
      </c>
      <c r="F69">
        <v>40.799999999999997</v>
      </c>
      <c r="G69">
        <v>19.899999999999999</v>
      </c>
      <c r="H69">
        <v>1</v>
      </c>
      <c r="I69">
        <v>33</v>
      </c>
      <c r="J69" t="str">
        <f>HYPERLINK("https://climate.onebuilding.org/WMO_Region_6_Europe/ALB_Albania/ALB_BE_Kucove.136240_TMYx.zip")</f>
        <v>https://climate.onebuilding.org/WMO_Region_6_Europe/ALB_Albania/ALB_BE_Kucove.136240_TMYx.zip</v>
      </c>
    </row>
    <row r="70" spans="1:10" x14ac:dyDescent="0.25">
      <c r="A70" t="s">
        <v>43</v>
      </c>
      <c r="B70" t="s">
        <v>68</v>
      </c>
      <c r="C70" t="s">
        <v>69</v>
      </c>
      <c r="D70">
        <v>136250</v>
      </c>
      <c r="E70" t="s">
        <v>70</v>
      </c>
      <c r="F70">
        <v>40.083300000000001</v>
      </c>
      <c r="G70">
        <v>20.149999999999999</v>
      </c>
      <c r="H70">
        <v>1</v>
      </c>
      <c r="I70">
        <v>194</v>
      </c>
      <c r="J70" t="str">
        <f>HYPERLINK("https://climate.onebuilding.org/WMO_Region_6_Europe/ALB_Albania/ALB_GK_Gjirokastra.136250_TMYx.2004-2018.zip")</f>
        <v>https://climate.onebuilding.org/WMO_Region_6_Europe/ALB_Albania/ALB_GK_Gjirokastra.136250_TMYx.2004-2018.zip</v>
      </c>
    </row>
    <row r="71" spans="1:10" x14ac:dyDescent="0.25">
      <c r="A71" t="s">
        <v>43</v>
      </c>
      <c r="B71" t="s">
        <v>68</v>
      </c>
      <c r="C71" t="s">
        <v>69</v>
      </c>
      <c r="D71">
        <v>136250</v>
      </c>
      <c r="E71" t="s">
        <v>14</v>
      </c>
      <c r="F71">
        <v>40.083300000000001</v>
      </c>
      <c r="G71">
        <v>20.149999999999999</v>
      </c>
      <c r="H71">
        <v>1</v>
      </c>
      <c r="I71">
        <v>194</v>
      </c>
      <c r="J71" t="str">
        <f>HYPERLINK("https://climate.onebuilding.org/WMO_Region_6_Europe/ALB_Albania/ALB_GK_Gjirokastra.136250_TMYx.2007-2021.zip")</f>
        <v>https://climate.onebuilding.org/WMO_Region_6_Europe/ALB_Albania/ALB_GK_Gjirokastra.136250_TMYx.2007-2021.zip</v>
      </c>
    </row>
    <row r="72" spans="1:10" x14ac:dyDescent="0.25">
      <c r="A72" t="s">
        <v>43</v>
      </c>
      <c r="B72" t="s">
        <v>68</v>
      </c>
      <c r="C72" t="s">
        <v>69</v>
      </c>
      <c r="D72">
        <v>136250</v>
      </c>
      <c r="E72" t="s">
        <v>14</v>
      </c>
      <c r="F72">
        <v>40.083300000000001</v>
      </c>
      <c r="G72">
        <v>20.149999999999999</v>
      </c>
      <c r="H72">
        <v>1</v>
      </c>
      <c r="I72">
        <v>194</v>
      </c>
      <c r="J72" t="str">
        <f>HYPERLINK("https://climate.onebuilding.org/WMO_Region_6_Europe/ALB_Albania/ALB_GK_Gjirokastra.136250_TMYx.2009-2023.zip")</f>
        <v>https://climate.onebuilding.org/WMO_Region_6_Europe/ALB_Albania/ALB_GK_Gjirokastra.136250_TMYx.2009-2023.zip</v>
      </c>
    </row>
    <row r="73" spans="1:10" x14ac:dyDescent="0.25">
      <c r="A73" t="s">
        <v>43</v>
      </c>
      <c r="B73" t="s">
        <v>68</v>
      </c>
      <c r="C73" t="s">
        <v>69</v>
      </c>
      <c r="D73">
        <v>136250</v>
      </c>
      <c r="E73" t="s">
        <v>14</v>
      </c>
      <c r="F73">
        <v>40.083300000000001</v>
      </c>
      <c r="G73">
        <v>20.149999999999999</v>
      </c>
      <c r="H73">
        <v>1</v>
      </c>
      <c r="I73">
        <v>194</v>
      </c>
      <c r="J73" t="str">
        <f>HYPERLINK("https://climate.onebuilding.org/WMO_Region_6_Europe/ALB_Albania/ALB_GK_Gjirokastra.136250_TMYx.zip")</f>
        <v>https://climate.onebuilding.org/WMO_Region_6_Europe/ALB_Albania/ALB_GK_Gjirokastra.136250_TMYx.zip</v>
      </c>
    </row>
    <row r="74" spans="1:10" x14ac:dyDescent="0.25">
      <c r="A74" t="s">
        <v>43</v>
      </c>
      <c r="B74" t="s">
        <v>71</v>
      </c>
      <c r="C74" t="s">
        <v>72</v>
      </c>
      <c r="D74">
        <v>136290</v>
      </c>
      <c r="E74" t="s">
        <v>73</v>
      </c>
      <c r="F74">
        <v>40.6</v>
      </c>
      <c r="G74">
        <v>20.7667</v>
      </c>
      <c r="H74">
        <v>1</v>
      </c>
      <c r="I74">
        <v>899</v>
      </c>
      <c r="J74" t="str">
        <f>HYPERLINK("https://climate.onebuilding.org/WMO_Region_6_Europe/ALB_Albania/ALB_KE_Korca.136290_TMYx.2004-2018.zip")</f>
        <v>https://climate.onebuilding.org/WMO_Region_6_Europe/ALB_Albania/ALB_KE_Korca.136290_TMYx.2004-2018.zip</v>
      </c>
    </row>
    <row r="75" spans="1:10" x14ac:dyDescent="0.25">
      <c r="A75" t="s">
        <v>43</v>
      </c>
      <c r="B75" t="s">
        <v>71</v>
      </c>
      <c r="C75" t="s">
        <v>72</v>
      </c>
      <c r="D75">
        <v>136290</v>
      </c>
      <c r="E75" t="s">
        <v>14</v>
      </c>
      <c r="F75">
        <v>40.6</v>
      </c>
      <c r="G75">
        <v>20.7667</v>
      </c>
      <c r="H75">
        <v>1</v>
      </c>
      <c r="I75">
        <v>899</v>
      </c>
      <c r="J75" t="str">
        <f>HYPERLINK("https://climate.onebuilding.org/WMO_Region_6_Europe/ALB_Albania/ALB_KE_Korca.136290_TMYx.2007-2021.zip")</f>
        <v>https://climate.onebuilding.org/WMO_Region_6_Europe/ALB_Albania/ALB_KE_Korca.136290_TMYx.2007-2021.zip</v>
      </c>
    </row>
    <row r="76" spans="1:10" x14ac:dyDescent="0.25">
      <c r="A76" t="s">
        <v>43</v>
      </c>
      <c r="B76" t="s">
        <v>71</v>
      </c>
      <c r="C76" t="s">
        <v>72</v>
      </c>
      <c r="D76">
        <v>136290</v>
      </c>
      <c r="E76" t="s">
        <v>14</v>
      </c>
      <c r="F76">
        <v>40.6</v>
      </c>
      <c r="G76">
        <v>20.7667</v>
      </c>
      <c r="H76">
        <v>1</v>
      </c>
      <c r="I76">
        <v>899</v>
      </c>
      <c r="J76" t="str">
        <f>HYPERLINK("https://climate.onebuilding.org/WMO_Region_6_Europe/ALB_Albania/ALB_KE_Korca.136290_TMYx.2009-2023.zip")</f>
        <v>https://climate.onebuilding.org/WMO_Region_6_Europe/ALB_Albania/ALB_KE_Korca.136290_TMYx.2009-2023.zip</v>
      </c>
    </row>
    <row r="77" spans="1:10" x14ac:dyDescent="0.25">
      <c r="A77" t="s">
        <v>43</v>
      </c>
      <c r="B77" t="s">
        <v>71</v>
      </c>
      <c r="C77" t="s">
        <v>72</v>
      </c>
      <c r="D77">
        <v>136290</v>
      </c>
      <c r="E77" t="s">
        <v>14</v>
      </c>
      <c r="F77">
        <v>40.6</v>
      </c>
      <c r="G77">
        <v>20.7667</v>
      </c>
      <c r="H77">
        <v>1</v>
      </c>
      <c r="I77">
        <v>899</v>
      </c>
      <c r="J77" t="str">
        <f>HYPERLINK("https://climate.onebuilding.org/WMO_Region_6_Europe/ALB_Albania/ALB_KE_Korca.136290_TMYx.zip")</f>
        <v>https://climate.onebuilding.org/WMO_Region_6_Europe/ALB_Albania/ALB_KE_Korca.136290_TMYx.zip</v>
      </c>
    </row>
    <row r="78" spans="1:10" x14ac:dyDescent="0.25">
      <c r="A78" t="s">
        <v>74</v>
      </c>
      <c r="B78" t="s">
        <v>75</v>
      </c>
      <c r="C78" t="s">
        <v>76</v>
      </c>
      <c r="D78" t="s">
        <v>77</v>
      </c>
      <c r="E78" t="s">
        <v>78</v>
      </c>
      <c r="F78">
        <v>42.5</v>
      </c>
      <c r="G78">
        <v>1.5</v>
      </c>
      <c r="H78">
        <v>2</v>
      </c>
      <c r="I78">
        <v>1023</v>
      </c>
      <c r="J78" t="str">
        <f>HYPERLINK("https://climate.onebuilding.org/AND_AV_Andorra.la.Vella.AND001_TMYx.2007-2021.zip")</f>
        <v>https://climate.onebuilding.org/AND_AV_Andorra.la.Vella.AND001_TMYx.2007-2021.zip</v>
      </c>
    </row>
    <row r="79" spans="1:10" x14ac:dyDescent="0.25">
      <c r="A79" t="s">
        <v>74</v>
      </c>
      <c r="B79" t="s">
        <v>75</v>
      </c>
      <c r="C79" t="s">
        <v>76</v>
      </c>
      <c r="D79" t="s">
        <v>77</v>
      </c>
      <c r="E79" t="s">
        <v>78</v>
      </c>
      <c r="F79">
        <v>42.5</v>
      </c>
      <c r="G79">
        <v>1.5</v>
      </c>
      <c r="H79">
        <v>2</v>
      </c>
      <c r="I79">
        <v>1023</v>
      </c>
      <c r="J79" t="str">
        <f>HYPERLINK("https://climate.onebuilding.org/AND_AV_Andorra.la.Vella.AND001_TMYx.2009-2023.zip")</f>
        <v>https://climate.onebuilding.org/AND_AV_Andorra.la.Vella.AND001_TMYx.2009-2023.zip</v>
      </c>
    </row>
    <row r="80" spans="1:10" x14ac:dyDescent="0.25">
      <c r="A80" t="s">
        <v>74</v>
      </c>
      <c r="B80" t="s">
        <v>75</v>
      </c>
      <c r="C80" t="s">
        <v>76</v>
      </c>
      <c r="D80" t="s">
        <v>77</v>
      </c>
      <c r="E80" t="s">
        <v>78</v>
      </c>
      <c r="F80">
        <v>42.5</v>
      </c>
      <c r="G80">
        <v>1.5</v>
      </c>
      <c r="H80">
        <v>2</v>
      </c>
      <c r="I80">
        <v>1023</v>
      </c>
      <c r="J80" t="str">
        <f>HYPERLINK("https://climate.onebuilding.org/AND_AV_Andorra.la.Vella.AND001_TMYx.zip")</f>
        <v>https://climate.onebuilding.org/AND_AV_Andorra.la.Vella.AND001_TMYx.zip</v>
      </c>
    </row>
    <row r="81" spans="1:10" x14ac:dyDescent="0.25">
      <c r="A81" t="s">
        <v>79</v>
      </c>
      <c r="B81" t="s">
        <v>80</v>
      </c>
      <c r="C81" t="s">
        <v>81</v>
      </c>
      <c r="D81">
        <v>110010</v>
      </c>
      <c r="E81" t="s">
        <v>82</v>
      </c>
      <c r="F81">
        <v>48.105499999999999</v>
      </c>
      <c r="G81">
        <v>13.6708</v>
      </c>
      <c r="H81">
        <v>1</v>
      </c>
      <c r="I81">
        <v>615.6</v>
      </c>
      <c r="J81" t="str">
        <f>HYPERLINK("https://climate.onebuilding.org/WMO_Region_6_Europe/AUT_Austria/OO_Upper_Austria/AUT_OO_Wolfsegg.110010_TMYx.2004-2018.zip")</f>
        <v>https://climate.onebuilding.org/WMO_Region_6_Europe/AUT_Austria/OO_Upper_Austria/AUT_OO_Wolfsegg.110010_TMYx.2004-2018.zip</v>
      </c>
    </row>
    <row r="82" spans="1:10" x14ac:dyDescent="0.25">
      <c r="A82" t="s">
        <v>79</v>
      </c>
      <c r="B82" t="s">
        <v>80</v>
      </c>
      <c r="C82" t="s">
        <v>81</v>
      </c>
      <c r="D82">
        <v>110010</v>
      </c>
      <c r="E82" t="s">
        <v>14</v>
      </c>
      <c r="F82">
        <v>48.105499999999999</v>
      </c>
      <c r="G82">
        <v>13.6708</v>
      </c>
      <c r="H82">
        <v>1</v>
      </c>
      <c r="I82">
        <v>615.6</v>
      </c>
      <c r="J82" t="str">
        <f>HYPERLINK("https://climate.onebuilding.org/WMO_Region_6_Europe/AUT_Austria/OO_Upper_Austria/AUT_OO_Wolfsegg.110010_TMYx.2007-2021.zip")</f>
        <v>https://climate.onebuilding.org/WMO_Region_6_Europe/AUT_Austria/OO_Upper_Austria/AUT_OO_Wolfsegg.110010_TMYx.2007-2021.zip</v>
      </c>
    </row>
    <row r="83" spans="1:10" x14ac:dyDescent="0.25">
      <c r="A83" t="s">
        <v>79</v>
      </c>
      <c r="B83" t="s">
        <v>80</v>
      </c>
      <c r="C83" t="s">
        <v>81</v>
      </c>
      <c r="D83">
        <v>110010</v>
      </c>
      <c r="E83" t="s">
        <v>14</v>
      </c>
      <c r="F83">
        <v>48.105499999999999</v>
      </c>
      <c r="G83">
        <v>13.6708</v>
      </c>
      <c r="H83">
        <v>1</v>
      </c>
      <c r="I83">
        <v>615.6</v>
      </c>
      <c r="J83" t="str">
        <f>HYPERLINK("https://climate.onebuilding.org/WMO_Region_6_Europe/AUT_Austria/OO_Upper_Austria/AUT_OO_Wolfsegg.110010_TMYx.2009-2023.zip")</f>
        <v>https://climate.onebuilding.org/WMO_Region_6_Europe/AUT_Austria/OO_Upper_Austria/AUT_OO_Wolfsegg.110010_TMYx.2009-2023.zip</v>
      </c>
    </row>
    <row r="84" spans="1:10" x14ac:dyDescent="0.25">
      <c r="A84" t="s">
        <v>79</v>
      </c>
      <c r="B84" t="s">
        <v>80</v>
      </c>
      <c r="C84" t="s">
        <v>81</v>
      </c>
      <c r="D84">
        <v>110010</v>
      </c>
      <c r="E84" t="s">
        <v>14</v>
      </c>
      <c r="F84">
        <v>48.105499999999999</v>
      </c>
      <c r="G84">
        <v>13.6708</v>
      </c>
      <c r="H84">
        <v>1</v>
      </c>
      <c r="I84">
        <v>615.6</v>
      </c>
      <c r="J84" t="str">
        <f>HYPERLINK("https://climate.onebuilding.org/WMO_Region_6_Europe/AUT_Austria/OO_Upper_Austria/AUT_OO_Wolfsegg.110010_TMYx.zip")</f>
        <v>https://climate.onebuilding.org/WMO_Region_6_Europe/AUT_Austria/OO_Upper_Austria/AUT_OO_Wolfsegg.110010_TMYx.zip</v>
      </c>
    </row>
    <row r="85" spans="1:10" x14ac:dyDescent="0.25">
      <c r="A85" t="s">
        <v>79</v>
      </c>
      <c r="B85" t="s">
        <v>80</v>
      </c>
      <c r="C85" t="s">
        <v>83</v>
      </c>
      <c r="D85">
        <v>110080</v>
      </c>
      <c r="E85" t="s">
        <v>84</v>
      </c>
      <c r="F85">
        <v>48.569699999999997</v>
      </c>
      <c r="G85">
        <v>13.994199999999999</v>
      </c>
      <c r="H85">
        <v>1</v>
      </c>
      <c r="I85">
        <v>602.4</v>
      </c>
      <c r="J85" t="str">
        <f>HYPERLINK("https://climate.onebuilding.org/WMO_Region_6_Europe/AUT_Austria/OO_Upper_Austria/AUT_OO_Rohrbach.110080_TMYx.2004-2018.zip")</f>
        <v>https://climate.onebuilding.org/WMO_Region_6_Europe/AUT_Austria/OO_Upper_Austria/AUT_OO_Rohrbach.110080_TMYx.2004-2018.zip</v>
      </c>
    </row>
    <row r="86" spans="1:10" x14ac:dyDescent="0.25">
      <c r="A86" t="s">
        <v>79</v>
      </c>
      <c r="B86" t="s">
        <v>80</v>
      </c>
      <c r="C86" t="s">
        <v>83</v>
      </c>
      <c r="D86">
        <v>110080</v>
      </c>
      <c r="E86" t="s">
        <v>14</v>
      </c>
      <c r="F86">
        <v>48.569699999999997</v>
      </c>
      <c r="G86">
        <v>13.994199999999999</v>
      </c>
      <c r="H86">
        <v>1</v>
      </c>
      <c r="I86">
        <v>602.4</v>
      </c>
      <c r="J86" t="str">
        <f>HYPERLINK("https://climate.onebuilding.org/WMO_Region_6_Europe/AUT_Austria/OO_Upper_Austria/AUT_OO_Rohrbach.110080_TMYx.2007-2021.zip")</f>
        <v>https://climate.onebuilding.org/WMO_Region_6_Europe/AUT_Austria/OO_Upper_Austria/AUT_OO_Rohrbach.110080_TMYx.2007-2021.zip</v>
      </c>
    </row>
    <row r="87" spans="1:10" x14ac:dyDescent="0.25">
      <c r="A87" t="s">
        <v>79</v>
      </c>
      <c r="B87" t="s">
        <v>80</v>
      </c>
      <c r="C87" t="s">
        <v>83</v>
      </c>
      <c r="D87">
        <v>110080</v>
      </c>
      <c r="E87" t="s">
        <v>14</v>
      </c>
      <c r="F87">
        <v>48.569699999999997</v>
      </c>
      <c r="G87">
        <v>13.994199999999999</v>
      </c>
      <c r="H87">
        <v>1</v>
      </c>
      <c r="I87">
        <v>602.4</v>
      </c>
      <c r="J87" t="str">
        <f>HYPERLINK("https://climate.onebuilding.org/WMO_Region_6_Europe/AUT_Austria/OO_Upper_Austria/AUT_OO_Rohrbach.110080_TMYx.2009-2023.zip")</f>
        <v>https://climate.onebuilding.org/WMO_Region_6_Europe/AUT_Austria/OO_Upper_Austria/AUT_OO_Rohrbach.110080_TMYx.2009-2023.zip</v>
      </c>
    </row>
    <row r="88" spans="1:10" x14ac:dyDescent="0.25">
      <c r="A88" t="s">
        <v>79</v>
      </c>
      <c r="B88" t="s">
        <v>80</v>
      </c>
      <c r="C88" t="s">
        <v>83</v>
      </c>
      <c r="D88">
        <v>110080</v>
      </c>
      <c r="E88" t="s">
        <v>14</v>
      </c>
      <c r="F88">
        <v>48.569699999999997</v>
      </c>
      <c r="G88">
        <v>13.994199999999999</v>
      </c>
      <c r="H88">
        <v>1</v>
      </c>
      <c r="I88">
        <v>602.4</v>
      </c>
      <c r="J88" t="str">
        <f>HYPERLINK("https://climate.onebuilding.org/WMO_Region_6_Europe/AUT_Austria/OO_Upper_Austria/AUT_OO_Rohrbach.110080_TMYx.zip")</f>
        <v>https://climate.onebuilding.org/WMO_Region_6_Europe/AUT_Austria/OO_Upper_Austria/AUT_OO_Rohrbach.110080_TMYx.zip</v>
      </c>
    </row>
    <row r="89" spans="1:10" x14ac:dyDescent="0.25">
      <c r="A89" t="s">
        <v>79</v>
      </c>
      <c r="B89" t="s">
        <v>80</v>
      </c>
      <c r="C89" t="s">
        <v>85</v>
      </c>
      <c r="D89">
        <v>110090</v>
      </c>
      <c r="E89" t="s">
        <v>14</v>
      </c>
      <c r="F89">
        <v>48.183</v>
      </c>
      <c r="G89">
        <v>14.032999999999999</v>
      </c>
      <c r="H89">
        <v>1</v>
      </c>
      <c r="I89">
        <v>318</v>
      </c>
      <c r="J89" t="str">
        <f>HYPERLINK("https://climate.onebuilding.org/WMO_Region_6_Europe/AUT_Austria/OO_Upper_Austria/AUT_OO_Wels.AP.110090_TMYx.zip")</f>
        <v>https://climate.onebuilding.org/WMO_Region_6_Europe/AUT_Austria/OO_Upper_Austria/AUT_OO_Wels.AP.110090_TMYx.zip</v>
      </c>
    </row>
    <row r="90" spans="1:10" x14ac:dyDescent="0.25">
      <c r="A90" t="s">
        <v>79</v>
      </c>
      <c r="B90" t="s">
        <v>80</v>
      </c>
      <c r="C90" t="s">
        <v>86</v>
      </c>
      <c r="D90">
        <v>110100</v>
      </c>
      <c r="E90" t="s">
        <v>87</v>
      </c>
      <c r="F90">
        <v>48.235300000000002</v>
      </c>
      <c r="G90">
        <v>14.1881</v>
      </c>
      <c r="H90">
        <v>1</v>
      </c>
      <c r="I90">
        <v>313</v>
      </c>
      <c r="J90" t="str">
        <f>HYPERLINK("https://climate.onebuilding.org/WMO_Region_6_Europe/AUT_Austria/OO_Upper_Austria/AUT_OO_Linz-Blue.Danube.AP.110100_TMYx.2004-2018.zip")</f>
        <v>https://climate.onebuilding.org/WMO_Region_6_Europe/AUT_Austria/OO_Upper_Austria/AUT_OO_Linz-Blue.Danube.AP.110100_TMYx.2004-2018.zip</v>
      </c>
    </row>
    <row r="91" spans="1:10" x14ac:dyDescent="0.25">
      <c r="A91" t="s">
        <v>79</v>
      </c>
      <c r="B91" t="s">
        <v>80</v>
      </c>
      <c r="C91" t="s">
        <v>86</v>
      </c>
      <c r="D91">
        <v>110100</v>
      </c>
      <c r="E91" t="s">
        <v>14</v>
      </c>
      <c r="F91">
        <v>48.235300000000002</v>
      </c>
      <c r="G91">
        <v>14.1881</v>
      </c>
      <c r="H91">
        <v>1</v>
      </c>
      <c r="I91">
        <v>313</v>
      </c>
      <c r="J91" t="str">
        <f>HYPERLINK("https://climate.onebuilding.org/WMO_Region_6_Europe/AUT_Austria/OO_Upper_Austria/AUT_OO_Linz-Blue.Danube.AP.110100_TMYx.2007-2021.zip")</f>
        <v>https://climate.onebuilding.org/WMO_Region_6_Europe/AUT_Austria/OO_Upper_Austria/AUT_OO_Linz-Blue.Danube.AP.110100_TMYx.2007-2021.zip</v>
      </c>
    </row>
    <row r="92" spans="1:10" x14ac:dyDescent="0.25">
      <c r="A92" t="s">
        <v>79</v>
      </c>
      <c r="B92" t="s">
        <v>80</v>
      </c>
      <c r="C92" t="s">
        <v>86</v>
      </c>
      <c r="D92">
        <v>110100</v>
      </c>
      <c r="E92" t="s">
        <v>14</v>
      </c>
      <c r="F92">
        <v>48.235300000000002</v>
      </c>
      <c r="G92">
        <v>14.1881</v>
      </c>
      <c r="H92">
        <v>1</v>
      </c>
      <c r="I92">
        <v>313</v>
      </c>
      <c r="J92" t="str">
        <f>HYPERLINK("https://climate.onebuilding.org/WMO_Region_6_Europe/AUT_Austria/OO_Upper_Austria/AUT_OO_Linz-Blue.Danube.AP.110100_TMYx.2009-2023.zip")</f>
        <v>https://climate.onebuilding.org/WMO_Region_6_Europe/AUT_Austria/OO_Upper_Austria/AUT_OO_Linz-Blue.Danube.AP.110100_TMYx.2009-2023.zip</v>
      </c>
    </row>
    <row r="93" spans="1:10" x14ac:dyDescent="0.25">
      <c r="A93" t="s">
        <v>79</v>
      </c>
      <c r="B93" t="s">
        <v>80</v>
      </c>
      <c r="C93" t="s">
        <v>86</v>
      </c>
      <c r="D93">
        <v>110100</v>
      </c>
      <c r="E93" t="s">
        <v>14</v>
      </c>
      <c r="F93">
        <v>48.235300000000002</v>
      </c>
      <c r="G93">
        <v>14.1881</v>
      </c>
      <c r="H93">
        <v>1</v>
      </c>
      <c r="I93">
        <v>313</v>
      </c>
      <c r="J93" t="str">
        <f>HYPERLINK("https://climate.onebuilding.org/WMO_Region_6_Europe/AUT_Austria/OO_Upper_Austria/AUT_OO_Linz-Blue.Danube.AP.110100_TMYx.zip")</f>
        <v>https://climate.onebuilding.org/WMO_Region_6_Europe/AUT_Austria/OO_Upper_Austria/AUT_OO_Linz-Blue.Danube.AP.110100_TMYx.zip</v>
      </c>
    </row>
    <row r="94" spans="1:10" x14ac:dyDescent="0.25">
      <c r="A94" t="s">
        <v>79</v>
      </c>
      <c r="B94" t="s">
        <v>80</v>
      </c>
      <c r="C94" t="s">
        <v>88</v>
      </c>
      <c r="D94">
        <v>110120</v>
      </c>
      <c r="E94" t="s">
        <v>89</v>
      </c>
      <c r="F94">
        <v>48.055</v>
      </c>
      <c r="G94">
        <v>14.1311</v>
      </c>
      <c r="H94">
        <v>1</v>
      </c>
      <c r="I94">
        <v>389.5</v>
      </c>
      <c r="J94" t="str">
        <f>HYPERLINK("https://climate.onebuilding.org/WMO_Region_6_Europe/AUT_Austria/OO_Upper_Austria/AUT_OO_Kremsmunster.110120_TMYx.2004-2018.zip")</f>
        <v>https://climate.onebuilding.org/WMO_Region_6_Europe/AUT_Austria/OO_Upper_Austria/AUT_OO_Kremsmunster.110120_TMYx.2004-2018.zip</v>
      </c>
    </row>
    <row r="95" spans="1:10" x14ac:dyDescent="0.25">
      <c r="A95" t="s">
        <v>79</v>
      </c>
      <c r="B95" t="s">
        <v>80</v>
      </c>
      <c r="C95" t="s">
        <v>88</v>
      </c>
      <c r="D95">
        <v>110120</v>
      </c>
      <c r="E95" t="s">
        <v>14</v>
      </c>
      <c r="F95">
        <v>48.055</v>
      </c>
      <c r="G95">
        <v>14.1311</v>
      </c>
      <c r="H95">
        <v>1</v>
      </c>
      <c r="I95">
        <v>389.5</v>
      </c>
      <c r="J95" t="str">
        <f>HYPERLINK("https://climate.onebuilding.org/WMO_Region_6_Europe/AUT_Austria/OO_Upper_Austria/AUT_OO_Kremsmunster.110120_TMYx.2007-2021.zip")</f>
        <v>https://climate.onebuilding.org/WMO_Region_6_Europe/AUT_Austria/OO_Upper_Austria/AUT_OO_Kremsmunster.110120_TMYx.2007-2021.zip</v>
      </c>
    </row>
    <row r="96" spans="1:10" x14ac:dyDescent="0.25">
      <c r="A96" t="s">
        <v>79</v>
      </c>
      <c r="B96" t="s">
        <v>80</v>
      </c>
      <c r="C96" t="s">
        <v>88</v>
      </c>
      <c r="D96">
        <v>110120</v>
      </c>
      <c r="E96" t="s">
        <v>14</v>
      </c>
      <c r="F96">
        <v>48.055</v>
      </c>
      <c r="G96">
        <v>14.1311</v>
      </c>
      <c r="H96">
        <v>1</v>
      </c>
      <c r="I96">
        <v>389.5</v>
      </c>
      <c r="J96" t="str">
        <f>HYPERLINK("https://climate.onebuilding.org/WMO_Region_6_Europe/AUT_Austria/OO_Upper_Austria/AUT_OO_Kremsmunster.110120_TMYx.2009-2023.zip")</f>
        <v>https://climate.onebuilding.org/WMO_Region_6_Europe/AUT_Austria/OO_Upper_Austria/AUT_OO_Kremsmunster.110120_TMYx.2009-2023.zip</v>
      </c>
    </row>
    <row r="97" spans="1:10" x14ac:dyDescent="0.25">
      <c r="A97" t="s">
        <v>79</v>
      </c>
      <c r="B97" t="s">
        <v>80</v>
      </c>
      <c r="C97" t="s">
        <v>88</v>
      </c>
      <c r="D97">
        <v>110120</v>
      </c>
      <c r="E97" t="s">
        <v>14</v>
      </c>
      <c r="F97">
        <v>48.055</v>
      </c>
      <c r="G97">
        <v>14.1311</v>
      </c>
      <c r="H97">
        <v>1</v>
      </c>
      <c r="I97">
        <v>389.5</v>
      </c>
      <c r="J97" t="str">
        <f>HYPERLINK("https://climate.onebuilding.org/WMO_Region_6_Europe/AUT_Austria/OO_Upper_Austria/AUT_OO_Kremsmunster.110120_TMYx.zip")</f>
        <v>https://climate.onebuilding.org/WMO_Region_6_Europe/AUT_Austria/OO_Upper_Austria/AUT_OO_Kremsmunster.110120_TMYx.zip</v>
      </c>
    </row>
    <row r="98" spans="1:10" x14ac:dyDescent="0.25">
      <c r="A98" t="s">
        <v>79</v>
      </c>
      <c r="B98" t="s">
        <v>80</v>
      </c>
      <c r="C98" t="s">
        <v>90</v>
      </c>
      <c r="D98">
        <v>110140</v>
      </c>
      <c r="E98" t="s">
        <v>14</v>
      </c>
      <c r="F98">
        <v>48.4</v>
      </c>
      <c r="G98">
        <v>14.833</v>
      </c>
      <c r="H98">
        <v>1</v>
      </c>
      <c r="I98">
        <v>608</v>
      </c>
      <c r="J98" t="str">
        <f>HYPERLINK("https://climate.onebuilding.org/WMO_Region_6_Europe/AUT_Austria/OO_Upper_Austria/AUT_OO_Konigswiesen.110140_TMYx.zip")</f>
        <v>https://climate.onebuilding.org/WMO_Region_6_Europe/AUT_Austria/OO_Upper_Austria/AUT_OO_Konigswiesen.110140_TMYx.zip</v>
      </c>
    </row>
    <row r="99" spans="1:10" x14ac:dyDescent="0.25">
      <c r="A99" t="s">
        <v>79</v>
      </c>
      <c r="B99" t="s">
        <v>80</v>
      </c>
      <c r="C99" t="s">
        <v>91</v>
      </c>
      <c r="D99">
        <v>110150</v>
      </c>
      <c r="E99" t="s">
        <v>92</v>
      </c>
      <c r="F99">
        <v>48.5</v>
      </c>
      <c r="G99">
        <v>14.5</v>
      </c>
      <c r="H99">
        <v>1</v>
      </c>
      <c r="I99">
        <v>548</v>
      </c>
      <c r="J99" t="str">
        <f>HYPERLINK("https://climate.onebuilding.org/WMO_Region_6_Europe/AUT_Austria/OO_Upper_Austria/AUT_OO_Freistadt.110150_TMYx.2004-2018.zip")</f>
        <v>https://climate.onebuilding.org/WMO_Region_6_Europe/AUT_Austria/OO_Upper_Austria/AUT_OO_Freistadt.110150_TMYx.2004-2018.zip</v>
      </c>
    </row>
    <row r="100" spans="1:10" x14ac:dyDescent="0.25">
      <c r="A100" t="s">
        <v>79</v>
      </c>
      <c r="B100" t="s">
        <v>80</v>
      </c>
      <c r="C100" t="s">
        <v>91</v>
      </c>
      <c r="D100">
        <v>110150</v>
      </c>
      <c r="E100" t="s">
        <v>14</v>
      </c>
      <c r="F100">
        <v>48.5</v>
      </c>
      <c r="G100">
        <v>14.5</v>
      </c>
      <c r="H100">
        <v>1</v>
      </c>
      <c r="I100">
        <v>548</v>
      </c>
      <c r="J100" t="str">
        <f>HYPERLINK("https://climate.onebuilding.org/WMO_Region_6_Europe/AUT_Austria/OO_Upper_Austria/AUT_OO_Freistadt.110150_TMYx.2007-2021.zip")</f>
        <v>https://climate.onebuilding.org/WMO_Region_6_Europe/AUT_Austria/OO_Upper_Austria/AUT_OO_Freistadt.110150_TMYx.2007-2021.zip</v>
      </c>
    </row>
    <row r="101" spans="1:10" x14ac:dyDescent="0.25">
      <c r="A101" t="s">
        <v>79</v>
      </c>
      <c r="B101" t="s">
        <v>80</v>
      </c>
      <c r="C101" t="s">
        <v>91</v>
      </c>
      <c r="D101">
        <v>110150</v>
      </c>
      <c r="E101" t="s">
        <v>14</v>
      </c>
      <c r="F101">
        <v>48.5</v>
      </c>
      <c r="G101">
        <v>14.5</v>
      </c>
      <c r="H101">
        <v>1</v>
      </c>
      <c r="I101">
        <v>548</v>
      </c>
      <c r="J101" t="str">
        <f>HYPERLINK("https://climate.onebuilding.org/WMO_Region_6_Europe/AUT_Austria/OO_Upper_Austria/AUT_OO_Freistadt.110150_TMYx.2009-2023.zip")</f>
        <v>https://climate.onebuilding.org/WMO_Region_6_Europe/AUT_Austria/OO_Upper_Austria/AUT_OO_Freistadt.110150_TMYx.2009-2023.zip</v>
      </c>
    </row>
    <row r="102" spans="1:10" x14ac:dyDescent="0.25">
      <c r="A102" t="s">
        <v>79</v>
      </c>
      <c r="B102" t="s">
        <v>80</v>
      </c>
      <c r="C102" t="s">
        <v>91</v>
      </c>
      <c r="D102">
        <v>110150</v>
      </c>
      <c r="E102" t="s">
        <v>14</v>
      </c>
      <c r="F102">
        <v>48.5</v>
      </c>
      <c r="G102">
        <v>14.5</v>
      </c>
      <c r="H102">
        <v>1</v>
      </c>
      <c r="I102">
        <v>548</v>
      </c>
      <c r="J102" t="str">
        <f>HYPERLINK("https://climate.onebuilding.org/WMO_Region_6_Europe/AUT_Austria/OO_Upper_Austria/AUT_OO_Freistadt.110150_TMYx.zip")</f>
        <v>https://climate.onebuilding.org/WMO_Region_6_Europe/AUT_Austria/OO_Upper_Austria/AUT_OO_Freistadt.110150_TMYx.zip</v>
      </c>
    </row>
    <row r="103" spans="1:10" x14ac:dyDescent="0.25">
      <c r="A103" t="s">
        <v>79</v>
      </c>
      <c r="B103" t="s">
        <v>93</v>
      </c>
      <c r="C103" t="s">
        <v>94</v>
      </c>
      <c r="D103">
        <v>110161</v>
      </c>
      <c r="E103" t="s">
        <v>95</v>
      </c>
      <c r="F103">
        <v>47.843000000000004</v>
      </c>
      <c r="G103">
        <v>16.260000000000002</v>
      </c>
      <c r="H103">
        <v>1</v>
      </c>
      <c r="I103">
        <v>273.10000000000002</v>
      </c>
      <c r="J103" t="str">
        <f>HYPERLINK("https://climate.onebuilding.org/WMO_Region_6_Europe/AUT_Austria/NO_Lower_Austria/AUT_NO_Wiener.Neustadt.East.AP.110161_TMYx.2004-2018.zip")</f>
        <v>https://climate.onebuilding.org/WMO_Region_6_Europe/AUT_Austria/NO_Lower_Austria/AUT_NO_Wiener.Neustadt.East.AP.110161_TMYx.2004-2018.zip</v>
      </c>
    </row>
    <row r="104" spans="1:10" x14ac:dyDescent="0.25">
      <c r="A104" t="s">
        <v>79</v>
      </c>
      <c r="B104" t="s">
        <v>93</v>
      </c>
      <c r="C104" t="s">
        <v>94</v>
      </c>
      <c r="D104">
        <v>110161</v>
      </c>
      <c r="E104" t="s">
        <v>14</v>
      </c>
      <c r="F104">
        <v>47.843000000000004</v>
      </c>
      <c r="G104">
        <v>16.260000000000002</v>
      </c>
      <c r="H104">
        <v>1</v>
      </c>
      <c r="I104">
        <v>273.10000000000002</v>
      </c>
      <c r="J104" t="str">
        <f>HYPERLINK("https://climate.onebuilding.org/WMO_Region_6_Europe/AUT_Austria/NO_Lower_Austria/AUT_NO_Wiener.Neustadt.East.AP.110161_TMYx.2007-2021.zip")</f>
        <v>https://climate.onebuilding.org/WMO_Region_6_Europe/AUT_Austria/NO_Lower_Austria/AUT_NO_Wiener.Neustadt.East.AP.110161_TMYx.2007-2021.zip</v>
      </c>
    </row>
    <row r="105" spans="1:10" x14ac:dyDescent="0.25">
      <c r="A105" t="s">
        <v>79</v>
      </c>
      <c r="B105" t="s">
        <v>93</v>
      </c>
      <c r="C105" t="s">
        <v>94</v>
      </c>
      <c r="D105">
        <v>110161</v>
      </c>
      <c r="E105" t="s">
        <v>14</v>
      </c>
      <c r="F105">
        <v>47.843000000000004</v>
      </c>
      <c r="G105">
        <v>16.260000000000002</v>
      </c>
      <c r="H105">
        <v>1</v>
      </c>
      <c r="I105">
        <v>273.10000000000002</v>
      </c>
      <c r="J105" t="str">
        <f>HYPERLINK("https://climate.onebuilding.org/WMO_Region_6_Europe/AUT_Austria/NO_Lower_Austria/AUT_NO_Wiener.Neustadt.East.AP.110161_TMYx.2009-2023.zip")</f>
        <v>https://climate.onebuilding.org/WMO_Region_6_Europe/AUT_Austria/NO_Lower_Austria/AUT_NO_Wiener.Neustadt.East.AP.110161_TMYx.2009-2023.zip</v>
      </c>
    </row>
    <row r="106" spans="1:10" x14ac:dyDescent="0.25">
      <c r="A106" t="s">
        <v>79</v>
      </c>
      <c r="B106" t="s">
        <v>93</v>
      </c>
      <c r="C106" t="s">
        <v>94</v>
      </c>
      <c r="D106">
        <v>110161</v>
      </c>
      <c r="E106" t="s">
        <v>14</v>
      </c>
      <c r="F106">
        <v>47.843000000000004</v>
      </c>
      <c r="G106">
        <v>16.260000000000002</v>
      </c>
      <c r="H106">
        <v>1</v>
      </c>
      <c r="I106">
        <v>273.10000000000002</v>
      </c>
      <c r="J106" t="str">
        <f>HYPERLINK("https://climate.onebuilding.org/WMO_Region_6_Europe/AUT_Austria/NO_Lower_Austria/AUT_NO_Wiener.Neustadt.East.AP.110161_TMYx.zip")</f>
        <v>https://climate.onebuilding.org/WMO_Region_6_Europe/AUT_Austria/NO_Lower_Austria/AUT_NO_Wiener.Neustadt.East.AP.110161_TMYx.zip</v>
      </c>
    </row>
    <row r="107" spans="1:10" x14ac:dyDescent="0.25">
      <c r="A107" t="s">
        <v>79</v>
      </c>
      <c r="B107" t="s">
        <v>93</v>
      </c>
      <c r="C107" t="s">
        <v>96</v>
      </c>
      <c r="D107">
        <v>110162</v>
      </c>
      <c r="E107" t="s">
        <v>97</v>
      </c>
      <c r="F107">
        <v>47.966999999999999</v>
      </c>
      <c r="G107">
        <v>16.266999999999999</v>
      </c>
      <c r="H107">
        <v>1</v>
      </c>
      <c r="I107">
        <v>233</v>
      </c>
      <c r="J107" t="str">
        <f>HYPERLINK("https://climate.onebuilding.org/WMO_Region_6_Europe/AUT_Austria/NO_Lower_Austria/AUT_NO_Voslau.Kottingbrunn.AP.110162_TMYx.2004-2018.zip")</f>
        <v>https://climate.onebuilding.org/WMO_Region_6_Europe/AUT_Austria/NO_Lower_Austria/AUT_NO_Voslau.Kottingbrunn.AP.110162_TMYx.2004-2018.zip</v>
      </c>
    </row>
    <row r="108" spans="1:10" x14ac:dyDescent="0.25">
      <c r="A108" t="s">
        <v>79</v>
      </c>
      <c r="B108" t="s">
        <v>93</v>
      </c>
      <c r="C108" t="s">
        <v>96</v>
      </c>
      <c r="D108">
        <v>110162</v>
      </c>
      <c r="E108" t="s">
        <v>14</v>
      </c>
      <c r="F108">
        <v>47.966999999999999</v>
      </c>
      <c r="G108">
        <v>16.266999999999999</v>
      </c>
      <c r="H108">
        <v>1</v>
      </c>
      <c r="I108">
        <v>233</v>
      </c>
      <c r="J108" t="str">
        <f>HYPERLINK("https://climate.onebuilding.org/WMO_Region_6_Europe/AUT_Austria/NO_Lower_Austria/AUT_NO_Voslau.Kottingbrunn.AP.110162_TMYx.2007-2021.zip")</f>
        <v>https://climate.onebuilding.org/WMO_Region_6_Europe/AUT_Austria/NO_Lower_Austria/AUT_NO_Voslau.Kottingbrunn.AP.110162_TMYx.2007-2021.zip</v>
      </c>
    </row>
    <row r="109" spans="1:10" x14ac:dyDescent="0.25">
      <c r="A109" t="s">
        <v>79</v>
      </c>
      <c r="B109" t="s">
        <v>93</v>
      </c>
      <c r="C109" t="s">
        <v>96</v>
      </c>
      <c r="D109">
        <v>110162</v>
      </c>
      <c r="E109" t="s">
        <v>14</v>
      </c>
      <c r="F109">
        <v>47.966999999999999</v>
      </c>
      <c r="G109">
        <v>16.266999999999999</v>
      </c>
      <c r="H109">
        <v>1</v>
      </c>
      <c r="I109">
        <v>233</v>
      </c>
      <c r="J109" t="str">
        <f>HYPERLINK("https://climate.onebuilding.org/WMO_Region_6_Europe/AUT_Austria/NO_Lower_Austria/AUT_NO_Voslau.Kottingbrunn.AP.110162_TMYx.2009-2023.zip")</f>
        <v>https://climate.onebuilding.org/WMO_Region_6_Europe/AUT_Austria/NO_Lower_Austria/AUT_NO_Voslau.Kottingbrunn.AP.110162_TMYx.2009-2023.zip</v>
      </c>
    </row>
    <row r="110" spans="1:10" x14ac:dyDescent="0.25">
      <c r="A110" t="s">
        <v>79</v>
      </c>
      <c r="B110" t="s">
        <v>93</v>
      </c>
      <c r="C110" t="s">
        <v>96</v>
      </c>
      <c r="D110">
        <v>110162</v>
      </c>
      <c r="E110" t="s">
        <v>14</v>
      </c>
      <c r="F110">
        <v>47.966999999999999</v>
      </c>
      <c r="G110">
        <v>16.266999999999999</v>
      </c>
      <c r="H110">
        <v>1</v>
      </c>
      <c r="I110">
        <v>233</v>
      </c>
      <c r="J110" t="str">
        <f>HYPERLINK("https://climate.onebuilding.org/WMO_Region_6_Europe/AUT_Austria/NO_Lower_Austria/AUT_NO_Voslau.Kottingbrunn.AP.110162_TMYx.zip")</f>
        <v>https://climate.onebuilding.org/WMO_Region_6_Europe/AUT_Austria/NO_Lower_Austria/AUT_NO_Voslau.Kottingbrunn.AP.110162_TMYx.zip</v>
      </c>
    </row>
    <row r="111" spans="1:10" x14ac:dyDescent="0.25">
      <c r="A111" t="s">
        <v>79</v>
      </c>
      <c r="B111" t="s">
        <v>93</v>
      </c>
      <c r="C111" t="s">
        <v>98</v>
      </c>
      <c r="D111">
        <v>110180</v>
      </c>
      <c r="E111" t="s">
        <v>99</v>
      </c>
      <c r="F111">
        <v>48.108899999999998</v>
      </c>
      <c r="G111">
        <v>14.895</v>
      </c>
      <c r="H111">
        <v>1</v>
      </c>
      <c r="I111">
        <v>264.39999999999998</v>
      </c>
      <c r="J111" t="str">
        <f>HYPERLINK("https://climate.onebuilding.org/WMO_Region_6_Europe/AUT_Austria/NO_Lower_Austria/AUT_NO_Amstetten.110180_TMYx.2004-2018.zip")</f>
        <v>https://climate.onebuilding.org/WMO_Region_6_Europe/AUT_Austria/NO_Lower_Austria/AUT_NO_Amstetten.110180_TMYx.2004-2018.zip</v>
      </c>
    </row>
    <row r="112" spans="1:10" x14ac:dyDescent="0.25">
      <c r="A112" t="s">
        <v>79</v>
      </c>
      <c r="B112" t="s">
        <v>93</v>
      </c>
      <c r="C112" t="s">
        <v>98</v>
      </c>
      <c r="D112">
        <v>110180</v>
      </c>
      <c r="E112" t="s">
        <v>14</v>
      </c>
      <c r="F112">
        <v>48.108899999999998</v>
      </c>
      <c r="G112">
        <v>14.895</v>
      </c>
      <c r="H112">
        <v>1</v>
      </c>
      <c r="I112">
        <v>264.39999999999998</v>
      </c>
      <c r="J112" t="str">
        <f>HYPERLINK("https://climate.onebuilding.org/WMO_Region_6_Europe/AUT_Austria/NO_Lower_Austria/AUT_NO_Amstetten.110180_TMYx.2007-2021.zip")</f>
        <v>https://climate.onebuilding.org/WMO_Region_6_Europe/AUT_Austria/NO_Lower_Austria/AUT_NO_Amstetten.110180_TMYx.2007-2021.zip</v>
      </c>
    </row>
    <row r="113" spans="1:10" x14ac:dyDescent="0.25">
      <c r="A113" t="s">
        <v>79</v>
      </c>
      <c r="B113" t="s">
        <v>93</v>
      </c>
      <c r="C113" t="s">
        <v>98</v>
      </c>
      <c r="D113">
        <v>110180</v>
      </c>
      <c r="E113" t="s">
        <v>14</v>
      </c>
      <c r="F113">
        <v>48.108899999999998</v>
      </c>
      <c r="G113">
        <v>14.895</v>
      </c>
      <c r="H113">
        <v>1</v>
      </c>
      <c r="I113">
        <v>264.39999999999998</v>
      </c>
      <c r="J113" t="str">
        <f>HYPERLINK("https://climate.onebuilding.org/WMO_Region_6_Europe/AUT_Austria/NO_Lower_Austria/AUT_NO_Amstetten.110180_TMYx.2009-2023.zip")</f>
        <v>https://climate.onebuilding.org/WMO_Region_6_Europe/AUT_Austria/NO_Lower_Austria/AUT_NO_Amstetten.110180_TMYx.2009-2023.zip</v>
      </c>
    </row>
    <row r="114" spans="1:10" x14ac:dyDescent="0.25">
      <c r="A114" t="s">
        <v>79</v>
      </c>
      <c r="B114" t="s">
        <v>93</v>
      </c>
      <c r="C114" t="s">
        <v>98</v>
      </c>
      <c r="D114">
        <v>110180</v>
      </c>
      <c r="E114" t="s">
        <v>14</v>
      </c>
      <c r="F114">
        <v>48.108899999999998</v>
      </c>
      <c r="G114">
        <v>14.895</v>
      </c>
      <c r="H114">
        <v>1</v>
      </c>
      <c r="I114">
        <v>264.39999999999998</v>
      </c>
      <c r="J114" t="str">
        <f>HYPERLINK("https://climate.onebuilding.org/WMO_Region_6_Europe/AUT_Austria/NO_Lower_Austria/AUT_NO_Amstetten.110180_TMYx.zip")</f>
        <v>https://climate.onebuilding.org/WMO_Region_6_Europe/AUT_Austria/NO_Lower_Austria/AUT_NO_Amstetten.110180_TMYx.zip</v>
      </c>
    </row>
    <row r="115" spans="1:10" x14ac:dyDescent="0.25">
      <c r="A115" t="s">
        <v>79</v>
      </c>
      <c r="B115" t="s">
        <v>93</v>
      </c>
      <c r="C115" t="s">
        <v>100</v>
      </c>
      <c r="D115">
        <v>110190</v>
      </c>
      <c r="E115" t="s">
        <v>101</v>
      </c>
      <c r="F115">
        <v>48.690800000000003</v>
      </c>
      <c r="G115">
        <v>15.366899999999999</v>
      </c>
      <c r="H115">
        <v>1</v>
      </c>
      <c r="I115">
        <v>606.79999999999995</v>
      </c>
      <c r="J115" t="str">
        <f>HYPERLINK("https://climate.onebuilding.org/WMO_Region_6_Europe/AUT_Austria/NO_Lower_Austria/AUT_NO_Allentsteig.110190_TMYx.2004-2018.zip")</f>
        <v>https://climate.onebuilding.org/WMO_Region_6_Europe/AUT_Austria/NO_Lower_Austria/AUT_NO_Allentsteig.110190_TMYx.2004-2018.zip</v>
      </c>
    </row>
    <row r="116" spans="1:10" x14ac:dyDescent="0.25">
      <c r="A116" t="s">
        <v>79</v>
      </c>
      <c r="B116" t="s">
        <v>93</v>
      </c>
      <c r="C116" t="s">
        <v>100</v>
      </c>
      <c r="D116">
        <v>110190</v>
      </c>
      <c r="E116" t="s">
        <v>14</v>
      </c>
      <c r="F116">
        <v>48.690800000000003</v>
      </c>
      <c r="G116">
        <v>15.366899999999999</v>
      </c>
      <c r="H116">
        <v>1</v>
      </c>
      <c r="I116">
        <v>606.79999999999995</v>
      </c>
      <c r="J116" t="str">
        <f>HYPERLINK("https://climate.onebuilding.org/WMO_Region_6_Europe/AUT_Austria/NO_Lower_Austria/AUT_NO_Allentsteig.110190_TMYx.2007-2021.zip")</f>
        <v>https://climate.onebuilding.org/WMO_Region_6_Europe/AUT_Austria/NO_Lower_Austria/AUT_NO_Allentsteig.110190_TMYx.2007-2021.zip</v>
      </c>
    </row>
    <row r="117" spans="1:10" x14ac:dyDescent="0.25">
      <c r="A117" t="s">
        <v>79</v>
      </c>
      <c r="B117" t="s">
        <v>93</v>
      </c>
      <c r="C117" t="s">
        <v>100</v>
      </c>
      <c r="D117">
        <v>110190</v>
      </c>
      <c r="E117" t="s">
        <v>14</v>
      </c>
      <c r="F117">
        <v>48.690800000000003</v>
      </c>
      <c r="G117">
        <v>15.366899999999999</v>
      </c>
      <c r="H117">
        <v>1</v>
      </c>
      <c r="I117">
        <v>606.79999999999995</v>
      </c>
      <c r="J117" t="str">
        <f>HYPERLINK("https://climate.onebuilding.org/WMO_Region_6_Europe/AUT_Austria/NO_Lower_Austria/AUT_NO_Allentsteig.110190_TMYx.2009-2023.zip")</f>
        <v>https://climate.onebuilding.org/WMO_Region_6_Europe/AUT_Austria/NO_Lower_Austria/AUT_NO_Allentsteig.110190_TMYx.2009-2023.zip</v>
      </c>
    </row>
    <row r="118" spans="1:10" x14ac:dyDescent="0.25">
      <c r="A118" t="s">
        <v>79</v>
      </c>
      <c r="B118" t="s">
        <v>93</v>
      </c>
      <c r="C118" t="s">
        <v>100</v>
      </c>
      <c r="D118">
        <v>110190</v>
      </c>
      <c r="E118" t="s">
        <v>14</v>
      </c>
      <c r="F118">
        <v>48.690800000000003</v>
      </c>
      <c r="G118">
        <v>15.366899999999999</v>
      </c>
      <c r="H118">
        <v>1</v>
      </c>
      <c r="I118">
        <v>606.79999999999995</v>
      </c>
      <c r="J118" t="str">
        <f>HYPERLINK("https://climate.onebuilding.org/WMO_Region_6_Europe/AUT_Austria/NO_Lower_Austria/AUT_NO_Allentsteig.110190_TMYx.zip")</f>
        <v>https://climate.onebuilding.org/WMO_Region_6_Europe/AUT_Austria/NO_Lower_Austria/AUT_NO_Allentsteig.110190_TMYx.zip</v>
      </c>
    </row>
    <row r="119" spans="1:10" x14ac:dyDescent="0.25">
      <c r="A119" t="s">
        <v>79</v>
      </c>
      <c r="B119" t="s">
        <v>93</v>
      </c>
      <c r="C119" t="s">
        <v>102</v>
      </c>
      <c r="D119">
        <v>110200</v>
      </c>
      <c r="E119" t="s">
        <v>103</v>
      </c>
      <c r="F119">
        <v>48.617800000000003</v>
      </c>
      <c r="G119">
        <v>15.2036</v>
      </c>
      <c r="H119">
        <v>1</v>
      </c>
      <c r="I119">
        <v>505.4</v>
      </c>
      <c r="J119" t="str">
        <f>HYPERLINK("https://climate.onebuilding.org/WMO_Region_6_Europe/AUT_Austria/NO_Lower_Austria/AUT_NO_Stift.Zwettl.110200_TMYx.2004-2018.zip")</f>
        <v>https://climate.onebuilding.org/WMO_Region_6_Europe/AUT_Austria/NO_Lower_Austria/AUT_NO_Stift.Zwettl.110200_TMYx.2004-2018.zip</v>
      </c>
    </row>
    <row r="120" spans="1:10" x14ac:dyDescent="0.25">
      <c r="A120" t="s">
        <v>79</v>
      </c>
      <c r="B120" t="s">
        <v>93</v>
      </c>
      <c r="C120" t="s">
        <v>102</v>
      </c>
      <c r="D120">
        <v>110200</v>
      </c>
      <c r="E120" t="s">
        <v>14</v>
      </c>
      <c r="F120">
        <v>48.617800000000003</v>
      </c>
      <c r="G120">
        <v>15.2036</v>
      </c>
      <c r="H120">
        <v>1</v>
      </c>
      <c r="I120">
        <v>505.4</v>
      </c>
      <c r="J120" t="str">
        <f>HYPERLINK("https://climate.onebuilding.org/WMO_Region_6_Europe/AUT_Austria/NO_Lower_Austria/AUT_NO_Stift.Zwettl.110200_TMYx.2007-2021.zip")</f>
        <v>https://climate.onebuilding.org/WMO_Region_6_Europe/AUT_Austria/NO_Lower_Austria/AUT_NO_Stift.Zwettl.110200_TMYx.2007-2021.zip</v>
      </c>
    </row>
    <row r="121" spans="1:10" x14ac:dyDescent="0.25">
      <c r="A121" t="s">
        <v>79</v>
      </c>
      <c r="B121" t="s">
        <v>93</v>
      </c>
      <c r="C121" t="s">
        <v>102</v>
      </c>
      <c r="D121">
        <v>110200</v>
      </c>
      <c r="E121" t="s">
        <v>14</v>
      </c>
      <c r="F121">
        <v>48.617800000000003</v>
      </c>
      <c r="G121">
        <v>15.2036</v>
      </c>
      <c r="H121">
        <v>1</v>
      </c>
      <c r="I121">
        <v>505.4</v>
      </c>
      <c r="J121" t="str">
        <f>HYPERLINK("https://climate.onebuilding.org/WMO_Region_6_Europe/AUT_Austria/NO_Lower_Austria/AUT_NO_Stift.Zwettl.110200_TMYx.2009-2023.zip")</f>
        <v>https://climate.onebuilding.org/WMO_Region_6_Europe/AUT_Austria/NO_Lower_Austria/AUT_NO_Stift.Zwettl.110200_TMYx.2009-2023.zip</v>
      </c>
    </row>
    <row r="122" spans="1:10" x14ac:dyDescent="0.25">
      <c r="A122" t="s">
        <v>79</v>
      </c>
      <c r="B122" t="s">
        <v>93</v>
      </c>
      <c r="C122" t="s">
        <v>102</v>
      </c>
      <c r="D122">
        <v>110200</v>
      </c>
      <c r="E122" t="s">
        <v>14</v>
      </c>
      <c r="F122">
        <v>48.617800000000003</v>
      </c>
      <c r="G122">
        <v>15.2036</v>
      </c>
      <c r="H122">
        <v>1</v>
      </c>
      <c r="I122">
        <v>505.4</v>
      </c>
      <c r="J122" t="str">
        <f>HYPERLINK("https://climate.onebuilding.org/WMO_Region_6_Europe/AUT_Austria/NO_Lower_Austria/AUT_NO_Stift.Zwettl.110200_TMYx.zip")</f>
        <v>https://climate.onebuilding.org/WMO_Region_6_Europe/AUT_Austria/NO_Lower_Austria/AUT_NO_Stift.Zwettl.110200_TMYx.zip</v>
      </c>
    </row>
    <row r="123" spans="1:10" x14ac:dyDescent="0.25">
      <c r="A123" t="s">
        <v>79</v>
      </c>
      <c r="B123" t="s">
        <v>93</v>
      </c>
      <c r="C123" t="s">
        <v>104</v>
      </c>
      <c r="D123">
        <v>110210</v>
      </c>
      <c r="E123" t="s">
        <v>105</v>
      </c>
      <c r="F123">
        <v>48.954700000000003</v>
      </c>
      <c r="G123">
        <v>15.0383</v>
      </c>
      <c r="H123">
        <v>1</v>
      </c>
      <c r="I123">
        <v>556.70000000000005</v>
      </c>
      <c r="J123" t="str">
        <f>HYPERLINK("https://climate.onebuilding.org/WMO_Region_6_Europe/AUT_Austria/NO_Lower_Austria/AUT_NO_Litschau.110210_TMYx.2004-2018.zip")</f>
        <v>https://climate.onebuilding.org/WMO_Region_6_Europe/AUT_Austria/NO_Lower_Austria/AUT_NO_Litschau.110210_TMYx.2004-2018.zip</v>
      </c>
    </row>
    <row r="124" spans="1:10" x14ac:dyDescent="0.25">
      <c r="A124" t="s">
        <v>79</v>
      </c>
      <c r="B124" t="s">
        <v>93</v>
      </c>
      <c r="C124" t="s">
        <v>104</v>
      </c>
      <c r="D124">
        <v>110210</v>
      </c>
      <c r="E124" t="s">
        <v>14</v>
      </c>
      <c r="F124">
        <v>48.954700000000003</v>
      </c>
      <c r="G124">
        <v>15.0383</v>
      </c>
      <c r="H124">
        <v>1</v>
      </c>
      <c r="I124">
        <v>556.70000000000005</v>
      </c>
      <c r="J124" t="str">
        <f>HYPERLINK("https://climate.onebuilding.org/WMO_Region_6_Europe/AUT_Austria/NO_Lower_Austria/AUT_NO_Litschau.110210_TMYx.2007-2021.zip")</f>
        <v>https://climate.onebuilding.org/WMO_Region_6_Europe/AUT_Austria/NO_Lower_Austria/AUT_NO_Litschau.110210_TMYx.2007-2021.zip</v>
      </c>
    </row>
    <row r="125" spans="1:10" x14ac:dyDescent="0.25">
      <c r="A125" t="s">
        <v>79</v>
      </c>
      <c r="B125" t="s">
        <v>93</v>
      </c>
      <c r="C125" t="s">
        <v>104</v>
      </c>
      <c r="D125">
        <v>110210</v>
      </c>
      <c r="E125" t="s">
        <v>14</v>
      </c>
      <c r="F125">
        <v>48.954700000000003</v>
      </c>
      <c r="G125">
        <v>15.0383</v>
      </c>
      <c r="H125">
        <v>1</v>
      </c>
      <c r="I125">
        <v>556.70000000000005</v>
      </c>
      <c r="J125" t="str">
        <f>HYPERLINK("https://climate.onebuilding.org/WMO_Region_6_Europe/AUT_Austria/NO_Lower_Austria/AUT_NO_Litschau.110210_TMYx.2009-2023.zip")</f>
        <v>https://climate.onebuilding.org/WMO_Region_6_Europe/AUT_Austria/NO_Lower_Austria/AUT_NO_Litschau.110210_TMYx.2009-2023.zip</v>
      </c>
    </row>
    <row r="126" spans="1:10" x14ac:dyDescent="0.25">
      <c r="A126" t="s">
        <v>79</v>
      </c>
      <c r="B126" t="s">
        <v>93</v>
      </c>
      <c r="C126" t="s">
        <v>104</v>
      </c>
      <c r="D126">
        <v>110210</v>
      </c>
      <c r="E126" t="s">
        <v>14</v>
      </c>
      <c r="F126">
        <v>48.954700000000003</v>
      </c>
      <c r="G126">
        <v>15.0383</v>
      </c>
      <c r="H126">
        <v>1</v>
      </c>
      <c r="I126">
        <v>556.70000000000005</v>
      </c>
      <c r="J126" t="str">
        <f>HYPERLINK("https://climate.onebuilding.org/WMO_Region_6_Europe/AUT_Austria/NO_Lower_Austria/AUT_NO_Litschau.110210_TMYx.zip")</f>
        <v>https://climate.onebuilding.org/WMO_Region_6_Europe/AUT_Austria/NO_Lower_Austria/AUT_NO_Litschau.110210_TMYx.zip</v>
      </c>
    </row>
    <row r="127" spans="1:10" x14ac:dyDescent="0.25">
      <c r="A127" t="s">
        <v>79</v>
      </c>
      <c r="B127" t="s">
        <v>93</v>
      </c>
      <c r="C127" t="s">
        <v>106</v>
      </c>
      <c r="D127">
        <v>110220</v>
      </c>
      <c r="E127" t="s">
        <v>107</v>
      </c>
      <c r="F127">
        <v>48.761099999999999</v>
      </c>
      <c r="G127">
        <v>15.941700000000001</v>
      </c>
      <c r="H127">
        <v>1</v>
      </c>
      <c r="I127">
        <v>320</v>
      </c>
      <c r="J127" t="str">
        <f>HYPERLINK("https://climate.onebuilding.org/WMO_Region_6_Europe/AUT_Austria/NO_Lower_Austria/AUT_NO_Retz.110220_TMYx.2004-2018.zip")</f>
        <v>https://climate.onebuilding.org/WMO_Region_6_Europe/AUT_Austria/NO_Lower_Austria/AUT_NO_Retz.110220_TMYx.2004-2018.zip</v>
      </c>
    </row>
    <row r="128" spans="1:10" x14ac:dyDescent="0.25">
      <c r="A128" t="s">
        <v>79</v>
      </c>
      <c r="B128" t="s">
        <v>93</v>
      </c>
      <c r="C128" t="s">
        <v>106</v>
      </c>
      <c r="D128">
        <v>110220</v>
      </c>
      <c r="E128" t="s">
        <v>14</v>
      </c>
      <c r="F128">
        <v>48.761099999999999</v>
      </c>
      <c r="G128">
        <v>15.941700000000001</v>
      </c>
      <c r="H128">
        <v>1</v>
      </c>
      <c r="I128">
        <v>320</v>
      </c>
      <c r="J128" t="str">
        <f>HYPERLINK("https://climate.onebuilding.org/WMO_Region_6_Europe/AUT_Austria/NO_Lower_Austria/AUT_NO_Retz.110220_TMYx.2007-2021.zip")</f>
        <v>https://climate.onebuilding.org/WMO_Region_6_Europe/AUT_Austria/NO_Lower_Austria/AUT_NO_Retz.110220_TMYx.2007-2021.zip</v>
      </c>
    </row>
    <row r="129" spans="1:10" x14ac:dyDescent="0.25">
      <c r="A129" t="s">
        <v>79</v>
      </c>
      <c r="B129" t="s">
        <v>93</v>
      </c>
      <c r="C129" t="s">
        <v>106</v>
      </c>
      <c r="D129">
        <v>110220</v>
      </c>
      <c r="E129" t="s">
        <v>14</v>
      </c>
      <c r="F129">
        <v>48.761099999999999</v>
      </c>
      <c r="G129">
        <v>15.941700000000001</v>
      </c>
      <c r="H129">
        <v>1</v>
      </c>
      <c r="I129">
        <v>320</v>
      </c>
      <c r="J129" t="str">
        <f>HYPERLINK("https://climate.onebuilding.org/WMO_Region_6_Europe/AUT_Austria/NO_Lower_Austria/AUT_NO_Retz.110220_TMYx.2009-2023.zip")</f>
        <v>https://climate.onebuilding.org/WMO_Region_6_Europe/AUT_Austria/NO_Lower_Austria/AUT_NO_Retz.110220_TMYx.2009-2023.zip</v>
      </c>
    </row>
    <row r="130" spans="1:10" x14ac:dyDescent="0.25">
      <c r="A130" t="s">
        <v>79</v>
      </c>
      <c r="B130" t="s">
        <v>93</v>
      </c>
      <c r="C130" t="s">
        <v>106</v>
      </c>
      <c r="D130">
        <v>110220</v>
      </c>
      <c r="E130" t="s">
        <v>14</v>
      </c>
      <c r="F130">
        <v>48.761099999999999</v>
      </c>
      <c r="G130">
        <v>15.941700000000001</v>
      </c>
      <c r="H130">
        <v>1</v>
      </c>
      <c r="I130">
        <v>320</v>
      </c>
      <c r="J130" t="str">
        <f>HYPERLINK("https://climate.onebuilding.org/WMO_Region_6_Europe/AUT_Austria/NO_Lower_Austria/AUT_NO_Retz.110220_TMYx.zip")</f>
        <v>https://climate.onebuilding.org/WMO_Region_6_Europe/AUT_Austria/NO_Lower_Austria/AUT_NO_Retz.110220_TMYx.zip</v>
      </c>
    </row>
    <row r="131" spans="1:10" x14ac:dyDescent="0.25">
      <c r="A131" t="s">
        <v>79</v>
      </c>
      <c r="B131" t="s">
        <v>93</v>
      </c>
      <c r="C131" t="s">
        <v>108</v>
      </c>
      <c r="D131">
        <v>110240</v>
      </c>
      <c r="E131" t="s">
        <v>109</v>
      </c>
      <c r="F131">
        <v>48.334400000000002</v>
      </c>
      <c r="G131">
        <v>15.3392</v>
      </c>
      <c r="H131">
        <v>1</v>
      </c>
      <c r="I131">
        <v>960.5</v>
      </c>
      <c r="J131" t="str">
        <f>HYPERLINK("https://climate.onebuilding.org/WMO_Region_6_Europe/AUT_Austria/NO_Lower_Austria/AUT_NO_Jauerling.110240_TMYx.2004-2018.zip")</f>
        <v>https://climate.onebuilding.org/WMO_Region_6_Europe/AUT_Austria/NO_Lower_Austria/AUT_NO_Jauerling.110240_TMYx.2004-2018.zip</v>
      </c>
    </row>
    <row r="132" spans="1:10" x14ac:dyDescent="0.25">
      <c r="A132" t="s">
        <v>79</v>
      </c>
      <c r="B132" t="s">
        <v>93</v>
      </c>
      <c r="C132" t="s">
        <v>108</v>
      </c>
      <c r="D132">
        <v>110240</v>
      </c>
      <c r="E132" t="s">
        <v>14</v>
      </c>
      <c r="F132">
        <v>48.334400000000002</v>
      </c>
      <c r="G132">
        <v>15.3392</v>
      </c>
      <c r="H132">
        <v>1</v>
      </c>
      <c r="I132">
        <v>960.5</v>
      </c>
      <c r="J132" t="str">
        <f>HYPERLINK("https://climate.onebuilding.org/WMO_Region_6_Europe/AUT_Austria/NO_Lower_Austria/AUT_NO_Jauerling.110240_TMYx.2007-2021.zip")</f>
        <v>https://climate.onebuilding.org/WMO_Region_6_Europe/AUT_Austria/NO_Lower_Austria/AUT_NO_Jauerling.110240_TMYx.2007-2021.zip</v>
      </c>
    </row>
    <row r="133" spans="1:10" x14ac:dyDescent="0.25">
      <c r="A133" t="s">
        <v>79</v>
      </c>
      <c r="B133" t="s">
        <v>93</v>
      </c>
      <c r="C133" t="s">
        <v>108</v>
      </c>
      <c r="D133">
        <v>110240</v>
      </c>
      <c r="E133" t="s">
        <v>14</v>
      </c>
      <c r="F133">
        <v>48.334400000000002</v>
      </c>
      <c r="G133">
        <v>15.3392</v>
      </c>
      <c r="H133">
        <v>1</v>
      </c>
      <c r="I133">
        <v>960.5</v>
      </c>
      <c r="J133" t="str">
        <f>HYPERLINK("https://climate.onebuilding.org/WMO_Region_6_Europe/AUT_Austria/NO_Lower_Austria/AUT_NO_Jauerling.110240_TMYx.2009-2023.zip")</f>
        <v>https://climate.onebuilding.org/WMO_Region_6_Europe/AUT_Austria/NO_Lower_Austria/AUT_NO_Jauerling.110240_TMYx.2009-2023.zip</v>
      </c>
    </row>
    <row r="134" spans="1:10" x14ac:dyDescent="0.25">
      <c r="A134" t="s">
        <v>79</v>
      </c>
      <c r="B134" t="s">
        <v>93</v>
      </c>
      <c r="C134" t="s">
        <v>108</v>
      </c>
      <c r="D134">
        <v>110240</v>
      </c>
      <c r="E134" t="s">
        <v>14</v>
      </c>
      <c r="F134">
        <v>48.334400000000002</v>
      </c>
      <c r="G134">
        <v>15.3392</v>
      </c>
      <c r="H134">
        <v>1</v>
      </c>
      <c r="I134">
        <v>960.5</v>
      </c>
      <c r="J134" t="str">
        <f>HYPERLINK("https://climate.onebuilding.org/WMO_Region_6_Europe/AUT_Austria/NO_Lower_Austria/AUT_NO_Jauerling.110240_TMYx.zip")</f>
        <v>https://climate.onebuilding.org/WMO_Region_6_Europe/AUT_Austria/NO_Lower_Austria/AUT_NO_Jauerling.110240_TMYx.zip</v>
      </c>
    </row>
    <row r="135" spans="1:10" x14ac:dyDescent="0.25">
      <c r="A135" t="s">
        <v>79</v>
      </c>
      <c r="B135" t="s">
        <v>93</v>
      </c>
      <c r="C135" t="s">
        <v>110</v>
      </c>
      <c r="D135">
        <v>110250</v>
      </c>
      <c r="E135" t="s">
        <v>14</v>
      </c>
      <c r="F135">
        <v>48.702199999999998</v>
      </c>
      <c r="G135">
        <v>14.8986</v>
      </c>
      <c r="H135">
        <v>1</v>
      </c>
      <c r="I135">
        <v>569.9</v>
      </c>
      <c r="J135" t="str">
        <f>HYPERLINK("https://climate.onebuilding.org/WMO_Region_6_Europe/AUT_Austria/NO_Lower_Austria/AUT_NO_Weitra.110250_TMYx.2007-2021.zip")</f>
        <v>https://climate.onebuilding.org/WMO_Region_6_Europe/AUT_Austria/NO_Lower_Austria/AUT_NO_Weitra.110250_TMYx.2007-2021.zip</v>
      </c>
    </row>
    <row r="136" spans="1:10" x14ac:dyDescent="0.25">
      <c r="A136" t="s">
        <v>79</v>
      </c>
      <c r="B136" t="s">
        <v>93</v>
      </c>
      <c r="C136" t="s">
        <v>110</v>
      </c>
      <c r="D136">
        <v>110250</v>
      </c>
      <c r="E136" t="s">
        <v>14</v>
      </c>
      <c r="F136">
        <v>48.702199999999998</v>
      </c>
      <c r="G136">
        <v>14.8986</v>
      </c>
      <c r="H136">
        <v>1</v>
      </c>
      <c r="I136">
        <v>569.9</v>
      </c>
      <c r="J136" t="str">
        <f>HYPERLINK("https://climate.onebuilding.org/WMO_Region_6_Europe/AUT_Austria/NO_Lower_Austria/AUT_NO_Weitra.110250_TMYx.2009-2023.zip")</f>
        <v>https://climate.onebuilding.org/WMO_Region_6_Europe/AUT_Austria/NO_Lower_Austria/AUT_NO_Weitra.110250_TMYx.2009-2023.zip</v>
      </c>
    </row>
    <row r="137" spans="1:10" x14ac:dyDescent="0.25">
      <c r="A137" t="s">
        <v>79</v>
      </c>
      <c r="B137" t="s">
        <v>93</v>
      </c>
      <c r="C137" t="s">
        <v>110</v>
      </c>
      <c r="D137">
        <v>110250</v>
      </c>
      <c r="E137" t="s">
        <v>14</v>
      </c>
      <c r="F137">
        <v>48.702199999999998</v>
      </c>
      <c r="G137">
        <v>14.8986</v>
      </c>
      <c r="H137">
        <v>1</v>
      </c>
      <c r="I137">
        <v>569.9</v>
      </c>
      <c r="J137" t="str">
        <f>HYPERLINK("https://climate.onebuilding.org/WMO_Region_6_Europe/AUT_Austria/NO_Lower_Austria/AUT_NO_Weitra.110250_TMYx.zip")</f>
        <v>https://climate.onebuilding.org/WMO_Region_6_Europe/AUT_Austria/NO_Lower_Austria/AUT_NO_Weitra.110250_TMYx.zip</v>
      </c>
    </row>
    <row r="138" spans="1:10" x14ac:dyDescent="0.25">
      <c r="A138" t="s">
        <v>79</v>
      </c>
      <c r="B138" t="s">
        <v>93</v>
      </c>
      <c r="C138" t="s">
        <v>111</v>
      </c>
      <c r="D138">
        <v>110270</v>
      </c>
      <c r="E138" t="s">
        <v>14</v>
      </c>
      <c r="F138">
        <v>48.396900000000002</v>
      </c>
      <c r="G138">
        <v>16.192499999999999</v>
      </c>
      <c r="H138">
        <v>1</v>
      </c>
      <c r="I138">
        <v>205.1</v>
      </c>
      <c r="J138" t="str">
        <f>HYPERLINK("https://climate.onebuilding.org/WMO_Region_6_Europe/AUT_Austria/NO_Lower_Austria/AUT_NO_Stockerau.110270_TMYx.2007-2021.zip")</f>
        <v>https://climate.onebuilding.org/WMO_Region_6_Europe/AUT_Austria/NO_Lower_Austria/AUT_NO_Stockerau.110270_TMYx.2007-2021.zip</v>
      </c>
    </row>
    <row r="139" spans="1:10" x14ac:dyDescent="0.25">
      <c r="A139" t="s">
        <v>79</v>
      </c>
      <c r="B139" t="s">
        <v>93</v>
      </c>
      <c r="C139" t="s">
        <v>111</v>
      </c>
      <c r="D139">
        <v>110270</v>
      </c>
      <c r="E139" t="s">
        <v>14</v>
      </c>
      <c r="F139">
        <v>48.396900000000002</v>
      </c>
      <c r="G139">
        <v>16.192499999999999</v>
      </c>
      <c r="H139">
        <v>1</v>
      </c>
      <c r="I139">
        <v>205.1</v>
      </c>
      <c r="J139" t="str">
        <f>HYPERLINK("https://climate.onebuilding.org/WMO_Region_6_Europe/AUT_Austria/NO_Lower_Austria/AUT_NO_Stockerau.110270_TMYx.2009-2023.zip")</f>
        <v>https://climate.onebuilding.org/WMO_Region_6_Europe/AUT_Austria/NO_Lower_Austria/AUT_NO_Stockerau.110270_TMYx.2009-2023.zip</v>
      </c>
    </row>
    <row r="140" spans="1:10" x14ac:dyDescent="0.25">
      <c r="A140" t="s">
        <v>79</v>
      </c>
      <c r="B140" t="s">
        <v>93</v>
      </c>
      <c r="C140" t="s">
        <v>111</v>
      </c>
      <c r="D140">
        <v>110270</v>
      </c>
      <c r="E140" t="s">
        <v>14</v>
      </c>
      <c r="F140">
        <v>48.396900000000002</v>
      </c>
      <c r="G140">
        <v>16.192499999999999</v>
      </c>
      <c r="H140">
        <v>1</v>
      </c>
      <c r="I140">
        <v>205.1</v>
      </c>
      <c r="J140" t="str">
        <f>HYPERLINK("https://climate.onebuilding.org/WMO_Region_6_Europe/AUT_Austria/NO_Lower_Austria/AUT_NO_Stockerau.110270_TMYx.zip")</f>
        <v>https://climate.onebuilding.org/WMO_Region_6_Europe/AUT_Austria/NO_Lower_Austria/AUT_NO_Stockerau.110270_TMYx.zip</v>
      </c>
    </row>
    <row r="141" spans="1:10" x14ac:dyDescent="0.25">
      <c r="A141" t="s">
        <v>79</v>
      </c>
      <c r="B141" t="s">
        <v>93</v>
      </c>
      <c r="C141" t="s">
        <v>112</v>
      </c>
      <c r="D141">
        <v>110300</v>
      </c>
      <c r="E141" t="s">
        <v>113</v>
      </c>
      <c r="F141">
        <v>48.323900000000002</v>
      </c>
      <c r="G141">
        <v>16.118099999999998</v>
      </c>
      <c r="H141">
        <v>1</v>
      </c>
      <c r="I141">
        <v>176.8</v>
      </c>
      <c r="J141" t="str">
        <f>HYPERLINK("https://climate.onebuilding.org/WMO_Region_6_Europe/AUT_Austria/NO_Lower_Austria/AUT_NO_Tulln-Langenlebarn.AB.110300_TMYx.2004-2018.zip")</f>
        <v>https://climate.onebuilding.org/WMO_Region_6_Europe/AUT_Austria/NO_Lower_Austria/AUT_NO_Tulln-Langenlebarn.AB.110300_TMYx.2004-2018.zip</v>
      </c>
    </row>
    <row r="142" spans="1:10" x14ac:dyDescent="0.25">
      <c r="A142" t="s">
        <v>79</v>
      </c>
      <c r="B142" t="s">
        <v>93</v>
      </c>
      <c r="C142" t="s">
        <v>112</v>
      </c>
      <c r="D142">
        <v>110300</v>
      </c>
      <c r="E142" t="s">
        <v>14</v>
      </c>
      <c r="F142">
        <v>48.323900000000002</v>
      </c>
      <c r="G142">
        <v>16.118099999999998</v>
      </c>
      <c r="H142">
        <v>1</v>
      </c>
      <c r="I142">
        <v>176.8</v>
      </c>
      <c r="J142" t="str">
        <f>HYPERLINK("https://climate.onebuilding.org/WMO_Region_6_Europe/AUT_Austria/NO_Lower_Austria/AUT_NO_Tulln-Langenlebarn.AB.110300_TMYx.2007-2021.zip")</f>
        <v>https://climate.onebuilding.org/WMO_Region_6_Europe/AUT_Austria/NO_Lower_Austria/AUT_NO_Tulln-Langenlebarn.AB.110300_TMYx.2007-2021.zip</v>
      </c>
    </row>
    <row r="143" spans="1:10" x14ac:dyDescent="0.25">
      <c r="A143" t="s">
        <v>79</v>
      </c>
      <c r="B143" t="s">
        <v>93</v>
      </c>
      <c r="C143" t="s">
        <v>112</v>
      </c>
      <c r="D143">
        <v>110300</v>
      </c>
      <c r="E143" t="s">
        <v>14</v>
      </c>
      <c r="F143">
        <v>48.323900000000002</v>
      </c>
      <c r="G143">
        <v>16.118099999999998</v>
      </c>
      <c r="H143">
        <v>1</v>
      </c>
      <c r="I143">
        <v>176.8</v>
      </c>
      <c r="J143" t="str">
        <f>HYPERLINK("https://climate.onebuilding.org/WMO_Region_6_Europe/AUT_Austria/NO_Lower_Austria/AUT_NO_Tulln-Langenlebarn.AB.110300_TMYx.2009-2023.zip")</f>
        <v>https://climate.onebuilding.org/WMO_Region_6_Europe/AUT_Austria/NO_Lower_Austria/AUT_NO_Tulln-Langenlebarn.AB.110300_TMYx.2009-2023.zip</v>
      </c>
    </row>
    <row r="144" spans="1:10" x14ac:dyDescent="0.25">
      <c r="A144" t="s">
        <v>79</v>
      </c>
      <c r="B144" t="s">
        <v>93</v>
      </c>
      <c r="C144" t="s">
        <v>112</v>
      </c>
      <c r="D144">
        <v>110300</v>
      </c>
      <c r="E144" t="s">
        <v>14</v>
      </c>
      <c r="F144">
        <v>48.323900000000002</v>
      </c>
      <c r="G144">
        <v>16.118099999999998</v>
      </c>
      <c r="H144">
        <v>1</v>
      </c>
      <c r="I144">
        <v>176.8</v>
      </c>
      <c r="J144" t="str">
        <f>HYPERLINK("https://climate.onebuilding.org/WMO_Region_6_Europe/AUT_Austria/NO_Lower_Austria/AUT_NO_Tulln-Langenlebarn.AB.110300_TMYx.zip")</f>
        <v>https://climate.onebuilding.org/WMO_Region_6_Europe/AUT_Austria/NO_Lower_Austria/AUT_NO_Tulln-Langenlebarn.AB.110300_TMYx.zip</v>
      </c>
    </row>
    <row r="145" spans="1:10" x14ac:dyDescent="0.25">
      <c r="A145" t="s">
        <v>79</v>
      </c>
      <c r="B145" t="s">
        <v>93</v>
      </c>
      <c r="C145" t="s">
        <v>114</v>
      </c>
      <c r="D145">
        <v>110320</v>
      </c>
      <c r="E145" t="s">
        <v>115</v>
      </c>
      <c r="F145">
        <v>48.669199999999996</v>
      </c>
      <c r="G145">
        <v>16.637499999999999</v>
      </c>
      <c r="H145">
        <v>1</v>
      </c>
      <c r="I145">
        <v>206</v>
      </c>
      <c r="J145" t="str">
        <f>HYPERLINK("https://climate.onebuilding.org/WMO_Region_6_Europe/AUT_Austria/NO_Lower_Austria/AUT_NO_Poysdorf.110320_TMYx.2004-2018.zip")</f>
        <v>https://climate.onebuilding.org/WMO_Region_6_Europe/AUT_Austria/NO_Lower_Austria/AUT_NO_Poysdorf.110320_TMYx.2004-2018.zip</v>
      </c>
    </row>
    <row r="146" spans="1:10" x14ac:dyDescent="0.25">
      <c r="A146" t="s">
        <v>79</v>
      </c>
      <c r="B146" t="s">
        <v>93</v>
      </c>
      <c r="C146" t="s">
        <v>114</v>
      </c>
      <c r="D146">
        <v>110320</v>
      </c>
      <c r="E146" t="s">
        <v>14</v>
      </c>
      <c r="F146">
        <v>48.669199999999996</v>
      </c>
      <c r="G146">
        <v>16.637499999999999</v>
      </c>
      <c r="H146">
        <v>1</v>
      </c>
      <c r="I146">
        <v>206</v>
      </c>
      <c r="J146" t="str">
        <f>HYPERLINK("https://climate.onebuilding.org/WMO_Region_6_Europe/AUT_Austria/NO_Lower_Austria/AUT_NO_Poysdorf.110320_TMYx.2007-2021.zip")</f>
        <v>https://climate.onebuilding.org/WMO_Region_6_Europe/AUT_Austria/NO_Lower_Austria/AUT_NO_Poysdorf.110320_TMYx.2007-2021.zip</v>
      </c>
    </row>
    <row r="147" spans="1:10" x14ac:dyDescent="0.25">
      <c r="A147" t="s">
        <v>79</v>
      </c>
      <c r="B147" t="s">
        <v>93</v>
      </c>
      <c r="C147" t="s">
        <v>114</v>
      </c>
      <c r="D147">
        <v>110320</v>
      </c>
      <c r="E147" t="s">
        <v>14</v>
      </c>
      <c r="F147">
        <v>48.669199999999996</v>
      </c>
      <c r="G147">
        <v>16.637499999999999</v>
      </c>
      <c r="H147">
        <v>1</v>
      </c>
      <c r="I147">
        <v>206</v>
      </c>
      <c r="J147" t="str">
        <f>HYPERLINK("https://climate.onebuilding.org/WMO_Region_6_Europe/AUT_Austria/NO_Lower_Austria/AUT_NO_Poysdorf.110320_TMYx.2009-2023.zip")</f>
        <v>https://climate.onebuilding.org/WMO_Region_6_Europe/AUT_Austria/NO_Lower_Austria/AUT_NO_Poysdorf.110320_TMYx.2009-2023.zip</v>
      </c>
    </row>
    <row r="148" spans="1:10" x14ac:dyDescent="0.25">
      <c r="A148" t="s">
        <v>79</v>
      </c>
      <c r="B148" t="s">
        <v>93</v>
      </c>
      <c r="C148" t="s">
        <v>114</v>
      </c>
      <c r="D148">
        <v>110320</v>
      </c>
      <c r="E148" t="s">
        <v>14</v>
      </c>
      <c r="F148">
        <v>48.669199999999996</v>
      </c>
      <c r="G148">
        <v>16.637499999999999</v>
      </c>
      <c r="H148">
        <v>1</v>
      </c>
      <c r="I148">
        <v>206</v>
      </c>
      <c r="J148" t="str">
        <f>HYPERLINK("https://climate.onebuilding.org/WMO_Region_6_Europe/AUT_Austria/NO_Lower_Austria/AUT_NO_Poysdorf.110320_TMYx.zip")</f>
        <v>https://climate.onebuilding.org/WMO_Region_6_Europe/AUT_Austria/NO_Lower_Austria/AUT_NO_Poysdorf.110320_TMYx.zip</v>
      </c>
    </row>
    <row r="149" spans="1:10" x14ac:dyDescent="0.25">
      <c r="A149" t="s">
        <v>79</v>
      </c>
      <c r="B149" t="s">
        <v>116</v>
      </c>
      <c r="C149" t="s">
        <v>117</v>
      </c>
      <c r="D149">
        <v>110340</v>
      </c>
      <c r="E149" t="s">
        <v>118</v>
      </c>
      <c r="F149">
        <v>48.198300000000003</v>
      </c>
      <c r="G149">
        <v>16.366900000000001</v>
      </c>
      <c r="H149">
        <v>1</v>
      </c>
      <c r="I149">
        <v>177.3</v>
      </c>
      <c r="J149" t="str">
        <f>HYPERLINK("https://climate.onebuilding.org/WMO_Region_6_Europe/AUT_Austria/WI_Vienna/AUT_WI_Wien-Innere.Stadt.110340_TMYx.2004-2018.zip")</f>
        <v>https://climate.onebuilding.org/WMO_Region_6_Europe/AUT_Austria/WI_Vienna/AUT_WI_Wien-Innere.Stadt.110340_TMYx.2004-2018.zip</v>
      </c>
    </row>
    <row r="150" spans="1:10" x14ac:dyDescent="0.25">
      <c r="A150" t="s">
        <v>79</v>
      </c>
      <c r="B150" t="s">
        <v>116</v>
      </c>
      <c r="C150" t="s">
        <v>117</v>
      </c>
      <c r="D150">
        <v>110340</v>
      </c>
      <c r="E150" t="s">
        <v>14</v>
      </c>
      <c r="F150">
        <v>48.198300000000003</v>
      </c>
      <c r="G150">
        <v>16.366900000000001</v>
      </c>
      <c r="H150">
        <v>1</v>
      </c>
      <c r="I150">
        <v>177.3</v>
      </c>
      <c r="J150" t="str">
        <f>HYPERLINK("https://climate.onebuilding.org/WMO_Region_6_Europe/AUT_Austria/WI_Vienna/AUT_WI_Wien-Innere.Stadt.110340_TMYx.2007-2021.zip")</f>
        <v>https://climate.onebuilding.org/WMO_Region_6_Europe/AUT_Austria/WI_Vienna/AUT_WI_Wien-Innere.Stadt.110340_TMYx.2007-2021.zip</v>
      </c>
    </row>
    <row r="151" spans="1:10" x14ac:dyDescent="0.25">
      <c r="A151" t="s">
        <v>79</v>
      </c>
      <c r="B151" t="s">
        <v>116</v>
      </c>
      <c r="C151" t="s">
        <v>117</v>
      </c>
      <c r="D151">
        <v>110340</v>
      </c>
      <c r="E151" t="s">
        <v>14</v>
      </c>
      <c r="F151">
        <v>48.198300000000003</v>
      </c>
      <c r="G151">
        <v>16.366900000000001</v>
      </c>
      <c r="H151">
        <v>1</v>
      </c>
      <c r="I151">
        <v>177.3</v>
      </c>
      <c r="J151" t="str">
        <f>HYPERLINK("https://climate.onebuilding.org/WMO_Region_6_Europe/AUT_Austria/WI_Vienna/AUT_WI_Wien-Innere.Stadt.110340_TMYx.2009-2023.zip")</f>
        <v>https://climate.onebuilding.org/WMO_Region_6_Europe/AUT_Austria/WI_Vienna/AUT_WI_Wien-Innere.Stadt.110340_TMYx.2009-2023.zip</v>
      </c>
    </row>
    <row r="152" spans="1:10" x14ac:dyDescent="0.25">
      <c r="A152" t="s">
        <v>79</v>
      </c>
      <c r="B152" t="s">
        <v>116</v>
      </c>
      <c r="C152" t="s">
        <v>117</v>
      </c>
      <c r="D152">
        <v>110340</v>
      </c>
      <c r="E152" t="s">
        <v>14</v>
      </c>
      <c r="F152">
        <v>48.198300000000003</v>
      </c>
      <c r="G152">
        <v>16.366900000000001</v>
      </c>
      <c r="H152">
        <v>1</v>
      </c>
      <c r="I152">
        <v>177.3</v>
      </c>
      <c r="J152" t="str">
        <f>HYPERLINK("https://climate.onebuilding.org/WMO_Region_6_Europe/AUT_Austria/WI_Vienna/AUT_WI_Wien-Innere.Stadt.110340_TMYx.zip")</f>
        <v>https://climate.onebuilding.org/WMO_Region_6_Europe/AUT_Austria/WI_Vienna/AUT_WI_Wien-Innere.Stadt.110340_TMYx.zip</v>
      </c>
    </row>
    <row r="153" spans="1:10" x14ac:dyDescent="0.25">
      <c r="A153" t="s">
        <v>79</v>
      </c>
      <c r="B153" t="s">
        <v>116</v>
      </c>
      <c r="C153" t="s">
        <v>119</v>
      </c>
      <c r="D153">
        <v>110350</v>
      </c>
      <c r="E153" t="s">
        <v>120</v>
      </c>
      <c r="F153">
        <v>48.248600000000003</v>
      </c>
      <c r="G153">
        <v>16.356400000000001</v>
      </c>
      <c r="H153">
        <v>1</v>
      </c>
      <c r="I153">
        <v>209</v>
      </c>
      <c r="J153" t="str">
        <f>HYPERLINK("https://climate.onebuilding.org/WMO_Region_6_Europe/AUT_Austria/WI_Vienna/AUT_WI_Wien-Hohe.Warte.110350_TMYx.2004-2018.zip")</f>
        <v>https://climate.onebuilding.org/WMO_Region_6_Europe/AUT_Austria/WI_Vienna/AUT_WI_Wien-Hohe.Warte.110350_TMYx.2004-2018.zip</v>
      </c>
    </row>
    <row r="154" spans="1:10" x14ac:dyDescent="0.25">
      <c r="A154" t="s">
        <v>79</v>
      </c>
      <c r="B154" t="s">
        <v>116</v>
      </c>
      <c r="C154" t="s">
        <v>119</v>
      </c>
      <c r="D154">
        <v>110350</v>
      </c>
      <c r="E154" t="s">
        <v>14</v>
      </c>
      <c r="F154">
        <v>48.248600000000003</v>
      </c>
      <c r="G154">
        <v>16.356400000000001</v>
      </c>
      <c r="H154">
        <v>1</v>
      </c>
      <c r="I154">
        <v>209</v>
      </c>
      <c r="J154" t="str">
        <f>HYPERLINK("https://climate.onebuilding.org/WMO_Region_6_Europe/AUT_Austria/WI_Vienna/AUT_WI_Wien-Hohe.Warte.110350_TMYx.2007-2021.zip")</f>
        <v>https://climate.onebuilding.org/WMO_Region_6_Europe/AUT_Austria/WI_Vienna/AUT_WI_Wien-Hohe.Warte.110350_TMYx.2007-2021.zip</v>
      </c>
    </row>
    <row r="155" spans="1:10" x14ac:dyDescent="0.25">
      <c r="A155" t="s">
        <v>79</v>
      </c>
      <c r="B155" t="s">
        <v>116</v>
      </c>
      <c r="C155" t="s">
        <v>119</v>
      </c>
      <c r="D155">
        <v>110350</v>
      </c>
      <c r="E155" t="s">
        <v>14</v>
      </c>
      <c r="F155">
        <v>48.248600000000003</v>
      </c>
      <c r="G155">
        <v>16.356400000000001</v>
      </c>
      <c r="H155">
        <v>1</v>
      </c>
      <c r="I155">
        <v>209</v>
      </c>
      <c r="J155" t="str">
        <f>HYPERLINK("https://climate.onebuilding.org/WMO_Region_6_Europe/AUT_Austria/WI_Vienna/AUT_WI_Wien-Hohe.Warte.110350_TMYx.2009-2023.zip")</f>
        <v>https://climate.onebuilding.org/WMO_Region_6_Europe/AUT_Austria/WI_Vienna/AUT_WI_Wien-Hohe.Warte.110350_TMYx.2009-2023.zip</v>
      </c>
    </row>
    <row r="156" spans="1:10" x14ac:dyDescent="0.25">
      <c r="A156" t="s">
        <v>79</v>
      </c>
      <c r="B156" t="s">
        <v>116</v>
      </c>
      <c r="C156" t="s">
        <v>119</v>
      </c>
      <c r="D156">
        <v>110350</v>
      </c>
      <c r="E156" t="s">
        <v>14</v>
      </c>
      <c r="F156">
        <v>48.248600000000003</v>
      </c>
      <c r="G156">
        <v>16.356400000000001</v>
      </c>
      <c r="H156">
        <v>1</v>
      </c>
      <c r="I156">
        <v>209</v>
      </c>
      <c r="J156" t="str">
        <f>HYPERLINK("https://climate.onebuilding.org/WMO_Region_6_Europe/AUT_Austria/WI_Vienna/AUT_WI_Wien-Hohe.Warte.110350_TMYx.zip")</f>
        <v>https://climate.onebuilding.org/WMO_Region_6_Europe/AUT_Austria/WI_Vienna/AUT_WI_Wien-Hohe.Warte.110350_TMYx.zip</v>
      </c>
    </row>
    <row r="157" spans="1:10" x14ac:dyDescent="0.25">
      <c r="A157" t="s">
        <v>79</v>
      </c>
      <c r="B157" t="s">
        <v>93</v>
      </c>
      <c r="C157" t="s">
        <v>121</v>
      </c>
      <c r="D157">
        <v>110360</v>
      </c>
      <c r="E157" t="s">
        <v>122</v>
      </c>
      <c r="F157">
        <v>48.1175</v>
      </c>
      <c r="G157">
        <v>16.581399999999999</v>
      </c>
      <c r="H157">
        <v>1</v>
      </c>
      <c r="I157">
        <v>183</v>
      </c>
      <c r="J157" t="str">
        <f>HYPERLINK("https://climate.onebuilding.org/WMO_Region_6_Europe/AUT_Austria/NO_Lower_Austria/AUT_NO_Wien-Schwechat.AP.110360_TMYx.2004-2018.zip")</f>
        <v>https://climate.onebuilding.org/WMO_Region_6_Europe/AUT_Austria/NO_Lower_Austria/AUT_NO_Wien-Schwechat.AP.110360_TMYx.2004-2018.zip</v>
      </c>
    </row>
    <row r="158" spans="1:10" x14ac:dyDescent="0.25">
      <c r="A158" t="s">
        <v>79</v>
      </c>
      <c r="B158" t="s">
        <v>93</v>
      </c>
      <c r="C158" t="s">
        <v>121</v>
      </c>
      <c r="D158">
        <v>110360</v>
      </c>
      <c r="E158" t="s">
        <v>14</v>
      </c>
      <c r="F158">
        <v>48.1175</v>
      </c>
      <c r="G158">
        <v>16.581399999999999</v>
      </c>
      <c r="H158">
        <v>1</v>
      </c>
      <c r="I158">
        <v>183</v>
      </c>
      <c r="J158" t="str">
        <f>HYPERLINK("https://climate.onebuilding.org/WMO_Region_6_Europe/AUT_Austria/NO_Lower_Austria/AUT_NO_Wien-Schwechat.AP.110360_TMYx.2007-2021.zip")</f>
        <v>https://climate.onebuilding.org/WMO_Region_6_Europe/AUT_Austria/NO_Lower_Austria/AUT_NO_Wien-Schwechat.AP.110360_TMYx.2007-2021.zip</v>
      </c>
    </row>
    <row r="159" spans="1:10" x14ac:dyDescent="0.25">
      <c r="A159" t="s">
        <v>79</v>
      </c>
      <c r="B159" t="s">
        <v>93</v>
      </c>
      <c r="C159" t="s">
        <v>121</v>
      </c>
      <c r="D159">
        <v>110360</v>
      </c>
      <c r="E159" t="s">
        <v>14</v>
      </c>
      <c r="F159">
        <v>48.1175</v>
      </c>
      <c r="G159">
        <v>16.581399999999999</v>
      </c>
      <c r="H159">
        <v>1</v>
      </c>
      <c r="I159">
        <v>183</v>
      </c>
      <c r="J159" t="str">
        <f>HYPERLINK("https://climate.onebuilding.org/WMO_Region_6_Europe/AUT_Austria/NO_Lower_Austria/AUT_NO_Wien-Schwechat.AP.110360_TMYx.2009-2023.zip")</f>
        <v>https://climate.onebuilding.org/WMO_Region_6_Europe/AUT_Austria/NO_Lower_Austria/AUT_NO_Wien-Schwechat.AP.110360_TMYx.2009-2023.zip</v>
      </c>
    </row>
    <row r="160" spans="1:10" x14ac:dyDescent="0.25">
      <c r="A160" t="s">
        <v>79</v>
      </c>
      <c r="B160" t="s">
        <v>93</v>
      </c>
      <c r="C160" t="s">
        <v>121</v>
      </c>
      <c r="D160">
        <v>110360</v>
      </c>
      <c r="E160" t="s">
        <v>14</v>
      </c>
      <c r="F160">
        <v>48.1175</v>
      </c>
      <c r="G160">
        <v>16.581399999999999</v>
      </c>
      <c r="H160">
        <v>1</v>
      </c>
      <c r="I160">
        <v>183</v>
      </c>
      <c r="J160" t="str">
        <f>HYPERLINK("https://climate.onebuilding.org/WMO_Region_6_Europe/AUT_Austria/NO_Lower_Austria/AUT_NO_Wien-Schwechat.AP.110360_TMYx.zip")</f>
        <v>https://climate.onebuilding.org/WMO_Region_6_Europe/AUT_Austria/NO_Lower_Austria/AUT_NO_Wien-Schwechat.AP.110360_TMYx.zip</v>
      </c>
    </row>
    <row r="161" spans="1:10" x14ac:dyDescent="0.25">
      <c r="A161" t="s">
        <v>79</v>
      </c>
      <c r="B161" t="s">
        <v>93</v>
      </c>
      <c r="C161" t="s">
        <v>123</v>
      </c>
      <c r="D161">
        <v>110370</v>
      </c>
      <c r="E161" t="s">
        <v>14</v>
      </c>
      <c r="F161">
        <v>48.1997</v>
      </c>
      <c r="G161">
        <v>16.559200000000001</v>
      </c>
      <c r="H161">
        <v>1</v>
      </c>
      <c r="I161">
        <v>152.80000000000001</v>
      </c>
      <c r="J161" t="str">
        <f>HYPERLINK("https://climate.onebuilding.org/WMO_Region_6_Europe/AUT_Austria/NO_Lower_Austria/AUT_NO_Gros.Enzersdorf.110370_TMYx.2007-2021.zip")</f>
        <v>https://climate.onebuilding.org/WMO_Region_6_Europe/AUT_Austria/NO_Lower_Austria/AUT_NO_Gros.Enzersdorf.110370_TMYx.2007-2021.zip</v>
      </c>
    </row>
    <row r="162" spans="1:10" x14ac:dyDescent="0.25">
      <c r="A162" t="s">
        <v>79</v>
      </c>
      <c r="B162" t="s">
        <v>93</v>
      </c>
      <c r="C162" t="s">
        <v>123</v>
      </c>
      <c r="D162">
        <v>110370</v>
      </c>
      <c r="E162" t="s">
        <v>14</v>
      </c>
      <c r="F162">
        <v>48.1997</v>
      </c>
      <c r="G162">
        <v>16.559200000000001</v>
      </c>
      <c r="H162">
        <v>1</v>
      </c>
      <c r="I162">
        <v>152.80000000000001</v>
      </c>
      <c r="J162" t="str">
        <f>HYPERLINK("https://climate.onebuilding.org/WMO_Region_6_Europe/AUT_Austria/NO_Lower_Austria/AUT_NO_Gros.Enzersdorf.110370_TMYx.2009-2023.zip")</f>
        <v>https://climate.onebuilding.org/WMO_Region_6_Europe/AUT_Austria/NO_Lower_Austria/AUT_NO_Gros.Enzersdorf.110370_TMYx.2009-2023.zip</v>
      </c>
    </row>
    <row r="163" spans="1:10" x14ac:dyDescent="0.25">
      <c r="A163" t="s">
        <v>79</v>
      </c>
      <c r="B163" t="s">
        <v>93</v>
      </c>
      <c r="C163" t="s">
        <v>123</v>
      </c>
      <c r="D163">
        <v>110370</v>
      </c>
      <c r="E163" t="s">
        <v>14</v>
      </c>
      <c r="F163">
        <v>48.1997</v>
      </c>
      <c r="G163">
        <v>16.559200000000001</v>
      </c>
      <c r="H163">
        <v>1</v>
      </c>
      <c r="I163">
        <v>152.80000000000001</v>
      </c>
      <c r="J163" t="str">
        <f>HYPERLINK("https://climate.onebuilding.org/WMO_Region_6_Europe/AUT_Austria/NO_Lower_Austria/AUT_NO_Gros.Enzersdorf.110370_TMYx.zip")</f>
        <v>https://climate.onebuilding.org/WMO_Region_6_Europe/AUT_Austria/NO_Lower_Austria/AUT_NO_Gros.Enzersdorf.110370_TMYx.zip</v>
      </c>
    </row>
    <row r="164" spans="1:10" x14ac:dyDescent="0.25">
      <c r="A164" t="s">
        <v>79</v>
      </c>
      <c r="B164" t="s">
        <v>93</v>
      </c>
      <c r="C164" t="s">
        <v>124</v>
      </c>
      <c r="D164">
        <v>110390</v>
      </c>
      <c r="E164" t="s">
        <v>14</v>
      </c>
      <c r="F164">
        <v>48.1</v>
      </c>
      <c r="G164">
        <v>16.933</v>
      </c>
      <c r="H164">
        <v>1</v>
      </c>
      <c r="I164">
        <v>183</v>
      </c>
      <c r="J164" t="str">
        <f>HYPERLINK("https://climate.onebuilding.org/WMO_Region_6_Europe/AUT_Austria/NO_Lower_Austria/AUT_NO_Spitzerberg.Flight.School.AP.110390_TMYx.zip")</f>
        <v>https://climate.onebuilding.org/WMO_Region_6_Europe/AUT_Austria/NO_Lower_Austria/AUT_NO_Spitzerberg.Flight.School.AP.110390_TMYx.zip</v>
      </c>
    </row>
    <row r="165" spans="1:10" x14ac:dyDescent="0.25">
      <c r="A165" t="s">
        <v>79</v>
      </c>
      <c r="B165" t="s">
        <v>116</v>
      </c>
      <c r="C165" t="s">
        <v>125</v>
      </c>
      <c r="D165">
        <v>110400</v>
      </c>
      <c r="E165" t="s">
        <v>126</v>
      </c>
      <c r="F165">
        <v>48.125</v>
      </c>
      <c r="G165">
        <v>16.4194</v>
      </c>
      <c r="H165">
        <v>1</v>
      </c>
      <c r="I165">
        <v>200</v>
      </c>
      <c r="J165" t="str">
        <f>HYPERLINK("https://climate.onebuilding.org/WMO_Region_6_Europe/AUT_Austria/WI_Vienna/AUT_WI_Wien-Unterlaa.110400_TMYx.2004-2018.zip")</f>
        <v>https://climate.onebuilding.org/WMO_Region_6_Europe/AUT_Austria/WI_Vienna/AUT_WI_Wien-Unterlaa.110400_TMYx.2004-2018.zip</v>
      </c>
    </row>
    <row r="166" spans="1:10" x14ac:dyDescent="0.25">
      <c r="A166" t="s">
        <v>79</v>
      </c>
      <c r="B166" t="s">
        <v>116</v>
      </c>
      <c r="C166" t="s">
        <v>125</v>
      </c>
      <c r="D166">
        <v>110400</v>
      </c>
      <c r="E166" t="s">
        <v>14</v>
      </c>
      <c r="F166">
        <v>48.125</v>
      </c>
      <c r="G166">
        <v>16.4194</v>
      </c>
      <c r="H166">
        <v>1</v>
      </c>
      <c r="I166">
        <v>200</v>
      </c>
      <c r="J166" t="str">
        <f>HYPERLINK("https://climate.onebuilding.org/WMO_Region_6_Europe/AUT_Austria/WI_Vienna/AUT_WI_Wien-Unterlaa.110400_TMYx.2007-2021.zip")</f>
        <v>https://climate.onebuilding.org/WMO_Region_6_Europe/AUT_Austria/WI_Vienna/AUT_WI_Wien-Unterlaa.110400_TMYx.2007-2021.zip</v>
      </c>
    </row>
    <row r="167" spans="1:10" x14ac:dyDescent="0.25">
      <c r="A167" t="s">
        <v>79</v>
      </c>
      <c r="B167" t="s">
        <v>116</v>
      </c>
      <c r="C167" t="s">
        <v>125</v>
      </c>
      <c r="D167">
        <v>110400</v>
      </c>
      <c r="E167" t="s">
        <v>14</v>
      </c>
      <c r="F167">
        <v>48.125</v>
      </c>
      <c r="G167">
        <v>16.4194</v>
      </c>
      <c r="H167">
        <v>1</v>
      </c>
      <c r="I167">
        <v>200</v>
      </c>
      <c r="J167" t="str">
        <f>HYPERLINK("https://climate.onebuilding.org/WMO_Region_6_Europe/AUT_Austria/WI_Vienna/AUT_WI_Wien-Unterlaa.110400_TMYx.2009-2023.zip")</f>
        <v>https://climate.onebuilding.org/WMO_Region_6_Europe/AUT_Austria/WI_Vienna/AUT_WI_Wien-Unterlaa.110400_TMYx.2009-2023.zip</v>
      </c>
    </row>
    <row r="168" spans="1:10" x14ac:dyDescent="0.25">
      <c r="A168" t="s">
        <v>79</v>
      </c>
      <c r="B168" t="s">
        <v>116</v>
      </c>
      <c r="C168" t="s">
        <v>125</v>
      </c>
      <c r="D168">
        <v>110400</v>
      </c>
      <c r="E168" t="s">
        <v>14</v>
      </c>
      <c r="F168">
        <v>48.125</v>
      </c>
      <c r="G168">
        <v>16.4194</v>
      </c>
      <c r="H168">
        <v>1</v>
      </c>
      <c r="I168">
        <v>200</v>
      </c>
      <c r="J168" t="str">
        <f>HYPERLINK("https://climate.onebuilding.org/WMO_Region_6_Europe/AUT_Austria/WI_Vienna/AUT_WI_Wien-Unterlaa.110400_TMYx.zip")</f>
        <v>https://climate.onebuilding.org/WMO_Region_6_Europe/AUT_Austria/WI_Vienna/AUT_WI_Wien-Unterlaa.110400_TMYx.zip</v>
      </c>
    </row>
    <row r="169" spans="1:10" x14ac:dyDescent="0.25">
      <c r="A169" t="s">
        <v>79</v>
      </c>
      <c r="B169" t="s">
        <v>80</v>
      </c>
      <c r="C169" t="s">
        <v>127</v>
      </c>
      <c r="D169">
        <v>110510</v>
      </c>
      <c r="E169" t="s">
        <v>128</v>
      </c>
      <c r="F169">
        <v>48.224200000000003</v>
      </c>
      <c r="G169">
        <v>13.0283</v>
      </c>
      <c r="H169">
        <v>1</v>
      </c>
      <c r="I169">
        <v>388.1</v>
      </c>
      <c r="J169" t="str">
        <f>HYPERLINK("https://climate.onebuilding.org/WMO_Region_6_Europe/AUT_Austria/OO_Upper_Austria/AUT_OO_Ranshofen.110510_TMYx.2004-2018.zip")</f>
        <v>https://climate.onebuilding.org/WMO_Region_6_Europe/AUT_Austria/OO_Upper_Austria/AUT_OO_Ranshofen.110510_TMYx.2004-2018.zip</v>
      </c>
    </row>
    <row r="170" spans="1:10" x14ac:dyDescent="0.25">
      <c r="A170" t="s">
        <v>79</v>
      </c>
      <c r="B170" t="s">
        <v>80</v>
      </c>
      <c r="C170" t="s">
        <v>127</v>
      </c>
      <c r="D170">
        <v>110510</v>
      </c>
      <c r="E170" t="s">
        <v>14</v>
      </c>
      <c r="F170">
        <v>48.224200000000003</v>
      </c>
      <c r="G170">
        <v>13.0283</v>
      </c>
      <c r="H170">
        <v>1</v>
      </c>
      <c r="I170">
        <v>388.1</v>
      </c>
      <c r="J170" t="str">
        <f>HYPERLINK("https://climate.onebuilding.org/WMO_Region_6_Europe/AUT_Austria/OO_Upper_Austria/AUT_OO_Ranshofen.110510_TMYx.2007-2021.zip")</f>
        <v>https://climate.onebuilding.org/WMO_Region_6_Europe/AUT_Austria/OO_Upper_Austria/AUT_OO_Ranshofen.110510_TMYx.2007-2021.zip</v>
      </c>
    </row>
    <row r="171" spans="1:10" x14ac:dyDescent="0.25">
      <c r="A171" t="s">
        <v>79</v>
      </c>
      <c r="B171" t="s">
        <v>80</v>
      </c>
      <c r="C171" t="s">
        <v>127</v>
      </c>
      <c r="D171">
        <v>110510</v>
      </c>
      <c r="E171" t="s">
        <v>14</v>
      </c>
      <c r="F171">
        <v>48.224200000000003</v>
      </c>
      <c r="G171">
        <v>13.0283</v>
      </c>
      <c r="H171">
        <v>1</v>
      </c>
      <c r="I171">
        <v>388.1</v>
      </c>
      <c r="J171" t="str">
        <f>HYPERLINK("https://climate.onebuilding.org/WMO_Region_6_Europe/AUT_Austria/OO_Upper_Austria/AUT_OO_Ranshofen.110510_TMYx.2009-2023.zip")</f>
        <v>https://climate.onebuilding.org/WMO_Region_6_Europe/AUT_Austria/OO_Upper_Austria/AUT_OO_Ranshofen.110510_TMYx.2009-2023.zip</v>
      </c>
    </row>
    <row r="172" spans="1:10" x14ac:dyDescent="0.25">
      <c r="A172" t="s">
        <v>79</v>
      </c>
      <c r="B172" t="s">
        <v>80</v>
      </c>
      <c r="C172" t="s">
        <v>127</v>
      </c>
      <c r="D172">
        <v>110510</v>
      </c>
      <c r="E172" t="s">
        <v>14</v>
      </c>
      <c r="F172">
        <v>48.224200000000003</v>
      </c>
      <c r="G172">
        <v>13.0283</v>
      </c>
      <c r="H172">
        <v>1</v>
      </c>
      <c r="I172">
        <v>388.1</v>
      </c>
      <c r="J172" t="str">
        <f>HYPERLINK("https://climate.onebuilding.org/WMO_Region_6_Europe/AUT_Austria/OO_Upper_Austria/AUT_OO_Ranshofen.110510_TMYx.zip")</f>
        <v>https://climate.onebuilding.org/WMO_Region_6_Europe/AUT_Austria/OO_Upper_Austria/AUT_OO_Ranshofen.110510_TMYx.zip</v>
      </c>
    </row>
    <row r="173" spans="1:10" x14ac:dyDescent="0.25">
      <c r="A173" t="s">
        <v>79</v>
      </c>
      <c r="B173" t="s">
        <v>80</v>
      </c>
      <c r="C173" t="s">
        <v>129</v>
      </c>
      <c r="D173">
        <v>110530</v>
      </c>
      <c r="E173" t="s">
        <v>130</v>
      </c>
      <c r="F173">
        <v>48.217199999999998</v>
      </c>
      <c r="G173">
        <v>13.475</v>
      </c>
      <c r="H173">
        <v>1</v>
      </c>
      <c r="I173">
        <v>429.2</v>
      </c>
      <c r="J173" t="str">
        <f>HYPERLINK("https://climate.onebuilding.org/WMO_Region_6_Europe/AUT_Austria/OO_Upper_Austria/AUT_OO_Ried.im.Innkreis.110530_TMYx.2004-2018.zip")</f>
        <v>https://climate.onebuilding.org/WMO_Region_6_Europe/AUT_Austria/OO_Upper_Austria/AUT_OO_Ried.im.Innkreis.110530_TMYx.2004-2018.zip</v>
      </c>
    </row>
    <row r="174" spans="1:10" x14ac:dyDescent="0.25">
      <c r="A174" t="s">
        <v>79</v>
      </c>
      <c r="B174" t="s">
        <v>80</v>
      </c>
      <c r="C174" t="s">
        <v>129</v>
      </c>
      <c r="D174">
        <v>110530</v>
      </c>
      <c r="E174" t="s">
        <v>14</v>
      </c>
      <c r="F174">
        <v>48.217199999999998</v>
      </c>
      <c r="G174">
        <v>13.475</v>
      </c>
      <c r="H174">
        <v>1</v>
      </c>
      <c r="I174">
        <v>429.2</v>
      </c>
      <c r="J174" t="str">
        <f>HYPERLINK("https://climate.onebuilding.org/WMO_Region_6_Europe/AUT_Austria/OO_Upper_Austria/AUT_OO_Ried.im.Innkreis.110530_TMYx.2007-2021.zip")</f>
        <v>https://climate.onebuilding.org/WMO_Region_6_Europe/AUT_Austria/OO_Upper_Austria/AUT_OO_Ried.im.Innkreis.110530_TMYx.2007-2021.zip</v>
      </c>
    </row>
    <row r="175" spans="1:10" x14ac:dyDescent="0.25">
      <c r="A175" t="s">
        <v>79</v>
      </c>
      <c r="B175" t="s">
        <v>80</v>
      </c>
      <c r="C175" t="s">
        <v>129</v>
      </c>
      <c r="D175">
        <v>110530</v>
      </c>
      <c r="E175" t="s">
        <v>14</v>
      </c>
      <c r="F175">
        <v>48.217199999999998</v>
      </c>
      <c r="G175">
        <v>13.475</v>
      </c>
      <c r="H175">
        <v>1</v>
      </c>
      <c r="I175">
        <v>429.2</v>
      </c>
      <c r="J175" t="str">
        <f>HYPERLINK("https://climate.onebuilding.org/WMO_Region_6_Europe/AUT_Austria/OO_Upper_Austria/AUT_OO_Ried.im.Innkreis.110530_TMYx.2009-2023.zip")</f>
        <v>https://climate.onebuilding.org/WMO_Region_6_Europe/AUT_Austria/OO_Upper_Austria/AUT_OO_Ried.im.Innkreis.110530_TMYx.2009-2023.zip</v>
      </c>
    </row>
    <row r="176" spans="1:10" x14ac:dyDescent="0.25">
      <c r="A176" t="s">
        <v>79</v>
      </c>
      <c r="B176" t="s">
        <v>80</v>
      </c>
      <c r="C176" t="s">
        <v>129</v>
      </c>
      <c r="D176">
        <v>110530</v>
      </c>
      <c r="E176" t="s">
        <v>14</v>
      </c>
      <c r="F176">
        <v>48.217199999999998</v>
      </c>
      <c r="G176">
        <v>13.475</v>
      </c>
      <c r="H176">
        <v>1</v>
      </c>
      <c r="I176">
        <v>429.2</v>
      </c>
      <c r="J176" t="str">
        <f>HYPERLINK("https://climate.onebuilding.org/WMO_Region_6_Europe/AUT_Austria/OO_Upper_Austria/AUT_OO_Ried.im.Innkreis.110530_TMYx.zip")</f>
        <v>https://climate.onebuilding.org/WMO_Region_6_Europe/AUT_Austria/OO_Upper_Austria/AUT_OO_Ried.im.Innkreis.110530_TMYx.zip</v>
      </c>
    </row>
    <row r="177" spans="1:10" x14ac:dyDescent="0.25">
      <c r="A177" t="s">
        <v>79</v>
      </c>
      <c r="B177" t="s">
        <v>80</v>
      </c>
      <c r="C177" t="s">
        <v>131</v>
      </c>
      <c r="D177">
        <v>110550</v>
      </c>
      <c r="E177" t="s">
        <v>132</v>
      </c>
      <c r="F177">
        <v>48.464199999999998</v>
      </c>
      <c r="G177">
        <v>13.4344</v>
      </c>
      <c r="H177">
        <v>1</v>
      </c>
      <c r="I177">
        <v>312.7</v>
      </c>
      <c r="J177" t="str">
        <f>HYPERLINK("https://climate.onebuilding.org/WMO_Region_6_Europe/AUT_Austria/OO_Upper_Austria/AUT_OO_Scharding.110550_TMYx.2004-2018.zip")</f>
        <v>https://climate.onebuilding.org/WMO_Region_6_Europe/AUT_Austria/OO_Upper_Austria/AUT_OO_Scharding.110550_TMYx.2004-2018.zip</v>
      </c>
    </row>
    <row r="178" spans="1:10" x14ac:dyDescent="0.25">
      <c r="A178" t="s">
        <v>79</v>
      </c>
      <c r="B178" t="s">
        <v>80</v>
      </c>
      <c r="C178" t="s">
        <v>131</v>
      </c>
      <c r="D178">
        <v>110550</v>
      </c>
      <c r="E178" t="s">
        <v>14</v>
      </c>
      <c r="F178">
        <v>48.464199999999998</v>
      </c>
      <c r="G178">
        <v>13.4344</v>
      </c>
      <c r="H178">
        <v>1</v>
      </c>
      <c r="I178">
        <v>312.7</v>
      </c>
      <c r="J178" t="str">
        <f>HYPERLINK("https://climate.onebuilding.org/WMO_Region_6_Europe/AUT_Austria/OO_Upper_Austria/AUT_OO_Scharding.110550_TMYx.2007-2021.zip")</f>
        <v>https://climate.onebuilding.org/WMO_Region_6_Europe/AUT_Austria/OO_Upper_Austria/AUT_OO_Scharding.110550_TMYx.2007-2021.zip</v>
      </c>
    </row>
    <row r="179" spans="1:10" x14ac:dyDescent="0.25">
      <c r="A179" t="s">
        <v>79</v>
      </c>
      <c r="B179" t="s">
        <v>80</v>
      </c>
      <c r="C179" t="s">
        <v>131</v>
      </c>
      <c r="D179">
        <v>110550</v>
      </c>
      <c r="E179" t="s">
        <v>14</v>
      </c>
      <c r="F179">
        <v>48.464199999999998</v>
      </c>
      <c r="G179">
        <v>13.4344</v>
      </c>
      <c r="H179">
        <v>1</v>
      </c>
      <c r="I179">
        <v>312.7</v>
      </c>
      <c r="J179" t="str">
        <f>HYPERLINK("https://climate.onebuilding.org/WMO_Region_6_Europe/AUT_Austria/OO_Upper_Austria/AUT_OO_Scharding.110550_TMYx.2009-2023.zip")</f>
        <v>https://climate.onebuilding.org/WMO_Region_6_Europe/AUT_Austria/OO_Upper_Austria/AUT_OO_Scharding.110550_TMYx.2009-2023.zip</v>
      </c>
    </row>
    <row r="180" spans="1:10" x14ac:dyDescent="0.25">
      <c r="A180" t="s">
        <v>79</v>
      </c>
      <c r="B180" t="s">
        <v>80</v>
      </c>
      <c r="C180" t="s">
        <v>131</v>
      </c>
      <c r="D180">
        <v>110550</v>
      </c>
      <c r="E180" t="s">
        <v>14</v>
      </c>
      <c r="F180">
        <v>48.464199999999998</v>
      </c>
      <c r="G180">
        <v>13.4344</v>
      </c>
      <c r="H180">
        <v>1</v>
      </c>
      <c r="I180">
        <v>312.7</v>
      </c>
      <c r="J180" t="str">
        <f>HYPERLINK("https://climate.onebuilding.org/WMO_Region_6_Europe/AUT_Austria/OO_Upper_Austria/AUT_OO_Scharding.110550_TMYx.zip")</f>
        <v>https://climate.onebuilding.org/WMO_Region_6_Europe/AUT_Austria/OO_Upper_Austria/AUT_OO_Scharding.110550_TMYx.zip</v>
      </c>
    </row>
    <row r="181" spans="1:10" x14ac:dyDescent="0.25">
      <c r="A181" t="s">
        <v>79</v>
      </c>
      <c r="B181" t="s">
        <v>80</v>
      </c>
      <c r="C181" t="s">
        <v>133</v>
      </c>
      <c r="D181">
        <v>110590</v>
      </c>
      <c r="E181" t="s">
        <v>14</v>
      </c>
      <c r="F181">
        <v>48.162779999999998</v>
      </c>
      <c r="G181">
        <v>14.071389999999999</v>
      </c>
      <c r="H181">
        <v>1</v>
      </c>
      <c r="I181">
        <v>312.89999999999998</v>
      </c>
      <c r="J181" t="str">
        <f>HYPERLINK("https://climate.onebuilding.org/WMO_Region_6_Europe/AUT_Austria/OO_Upper_Austria/AUT_OO_Wels-Schleissheim.110590_TMYx.2007-2021.zip")</f>
        <v>https://climate.onebuilding.org/WMO_Region_6_Europe/AUT_Austria/OO_Upper_Austria/AUT_OO_Wels-Schleissheim.110590_TMYx.2007-2021.zip</v>
      </c>
    </row>
    <row r="182" spans="1:10" x14ac:dyDescent="0.25">
      <c r="A182" t="s">
        <v>79</v>
      </c>
      <c r="B182" t="s">
        <v>80</v>
      </c>
      <c r="C182" t="s">
        <v>133</v>
      </c>
      <c r="D182">
        <v>110590</v>
      </c>
      <c r="E182" t="s">
        <v>14</v>
      </c>
      <c r="F182">
        <v>48.162779999999998</v>
      </c>
      <c r="G182">
        <v>14.071389999999999</v>
      </c>
      <c r="H182">
        <v>1</v>
      </c>
      <c r="I182">
        <v>312.89999999999998</v>
      </c>
      <c r="J182" t="str">
        <f>HYPERLINK("https://climate.onebuilding.org/WMO_Region_6_Europe/AUT_Austria/OO_Upper_Austria/AUT_OO_Wels-Schleissheim.110590_TMYx.2009-2023.zip")</f>
        <v>https://climate.onebuilding.org/WMO_Region_6_Europe/AUT_Austria/OO_Upper_Austria/AUT_OO_Wels-Schleissheim.110590_TMYx.2009-2023.zip</v>
      </c>
    </row>
    <row r="183" spans="1:10" x14ac:dyDescent="0.25">
      <c r="A183" t="s">
        <v>79</v>
      </c>
      <c r="B183" t="s">
        <v>80</v>
      </c>
      <c r="C183" t="s">
        <v>133</v>
      </c>
      <c r="D183">
        <v>110590</v>
      </c>
      <c r="E183" t="s">
        <v>14</v>
      </c>
      <c r="F183">
        <v>48.162779999999998</v>
      </c>
      <c r="G183">
        <v>14.071389999999999</v>
      </c>
      <c r="H183">
        <v>1</v>
      </c>
      <c r="I183">
        <v>312.89999999999998</v>
      </c>
      <c r="J183" t="str">
        <f>HYPERLINK("https://climate.onebuilding.org/WMO_Region_6_Europe/AUT_Austria/OO_Upper_Austria/AUT_OO_Wels-Schleissheim.110590_TMYx.zip")</f>
        <v>https://climate.onebuilding.org/WMO_Region_6_Europe/AUT_Austria/OO_Upper_Austria/AUT_OO_Wels-Schleissheim.110590_TMYx.zip</v>
      </c>
    </row>
    <row r="184" spans="1:10" x14ac:dyDescent="0.25">
      <c r="A184" t="s">
        <v>79</v>
      </c>
      <c r="B184" t="s">
        <v>80</v>
      </c>
      <c r="C184" t="s">
        <v>134</v>
      </c>
      <c r="D184">
        <v>110600</v>
      </c>
      <c r="E184" t="s">
        <v>135</v>
      </c>
      <c r="F184">
        <v>48.296399999999998</v>
      </c>
      <c r="G184">
        <v>14.285600000000001</v>
      </c>
      <c r="H184">
        <v>1</v>
      </c>
      <c r="I184">
        <v>262.10000000000002</v>
      </c>
      <c r="J184" t="str">
        <f>HYPERLINK("https://climate.onebuilding.org/WMO_Region_6_Europe/AUT_Austria/OO_Upper_Austria/AUT_OO_Linz.110600_TMYx.2004-2018.zip")</f>
        <v>https://climate.onebuilding.org/WMO_Region_6_Europe/AUT_Austria/OO_Upper_Austria/AUT_OO_Linz.110600_TMYx.2004-2018.zip</v>
      </c>
    </row>
    <row r="185" spans="1:10" x14ac:dyDescent="0.25">
      <c r="A185" t="s">
        <v>79</v>
      </c>
      <c r="B185" t="s">
        <v>80</v>
      </c>
      <c r="C185" t="s">
        <v>134</v>
      </c>
      <c r="D185">
        <v>110600</v>
      </c>
      <c r="E185" t="s">
        <v>14</v>
      </c>
      <c r="F185">
        <v>48.296399999999998</v>
      </c>
      <c r="G185">
        <v>14.285600000000001</v>
      </c>
      <c r="H185">
        <v>1</v>
      </c>
      <c r="I185">
        <v>262.10000000000002</v>
      </c>
      <c r="J185" t="str">
        <f>HYPERLINK("https://climate.onebuilding.org/WMO_Region_6_Europe/AUT_Austria/OO_Upper_Austria/AUT_OO_Linz.110600_TMYx.2007-2021.zip")</f>
        <v>https://climate.onebuilding.org/WMO_Region_6_Europe/AUT_Austria/OO_Upper_Austria/AUT_OO_Linz.110600_TMYx.2007-2021.zip</v>
      </c>
    </row>
    <row r="186" spans="1:10" x14ac:dyDescent="0.25">
      <c r="A186" t="s">
        <v>79</v>
      </c>
      <c r="B186" t="s">
        <v>80</v>
      </c>
      <c r="C186" t="s">
        <v>134</v>
      </c>
      <c r="D186">
        <v>110600</v>
      </c>
      <c r="E186" t="s">
        <v>14</v>
      </c>
      <c r="F186">
        <v>48.296399999999998</v>
      </c>
      <c r="G186">
        <v>14.285600000000001</v>
      </c>
      <c r="H186">
        <v>1</v>
      </c>
      <c r="I186">
        <v>262.10000000000002</v>
      </c>
      <c r="J186" t="str">
        <f>HYPERLINK("https://climate.onebuilding.org/WMO_Region_6_Europe/AUT_Austria/OO_Upper_Austria/AUT_OO_Linz.110600_TMYx.2009-2023.zip")</f>
        <v>https://climate.onebuilding.org/WMO_Region_6_Europe/AUT_Austria/OO_Upper_Austria/AUT_OO_Linz.110600_TMYx.2009-2023.zip</v>
      </c>
    </row>
    <row r="187" spans="1:10" x14ac:dyDescent="0.25">
      <c r="A187" t="s">
        <v>79</v>
      </c>
      <c r="B187" t="s">
        <v>80</v>
      </c>
      <c r="C187" t="s">
        <v>134</v>
      </c>
      <c r="D187">
        <v>110600</v>
      </c>
      <c r="E187" t="s">
        <v>14</v>
      </c>
      <c r="F187">
        <v>48.296399999999998</v>
      </c>
      <c r="G187">
        <v>14.285600000000001</v>
      </c>
      <c r="H187">
        <v>1</v>
      </c>
      <c r="I187">
        <v>262.10000000000002</v>
      </c>
      <c r="J187" t="str">
        <f>HYPERLINK("https://climate.onebuilding.org/WMO_Region_6_Europe/AUT_Austria/OO_Upper_Austria/AUT_OO_Linz.110600_TMYx.zip")</f>
        <v>https://climate.onebuilding.org/WMO_Region_6_Europe/AUT_Austria/OO_Upper_Austria/AUT_OO_Linz.110600_TMYx.zip</v>
      </c>
    </row>
    <row r="188" spans="1:10" x14ac:dyDescent="0.25">
      <c r="A188" t="s">
        <v>79</v>
      </c>
      <c r="B188" t="s">
        <v>93</v>
      </c>
      <c r="C188" t="s">
        <v>136</v>
      </c>
      <c r="D188">
        <v>110700</v>
      </c>
      <c r="E188" t="s">
        <v>137</v>
      </c>
      <c r="F188">
        <v>48.418300000000002</v>
      </c>
      <c r="G188">
        <v>15.6214</v>
      </c>
      <c r="H188">
        <v>1</v>
      </c>
      <c r="I188">
        <v>203.1</v>
      </c>
      <c r="J188" t="str">
        <f>HYPERLINK("https://climate.onebuilding.org/WMO_Region_6_Europe/AUT_Austria/NO_Lower_Austria/AUT_NO_Krems.110700_TMYx.2004-2018.zip")</f>
        <v>https://climate.onebuilding.org/WMO_Region_6_Europe/AUT_Austria/NO_Lower_Austria/AUT_NO_Krems.110700_TMYx.2004-2018.zip</v>
      </c>
    </row>
    <row r="189" spans="1:10" x14ac:dyDescent="0.25">
      <c r="A189" t="s">
        <v>79</v>
      </c>
      <c r="B189" t="s">
        <v>93</v>
      </c>
      <c r="C189" t="s">
        <v>136</v>
      </c>
      <c r="D189">
        <v>110700</v>
      </c>
      <c r="E189" t="s">
        <v>14</v>
      </c>
      <c r="F189">
        <v>48.418300000000002</v>
      </c>
      <c r="G189">
        <v>15.6214</v>
      </c>
      <c r="H189">
        <v>1</v>
      </c>
      <c r="I189">
        <v>203.1</v>
      </c>
      <c r="J189" t="str">
        <f>HYPERLINK("https://climate.onebuilding.org/WMO_Region_6_Europe/AUT_Austria/NO_Lower_Austria/AUT_NO_Krems.110700_TMYx.2007-2021.zip")</f>
        <v>https://climate.onebuilding.org/WMO_Region_6_Europe/AUT_Austria/NO_Lower_Austria/AUT_NO_Krems.110700_TMYx.2007-2021.zip</v>
      </c>
    </row>
    <row r="190" spans="1:10" x14ac:dyDescent="0.25">
      <c r="A190" t="s">
        <v>79</v>
      </c>
      <c r="B190" t="s">
        <v>93</v>
      </c>
      <c r="C190" t="s">
        <v>136</v>
      </c>
      <c r="D190">
        <v>110700</v>
      </c>
      <c r="E190" t="s">
        <v>14</v>
      </c>
      <c r="F190">
        <v>48.418300000000002</v>
      </c>
      <c r="G190">
        <v>15.6214</v>
      </c>
      <c r="H190">
        <v>1</v>
      </c>
      <c r="I190">
        <v>203.1</v>
      </c>
      <c r="J190" t="str">
        <f>HYPERLINK("https://climate.onebuilding.org/WMO_Region_6_Europe/AUT_Austria/NO_Lower_Austria/AUT_NO_Krems.110700_TMYx.2009-2023.zip")</f>
        <v>https://climate.onebuilding.org/WMO_Region_6_Europe/AUT_Austria/NO_Lower_Austria/AUT_NO_Krems.110700_TMYx.2009-2023.zip</v>
      </c>
    </row>
    <row r="191" spans="1:10" x14ac:dyDescent="0.25">
      <c r="A191" t="s">
        <v>79</v>
      </c>
      <c r="B191" t="s">
        <v>93</v>
      </c>
      <c r="C191" t="s">
        <v>136</v>
      </c>
      <c r="D191">
        <v>110700</v>
      </c>
      <c r="E191" t="s">
        <v>14</v>
      </c>
      <c r="F191">
        <v>48.418300000000002</v>
      </c>
      <c r="G191">
        <v>15.6214</v>
      </c>
      <c r="H191">
        <v>1</v>
      </c>
      <c r="I191">
        <v>203.1</v>
      </c>
      <c r="J191" t="str">
        <f>HYPERLINK("https://climate.onebuilding.org/WMO_Region_6_Europe/AUT_Austria/NO_Lower_Austria/AUT_NO_Krems.110700_TMYx.zip")</f>
        <v>https://climate.onebuilding.org/WMO_Region_6_Europe/AUT_Austria/NO_Lower_Austria/AUT_NO_Krems.110700_TMYx.zip</v>
      </c>
    </row>
    <row r="192" spans="1:10" x14ac:dyDescent="0.25">
      <c r="A192" t="s">
        <v>79</v>
      </c>
      <c r="B192" t="s">
        <v>93</v>
      </c>
      <c r="C192" t="s">
        <v>138</v>
      </c>
      <c r="D192">
        <v>110750</v>
      </c>
      <c r="E192" t="s">
        <v>139</v>
      </c>
      <c r="F192">
        <v>48.472499999999997</v>
      </c>
      <c r="G192">
        <v>15.6972</v>
      </c>
      <c r="H192">
        <v>1</v>
      </c>
      <c r="I192">
        <v>208.9</v>
      </c>
      <c r="J192" t="str">
        <f>HYPERLINK("https://climate.onebuilding.org/WMO_Region_6_Europe/AUT_Austria/NO_Lower_Austria/AUT_NO_Langenlois.110750_TMYx.2004-2018.zip")</f>
        <v>https://climate.onebuilding.org/WMO_Region_6_Europe/AUT_Austria/NO_Lower_Austria/AUT_NO_Langenlois.110750_TMYx.2004-2018.zip</v>
      </c>
    </row>
    <row r="193" spans="1:10" x14ac:dyDescent="0.25">
      <c r="A193" t="s">
        <v>79</v>
      </c>
      <c r="B193" t="s">
        <v>93</v>
      </c>
      <c r="C193" t="s">
        <v>138</v>
      </c>
      <c r="D193">
        <v>110750</v>
      </c>
      <c r="E193" t="s">
        <v>14</v>
      </c>
      <c r="F193">
        <v>48.472499999999997</v>
      </c>
      <c r="G193">
        <v>15.6972</v>
      </c>
      <c r="H193">
        <v>1</v>
      </c>
      <c r="I193">
        <v>208.9</v>
      </c>
      <c r="J193" t="str">
        <f>HYPERLINK("https://climate.onebuilding.org/WMO_Region_6_Europe/AUT_Austria/NO_Lower_Austria/AUT_NO_Langenlois.110750_TMYx.2007-2021.zip")</f>
        <v>https://climate.onebuilding.org/WMO_Region_6_Europe/AUT_Austria/NO_Lower_Austria/AUT_NO_Langenlois.110750_TMYx.2007-2021.zip</v>
      </c>
    </row>
    <row r="194" spans="1:10" x14ac:dyDescent="0.25">
      <c r="A194" t="s">
        <v>79</v>
      </c>
      <c r="B194" t="s">
        <v>93</v>
      </c>
      <c r="C194" t="s">
        <v>138</v>
      </c>
      <c r="D194">
        <v>110750</v>
      </c>
      <c r="E194" t="s">
        <v>14</v>
      </c>
      <c r="F194">
        <v>48.472499999999997</v>
      </c>
      <c r="G194">
        <v>15.6972</v>
      </c>
      <c r="H194">
        <v>1</v>
      </c>
      <c r="I194">
        <v>208.9</v>
      </c>
      <c r="J194" t="str">
        <f>HYPERLINK("https://climate.onebuilding.org/WMO_Region_6_Europe/AUT_Austria/NO_Lower_Austria/AUT_NO_Langenlois.110750_TMYx.2009-2023.zip")</f>
        <v>https://climate.onebuilding.org/WMO_Region_6_Europe/AUT_Austria/NO_Lower_Austria/AUT_NO_Langenlois.110750_TMYx.2009-2023.zip</v>
      </c>
    </row>
    <row r="195" spans="1:10" x14ac:dyDescent="0.25">
      <c r="A195" t="s">
        <v>79</v>
      </c>
      <c r="B195" t="s">
        <v>93</v>
      </c>
      <c r="C195" t="s">
        <v>138</v>
      </c>
      <c r="D195">
        <v>110750</v>
      </c>
      <c r="E195" t="s">
        <v>14</v>
      </c>
      <c r="F195">
        <v>48.472499999999997</v>
      </c>
      <c r="G195">
        <v>15.6972</v>
      </c>
      <c r="H195">
        <v>1</v>
      </c>
      <c r="I195">
        <v>208.9</v>
      </c>
      <c r="J195" t="str">
        <f>HYPERLINK("https://climate.onebuilding.org/WMO_Region_6_Europe/AUT_Austria/NO_Lower_Austria/AUT_NO_Langenlois.110750_TMYx.zip")</f>
        <v>https://climate.onebuilding.org/WMO_Region_6_Europe/AUT_Austria/NO_Lower_Austria/AUT_NO_Langenlois.110750_TMYx.zip</v>
      </c>
    </row>
    <row r="196" spans="1:10" x14ac:dyDescent="0.25">
      <c r="A196" t="s">
        <v>79</v>
      </c>
      <c r="B196" t="s">
        <v>93</v>
      </c>
      <c r="C196" t="s">
        <v>140</v>
      </c>
      <c r="D196">
        <v>110780</v>
      </c>
      <c r="E196" t="s">
        <v>141</v>
      </c>
      <c r="F196">
        <v>48.028100000000002</v>
      </c>
      <c r="G196">
        <v>15.5875</v>
      </c>
      <c r="H196">
        <v>1</v>
      </c>
      <c r="I196">
        <v>695.6</v>
      </c>
      <c r="J196" t="str">
        <f>HYPERLINK("https://climate.onebuilding.org/WMO_Region_6_Europe/AUT_Austria/NO_Lower_Austria/AUT_NO_Lilienfeld.Tarschberg.110780_TMYx.2004-2018.zip")</f>
        <v>https://climate.onebuilding.org/WMO_Region_6_Europe/AUT_Austria/NO_Lower_Austria/AUT_NO_Lilienfeld.Tarschberg.110780_TMYx.2004-2018.zip</v>
      </c>
    </row>
    <row r="197" spans="1:10" x14ac:dyDescent="0.25">
      <c r="A197" t="s">
        <v>79</v>
      </c>
      <c r="B197" t="s">
        <v>93</v>
      </c>
      <c r="C197" t="s">
        <v>140</v>
      </c>
      <c r="D197">
        <v>110780</v>
      </c>
      <c r="E197" t="s">
        <v>14</v>
      </c>
      <c r="F197">
        <v>48.028100000000002</v>
      </c>
      <c r="G197">
        <v>15.5875</v>
      </c>
      <c r="H197">
        <v>1</v>
      </c>
      <c r="I197">
        <v>695.6</v>
      </c>
      <c r="J197" t="str">
        <f>HYPERLINK("https://climate.onebuilding.org/WMO_Region_6_Europe/AUT_Austria/NO_Lower_Austria/AUT_NO_Lilienfeld.Tarschberg.110780_TMYx.2007-2021.zip")</f>
        <v>https://climate.onebuilding.org/WMO_Region_6_Europe/AUT_Austria/NO_Lower_Austria/AUT_NO_Lilienfeld.Tarschberg.110780_TMYx.2007-2021.zip</v>
      </c>
    </row>
    <row r="198" spans="1:10" x14ac:dyDescent="0.25">
      <c r="A198" t="s">
        <v>79</v>
      </c>
      <c r="B198" t="s">
        <v>93</v>
      </c>
      <c r="C198" t="s">
        <v>140</v>
      </c>
      <c r="D198">
        <v>110780</v>
      </c>
      <c r="E198" t="s">
        <v>14</v>
      </c>
      <c r="F198">
        <v>48.028100000000002</v>
      </c>
      <c r="G198">
        <v>15.5875</v>
      </c>
      <c r="H198">
        <v>1</v>
      </c>
      <c r="I198">
        <v>695.6</v>
      </c>
      <c r="J198" t="str">
        <f>HYPERLINK("https://climate.onebuilding.org/WMO_Region_6_Europe/AUT_Austria/NO_Lower_Austria/AUT_NO_Lilienfeld.Tarschberg.110780_TMYx.2009-2023.zip")</f>
        <v>https://climate.onebuilding.org/WMO_Region_6_Europe/AUT_Austria/NO_Lower_Austria/AUT_NO_Lilienfeld.Tarschberg.110780_TMYx.2009-2023.zip</v>
      </c>
    </row>
    <row r="199" spans="1:10" x14ac:dyDescent="0.25">
      <c r="A199" t="s">
        <v>79</v>
      </c>
      <c r="B199" t="s">
        <v>93</v>
      </c>
      <c r="C199" t="s">
        <v>140</v>
      </c>
      <c r="D199">
        <v>110780</v>
      </c>
      <c r="E199" t="s">
        <v>14</v>
      </c>
      <c r="F199">
        <v>48.028100000000002</v>
      </c>
      <c r="G199">
        <v>15.5875</v>
      </c>
      <c r="H199">
        <v>1</v>
      </c>
      <c r="I199">
        <v>695.6</v>
      </c>
      <c r="J199" t="str">
        <f>HYPERLINK("https://climate.onebuilding.org/WMO_Region_6_Europe/AUT_Austria/NO_Lower_Austria/AUT_NO_Lilienfeld.Tarschberg.110780_TMYx.zip")</f>
        <v>https://climate.onebuilding.org/WMO_Region_6_Europe/AUT_Austria/NO_Lower_Austria/AUT_NO_Lilienfeld.Tarschberg.110780_TMYx.zip</v>
      </c>
    </row>
    <row r="200" spans="1:10" x14ac:dyDescent="0.25">
      <c r="A200" t="s">
        <v>79</v>
      </c>
      <c r="B200" t="s">
        <v>116</v>
      </c>
      <c r="C200" t="s">
        <v>142</v>
      </c>
      <c r="D200">
        <v>110800</v>
      </c>
      <c r="E200" t="s">
        <v>14</v>
      </c>
      <c r="F200">
        <v>48.206899999999997</v>
      </c>
      <c r="G200">
        <v>16.229399999999998</v>
      </c>
      <c r="H200">
        <v>1</v>
      </c>
      <c r="I200">
        <v>227</v>
      </c>
      <c r="J200" t="str">
        <f>HYPERLINK("https://climate.onebuilding.org/WMO_Region_6_Europe/AUT_Austria/WI_Vienna/AUT_WI_Wien-Mariabrunn.110800_TMYx.2007-2021.zip")</f>
        <v>https://climate.onebuilding.org/WMO_Region_6_Europe/AUT_Austria/WI_Vienna/AUT_WI_Wien-Mariabrunn.110800_TMYx.2007-2021.zip</v>
      </c>
    </row>
    <row r="201" spans="1:10" x14ac:dyDescent="0.25">
      <c r="A201" t="s">
        <v>79</v>
      </c>
      <c r="B201" t="s">
        <v>116</v>
      </c>
      <c r="C201" t="s">
        <v>142</v>
      </c>
      <c r="D201">
        <v>110800</v>
      </c>
      <c r="E201" t="s">
        <v>14</v>
      </c>
      <c r="F201">
        <v>48.206899999999997</v>
      </c>
      <c r="G201">
        <v>16.229399999999998</v>
      </c>
      <c r="H201">
        <v>1</v>
      </c>
      <c r="I201">
        <v>227</v>
      </c>
      <c r="J201" t="str">
        <f>HYPERLINK("https://climate.onebuilding.org/WMO_Region_6_Europe/AUT_Austria/WI_Vienna/AUT_WI_Wien-Mariabrunn.110800_TMYx.2009-2023.zip")</f>
        <v>https://climate.onebuilding.org/WMO_Region_6_Europe/AUT_Austria/WI_Vienna/AUT_WI_Wien-Mariabrunn.110800_TMYx.2009-2023.zip</v>
      </c>
    </row>
    <row r="202" spans="1:10" x14ac:dyDescent="0.25">
      <c r="A202" t="s">
        <v>79</v>
      </c>
      <c r="B202" t="s">
        <v>116</v>
      </c>
      <c r="C202" t="s">
        <v>142</v>
      </c>
      <c r="D202">
        <v>110800</v>
      </c>
      <c r="E202" t="s">
        <v>14</v>
      </c>
      <c r="F202">
        <v>48.206899999999997</v>
      </c>
      <c r="G202">
        <v>16.229399999999998</v>
      </c>
      <c r="H202">
        <v>1</v>
      </c>
      <c r="I202">
        <v>227</v>
      </c>
      <c r="J202" t="str">
        <f>HYPERLINK("https://climate.onebuilding.org/WMO_Region_6_Europe/AUT_Austria/WI_Vienna/AUT_WI_Wien-Mariabrunn.110800_TMYx.zip")</f>
        <v>https://climate.onebuilding.org/WMO_Region_6_Europe/AUT_Austria/WI_Vienna/AUT_WI_Wien-Mariabrunn.110800_TMYx.zip</v>
      </c>
    </row>
    <row r="203" spans="1:10" x14ac:dyDescent="0.25">
      <c r="A203" t="s">
        <v>79</v>
      </c>
      <c r="B203" t="s">
        <v>93</v>
      </c>
      <c r="C203" t="s">
        <v>143</v>
      </c>
      <c r="D203">
        <v>110810</v>
      </c>
      <c r="E203" t="s">
        <v>14</v>
      </c>
      <c r="F203">
        <v>48.011400000000002</v>
      </c>
      <c r="G203">
        <v>16.235600000000002</v>
      </c>
      <c r="H203">
        <v>1</v>
      </c>
      <c r="I203">
        <v>244</v>
      </c>
      <c r="J203" t="str">
        <f>HYPERLINK("https://climate.onebuilding.org/WMO_Region_6_Europe/AUT_Austria/NO_Lower_Austria/AUT_NO_Baden.110810_TMYx.zip")</f>
        <v>https://climate.onebuilding.org/WMO_Region_6_Europe/AUT_Austria/NO_Lower_Austria/AUT_NO_Baden.110810_TMYx.zip</v>
      </c>
    </row>
    <row r="204" spans="1:10" x14ac:dyDescent="0.25">
      <c r="A204" t="s">
        <v>79</v>
      </c>
      <c r="B204" t="s">
        <v>93</v>
      </c>
      <c r="C204" t="s">
        <v>144</v>
      </c>
      <c r="D204">
        <v>110820</v>
      </c>
      <c r="E204" t="s">
        <v>145</v>
      </c>
      <c r="F204">
        <v>48.035800000000002</v>
      </c>
      <c r="G204">
        <v>16.280799999999999</v>
      </c>
      <c r="H204">
        <v>1</v>
      </c>
      <c r="I204">
        <v>212</v>
      </c>
      <c r="J204" t="str">
        <f>HYPERLINK("https://climate.onebuilding.org/WMO_Region_6_Europe/AUT_Austria/NO_Lower_Austria/AUT_NO_Gumpoldskirchen.110820_TMYx.2004-2018.zip")</f>
        <v>https://climate.onebuilding.org/WMO_Region_6_Europe/AUT_Austria/NO_Lower_Austria/AUT_NO_Gumpoldskirchen.110820_TMYx.2004-2018.zip</v>
      </c>
    </row>
    <row r="205" spans="1:10" x14ac:dyDescent="0.25">
      <c r="A205" t="s">
        <v>79</v>
      </c>
      <c r="B205" t="s">
        <v>93</v>
      </c>
      <c r="C205" t="s">
        <v>144</v>
      </c>
      <c r="D205">
        <v>110820</v>
      </c>
      <c r="E205" t="s">
        <v>14</v>
      </c>
      <c r="F205">
        <v>48.035800000000002</v>
      </c>
      <c r="G205">
        <v>16.280799999999999</v>
      </c>
      <c r="H205">
        <v>1</v>
      </c>
      <c r="I205">
        <v>212</v>
      </c>
      <c r="J205" t="str">
        <f>HYPERLINK("https://climate.onebuilding.org/WMO_Region_6_Europe/AUT_Austria/NO_Lower_Austria/AUT_NO_Gumpoldskirchen.110820_TMYx.2007-2021.zip")</f>
        <v>https://climate.onebuilding.org/WMO_Region_6_Europe/AUT_Austria/NO_Lower_Austria/AUT_NO_Gumpoldskirchen.110820_TMYx.2007-2021.zip</v>
      </c>
    </row>
    <row r="206" spans="1:10" x14ac:dyDescent="0.25">
      <c r="A206" t="s">
        <v>79</v>
      </c>
      <c r="B206" t="s">
        <v>93</v>
      </c>
      <c r="C206" t="s">
        <v>144</v>
      </c>
      <c r="D206">
        <v>110820</v>
      </c>
      <c r="E206" t="s">
        <v>14</v>
      </c>
      <c r="F206">
        <v>48.035800000000002</v>
      </c>
      <c r="G206">
        <v>16.280799999999999</v>
      </c>
      <c r="H206">
        <v>1</v>
      </c>
      <c r="I206">
        <v>212</v>
      </c>
      <c r="J206" t="str">
        <f>HYPERLINK("https://climate.onebuilding.org/WMO_Region_6_Europe/AUT_Austria/NO_Lower_Austria/AUT_NO_Gumpoldskirchen.110820_TMYx.2009-2023.zip")</f>
        <v>https://climate.onebuilding.org/WMO_Region_6_Europe/AUT_Austria/NO_Lower_Austria/AUT_NO_Gumpoldskirchen.110820_TMYx.2009-2023.zip</v>
      </c>
    </row>
    <row r="207" spans="1:10" x14ac:dyDescent="0.25">
      <c r="A207" t="s">
        <v>79</v>
      </c>
      <c r="B207" t="s">
        <v>93</v>
      </c>
      <c r="C207" t="s">
        <v>144</v>
      </c>
      <c r="D207">
        <v>110820</v>
      </c>
      <c r="E207" t="s">
        <v>14</v>
      </c>
      <c r="F207">
        <v>48.035800000000002</v>
      </c>
      <c r="G207">
        <v>16.280799999999999</v>
      </c>
      <c r="H207">
        <v>1</v>
      </c>
      <c r="I207">
        <v>212</v>
      </c>
      <c r="J207" t="str">
        <f>HYPERLINK("https://climate.onebuilding.org/WMO_Region_6_Europe/AUT_Austria/NO_Lower_Austria/AUT_NO_Gumpoldskirchen.110820_TMYx.zip")</f>
        <v>https://climate.onebuilding.org/WMO_Region_6_Europe/AUT_Austria/NO_Lower_Austria/AUT_NO_Gumpoldskirchen.110820_TMYx.zip</v>
      </c>
    </row>
    <row r="208" spans="1:10" x14ac:dyDescent="0.25">
      <c r="A208" t="s">
        <v>79</v>
      </c>
      <c r="B208" t="s">
        <v>93</v>
      </c>
      <c r="C208" t="s">
        <v>146</v>
      </c>
      <c r="D208">
        <v>110830</v>
      </c>
      <c r="E208" t="s">
        <v>14</v>
      </c>
      <c r="F208">
        <v>48.558900000000001</v>
      </c>
      <c r="G208">
        <v>16.371700000000001</v>
      </c>
      <c r="H208">
        <v>1</v>
      </c>
      <c r="I208">
        <v>458.1</v>
      </c>
      <c r="J208" t="str">
        <f>HYPERLINK("https://climate.onebuilding.org/WMO_Region_6_Europe/AUT_Austria/NO_Lower_Austria/AUT_NO_Leiser.Berge.110830_TMYx.2007-2021.zip")</f>
        <v>https://climate.onebuilding.org/WMO_Region_6_Europe/AUT_Austria/NO_Lower_Austria/AUT_NO_Leiser.Berge.110830_TMYx.2007-2021.zip</v>
      </c>
    </row>
    <row r="209" spans="1:10" x14ac:dyDescent="0.25">
      <c r="A209" t="s">
        <v>79</v>
      </c>
      <c r="B209" t="s">
        <v>93</v>
      </c>
      <c r="C209" t="s">
        <v>146</v>
      </c>
      <c r="D209">
        <v>110830</v>
      </c>
      <c r="E209" t="s">
        <v>14</v>
      </c>
      <c r="F209">
        <v>48.558900000000001</v>
      </c>
      <c r="G209">
        <v>16.371700000000001</v>
      </c>
      <c r="H209">
        <v>1</v>
      </c>
      <c r="I209">
        <v>458.1</v>
      </c>
      <c r="J209" t="str">
        <f>HYPERLINK("https://climate.onebuilding.org/WMO_Region_6_Europe/AUT_Austria/NO_Lower_Austria/AUT_NO_Leiser.Berge.110830_TMYx.2009-2023.zip")</f>
        <v>https://climate.onebuilding.org/WMO_Region_6_Europe/AUT_Austria/NO_Lower_Austria/AUT_NO_Leiser.Berge.110830_TMYx.2009-2023.zip</v>
      </c>
    </row>
    <row r="210" spans="1:10" x14ac:dyDescent="0.25">
      <c r="A210" t="s">
        <v>79</v>
      </c>
      <c r="B210" t="s">
        <v>93</v>
      </c>
      <c r="C210" t="s">
        <v>146</v>
      </c>
      <c r="D210">
        <v>110830</v>
      </c>
      <c r="E210" t="s">
        <v>14</v>
      </c>
      <c r="F210">
        <v>48.558900000000001</v>
      </c>
      <c r="G210">
        <v>16.371700000000001</v>
      </c>
      <c r="H210">
        <v>1</v>
      </c>
      <c r="I210">
        <v>458.1</v>
      </c>
      <c r="J210" t="str">
        <f>HYPERLINK("https://climate.onebuilding.org/WMO_Region_6_Europe/AUT_Austria/NO_Lower_Austria/AUT_NO_Leiser.Berge.110830_TMYx.zip")</f>
        <v>https://climate.onebuilding.org/WMO_Region_6_Europe/AUT_Austria/NO_Lower_Austria/AUT_NO_Leiser.Berge.110830_TMYx.zip</v>
      </c>
    </row>
    <row r="211" spans="1:10" x14ac:dyDescent="0.25">
      <c r="A211" t="s">
        <v>79</v>
      </c>
      <c r="B211" t="s">
        <v>93</v>
      </c>
      <c r="C211" t="s">
        <v>147</v>
      </c>
      <c r="D211">
        <v>110850</v>
      </c>
      <c r="E211" t="s">
        <v>14</v>
      </c>
      <c r="F211">
        <v>48.338099999999997</v>
      </c>
      <c r="G211">
        <v>16.831399999999999</v>
      </c>
      <c r="H211">
        <v>1</v>
      </c>
      <c r="I211">
        <v>145.6</v>
      </c>
      <c r="J211" t="str">
        <f>HYPERLINK("https://climate.onebuilding.org/WMO_Region_6_Europe/AUT_Austria/NO_Lower_Austria/AUT_NO_Zwerndorf.Marchegg.110850_TMYx.2007-2021.zip")</f>
        <v>https://climate.onebuilding.org/WMO_Region_6_Europe/AUT_Austria/NO_Lower_Austria/AUT_NO_Zwerndorf.Marchegg.110850_TMYx.2007-2021.zip</v>
      </c>
    </row>
    <row r="212" spans="1:10" x14ac:dyDescent="0.25">
      <c r="A212" t="s">
        <v>79</v>
      </c>
      <c r="B212" t="s">
        <v>93</v>
      </c>
      <c r="C212" t="s">
        <v>147</v>
      </c>
      <c r="D212">
        <v>110850</v>
      </c>
      <c r="E212" t="s">
        <v>14</v>
      </c>
      <c r="F212">
        <v>48.338099999999997</v>
      </c>
      <c r="G212">
        <v>16.831399999999999</v>
      </c>
      <c r="H212">
        <v>1</v>
      </c>
      <c r="I212">
        <v>145.6</v>
      </c>
      <c r="J212" t="str">
        <f>HYPERLINK("https://climate.onebuilding.org/WMO_Region_6_Europe/AUT_Austria/NO_Lower_Austria/AUT_NO_Zwerndorf.Marchegg.110850_TMYx.2009-2023.zip")</f>
        <v>https://climate.onebuilding.org/WMO_Region_6_Europe/AUT_Austria/NO_Lower_Austria/AUT_NO_Zwerndorf.Marchegg.110850_TMYx.2009-2023.zip</v>
      </c>
    </row>
    <row r="213" spans="1:10" x14ac:dyDescent="0.25">
      <c r="A213" t="s">
        <v>79</v>
      </c>
      <c r="B213" t="s">
        <v>93</v>
      </c>
      <c r="C213" t="s">
        <v>147</v>
      </c>
      <c r="D213">
        <v>110850</v>
      </c>
      <c r="E213" t="s">
        <v>14</v>
      </c>
      <c r="F213">
        <v>48.338099999999997</v>
      </c>
      <c r="G213">
        <v>16.831399999999999</v>
      </c>
      <c r="H213">
        <v>1</v>
      </c>
      <c r="I213">
        <v>145.6</v>
      </c>
      <c r="J213" t="str">
        <f>HYPERLINK("https://climate.onebuilding.org/WMO_Region_6_Europe/AUT_Austria/NO_Lower_Austria/AUT_NO_Zwerndorf.Marchegg.110850_TMYx.zip")</f>
        <v>https://climate.onebuilding.org/WMO_Region_6_Europe/AUT_Austria/NO_Lower_Austria/AUT_NO_Zwerndorf.Marchegg.110850_TMYx.zip</v>
      </c>
    </row>
    <row r="214" spans="1:10" x14ac:dyDescent="0.25">
      <c r="A214" t="s">
        <v>79</v>
      </c>
      <c r="B214" t="s">
        <v>116</v>
      </c>
      <c r="C214" t="s">
        <v>148</v>
      </c>
      <c r="D214">
        <v>110900</v>
      </c>
      <c r="E214" t="s">
        <v>14</v>
      </c>
      <c r="F214">
        <v>48.257199999999997</v>
      </c>
      <c r="G214">
        <v>16.4314</v>
      </c>
      <c r="H214">
        <v>1</v>
      </c>
      <c r="I214">
        <v>162</v>
      </c>
      <c r="J214" t="str">
        <f>HYPERLINK("https://climate.onebuilding.org/WMO_Region_6_Europe/AUT_Austria/WI_Vienna/AUT_WI_Wien-Donaufeld.110900_TMYx.2007-2021.zip")</f>
        <v>https://climate.onebuilding.org/WMO_Region_6_Europe/AUT_Austria/WI_Vienna/AUT_WI_Wien-Donaufeld.110900_TMYx.2007-2021.zip</v>
      </c>
    </row>
    <row r="215" spans="1:10" x14ac:dyDescent="0.25">
      <c r="A215" t="s">
        <v>79</v>
      </c>
      <c r="B215" t="s">
        <v>116</v>
      </c>
      <c r="C215" t="s">
        <v>148</v>
      </c>
      <c r="D215">
        <v>110900</v>
      </c>
      <c r="E215" t="s">
        <v>14</v>
      </c>
      <c r="F215">
        <v>48.257199999999997</v>
      </c>
      <c r="G215">
        <v>16.4314</v>
      </c>
      <c r="H215">
        <v>1</v>
      </c>
      <c r="I215">
        <v>162</v>
      </c>
      <c r="J215" t="str">
        <f>HYPERLINK("https://climate.onebuilding.org/WMO_Region_6_Europe/AUT_Austria/WI_Vienna/AUT_WI_Wien-Donaufeld.110900_TMYx.2009-2023.zip")</f>
        <v>https://climate.onebuilding.org/WMO_Region_6_Europe/AUT_Austria/WI_Vienna/AUT_WI_Wien-Donaufeld.110900_TMYx.2009-2023.zip</v>
      </c>
    </row>
    <row r="216" spans="1:10" x14ac:dyDescent="0.25">
      <c r="A216" t="s">
        <v>79</v>
      </c>
      <c r="B216" t="s">
        <v>116</v>
      </c>
      <c r="C216" t="s">
        <v>148</v>
      </c>
      <c r="D216">
        <v>110900</v>
      </c>
      <c r="E216" t="s">
        <v>14</v>
      </c>
      <c r="F216">
        <v>48.257199999999997</v>
      </c>
      <c r="G216">
        <v>16.4314</v>
      </c>
      <c r="H216">
        <v>1</v>
      </c>
      <c r="I216">
        <v>162</v>
      </c>
      <c r="J216" t="str">
        <f>HYPERLINK("https://climate.onebuilding.org/WMO_Region_6_Europe/AUT_Austria/WI_Vienna/AUT_WI_Wien-Donaufeld.110900_TMYx.zip")</f>
        <v>https://climate.onebuilding.org/WMO_Region_6_Europe/AUT_Austria/WI_Vienna/AUT_WI_Wien-Donaufeld.110900_TMYx.zip</v>
      </c>
    </row>
    <row r="217" spans="1:10" x14ac:dyDescent="0.25">
      <c r="A217" t="s">
        <v>79</v>
      </c>
      <c r="B217" t="s">
        <v>149</v>
      </c>
      <c r="C217" t="s">
        <v>150</v>
      </c>
      <c r="D217">
        <v>111010</v>
      </c>
      <c r="E217" t="s">
        <v>151</v>
      </c>
      <c r="F217">
        <v>47.499200000000002</v>
      </c>
      <c r="G217">
        <v>9.7461000000000002</v>
      </c>
      <c r="H217">
        <v>1</v>
      </c>
      <c r="I217">
        <v>437</v>
      </c>
      <c r="J217" t="str">
        <f>HYPERLINK("https://climate.onebuilding.org/WMO_Region_6_Europe/AUT_Austria/VO_Vorarlberg/AUT_VO_Bregenz.111010_TMYx.2004-2018.zip")</f>
        <v>https://climate.onebuilding.org/WMO_Region_6_Europe/AUT_Austria/VO_Vorarlberg/AUT_VO_Bregenz.111010_TMYx.2004-2018.zip</v>
      </c>
    </row>
    <row r="218" spans="1:10" x14ac:dyDescent="0.25">
      <c r="A218" t="s">
        <v>79</v>
      </c>
      <c r="B218" t="s">
        <v>149</v>
      </c>
      <c r="C218" t="s">
        <v>150</v>
      </c>
      <c r="D218">
        <v>111010</v>
      </c>
      <c r="E218" t="s">
        <v>14</v>
      </c>
      <c r="F218">
        <v>47.499200000000002</v>
      </c>
      <c r="G218">
        <v>9.7461000000000002</v>
      </c>
      <c r="H218">
        <v>1</v>
      </c>
      <c r="I218">
        <v>437</v>
      </c>
      <c r="J218" t="str">
        <f>HYPERLINK("https://climate.onebuilding.org/WMO_Region_6_Europe/AUT_Austria/VO_Vorarlberg/AUT_VO_Bregenz.111010_TMYx.2007-2021.zip")</f>
        <v>https://climate.onebuilding.org/WMO_Region_6_Europe/AUT_Austria/VO_Vorarlberg/AUT_VO_Bregenz.111010_TMYx.2007-2021.zip</v>
      </c>
    </row>
    <row r="219" spans="1:10" x14ac:dyDescent="0.25">
      <c r="A219" t="s">
        <v>79</v>
      </c>
      <c r="B219" t="s">
        <v>149</v>
      </c>
      <c r="C219" t="s">
        <v>150</v>
      </c>
      <c r="D219">
        <v>111010</v>
      </c>
      <c r="E219" t="s">
        <v>14</v>
      </c>
      <c r="F219">
        <v>47.499200000000002</v>
      </c>
      <c r="G219">
        <v>9.7461000000000002</v>
      </c>
      <c r="H219">
        <v>1</v>
      </c>
      <c r="I219">
        <v>437</v>
      </c>
      <c r="J219" t="str">
        <f>HYPERLINK("https://climate.onebuilding.org/WMO_Region_6_Europe/AUT_Austria/VO_Vorarlberg/AUT_VO_Bregenz.111010_TMYx.2009-2023.zip")</f>
        <v>https://climate.onebuilding.org/WMO_Region_6_Europe/AUT_Austria/VO_Vorarlberg/AUT_VO_Bregenz.111010_TMYx.2009-2023.zip</v>
      </c>
    </row>
    <row r="220" spans="1:10" x14ac:dyDescent="0.25">
      <c r="A220" t="s">
        <v>79</v>
      </c>
      <c r="B220" t="s">
        <v>149</v>
      </c>
      <c r="C220" t="s">
        <v>150</v>
      </c>
      <c r="D220">
        <v>111010</v>
      </c>
      <c r="E220" t="s">
        <v>14</v>
      </c>
      <c r="F220">
        <v>47.499200000000002</v>
      </c>
      <c r="G220">
        <v>9.7461000000000002</v>
      </c>
      <c r="H220">
        <v>1</v>
      </c>
      <c r="I220">
        <v>437</v>
      </c>
      <c r="J220" t="str">
        <f>HYPERLINK("https://climate.onebuilding.org/WMO_Region_6_Europe/AUT_Austria/VO_Vorarlberg/AUT_VO_Bregenz.111010_TMYx.zip")</f>
        <v>https://climate.onebuilding.org/WMO_Region_6_Europe/AUT_Austria/VO_Vorarlberg/AUT_VO_Bregenz.111010_TMYx.zip</v>
      </c>
    </row>
    <row r="221" spans="1:10" x14ac:dyDescent="0.25">
      <c r="A221" t="s">
        <v>79</v>
      </c>
      <c r="B221" t="s">
        <v>149</v>
      </c>
      <c r="C221" t="s">
        <v>152</v>
      </c>
      <c r="D221">
        <v>111050</v>
      </c>
      <c r="E221" t="s">
        <v>153</v>
      </c>
      <c r="F221">
        <v>47.271099999999997</v>
      </c>
      <c r="G221">
        <v>9.6097000000000001</v>
      </c>
      <c r="H221">
        <v>1</v>
      </c>
      <c r="I221">
        <v>435.9</v>
      </c>
      <c r="J221" t="str">
        <f>HYPERLINK("https://climate.onebuilding.org/WMO_Region_6_Europe/AUT_Austria/VO_Vorarlberg/AUT_VO_Feldkirch.111050_TMYx.2004-2018.zip")</f>
        <v>https://climate.onebuilding.org/WMO_Region_6_Europe/AUT_Austria/VO_Vorarlberg/AUT_VO_Feldkirch.111050_TMYx.2004-2018.zip</v>
      </c>
    </row>
    <row r="222" spans="1:10" x14ac:dyDescent="0.25">
      <c r="A222" t="s">
        <v>79</v>
      </c>
      <c r="B222" t="s">
        <v>149</v>
      </c>
      <c r="C222" t="s">
        <v>152</v>
      </c>
      <c r="D222">
        <v>111050</v>
      </c>
      <c r="E222" t="s">
        <v>14</v>
      </c>
      <c r="F222">
        <v>47.271099999999997</v>
      </c>
      <c r="G222">
        <v>9.6097000000000001</v>
      </c>
      <c r="H222">
        <v>1</v>
      </c>
      <c r="I222">
        <v>435.9</v>
      </c>
      <c r="J222" t="str">
        <f>HYPERLINK("https://climate.onebuilding.org/WMO_Region_6_Europe/AUT_Austria/VO_Vorarlberg/AUT_VO_Feldkirch.111050_TMYx.2007-2021.zip")</f>
        <v>https://climate.onebuilding.org/WMO_Region_6_Europe/AUT_Austria/VO_Vorarlberg/AUT_VO_Feldkirch.111050_TMYx.2007-2021.zip</v>
      </c>
    </row>
    <row r="223" spans="1:10" x14ac:dyDescent="0.25">
      <c r="A223" t="s">
        <v>79</v>
      </c>
      <c r="B223" t="s">
        <v>149</v>
      </c>
      <c r="C223" t="s">
        <v>152</v>
      </c>
      <c r="D223">
        <v>111050</v>
      </c>
      <c r="E223" t="s">
        <v>14</v>
      </c>
      <c r="F223">
        <v>47.271099999999997</v>
      </c>
      <c r="G223">
        <v>9.6097000000000001</v>
      </c>
      <c r="H223">
        <v>1</v>
      </c>
      <c r="I223">
        <v>435.9</v>
      </c>
      <c r="J223" t="str">
        <f>HYPERLINK("https://climate.onebuilding.org/WMO_Region_6_Europe/AUT_Austria/VO_Vorarlberg/AUT_VO_Feldkirch.111050_TMYx.2009-2023.zip")</f>
        <v>https://climate.onebuilding.org/WMO_Region_6_Europe/AUT_Austria/VO_Vorarlberg/AUT_VO_Feldkirch.111050_TMYx.2009-2023.zip</v>
      </c>
    </row>
    <row r="224" spans="1:10" x14ac:dyDescent="0.25">
      <c r="A224" t="s">
        <v>79</v>
      </c>
      <c r="B224" t="s">
        <v>149</v>
      </c>
      <c r="C224" t="s">
        <v>152</v>
      </c>
      <c r="D224">
        <v>111050</v>
      </c>
      <c r="E224" t="s">
        <v>14</v>
      </c>
      <c r="F224">
        <v>47.271099999999997</v>
      </c>
      <c r="G224">
        <v>9.6097000000000001</v>
      </c>
      <c r="H224">
        <v>1</v>
      </c>
      <c r="I224">
        <v>435.9</v>
      </c>
      <c r="J224" t="str">
        <f>HYPERLINK("https://climate.onebuilding.org/WMO_Region_6_Europe/AUT_Austria/VO_Vorarlberg/AUT_VO_Feldkirch.111050_TMYx.zip")</f>
        <v>https://climate.onebuilding.org/WMO_Region_6_Europe/AUT_Austria/VO_Vorarlberg/AUT_VO_Feldkirch.111050_TMYx.zip</v>
      </c>
    </row>
    <row r="225" spans="1:10" x14ac:dyDescent="0.25">
      <c r="A225" t="s">
        <v>79</v>
      </c>
      <c r="B225" t="s">
        <v>149</v>
      </c>
      <c r="C225" t="s">
        <v>154</v>
      </c>
      <c r="D225">
        <v>111060</v>
      </c>
      <c r="E225" t="s">
        <v>14</v>
      </c>
      <c r="F225">
        <v>47.178699999999999</v>
      </c>
      <c r="G225">
        <v>9.8137000000000008</v>
      </c>
      <c r="H225">
        <v>1</v>
      </c>
      <c r="I225">
        <v>948</v>
      </c>
      <c r="J225" t="str">
        <f>HYPERLINK("https://climate.onebuilding.org/WMO_Region_6_Europe/AUT_Austria/VO_Vorarlberg/AUT_VO_Laz-Muttersberg.111060_TMYx.zip")</f>
        <v>https://climate.onebuilding.org/WMO_Region_6_Europe/AUT_Austria/VO_Vorarlberg/AUT_VO_Laz-Muttersberg.111060_TMYx.zip</v>
      </c>
    </row>
    <row r="226" spans="1:10" x14ac:dyDescent="0.25">
      <c r="A226" t="s">
        <v>79</v>
      </c>
      <c r="B226" t="s">
        <v>155</v>
      </c>
      <c r="C226" t="s">
        <v>156</v>
      </c>
      <c r="D226">
        <v>111090</v>
      </c>
      <c r="E226" t="s">
        <v>157</v>
      </c>
      <c r="F226">
        <v>47.131700000000002</v>
      </c>
      <c r="G226">
        <v>10.27</v>
      </c>
      <c r="H226">
        <v>1</v>
      </c>
      <c r="I226">
        <v>1300.4000000000001</v>
      </c>
      <c r="J226" t="str">
        <f>HYPERLINK("https://climate.onebuilding.org/WMO_Region_6_Europe/AUT_Austria/TR_Tyrol/AUT_TR_St.Anton.am.Arlberg.111090_TMYx.2004-2018.zip")</f>
        <v>https://climate.onebuilding.org/WMO_Region_6_Europe/AUT_Austria/TR_Tyrol/AUT_TR_St.Anton.am.Arlberg.111090_TMYx.2004-2018.zip</v>
      </c>
    </row>
    <row r="227" spans="1:10" x14ac:dyDescent="0.25">
      <c r="A227" t="s">
        <v>79</v>
      </c>
      <c r="B227" t="s">
        <v>155</v>
      </c>
      <c r="C227" t="s">
        <v>156</v>
      </c>
      <c r="D227">
        <v>111090</v>
      </c>
      <c r="E227" t="s">
        <v>14</v>
      </c>
      <c r="F227">
        <v>47.131700000000002</v>
      </c>
      <c r="G227">
        <v>10.27</v>
      </c>
      <c r="H227">
        <v>1</v>
      </c>
      <c r="I227">
        <v>1300.4000000000001</v>
      </c>
      <c r="J227" t="str">
        <f>HYPERLINK("https://climate.onebuilding.org/WMO_Region_6_Europe/AUT_Austria/TR_Tyrol/AUT_TR_St.Anton.am.Arlberg.111090_TMYx.2007-2021.zip")</f>
        <v>https://climate.onebuilding.org/WMO_Region_6_Europe/AUT_Austria/TR_Tyrol/AUT_TR_St.Anton.am.Arlberg.111090_TMYx.2007-2021.zip</v>
      </c>
    </row>
    <row r="228" spans="1:10" x14ac:dyDescent="0.25">
      <c r="A228" t="s">
        <v>79</v>
      </c>
      <c r="B228" t="s">
        <v>155</v>
      </c>
      <c r="C228" t="s">
        <v>156</v>
      </c>
      <c r="D228">
        <v>111090</v>
      </c>
      <c r="E228" t="s">
        <v>14</v>
      </c>
      <c r="F228">
        <v>47.131700000000002</v>
      </c>
      <c r="G228">
        <v>10.27</v>
      </c>
      <c r="H228">
        <v>1</v>
      </c>
      <c r="I228">
        <v>1300.4000000000001</v>
      </c>
      <c r="J228" t="str">
        <f>HYPERLINK("https://climate.onebuilding.org/WMO_Region_6_Europe/AUT_Austria/TR_Tyrol/AUT_TR_St.Anton.am.Arlberg.111090_TMYx.2009-2023.zip")</f>
        <v>https://climate.onebuilding.org/WMO_Region_6_Europe/AUT_Austria/TR_Tyrol/AUT_TR_St.Anton.am.Arlberg.111090_TMYx.2009-2023.zip</v>
      </c>
    </row>
    <row r="229" spans="1:10" x14ac:dyDescent="0.25">
      <c r="A229" t="s">
        <v>79</v>
      </c>
      <c r="B229" t="s">
        <v>155</v>
      </c>
      <c r="C229" t="s">
        <v>156</v>
      </c>
      <c r="D229">
        <v>111090</v>
      </c>
      <c r="E229" t="s">
        <v>14</v>
      </c>
      <c r="F229">
        <v>47.131700000000002</v>
      </c>
      <c r="G229">
        <v>10.27</v>
      </c>
      <c r="H229">
        <v>1</v>
      </c>
      <c r="I229">
        <v>1300.4000000000001</v>
      </c>
      <c r="J229" t="str">
        <f>HYPERLINK("https://climate.onebuilding.org/WMO_Region_6_Europe/AUT_Austria/TR_Tyrol/AUT_TR_St.Anton.am.Arlberg.111090_TMYx.zip")</f>
        <v>https://climate.onebuilding.org/WMO_Region_6_Europe/AUT_Austria/TR_Tyrol/AUT_TR_St.Anton.am.Arlberg.111090_TMYx.zip</v>
      </c>
    </row>
    <row r="230" spans="1:10" x14ac:dyDescent="0.25">
      <c r="A230" t="s">
        <v>79</v>
      </c>
      <c r="B230" t="s">
        <v>155</v>
      </c>
      <c r="C230" t="s">
        <v>158</v>
      </c>
      <c r="D230">
        <v>111100</v>
      </c>
      <c r="E230" t="s">
        <v>159</v>
      </c>
      <c r="F230">
        <v>47.1297</v>
      </c>
      <c r="G230">
        <v>10.2303</v>
      </c>
      <c r="H230">
        <v>1</v>
      </c>
      <c r="I230">
        <v>2089.9</v>
      </c>
      <c r="J230" t="str">
        <f>HYPERLINK("https://climate.onebuilding.org/WMO_Region_6_Europe/AUT_Austria/TR_Tyrol/AUT_TR_Galzig.Mtn-Lechtal.Alps.111100_TMYx.2004-2018.zip")</f>
        <v>https://climate.onebuilding.org/WMO_Region_6_Europe/AUT_Austria/TR_Tyrol/AUT_TR_Galzig.Mtn-Lechtal.Alps.111100_TMYx.2004-2018.zip</v>
      </c>
    </row>
    <row r="231" spans="1:10" x14ac:dyDescent="0.25">
      <c r="A231" t="s">
        <v>79</v>
      </c>
      <c r="B231" t="s">
        <v>155</v>
      </c>
      <c r="C231" t="s">
        <v>158</v>
      </c>
      <c r="D231">
        <v>111100</v>
      </c>
      <c r="E231" t="s">
        <v>14</v>
      </c>
      <c r="F231">
        <v>47.1297</v>
      </c>
      <c r="G231">
        <v>10.2303</v>
      </c>
      <c r="H231">
        <v>1</v>
      </c>
      <c r="I231">
        <v>2089.9</v>
      </c>
      <c r="J231" t="str">
        <f>HYPERLINK("https://climate.onebuilding.org/WMO_Region_6_Europe/AUT_Austria/TR_Tyrol/AUT_TR_Galzig.Mtn-Lechtal.Alps.111100_TMYx.2007-2021.zip")</f>
        <v>https://climate.onebuilding.org/WMO_Region_6_Europe/AUT_Austria/TR_Tyrol/AUT_TR_Galzig.Mtn-Lechtal.Alps.111100_TMYx.2007-2021.zip</v>
      </c>
    </row>
    <row r="232" spans="1:10" x14ac:dyDescent="0.25">
      <c r="A232" t="s">
        <v>79</v>
      </c>
      <c r="B232" t="s">
        <v>155</v>
      </c>
      <c r="C232" t="s">
        <v>158</v>
      </c>
      <c r="D232">
        <v>111100</v>
      </c>
      <c r="E232" t="s">
        <v>14</v>
      </c>
      <c r="F232">
        <v>47.1297</v>
      </c>
      <c r="G232">
        <v>10.2303</v>
      </c>
      <c r="H232">
        <v>1</v>
      </c>
      <c r="I232">
        <v>2089.9</v>
      </c>
      <c r="J232" t="str">
        <f>HYPERLINK("https://climate.onebuilding.org/WMO_Region_6_Europe/AUT_Austria/TR_Tyrol/AUT_TR_Galzig.Mtn-Lechtal.Alps.111100_TMYx.2009-2023.zip")</f>
        <v>https://climate.onebuilding.org/WMO_Region_6_Europe/AUT_Austria/TR_Tyrol/AUT_TR_Galzig.Mtn-Lechtal.Alps.111100_TMYx.2009-2023.zip</v>
      </c>
    </row>
    <row r="233" spans="1:10" x14ac:dyDescent="0.25">
      <c r="A233" t="s">
        <v>79</v>
      </c>
      <c r="B233" t="s">
        <v>155</v>
      </c>
      <c r="C233" t="s">
        <v>158</v>
      </c>
      <c r="D233">
        <v>111100</v>
      </c>
      <c r="E233" t="s">
        <v>14</v>
      </c>
      <c r="F233">
        <v>47.1297</v>
      </c>
      <c r="G233">
        <v>10.2303</v>
      </c>
      <c r="H233">
        <v>1</v>
      </c>
      <c r="I233">
        <v>2089.9</v>
      </c>
      <c r="J233" t="str">
        <f>HYPERLINK("https://climate.onebuilding.org/WMO_Region_6_Europe/AUT_Austria/TR_Tyrol/AUT_TR_Galzig.Mtn-Lechtal.Alps.111100_TMYx.zip")</f>
        <v>https://climate.onebuilding.org/WMO_Region_6_Europe/AUT_Austria/TR_Tyrol/AUT_TR_Galzig.Mtn-Lechtal.Alps.111100_TMYx.zip</v>
      </c>
    </row>
    <row r="234" spans="1:10" x14ac:dyDescent="0.25">
      <c r="A234" t="s">
        <v>79</v>
      </c>
      <c r="B234" t="s">
        <v>155</v>
      </c>
      <c r="C234" t="s">
        <v>160</v>
      </c>
      <c r="D234">
        <v>111120</v>
      </c>
      <c r="E234" t="s">
        <v>161</v>
      </c>
      <c r="F234">
        <v>47.140300000000003</v>
      </c>
      <c r="G234">
        <v>10.563599999999999</v>
      </c>
      <c r="H234">
        <v>1</v>
      </c>
      <c r="I234">
        <v>806.5</v>
      </c>
      <c r="J234" t="str">
        <f>HYPERLINK("https://climate.onebuilding.org/WMO_Region_6_Europe/AUT_Austria/TR_Tyrol/AUT_TR_Landeck.111120_TMYx.2004-2018.zip")</f>
        <v>https://climate.onebuilding.org/WMO_Region_6_Europe/AUT_Austria/TR_Tyrol/AUT_TR_Landeck.111120_TMYx.2004-2018.zip</v>
      </c>
    </row>
    <row r="235" spans="1:10" x14ac:dyDescent="0.25">
      <c r="A235" t="s">
        <v>79</v>
      </c>
      <c r="B235" t="s">
        <v>155</v>
      </c>
      <c r="C235" t="s">
        <v>160</v>
      </c>
      <c r="D235">
        <v>111120</v>
      </c>
      <c r="E235" t="s">
        <v>14</v>
      </c>
      <c r="F235">
        <v>47.140300000000003</v>
      </c>
      <c r="G235">
        <v>10.563599999999999</v>
      </c>
      <c r="H235">
        <v>1</v>
      </c>
      <c r="I235">
        <v>806.5</v>
      </c>
      <c r="J235" t="str">
        <f>HYPERLINK("https://climate.onebuilding.org/WMO_Region_6_Europe/AUT_Austria/TR_Tyrol/AUT_TR_Landeck.111120_TMYx.2007-2021.zip")</f>
        <v>https://climate.onebuilding.org/WMO_Region_6_Europe/AUT_Austria/TR_Tyrol/AUT_TR_Landeck.111120_TMYx.2007-2021.zip</v>
      </c>
    </row>
    <row r="236" spans="1:10" x14ac:dyDescent="0.25">
      <c r="A236" t="s">
        <v>79</v>
      </c>
      <c r="B236" t="s">
        <v>155</v>
      </c>
      <c r="C236" t="s">
        <v>160</v>
      </c>
      <c r="D236">
        <v>111120</v>
      </c>
      <c r="E236" t="s">
        <v>14</v>
      </c>
      <c r="F236">
        <v>47.140300000000003</v>
      </c>
      <c r="G236">
        <v>10.563599999999999</v>
      </c>
      <c r="H236">
        <v>1</v>
      </c>
      <c r="I236">
        <v>806.5</v>
      </c>
      <c r="J236" t="str">
        <f>HYPERLINK("https://climate.onebuilding.org/WMO_Region_6_Europe/AUT_Austria/TR_Tyrol/AUT_TR_Landeck.111120_TMYx.2009-2023.zip")</f>
        <v>https://climate.onebuilding.org/WMO_Region_6_Europe/AUT_Austria/TR_Tyrol/AUT_TR_Landeck.111120_TMYx.2009-2023.zip</v>
      </c>
    </row>
    <row r="237" spans="1:10" x14ac:dyDescent="0.25">
      <c r="A237" t="s">
        <v>79</v>
      </c>
      <c r="B237" t="s">
        <v>155</v>
      </c>
      <c r="C237" t="s">
        <v>160</v>
      </c>
      <c r="D237">
        <v>111120</v>
      </c>
      <c r="E237" t="s">
        <v>14</v>
      </c>
      <c r="F237">
        <v>47.140300000000003</v>
      </c>
      <c r="G237">
        <v>10.563599999999999</v>
      </c>
      <c r="H237">
        <v>1</v>
      </c>
      <c r="I237">
        <v>806.5</v>
      </c>
      <c r="J237" t="str">
        <f>HYPERLINK("https://climate.onebuilding.org/WMO_Region_6_Europe/AUT_Austria/TR_Tyrol/AUT_TR_Landeck.111120_TMYx.zip")</f>
        <v>https://climate.onebuilding.org/WMO_Region_6_Europe/AUT_Austria/TR_Tyrol/AUT_TR_Landeck.111120_TMYx.zip</v>
      </c>
    </row>
    <row r="238" spans="1:10" x14ac:dyDescent="0.25">
      <c r="A238" t="s">
        <v>79</v>
      </c>
      <c r="B238" t="s">
        <v>155</v>
      </c>
      <c r="C238" t="s">
        <v>162</v>
      </c>
      <c r="D238">
        <v>111130</v>
      </c>
      <c r="E238" t="s">
        <v>14</v>
      </c>
      <c r="F238">
        <v>46.891100000000002</v>
      </c>
      <c r="G238">
        <v>10.4969</v>
      </c>
      <c r="H238">
        <v>1</v>
      </c>
      <c r="I238">
        <v>1330</v>
      </c>
      <c r="J238" t="str">
        <f>HYPERLINK("https://climate.onebuilding.org/WMO_Region_6_Europe/AUT_Austria/TR_Tyrol/AUT_TR_Nauders.111130_TMYx.2007-2021.zip")</f>
        <v>https://climate.onebuilding.org/WMO_Region_6_Europe/AUT_Austria/TR_Tyrol/AUT_TR_Nauders.111130_TMYx.2007-2021.zip</v>
      </c>
    </row>
    <row r="239" spans="1:10" x14ac:dyDescent="0.25">
      <c r="A239" t="s">
        <v>79</v>
      </c>
      <c r="B239" t="s">
        <v>155</v>
      </c>
      <c r="C239" t="s">
        <v>162</v>
      </c>
      <c r="D239">
        <v>111130</v>
      </c>
      <c r="E239" t="s">
        <v>14</v>
      </c>
      <c r="F239">
        <v>46.891100000000002</v>
      </c>
      <c r="G239">
        <v>10.4969</v>
      </c>
      <c r="H239">
        <v>1</v>
      </c>
      <c r="I239">
        <v>1330</v>
      </c>
      <c r="J239" t="str">
        <f>HYPERLINK("https://climate.onebuilding.org/WMO_Region_6_Europe/AUT_Austria/TR_Tyrol/AUT_TR_Nauders.111130_TMYx.2009-2023.zip")</f>
        <v>https://climate.onebuilding.org/WMO_Region_6_Europe/AUT_Austria/TR_Tyrol/AUT_TR_Nauders.111130_TMYx.2009-2023.zip</v>
      </c>
    </row>
    <row r="240" spans="1:10" x14ac:dyDescent="0.25">
      <c r="A240" t="s">
        <v>79</v>
      </c>
      <c r="B240" t="s">
        <v>155</v>
      </c>
      <c r="C240" t="s">
        <v>162</v>
      </c>
      <c r="D240">
        <v>111130</v>
      </c>
      <c r="E240" t="s">
        <v>14</v>
      </c>
      <c r="F240">
        <v>46.891100000000002</v>
      </c>
      <c r="G240">
        <v>10.4969</v>
      </c>
      <c r="H240">
        <v>1</v>
      </c>
      <c r="I240">
        <v>1330</v>
      </c>
      <c r="J240" t="str">
        <f>HYPERLINK("https://climate.onebuilding.org/WMO_Region_6_Europe/AUT_Austria/TR_Tyrol/AUT_TR_Nauders.111130_TMYx.zip")</f>
        <v>https://climate.onebuilding.org/WMO_Region_6_Europe/AUT_Austria/TR_Tyrol/AUT_TR_Nauders.111130_TMYx.zip</v>
      </c>
    </row>
    <row r="241" spans="1:10" x14ac:dyDescent="0.25">
      <c r="A241" t="s">
        <v>79</v>
      </c>
      <c r="B241" t="s">
        <v>155</v>
      </c>
      <c r="C241" t="s">
        <v>163</v>
      </c>
      <c r="D241">
        <v>111150</v>
      </c>
      <c r="E241" t="s">
        <v>14</v>
      </c>
      <c r="F241">
        <v>47.549399999999999</v>
      </c>
      <c r="G241">
        <v>10.63</v>
      </c>
      <c r="H241">
        <v>1</v>
      </c>
      <c r="I241">
        <v>834</v>
      </c>
      <c r="J241" t="str">
        <f>HYPERLINK("https://climate.onebuilding.org/WMO_Region_6_Europe/AUT_Austria/TR_Tyrol/AUT_TR_Vils.111150_TMYx.zip")</f>
        <v>https://climate.onebuilding.org/WMO_Region_6_Europe/AUT_Austria/TR_Tyrol/AUT_TR_Vils.111150_TMYx.zip</v>
      </c>
    </row>
    <row r="242" spans="1:10" x14ac:dyDescent="0.25">
      <c r="A242" t="s">
        <v>79</v>
      </c>
      <c r="B242" t="s">
        <v>155</v>
      </c>
      <c r="C242" t="s">
        <v>164</v>
      </c>
      <c r="D242">
        <v>111160</v>
      </c>
      <c r="E242" t="s">
        <v>14</v>
      </c>
      <c r="F242">
        <v>47.487900000000003</v>
      </c>
      <c r="G242">
        <v>10.7303</v>
      </c>
      <c r="H242">
        <v>1</v>
      </c>
      <c r="I242">
        <v>860</v>
      </c>
      <c r="J242" t="str">
        <f>HYPERLINK("https://climate.onebuilding.org/WMO_Region_6_Europe/AUT_Austria/TR_Tyrol/AUT_TR_Reutte.111160_TMYx.2007-2021.zip")</f>
        <v>https://climate.onebuilding.org/WMO_Region_6_Europe/AUT_Austria/TR_Tyrol/AUT_TR_Reutte.111160_TMYx.2007-2021.zip</v>
      </c>
    </row>
    <row r="243" spans="1:10" x14ac:dyDescent="0.25">
      <c r="A243" t="s">
        <v>79</v>
      </c>
      <c r="B243" t="s">
        <v>155</v>
      </c>
      <c r="C243" t="s">
        <v>164</v>
      </c>
      <c r="D243">
        <v>111160</v>
      </c>
      <c r="E243" t="s">
        <v>14</v>
      </c>
      <c r="F243">
        <v>47.487900000000003</v>
      </c>
      <c r="G243">
        <v>10.7303</v>
      </c>
      <c r="H243">
        <v>1</v>
      </c>
      <c r="I243">
        <v>860</v>
      </c>
      <c r="J243" t="str">
        <f>HYPERLINK("https://climate.onebuilding.org/WMO_Region_6_Europe/AUT_Austria/TR_Tyrol/AUT_TR_Reutte.111160_TMYx.2009-2023.zip")</f>
        <v>https://climate.onebuilding.org/WMO_Region_6_Europe/AUT_Austria/TR_Tyrol/AUT_TR_Reutte.111160_TMYx.2009-2023.zip</v>
      </c>
    </row>
    <row r="244" spans="1:10" x14ac:dyDescent="0.25">
      <c r="A244" t="s">
        <v>79</v>
      </c>
      <c r="B244" t="s">
        <v>155</v>
      </c>
      <c r="C244" t="s">
        <v>164</v>
      </c>
      <c r="D244">
        <v>111160</v>
      </c>
      <c r="E244" t="s">
        <v>14</v>
      </c>
      <c r="F244">
        <v>47.487900000000003</v>
      </c>
      <c r="G244">
        <v>10.7303</v>
      </c>
      <c r="H244">
        <v>1</v>
      </c>
      <c r="I244">
        <v>860</v>
      </c>
      <c r="J244" t="str">
        <f>HYPERLINK("https://climate.onebuilding.org/WMO_Region_6_Europe/AUT_Austria/TR_Tyrol/AUT_TR_Reutte.111160_TMYx.zip")</f>
        <v>https://climate.onebuilding.org/WMO_Region_6_Europe/AUT_Austria/TR_Tyrol/AUT_TR_Reutte.111160_TMYx.zip</v>
      </c>
    </row>
    <row r="245" spans="1:10" x14ac:dyDescent="0.25">
      <c r="A245" t="s">
        <v>79</v>
      </c>
      <c r="B245" t="s">
        <v>155</v>
      </c>
      <c r="C245" t="s">
        <v>165</v>
      </c>
      <c r="D245">
        <v>111190</v>
      </c>
      <c r="E245" t="s">
        <v>14</v>
      </c>
      <c r="F245">
        <v>47.3247</v>
      </c>
      <c r="G245">
        <v>11.175599999999999</v>
      </c>
      <c r="H245">
        <v>1</v>
      </c>
      <c r="I245">
        <v>1183.7</v>
      </c>
      <c r="J245" t="str">
        <f>HYPERLINK("https://climate.onebuilding.org/WMO_Region_6_Europe/AUT_Austria/TR_Tyrol/AUT_TR_Seefeld.111190_TMYx.2007-2021.zip")</f>
        <v>https://climate.onebuilding.org/WMO_Region_6_Europe/AUT_Austria/TR_Tyrol/AUT_TR_Seefeld.111190_TMYx.2007-2021.zip</v>
      </c>
    </row>
    <row r="246" spans="1:10" x14ac:dyDescent="0.25">
      <c r="A246" t="s">
        <v>79</v>
      </c>
      <c r="B246" t="s">
        <v>155</v>
      </c>
      <c r="C246" t="s">
        <v>165</v>
      </c>
      <c r="D246">
        <v>111190</v>
      </c>
      <c r="E246" t="s">
        <v>14</v>
      </c>
      <c r="F246">
        <v>47.3247</v>
      </c>
      <c r="G246">
        <v>11.175599999999999</v>
      </c>
      <c r="H246">
        <v>1</v>
      </c>
      <c r="I246">
        <v>1183.7</v>
      </c>
      <c r="J246" t="str">
        <f>HYPERLINK("https://climate.onebuilding.org/WMO_Region_6_Europe/AUT_Austria/TR_Tyrol/AUT_TR_Seefeld.111190_TMYx.2009-2023.zip")</f>
        <v>https://climate.onebuilding.org/WMO_Region_6_Europe/AUT_Austria/TR_Tyrol/AUT_TR_Seefeld.111190_TMYx.2009-2023.zip</v>
      </c>
    </row>
    <row r="247" spans="1:10" x14ac:dyDescent="0.25">
      <c r="A247" t="s">
        <v>79</v>
      </c>
      <c r="B247" t="s">
        <v>155</v>
      </c>
      <c r="C247" t="s">
        <v>165</v>
      </c>
      <c r="D247">
        <v>111190</v>
      </c>
      <c r="E247" t="s">
        <v>14</v>
      </c>
      <c r="F247">
        <v>47.3247</v>
      </c>
      <c r="G247">
        <v>11.175599999999999</v>
      </c>
      <c r="H247">
        <v>1</v>
      </c>
      <c r="I247">
        <v>1183.7</v>
      </c>
      <c r="J247" t="str">
        <f>HYPERLINK("https://climate.onebuilding.org/WMO_Region_6_Europe/AUT_Austria/TR_Tyrol/AUT_TR_Seefeld.111190_TMYx.zip")</f>
        <v>https://climate.onebuilding.org/WMO_Region_6_Europe/AUT_Austria/TR_Tyrol/AUT_TR_Seefeld.111190_TMYx.zip</v>
      </c>
    </row>
    <row r="248" spans="1:10" x14ac:dyDescent="0.25">
      <c r="A248" t="s">
        <v>79</v>
      </c>
      <c r="B248" t="s">
        <v>155</v>
      </c>
      <c r="C248" t="s">
        <v>166</v>
      </c>
      <c r="D248">
        <v>111200</v>
      </c>
      <c r="E248" t="s">
        <v>167</v>
      </c>
      <c r="F248">
        <v>47.260300000000001</v>
      </c>
      <c r="G248">
        <v>11.3439</v>
      </c>
      <c r="H248">
        <v>1</v>
      </c>
      <c r="I248">
        <v>593</v>
      </c>
      <c r="J248" t="str">
        <f>HYPERLINK("https://climate.onebuilding.org/WMO_Region_6_Europe/AUT_Austria/TR_Tyrol/AUT_TR_Innsbruck.AP.111200_TMYx.2004-2018.zip")</f>
        <v>https://climate.onebuilding.org/WMO_Region_6_Europe/AUT_Austria/TR_Tyrol/AUT_TR_Innsbruck.AP.111200_TMYx.2004-2018.zip</v>
      </c>
    </row>
    <row r="249" spans="1:10" x14ac:dyDescent="0.25">
      <c r="A249" t="s">
        <v>79</v>
      </c>
      <c r="B249" t="s">
        <v>155</v>
      </c>
      <c r="C249" t="s">
        <v>166</v>
      </c>
      <c r="D249">
        <v>111200</v>
      </c>
      <c r="E249" t="s">
        <v>14</v>
      </c>
      <c r="F249">
        <v>47.260300000000001</v>
      </c>
      <c r="G249">
        <v>11.3439</v>
      </c>
      <c r="H249">
        <v>1</v>
      </c>
      <c r="I249">
        <v>593</v>
      </c>
      <c r="J249" t="str">
        <f>HYPERLINK("https://climate.onebuilding.org/WMO_Region_6_Europe/AUT_Austria/TR_Tyrol/AUT_TR_Innsbruck.AP.111200_TMYx.2007-2021.zip")</f>
        <v>https://climate.onebuilding.org/WMO_Region_6_Europe/AUT_Austria/TR_Tyrol/AUT_TR_Innsbruck.AP.111200_TMYx.2007-2021.zip</v>
      </c>
    </row>
    <row r="250" spans="1:10" x14ac:dyDescent="0.25">
      <c r="A250" t="s">
        <v>79</v>
      </c>
      <c r="B250" t="s">
        <v>155</v>
      </c>
      <c r="C250" t="s">
        <v>166</v>
      </c>
      <c r="D250">
        <v>111200</v>
      </c>
      <c r="E250" t="s">
        <v>14</v>
      </c>
      <c r="F250">
        <v>47.260300000000001</v>
      </c>
      <c r="G250">
        <v>11.3439</v>
      </c>
      <c r="H250">
        <v>1</v>
      </c>
      <c r="I250">
        <v>593</v>
      </c>
      <c r="J250" t="str">
        <f>HYPERLINK("https://climate.onebuilding.org/WMO_Region_6_Europe/AUT_Austria/TR_Tyrol/AUT_TR_Innsbruck.AP.111200_TMYx.2009-2023.zip")</f>
        <v>https://climate.onebuilding.org/WMO_Region_6_Europe/AUT_Austria/TR_Tyrol/AUT_TR_Innsbruck.AP.111200_TMYx.2009-2023.zip</v>
      </c>
    </row>
    <row r="251" spans="1:10" x14ac:dyDescent="0.25">
      <c r="A251" t="s">
        <v>79</v>
      </c>
      <c r="B251" t="s">
        <v>155</v>
      </c>
      <c r="C251" t="s">
        <v>166</v>
      </c>
      <c r="D251">
        <v>111200</v>
      </c>
      <c r="E251" t="s">
        <v>14</v>
      </c>
      <c r="F251">
        <v>47.260300000000001</v>
      </c>
      <c r="G251">
        <v>11.3439</v>
      </c>
      <c r="H251">
        <v>1</v>
      </c>
      <c r="I251">
        <v>593</v>
      </c>
      <c r="J251" t="str">
        <f>HYPERLINK("https://climate.onebuilding.org/WMO_Region_6_Europe/AUT_Austria/TR_Tyrol/AUT_TR_Innsbruck.AP.111200_TMYx.zip")</f>
        <v>https://climate.onebuilding.org/WMO_Region_6_Europe/AUT_Austria/TR_Tyrol/AUT_TR_Innsbruck.AP.111200_TMYx.zip</v>
      </c>
    </row>
    <row r="252" spans="1:10" x14ac:dyDescent="0.25">
      <c r="A252" t="s">
        <v>79</v>
      </c>
      <c r="B252" t="s">
        <v>155</v>
      </c>
      <c r="C252" t="s">
        <v>168</v>
      </c>
      <c r="D252">
        <v>111220</v>
      </c>
      <c r="E252" t="s">
        <v>14</v>
      </c>
      <c r="F252">
        <v>47.335000000000001</v>
      </c>
      <c r="G252">
        <v>11.6976</v>
      </c>
      <c r="H252">
        <v>1</v>
      </c>
      <c r="I252">
        <v>543</v>
      </c>
      <c r="J252" t="str">
        <f>HYPERLINK("https://climate.onebuilding.org/WMO_Region_6_Europe/AUT_Austria/TR_Tyrol/AUT_TR_Schwaz.Heliport.111220_TMYx.zip")</f>
        <v>https://climate.onebuilding.org/WMO_Region_6_Europe/AUT_Austria/TR_Tyrol/AUT_TR_Schwaz.Heliport.111220_TMYx.zip</v>
      </c>
    </row>
    <row r="253" spans="1:10" x14ac:dyDescent="0.25">
      <c r="A253" t="s">
        <v>79</v>
      </c>
      <c r="B253" t="s">
        <v>155</v>
      </c>
      <c r="C253" t="s">
        <v>169</v>
      </c>
      <c r="D253">
        <v>111260</v>
      </c>
      <c r="E253" t="s">
        <v>170</v>
      </c>
      <c r="F253">
        <v>47.2089</v>
      </c>
      <c r="G253">
        <v>11.462199999999999</v>
      </c>
      <c r="H253">
        <v>1</v>
      </c>
      <c r="I253">
        <v>2252</v>
      </c>
      <c r="J253" t="str">
        <f>HYPERLINK("https://climate.onebuilding.org/WMO_Region_6_Europe/AUT_Austria/TR_Tyrol/AUT_TR_Patscherkofel.Mtn.111260_TMYx.2004-2018.zip")</f>
        <v>https://climate.onebuilding.org/WMO_Region_6_Europe/AUT_Austria/TR_Tyrol/AUT_TR_Patscherkofel.Mtn.111260_TMYx.2004-2018.zip</v>
      </c>
    </row>
    <row r="254" spans="1:10" x14ac:dyDescent="0.25">
      <c r="A254" t="s">
        <v>79</v>
      </c>
      <c r="B254" t="s">
        <v>155</v>
      </c>
      <c r="C254" t="s">
        <v>169</v>
      </c>
      <c r="D254">
        <v>111260</v>
      </c>
      <c r="E254" t="s">
        <v>14</v>
      </c>
      <c r="F254">
        <v>47.2089</v>
      </c>
      <c r="G254">
        <v>11.462199999999999</v>
      </c>
      <c r="H254">
        <v>1</v>
      </c>
      <c r="I254">
        <v>2252</v>
      </c>
      <c r="J254" t="str">
        <f>HYPERLINK("https://climate.onebuilding.org/WMO_Region_6_Europe/AUT_Austria/TR_Tyrol/AUT_TR_Patscherkofel.Mtn.111260_TMYx.2007-2021.zip")</f>
        <v>https://climate.onebuilding.org/WMO_Region_6_Europe/AUT_Austria/TR_Tyrol/AUT_TR_Patscherkofel.Mtn.111260_TMYx.2007-2021.zip</v>
      </c>
    </row>
    <row r="255" spans="1:10" x14ac:dyDescent="0.25">
      <c r="A255" t="s">
        <v>79</v>
      </c>
      <c r="B255" t="s">
        <v>155</v>
      </c>
      <c r="C255" t="s">
        <v>169</v>
      </c>
      <c r="D255">
        <v>111260</v>
      </c>
      <c r="E255" t="s">
        <v>14</v>
      </c>
      <c r="F255">
        <v>47.2089</v>
      </c>
      <c r="G255">
        <v>11.462199999999999</v>
      </c>
      <c r="H255">
        <v>1</v>
      </c>
      <c r="I255">
        <v>2252</v>
      </c>
      <c r="J255" t="str">
        <f>HYPERLINK("https://climate.onebuilding.org/WMO_Region_6_Europe/AUT_Austria/TR_Tyrol/AUT_TR_Patscherkofel.Mtn.111260_TMYx.2009-2023.zip")</f>
        <v>https://climate.onebuilding.org/WMO_Region_6_Europe/AUT_Austria/TR_Tyrol/AUT_TR_Patscherkofel.Mtn.111260_TMYx.2009-2023.zip</v>
      </c>
    </row>
    <row r="256" spans="1:10" x14ac:dyDescent="0.25">
      <c r="A256" t="s">
        <v>79</v>
      </c>
      <c r="B256" t="s">
        <v>155</v>
      </c>
      <c r="C256" t="s">
        <v>169</v>
      </c>
      <c r="D256">
        <v>111260</v>
      </c>
      <c r="E256" t="s">
        <v>14</v>
      </c>
      <c r="F256">
        <v>47.2089</v>
      </c>
      <c r="G256">
        <v>11.462199999999999</v>
      </c>
      <c r="H256">
        <v>1</v>
      </c>
      <c r="I256">
        <v>2252</v>
      </c>
      <c r="J256" t="str">
        <f>HYPERLINK("https://climate.onebuilding.org/WMO_Region_6_Europe/AUT_Austria/TR_Tyrol/AUT_TR_Patscherkofel.Mtn.111260_TMYx.zip")</f>
        <v>https://climate.onebuilding.org/WMO_Region_6_Europe/AUT_Austria/TR_Tyrol/AUT_TR_Patscherkofel.Mtn.111260_TMYx.zip</v>
      </c>
    </row>
    <row r="257" spans="1:10" x14ac:dyDescent="0.25">
      <c r="A257" t="s">
        <v>79</v>
      </c>
      <c r="B257" t="s">
        <v>155</v>
      </c>
      <c r="C257" t="s">
        <v>171</v>
      </c>
      <c r="D257">
        <v>111270</v>
      </c>
      <c r="E257" t="s">
        <v>172</v>
      </c>
      <c r="F257">
        <v>46.866700000000002</v>
      </c>
      <c r="G257">
        <v>11.0244</v>
      </c>
      <c r="H257">
        <v>1</v>
      </c>
      <c r="I257">
        <v>1939.3</v>
      </c>
      <c r="J257" t="str">
        <f>HYPERLINK("https://climate.onebuilding.org/WMO_Region_6_Europe/AUT_Austria/TR_Tyrol/AUT_TR_Obergurgl.111270_TMYx.2004-2018.zip")</f>
        <v>https://climate.onebuilding.org/WMO_Region_6_Europe/AUT_Austria/TR_Tyrol/AUT_TR_Obergurgl.111270_TMYx.2004-2018.zip</v>
      </c>
    </row>
    <row r="258" spans="1:10" x14ac:dyDescent="0.25">
      <c r="A258" t="s">
        <v>79</v>
      </c>
      <c r="B258" t="s">
        <v>155</v>
      </c>
      <c r="C258" t="s">
        <v>171</v>
      </c>
      <c r="D258">
        <v>111270</v>
      </c>
      <c r="E258" t="s">
        <v>14</v>
      </c>
      <c r="F258">
        <v>46.866700000000002</v>
      </c>
      <c r="G258">
        <v>11.0244</v>
      </c>
      <c r="H258">
        <v>1</v>
      </c>
      <c r="I258">
        <v>1939.3</v>
      </c>
      <c r="J258" t="str">
        <f>HYPERLINK("https://climate.onebuilding.org/WMO_Region_6_Europe/AUT_Austria/TR_Tyrol/AUT_TR_Obergurgl.111270_TMYx.2007-2021.zip")</f>
        <v>https://climate.onebuilding.org/WMO_Region_6_Europe/AUT_Austria/TR_Tyrol/AUT_TR_Obergurgl.111270_TMYx.2007-2021.zip</v>
      </c>
    </row>
    <row r="259" spans="1:10" x14ac:dyDescent="0.25">
      <c r="A259" t="s">
        <v>79</v>
      </c>
      <c r="B259" t="s">
        <v>155</v>
      </c>
      <c r="C259" t="s">
        <v>171</v>
      </c>
      <c r="D259">
        <v>111270</v>
      </c>
      <c r="E259" t="s">
        <v>14</v>
      </c>
      <c r="F259">
        <v>46.866700000000002</v>
      </c>
      <c r="G259">
        <v>11.0244</v>
      </c>
      <c r="H259">
        <v>1</v>
      </c>
      <c r="I259">
        <v>1939.3</v>
      </c>
      <c r="J259" t="str">
        <f>HYPERLINK("https://climate.onebuilding.org/WMO_Region_6_Europe/AUT_Austria/TR_Tyrol/AUT_TR_Obergurgl.111270_TMYx.2009-2023.zip")</f>
        <v>https://climate.onebuilding.org/WMO_Region_6_Europe/AUT_Austria/TR_Tyrol/AUT_TR_Obergurgl.111270_TMYx.2009-2023.zip</v>
      </c>
    </row>
    <row r="260" spans="1:10" x14ac:dyDescent="0.25">
      <c r="A260" t="s">
        <v>79</v>
      </c>
      <c r="B260" t="s">
        <v>155</v>
      </c>
      <c r="C260" t="s">
        <v>171</v>
      </c>
      <c r="D260">
        <v>111270</v>
      </c>
      <c r="E260" t="s">
        <v>14</v>
      </c>
      <c r="F260">
        <v>46.866700000000002</v>
      </c>
      <c r="G260">
        <v>11.0244</v>
      </c>
      <c r="H260">
        <v>1</v>
      </c>
      <c r="I260">
        <v>1939.3</v>
      </c>
      <c r="J260" t="str">
        <f>HYPERLINK("https://climate.onebuilding.org/WMO_Region_6_Europe/AUT_Austria/TR_Tyrol/AUT_TR_Obergurgl.111270_TMYx.zip")</f>
        <v>https://climate.onebuilding.org/WMO_Region_6_Europe/AUT_Austria/TR_Tyrol/AUT_TR_Obergurgl.111270_TMYx.zip</v>
      </c>
    </row>
    <row r="261" spans="1:10" x14ac:dyDescent="0.25">
      <c r="A261" t="s">
        <v>79</v>
      </c>
      <c r="B261" t="s">
        <v>155</v>
      </c>
      <c r="C261" t="s">
        <v>173</v>
      </c>
      <c r="D261">
        <v>111280</v>
      </c>
      <c r="E261" t="s">
        <v>14</v>
      </c>
      <c r="F261">
        <v>47.008000000000003</v>
      </c>
      <c r="G261">
        <v>11.507</v>
      </c>
      <c r="H261">
        <v>1</v>
      </c>
      <c r="I261">
        <v>1447</v>
      </c>
      <c r="J261" t="str">
        <f>HYPERLINK("https://climate.onebuilding.org/WMO_Region_6_Europe/AUT_Austria/TR_Tyrol/AUT_TR_Brenner.111280_TMYx.zip")</f>
        <v>https://climate.onebuilding.org/WMO_Region_6_Europe/AUT_Austria/TR_Tyrol/AUT_TR_Brenner.111280_TMYx.zip</v>
      </c>
    </row>
    <row r="262" spans="1:10" x14ac:dyDescent="0.25">
      <c r="A262" t="s">
        <v>79</v>
      </c>
      <c r="B262" t="s">
        <v>155</v>
      </c>
      <c r="C262" t="s">
        <v>174</v>
      </c>
      <c r="D262">
        <v>111300</v>
      </c>
      <c r="E262" t="s">
        <v>175</v>
      </c>
      <c r="F262">
        <v>47.575299999999999</v>
      </c>
      <c r="G262">
        <v>12.162800000000001</v>
      </c>
      <c r="H262">
        <v>1</v>
      </c>
      <c r="I262">
        <v>491.6</v>
      </c>
      <c r="J262" t="str">
        <f>HYPERLINK("https://climate.onebuilding.org/WMO_Region_6_Europe/AUT_Austria/TR_Tyrol/AUT_TR_Kufstein.111300_TMYx.2004-2018.zip")</f>
        <v>https://climate.onebuilding.org/WMO_Region_6_Europe/AUT_Austria/TR_Tyrol/AUT_TR_Kufstein.111300_TMYx.2004-2018.zip</v>
      </c>
    </row>
    <row r="263" spans="1:10" x14ac:dyDescent="0.25">
      <c r="A263" t="s">
        <v>79</v>
      </c>
      <c r="B263" t="s">
        <v>155</v>
      </c>
      <c r="C263" t="s">
        <v>174</v>
      </c>
      <c r="D263">
        <v>111300</v>
      </c>
      <c r="E263" t="s">
        <v>14</v>
      </c>
      <c r="F263">
        <v>47.575299999999999</v>
      </c>
      <c r="G263">
        <v>12.162800000000001</v>
      </c>
      <c r="H263">
        <v>1</v>
      </c>
      <c r="I263">
        <v>491.6</v>
      </c>
      <c r="J263" t="str">
        <f>HYPERLINK("https://climate.onebuilding.org/WMO_Region_6_Europe/AUT_Austria/TR_Tyrol/AUT_TR_Kufstein.111300_TMYx.2007-2021.zip")</f>
        <v>https://climate.onebuilding.org/WMO_Region_6_Europe/AUT_Austria/TR_Tyrol/AUT_TR_Kufstein.111300_TMYx.2007-2021.zip</v>
      </c>
    </row>
    <row r="264" spans="1:10" x14ac:dyDescent="0.25">
      <c r="A264" t="s">
        <v>79</v>
      </c>
      <c r="B264" t="s">
        <v>155</v>
      </c>
      <c r="C264" t="s">
        <v>174</v>
      </c>
      <c r="D264">
        <v>111300</v>
      </c>
      <c r="E264" t="s">
        <v>14</v>
      </c>
      <c r="F264">
        <v>47.575299999999999</v>
      </c>
      <c r="G264">
        <v>12.162800000000001</v>
      </c>
      <c r="H264">
        <v>1</v>
      </c>
      <c r="I264">
        <v>491.6</v>
      </c>
      <c r="J264" t="str">
        <f>HYPERLINK("https://climate.onebuilding.org/WMO_Region_6_Europe/AUT_Austria/TR_Tyrol/AUT_TR_Kufstein.111300_TMYx.2009-2023.zip")</f>
        <v>https://climate.onebuilding.org/WMO_Region_6_Europe/AUT_Austria/TR_Tyrol/AUT_TR_Kufstein.111300_TMYx.2009-2023.zip</v>
      </c>
    </row>
    <row r="265" spans="1:10" x14ac:dyDescent="0.25">
      <c r="A265" t="s">
        <v>79</v>
      </c>
      <c r="B265" t="s">
        <v>155</v>
      </c>
      <c r="C265" t="s">
        <v>174</v>
      </c>
      <c r="D265">
        <v>111300</v>
      </c>
      <c r="E265" t="s">
        <v>14</v>
      </c>
      <c r="F265">
        <v>47.575299999999999</v>
      </c>
      <c r="G265">
        <v>12.162800000000001</v>
      </c>
      <c r="H265">
        <v>1</v>
      </c>
      <c r="I265">
        <v>491.6</v>
      </c>
      <c r="J265" t="str">
        <f>HYPERLINK("https://climate.onebuilding.org/WMO_Region_6_Europe/AUT_Austria/TR_Tyrol/AUT_TR_Kufstein.111300_TMYx.zip")</f>
        <v>https://climate.onebuilding.org/WMO_Region_6_Europe/AUT_Austria/TR_Tyrol/AUT_TR_Kufstein.111300_TMYx.zip</v>
      </c>
    </row>
    <row r="266" spans="1:10" x14ac:dyDescent="0.25">
      <c r="A266" t="s">
        <v>79</v>
      </c>
      <c r="B266" t="s">
        <v>155</v>
      </c>
      <c r="C266" t="s">
        <v>176</v>
      </c>
      <c r="D266">
        <v>111350</v>
      </c>
      <c r="E266" t="s">
        <v>177</v>
      </c>
      <c r="F266">
        <v>47.418300000000002</v>
      </c>
      <c r="G266">
        <v>12.3592</v>
      </c>
      <c r="H266">
        <v>1</v>
      </c>
      <c r="I266">
        <v>1763.6</v>
      </c>
      <c r="J266" t="str">
        <f>HYPERLINK("https://climate.onebuilding.org/WMO_Region_6_Europe/AUT_Austria/TR_Tyrol/AUT_TR_Hahnenkamm-Ehrenbachhohe.111350_TMYx.2004-2018.zip")</f>
        <v>https://climate.onebuilding.org/WMO_Region_6_Europe/AUT_Austria/TR_Tyrol/AUT_TR_Hahnenkamm-Ehrenbachhohe.111350_TMYx.2004-2018.zip</v>
      </c>
    </row>
    <row r="267" spans="1:10" x14ac:dyDescent="0.25">
      <c r="A267" t="s">
        <v>79</v>
      </c>
      <c r="B267" t="s">
        <v>155</v>
      </c>
      <c r="C267" t="s">
        <v>176</v>
      </c>
      <c r="D267">
        <v>111350</v>
      </c>
      <c r="E267" t="s">
        <v>14</v>
      </c>
      <c r="F267">
        <v>47.418300000000002</v>
      </c>
      <c r="G267">
        <v>12.3592</v>
      </c>
      <c r="H267">
        <v>1</v>
      </c>
      <c r="I267">
        <v>1763.6</v>
      </c>
      <c r="J267" t="str">
        <f>HYPERLINK("https://climate.onebuilding.org/WMO_Region_6_Europe/AUT_Austria/TR_Tyrol/AUT_TR_Hahnenkamm-Ehrenbachhohe.111350_TMYx.2007-2021.zip")</f>
        <v>https://climate.onebuilding.org/WMO_Region_6_Europe/AUT_Austria/TR_Tyrol/AUT_TR_Hahnenkamm-Ehrenbachhohe.111350_TMYx.2007-2021.zip</v>
      </c>
    </row>
    <row r="268" spans="1:10" x14ac:dyDescent="0.25">
      <c r="A268" t="s">
        <v>79</v>
      </c>
      <c r="B268" t="s">
        <v>155</v>
      </c>
      <c r="C268" t="s">
        <v>176</v>
      </c>
      <c r="D268">
        <v>111350</v>
      </c>
      <c r="E268" t="s">
        <v>14</v>
      </c>
      <c r="F268">
        <v>47.418300000000002</v>
      </c>
      <c r="G268">
        <v>12.3592</v>
      </c>
      <c r="H268">
        <v>1</v>
      </c>
      <c r="I268">
        <v>1763.6</v>
      </c>
      <c r="J268" t="str">
        <f>HYPERLINK("https://climate.onebuilding.org/WMO_Region_6_Europe/AUT_Austria/TR_Tyrol/AUT_TR_Hahnenkamm-Ehrenbachhohe.111350_TMYx.2009-2023.zip")</f>
        <v>https://climate.onebuilding.org/WMO_Region_6_Europe/AUT_Austria/TR_Tyrol/AUT_TR_Hahnenkamm-Ehrenbachhohe.111350_TMYx.2009-2023.zip</v>
      </c>
    </row>
    <row r="269" spans="1:10" x14ac:dyDescent="0.25">
      <c r="A269" t="s">
        <v>79</v>
      </c>
      <c r="B269" t="s">
        <v>155</v>
      </c>
      <c r="C269" t="s">
        <v>176</v>
      </c>
      <c r="D269">
        <v>111350</v>
      </c>
      <c r="E269" t="s">
        <v>14</v>
      </c>
      <c r="F269">
        <v>47.418300000000002</v>
      </c>
      <c r="G269">
        <v>12.3592</v>
      </c>
      <c r="H269">
        <v>1</v>
      </c>
      <c r="I269">
        <v>1763.6</v>
      </c>
      <c r="J269" t="str">
        <f>HYPERLINK("https://climate.onebuilding.org/WMO_Region_6_Europe/AUT_Austria/TR_Tyrol/AUT_TR_Hahnenkamm-Ehrenbachhohe.111350_TMYx.zip")</f>
        <v>https://climate.onebuilding.org/WMO_Region_6_Europe/AUT_Austria/TR_Tyrol/AUT_TR_Hahnenkamm-Ehrenbachhohe.111350_TMYx.zip</v>
      </c>
    </row>
    <row r="270" spans="1:10" x14ac:dyDescent="0.25">
      <c r="A270" t="s">
        <v>79</v>
      </c>
      <c r="B270" t="s">
        <v>178</v>
      </c>
      <c r="C270" t="s">
        <v>179</v>
      </c>
      <c r="D270">
        <v>111360</v>
      </c>
      <c r="E270" t="s">
        <v>180</v>
      </c>
      <c r="F270">
        <v>47.229199999999999</v>
      </c>
      <c r="G270">
        <v>12.181900000000001</v>
      </c>
      <c r="H270">
        <v>1</v>
      </c>
      <c r="I270">
        <v>1010.7</v>
      </c>
      <c r="J270" t="str">
        <f>HYPERLINK("https://climate.onebuilding.org/WMO_Region_6_Europe/AUT_Austria/SZ_Salzburg/AUT_SZ_Krimml.111360_TMYx.2004-2018.zip")</f>
        <v>https://climate.onebuilding.org/WMO_Region_6_Europe/AUT_Austria/SZ_Salzburg/AUT_SZ_Krimml.111360_TMYx.2004-2018.zip</v>
      </c>
    </row>
    <row r="271" spans="1:10" x14ac:dyDescent="0.25">
      <c r="A271" t="s">
        <v>79</v>
      </c>
      <c r="B271" t="s">
        <v>178</v>
      </c>
      <c r="C271" t="s">
        <v>179</v>
      </c>
      <c r="D271">
        <v>111360</v>
      </c>
      <c r="E271" t="s">
        <v>14</v>
      </c>
      <c r="F271">
        <v>47.229199999999999</v>
      </c>
      <c r="G271">
        <v>12.181900000000001</v>
      </c>
      <c r="H271">
        <v>1</v>
      </c>
      <c r="I271">
        <v>1010.7</v>
      </c>
      <c r="J271" t="str">
        <f>HYPERLINK("https://climate.onebuilding.org/WMO_Region_6_Europe/AUT_Austria/SZ_Salzburg/AUT_SZ_Krimml.111360_TMYx.2007-2021.zip")</f>
        <v>https://climate.onebuilding.org/WMO_Region_6_Europe/AUT_Austria/SZ_Salzburg/AUT_SZ_Krimml.111360_TMYx.2007-2021.zip</v>
      </c>
    </row>
    <row r="272" spans="1:10" x14ac:dyDescent="0.25">
      <c r="A272" t="s">
        <v>79</v>
      </c>
      <c r="B272" t="s">
        <v>178</v>
      </c>
      <c r="C272" t="s">
        <v>179</v>
      </c>
      <c r="D272">
        <v>111360</v>
      </c>
      <c r="E272" t="s">
        <v>14</v>
      </c>
      <c r="F272">
        <v>47.229199999999999</v>
      </c>
      <c r="G272">
        <v>12.181900000000001</v>
      </c>
      <c r="H272">
        <v>1</v>
      </c>
      <c r="I272">
        <v>1010.7</v>
      </c>
      <c r="J272" t="str">
        <f>HYPERLINK("https://climate.onebuilding.org/WMO_Region_6_Europe/AUT_Austria/SZ_Salzburg/AUT_SZ_Krimml.111360_TMYx.2009-2023.zip")</f>
        <v>https://climate.onebuilding.org/WMO_Region_6_Europe/AUT_Austria/SZ_Salzburg/AUT_SZ_Krimml.111360_TMYx.2009-2023.zip</v>
      </c>
    </row>
    <row r="273" spans="1:10" x14ac:dyDescent="0.25">
      <c r="A273" t="s">
        <v>79</v>
      </c>
      <c r="B273" t="s">
        <v>178</v>
      </c>
      <c r="C273" t="s">
        <v>179</v>
      </c>
      <c r="D273">
        <v>111360</v>
      </c>
      <c r="E273" t="s">
        <v>14</v>
      </c>
      <c r="F273">
        <v>47.229199999999999</v>
      </c>
      <c r="G273">
        <v>12.181900000000001</v>
      </c>
      <c r="H273">
        <v>1</v>
      </c>
      <c r="I273">
        <v>1010.7</v>
      </c>
      <c r="J273" t="str">
        <f>HYPERLINK("https://climate.onebuilding.org/WMO_Region_6_Europe/AUT_Austria/SZ_Salzburg/AUT_SZ_Krimml.111360_TMYx.zip")</f>
        <v>https://climate.onebuilding.org/WMO_Region_6_Europe/AUT_Austria/SZ_Salzburg/AUT_SZ_Krimml.111360_TMYx.zip</v>
      </c>
    </row>
    <row r="274" spans="1:10" x14ac:dyDescent="0.25">
      <c r="A274" t="s">
        <v>79</v>
      </c>
      <c r="B274" t="s">
        <v>178</v>
      </c>
      <c r="C274" t="s">
        <v>181</v>
      </c>
      <c r="D274">
        <v>111370</v>
      </c>
      <c r="E274" t="s">
        <v>182</v>
      </c>
      <c r="F274">
        <v>47.406100000000002</v>
      </c>
      <c r="G274">
        <v>12.898300000000001</v>
      </c>
      <c r="H274">
        <v>1</v>
      </c>
      <c r="I274">
        <v>794.3</v>
      </c>
      <c r="J274" t="str">
        <f>HYPERLINK("https://climate.onebuilding.org/WMO_Region_6_Europe/AUT_Austria/SZ_Salzburg/AUT_SZ_Maria.Alm.111370_TMYx.2004-2018.zip")</f>
        <v>https://climate.onebuilding.org/WMO_Region_6_Europe/AUT_Austria/SZ_Salzburg/AUT_SZ_Maria.Alm.111370_TMYx.2004-2018.zip</v>
      </c>
    </row>
    <row r="275" spans="1:10" x14ac:dyDescent="0.25">
      <c r="A275" t="s">
        <v>79</v>
      </c>
      <c r="B275" t="s">
        <v>178</v>
      </c>
      <c r="C275" t="s">
        <v>181</v>
      </c>
      <c r="D275">
        <v>111370</v>
      </c>
      <c r="E275" t="s">
        <v>14</v>
      </c>
      <c r="F275">
        <v>47.406100000000002</v>
      </c>
      <c r="G275">
        <v>12.898300000000001</v>
      </c>
      <c r="H275">
        <v>1</v>
      </c>
      <c r="I275">
        <v>794.3</v>
      </c>
      <c r="J275" t="str">
        <f>HYPERLINK("https://climate.onebuilding.org/WMO_Region_6_Europe/AUT_Austria/SZ_Salzburg/AUT_SZ_Maria.Alm.111370_TMYx.2007-2021.zip")</f>
        <v>https://climate.onebuilding.org/WMO_Region_6_Europe/AUT_Austria/SZ_Salzburg/AUT_SZ_Maria.Alm.111370_TMYx.2007-2021.zip</v>
      </c>
    </row>
    <row r="276" spans="1:10" x14ac:dyDescent="0.25">
      <c r="A276" t="s">
        <v>79</v>
      </c>
      <c r="B276" t="s">
        <v>178</v>
      </c>
      <c r="C276" t="s">
        <v>181</v>
      </c>
      <c r="D276">
        <v>111370</v>
      </c>
      <c r="E276" t="s">
        <v>14</v>
      </c>
      <c r="F276">
        <v>47.406100000000002</v>
      </c>
      <c r="G276">
        <v>12.898300000000001</v>
      </c>
      <c r="H276">
        <v>1</v>
      </c>
      <c r="I276">
        <v>794.3</v>
      </c>
      <c r="J276" t="str">
        <f>HYPERLINK("https://climate.onebuilding.org/WMO_Region_6_Europe/AUT_Austria/SZ_Salzburg/AUT_SZ_Maria.Alm.111370_TMYx.2009-2023.zip")</f>
        <v>https://climate.onebuilding.org/WMO_Region_6_Europe/AUT_Austria/SZ_Salzburg/AUT_SZ_Maria.Alm.111370_TMYx.2009-2023.zip</v>
      </c>
    </row>
    <row r="277" spans="1:10" x14ac:dyDescent="0.25">
      <c r="A277" t="s">
        <v>79</v>
      </c>
      <c r="B277" t="s">
        <v>178</v>
      </c>
      <c r="C277" t="s">
        <v>181</v>
      </c>
      <c r="D277">
        <v>111370</v>
      </c>
      <c r="E277" t="s">
        <v>14</v>
      </c>
      <c r="F277">
        <v>47.406100000000002</v>
      </c>
      <c r="G277">
        <v>12.898300000000001</v>
      </c>
      <c r="H277">
        <v>1</v>
      </c>
      <c r="I277">
        <v>794.3</v>
      </c>
      <c r="J277" t="str">
        <f>HYPERLINK("https://climate.onebuilding.org/WMO_Region_6_Europe/AUT_Austria/SZ_Salzburg/AUT_SZ_Maria.Alm.111370_TMYx.zip")</f>
        <v>https://climate.onebuilding.org/WMO_Region_6_Europe/AUT_Austria/SZ_Salzburg/AUT_SZ_Maria.Alm.111370_TMYx.zip</v>
      </c>
    </row>
    <row r="278" spans="1:10" x14ac:dyDescent="0.25">
      <c r="A278" t="s">
        <v>79</v>
      </c>
      <c r="B278" t="s">
        <v>155</v>
      </c>
      <c r="C278" t="s">
        <v>183</v>
      </c>
      <c r="D278">
        <v>111380</v>
      </c>
      <c r="E278" t="s">
        <v>184</v>
      </c>
      <c r="F278">
        <v>47.134999999999998</v>
      </c>
      <c r="G278">
        <v>12.6258</v>
      </c>
      <c r="H278">
        <v>1</v>
      </c>
      <c r="I278">
        <v>2319.6999999999998</v>
      </c>
      <c r="J278" t="str">
        <f>HYPERLINK("https://climate.onebuilding.org/WMO_Region_6_Europe/AUT_Austria/TR_Tyrol/AUT_TR_Alpinzentrum.Rudolfshutte.111380_TMYx.2004-2018.zip")</f>
        <v>https://climate.onebuilding.org/WMO_Region_6_Europe/AUT_Austria/TR_Tyrol/AUT_TR_Alpinzentrum.Rudolfshutte.111380_TMYx.2004-2018.zip</v>
      </c>
    </row>
    <row r="279" spans="1:10" x14ac:dyDescent="0.25">
      <c r="A279" t="s">
        <v>79</v>
      </c>
      <c r="B279" t="s">
        <v>155</v>
      </c>
      <c r="C279" t="s">
        <v>183</v>
      </c>
      <c r="D279">
        <v>111380</v>
      </c>
      <c r="E279" t="s">
        <v>14</v>
      </c>
      <c r="F279">
        <v>47.134999999999998</v>
      </c>
      <c r="G279">
        <v>12.6258</v>
      </c>
      <c r="H279">
        <v>1</v>
      </c>
      <c r="I279">
        <v>2319.6999999999998</v>
      </c>
      <c r="J279" t="str">
        <f>HYPERLINK("https://climate.onebuilding.org/WMO_Region_6_Europe/AUT_Austria/TR_Tyrol/AUT_TR_Alpinzentrum.Rudolfshutte.111380_TMYx.2007-2021.zip")</f>
        <v>https://climate.onebuilding.org/WMO_Region_6_Europe/AUT_Austria/TR_Tyrol/AUT_TR_Alpinzentrum.Rudolfshutte.111380_TMYx.2007-2021.zip</v>
      </c>
    </row>
    <row r="280" spans="1:10" x14ac:dyDescent="0.25">
      <c r="A280" t="s">
        <v>79</v>
      </c>
      <c r="B280" t="s">
        <v>155</v>
      </c>
      <c r="C280" t="s">
        <v>183</v>
      </c>
      <c r="D280">
        <v>111380</v>
      </c>
      <c r="E280" t="s">
        <v>14</v>
      </c>
      <c r="F280">
        <v>47.134999999999998</v>
      </c>
      <c r="G280">
        <v>12.6258</v>
      </c>
      <c r="H280">
        <v>1</v>
      </c>
      <c r="I280">
        <v>2319.6999999999998</v>
      </c>
      <c r="J280" t="str">
        <f>HYPERLINK("https://climate.onebuilding.org/WMO_Region_6_Europe/AUT_Austria/TR_Tyrol/AUT_TR_Alpinzentrum.Rudolfshutte.111380_TMYx.2009-2023.zip")</f>
        <v>https://climate.onebuilding.org/WMO_Region_6_Europe/AUT_Austria/TR_Tyrol/AUT_TR_Alpinzentrum.Rudolfshutte.111380_TMYx.2009-2023.zip</v>
      </c>
    </row>
    <row r="281" spans="1:10" x14ac:dyDescent="0.25">
      <c r="A281" t="s">
        <v>79</v>
      </c>
      <c r="B281" t="s">
        <v>155</v>
      </c>
      <c r="C281" t="s">
        <v>183</v>
      </c>
      <c r="D281">
        <v>111380</v>
      </c>
      <c r="E281" t="s">
        <v>14</v>
      </c>
      <c r="F281">
        <v>47.134999999999998</v>
      </c>
      <c r="G281">
        <v>12.6258</v>
      </c>
      <c r="H281">
        <v>1</v>
      </c>
      <c r="I281">
        <v>2319.6999999999998</v>
      </c>
      <c r="J281" t="str">
        <f>HYPERLINK("https://climate.onebuilding.org/WMO_Region_6_Europe/AUT_Austria/TR_Tyrol/AUT_TR_Alpinzentrum.Rudolfshutte.111380_TMYx.zip")</f>
        <v>https://climate.onebuilding.org/WMO_Region_6_Europe/AUT_Austria/TR_Tyrol/AUT_TR_Alpinzentrum.Rudolfshutte.111380_TMYx.zip</v>
      </c>
    </row>
    <row r="282" spans="1:10" x14ac:dyDescent="0.25">
      <c r="A282" t="s">
        <v>79</v>
      </c>
      <c r="B282" t="s">
        <v>178</v>
      </c>
      <c r="C282" t="s">
        <v>185</v>
      </c>
      <c r="D282">
        <v>111400</v>
      </c>
      <c r="E282" t="s">
        <v>14</v>
      </c>
      <c r="F282">
        <v>47.584400000000002</v>
      </c>
      <c r="G282">
        <v>12.6953</v>
      </c>
      <c r="H282">
        <v>1</v>
      </c>
      <c r="I282">
        <v>622</v>
      </c>
      <c r="J282" t="str">
        <f>HYPERLINK("https://climate.onebuilding.org/WMO_Region_6_Europe/AUT_Austria/SZ_Salzburg/AUT_SZ_Lofer.111400_TMYx.2007-2021.zip")</f>
        <v>https://climate.onebuilding.org/WMO_Region_6_Europe/AUT_Austria/SZ_Salzburg/AUT_SZ_Lofer.111400_TMYx.2007-2021.zip</v>
      </c>
    </row>
    <row r="283" spans="1:10" x14ac:dyDescent="0.25">
      <c r="A283" t="s">
        <v>79</v>
      </c>
      <c r="B283" t="s">
        <v>178</v>
      </c>
      <c r="C283" t="s">
        <v>185</v>
      </c>
      <c r="D283">
        <v>111400</v>
      </c>
      <c r="E283" t="s">
        <v>14</v>
      </c>
      <c r="F283">
        <v>47.584400000000002</v>
      </c>
      <c r="G283">
        <v>12.6953</v>
      </c>
      <c r="H283">
        <v>1</v>
      </c>
      <c r="I283">
        <v>622</v>
      </c>
      <c r="J283" t="str">
        <f>HYPERLINK("https://climate.onebuilding.org/WMO_Region_6_Europe/AUT_Austria/SZ_Salzburg/AUT_SZ_Lofer.111400_TMYx.2009-2023.zip")</f>
        <v>https://climate.onebuilding.org/WMO_Region_6_Europe/AUT_Austria/SZ_Salzburg/AUT_SZ_Lofer.111400_TMYx.2009-2023.zip</v>
      </c>
    </row>
    <row r="284" spans="1:10" x14ac:dyDescent="0.25">
      <c r="A284" t="s">
        <v>79</v>
      </c>
      <c r="B284" t="s">
        <v>178</v>
      </c>
      <c r="C284" t="s">
        <v>185</v>
      </c>
      <c r="D284">
        <v>111400</v>
      </c>
      <c r="E284" t="s">
        <v>14</v>
      </c>
      <c r="F284">
        <v>47.584400000000002</v>
      </c>
      <c r="G284">
        <v>12.6953</v>
      </c>
      <c r="H284">
        <v>1</v>
      </c>
      <c r="I284">
        <v>622</v>
      </c>
      <c r="J284" t="str">
        <f>HYPERLINK("https://climate.onebuilding.org/WMO_Region_6_Europe/AUT_Austria/SZ_Salzburg/AUT_SZ_Lofer.111400_TMYx.zip")</f>
        <v>https://climate.onebuilding.org/WMO_Region_6_Europe/AUT_Austria/SZ_Salzburg/AUT_SZ_Lofer.111400_TMYx.zip</v>
      </c>
    </row>
    <row r="285" spans="1:10" x14ac:dyDescent="0.25">
      <c r="A285" t="s">
        <v>79</v>
      </c>
      <c r="B285" t="s">
        <v>178</v>
      </c>
      <c r="C285" t="s">
        <v>186</v>
      </c>
      <c r="D285">
        <v>111410</v>
      </c>
      <c r="E285" t="s">
        <v>187</v>
      </c>
      <c r="F285">
        <v>47.407299999999999</v>
      </c>
      <c r="G285">
        <v>13.221399999999999</v>
      </c>
      <c r="H285">
        <v>1</v>
      </c>
      <c r="I285">
        <v>547.6</v>
      </c>
      <c r="J285" t="str">
        <f>HYPERLINK("https://climate.onebuilding.org/WMO_Region_6_Europe/AUT_Austria/SZ_Salzburg/AUT_SZ_Bischofshofen.111410_TMYx.2004-2018.zip")</f>
        <v>https://climate.onebuilding.org/WMO_Region_6_Europe/AUT_Austria/SZ_Salzburg/AUT_SZ_Bischofshofen.111410_TMYx.2004-2018.zip</v>
      </c>
    </row>
    <row r="286" spans="1:10" x14ac:dyDescent="0.25">
      <c r="A286" t="s">
        <v>79</v>
      </c>
      <c r="B286" t="s">
        <v>178</v>
      </c>
      <c r="C286" t="s">
        <v>186</v>
      </c>
      <c r="D286">
        <v>111410</v>
      </c>
      <c r="E286" t="s">
        <v>14</v>
      </c>
      <c r="F286">
        <v>47.407299999999999</v>
      </c>
      <c r="G286">
        <v>13.221399999999999</v>
      </c>
      <c r="H286">
        <v>1</v>
      </c>
      <c r="I286">
        <v>547.6</v>
      </c>
      <c r="J286" t="str">
        <f>HYPERLINK("https://climate.onebuilding.org/WMO_Region_6_Europe/AUT_Austria/SZ_Salzburg/AUT_SZ_Bischofshofen.111410_TMYx.2007-2021.zip")</f>
        <v>https://climate.onebuilding.org/WMO_Region_6_Europe/AUT_Austria/SZ_Salzburg/AUT_SZ_Bischofshofen.111410_TMYx.2007-2021.zip</v>
      </c>
    </row>
    <row r="287" spans="1:10" x14ac:dyDescent="0.25">
      <c r="A287" t="s">
        <v>79</v>
      </c>
      <c r="B287" t="s">
        <v>178</v>
      </c>
      <c r="C287" t="s">
        <v>186</v>
      </c>
      <c r="D287">
        <v>111410</v>
      </c>
      <c r="E287" t="s">
        <v>14</v>
      </c>
      <c r="F287">
        <v>47.407299999999999</v>
      </c>
      <c r="G287">
        <v>13.221399999999999</v>
      </c>
      <c r="H287">
        <v>1</v>
      </c>
      <c r="I287">
        <v>547.6</v>
      </c>
      <c r="J287" t="str">
        <f>HYPERLINK("https://climate.onebuilding.org/WMO_Region_6_Europe/AUT_Austria/SZ_Salzburg/AUT_SZ_Bischofshofen.111410_TMYx.2009-2023.zip")</f>
        <v>https://climate.onebuilding.org/WMO_Region_6_Europe/AUT_Austria/SZ_Salzburg/AUT_SZ_Bischofshofen.111410_TMYx.2009-2023.zip</v>
      </c>
    </row>
    <row r="288" spans="1:10" x14ac:dyDescent="0.25">
      <c r="A288" t="s">
        <v>79</v>
      </c>
      <c r="B288" t="s">
        <v>178</v>
      </c>
      <c r="C288" t="s">
        <v>186</v>
      </c>
      <c r="D288">
        <v>111410</v>
      </c>
      <c r="E288" t="s">
        <v>14</v>
      </c>
      <c r="F288">
        <v>47.407299999999999</v>
      </c>
      <c r="G288">
        <v>13.221399999999999</v>
      </c>
      <c r="H288">
        <v>1</v>
      </c>
      <c r="I288">
        <v>547.6</v>
      </c>
      <c r="J288" t="str">
        <f>HYPERLINK("https://climate.onebuilding.org/WMO_Region_6_Europe/AUT_Austria/SZ_Salzburg/AUT_SZ_Bischofshofen.111410_TMYx.zip")</f>
        <v>https://climate.onebuilding.org/WMO_Region_6_Europe/AUT_Austria/SZ_Salzburg/AUT_SZ_Bischofshofen.111410_TMYx.zip</v>
      </c>
    </row>
    <row r="289" spans="1:10" x14ac:dyDescent="0.25">
      <c r="A289" t="s">
        <v>79</v>
      </c>
      <c r="B289" t="s">
        <v>155</v>
      </c>
      <c r="C289" t="s">
        <v>188</v>
      </c>
      <c r="D289">
        <v>111420</v>
      </c>
      <c r="E289" t="s">
        <v>189</v>
      </c>
      <c r="F289">
        <v>47.315300000000001</v>
      </c>
      <c r="G289">
        <v>13.1836</v>
      </c>
      <c r="H289">
        <v>1</v>
      </c>
      <c r="I289">
        <v>647</v>
      </c>
      <c r="J289" t="str">
        <f>HYPERLINK("https://climate.onebuilding.org/WMO_Region_6_Europe/AUT_Austria/TR_Tyrol/AUT_TR_St.Johann.im.Pongau.111420_TMYx.2004-2018.zip")</f>
        <v>https://climate.onebuilding.org/WMO_Region_6_Europe/AUT_Austria/TR_Tyrol/AUT_TR_St.Johann.im.Pongau.111420_TMYx.2004-2018.zip</v>
      </c>
    </row>
    <row r="290" spans="1:10" x14ac:dyDescent="0.25">
      <c r="A290" t="s">
        <v>79</v>
      </c>
      <c r="B290" t="s">
        <v>155</v>
      </c>
      <c r="C290" t="s">
        <v>188</v>
      </c>
      <c r="D290">
        <v>111420</v>
      </c>
      <c r="E290" t="s">
        <v>14</v>
      </c>
      <c r="F290">
        <v>47.315300000000001</v>
      </c>
      <c r="G290">
        <v>13.1836</v>
      </c>
      <c r="H290">
        <v>1</v>
      </c>
      <c r="I290">
        <v>647</v>
      </c>
      <c r="J290" t="str">
        <f>HYPERLINK("https://climate.onebuilding.org/WMO_Region_6_Europe/AUT_Austria/TR_Tyrol/AUT_TR_St.Johann.im.Pongau.111420_TMYx.2007-2021.zip")</f>
        <v>https://climate.onebuilding.org/WMO_Region_6_Europe/AUT_Austria/TR_Tyrol/AUT_TR_St.Johann.im.Pongau.111420_TMYx.2007-2021.zip</v>
      </c>
    </row>
    <row r="291" spans="1:10" x14ac:dyDescent="0.25">
      <c r="A291" t="s">
        <v>79</v>
      </c>
      <c r="B291" t="s">
        <v>155</v>
      </c>
      <c r="C291" t="s">
        <v>188</v>
      </c>
      <c r="D291">
        <v>111420</v>
      </c>
      <c r="E291" t="s">
        <v>14</v>
      </c>
      <c r="F291">
        <v>47.315300000000001</v>
      </c>
      <c r="G291">
        <v>13.1836</v>
      </c>
      <c r="H291">
        <v>1</v>
      </c>
      <c r="I291">
        <v>647</v>
      </c>
      <c r="J291" t="str">
        <f>HYPERLINK("https://climate.onebuilding.org/WMO_Region_6_Europe/AUT_Austria/TR_Tyrol/AUT_TR_St.Johann.im.Pongau.111420_TMYx.2009-2023.zip")</f>
        <v>https://climate.onebuilding.org/WMO_Region_6_Europe/AUT_Austria/TR_Tyrol/AUT_TR_St.Johann.im.Pongau.111420_TMYx.2009-2023.zip</v>
      </c>
    </row>
    <row r="292" spans="1:10" x14ac:dyDescent="0.25">
      <c r="A292" t="s">
        <v>79</v>
      </c>
      <c r="B292" t="s">
        <v>155</v>
      </c>
      <c r="C292" t="s">
        <v>188</v>
      </c>
      <c r="D292">
        <v>111420</v>
      </c>
      <c r="E292" t="s">
        <v>14</v>
      </c>
      <c r="F292">
        <v>47.315300000000001</v>
      </c>
      <c r="G292">
        <v>13.1836</v>
      </c>
      <c r="H292">
        <v>1</v>
      </c>
      <c r="I292">
        <v>647</v>
      </c>
      <c r="J292" t="str">
        <f>HYPERLINK("https://climate.onebuilding.org/WMO_Region_6_Europe/AUT_Austria/TR_Tyrol/AUT_TR_St.Johann.im.Pongau.111420_TMYx.zip")</f>
        <v>https://climate.onebuilding.org/WMO_Region_6_Europe/AUT_Austria/TR_Tyrol/AUT_TR_St.Johann.im.Pongau.111420_TMYx.zip</v>
      </c>
    </row>
    <row r="293" spans="1:10" x14ac:dyDescent="0.25">
      <c r="A293" t="s">
        <v>79</v>
      </c>
      <c r="B293" t="s">
        <v>178</v>
      </c>
      <c r="C293" t="s">
        <v>190</v>
      </c>
      <c r="D293">
        <v>111440</v>
      </c>
      <c r="E293" t="s">
        <v>191</v>
      </c>
      <c r="F293">
        <v>47.326700000000002</v>
      </c>
      <c r="G293">
        <v>12.795299999999999</v>
      </c>
      <c r="H293">
        <v>1</v>
      </c>
      <c r="I293">
        <v>769.9</v>
      </c>
      <c r="J293" t="str">
        <f>HYPERLINK("https://climate.onebuilding.org/WMO_Region_6_Europe/AUT_Austria/SZ_Salzburg/AUT_SZ_Zell.am.See.111440_TMYx.2004-2018.zip")</f>
        <v>https://climate.onebuilding.org/WMO_Region_6_Europe/AUT_Austria/SZ_Salzburg/AUT_SZ_Zell.am.See.111440_TMYx.2004-2018.zip</v>
      </c>
    </row>
    <row r="294" spans="1:10" x14ac:dyDescent="0.25">
      <c r="A294" t="s">
        <v>79</v>
      </c>
      <c r="B294" t="s">
        <v>178</v>
      </c>
      <c r="C294" t="s">
        <v>190</v>
      </c>
      <c r="D294">
        <v>111440</v>
      </c>
      <c r="E294" t="s">
        <v>14</v>
      </c>
      <c r="F294">
        <v>47.326700000000002</v>
      </c>
      <c r="G294">
        <v>12.795299999999999</v>
      </c>
      <c r="H294">
        <v>1</v>
      </c>
      <c r="I294">
        <v>769.9</v>
      </c>
      <c r="J294" t="str">
        <f>HYPERLINK("https://climate.onebuilding.org/WMO_Region_6_Europe/AUT_Austria/SZ_Salzburg/AUT_SZ_Zell.am.See.111440_TMYx.2007-2021.zip")</f>
        <v>https://climate.onebuilding.org/WMO_Region_6_Europe/AUT_Austria/SZ_Salzburg/AUT_SZ_Zell.am.See.111440_TMYx.2007-2021.zip</v>
      </c>
    </row>
    <row r="295" spans="1:10" x14ac:dyDescent="0.25">
      <c r="A295" t="s">
        <v>79</v>
      </c>
      <c r="B295" t="s">
        <v>178</v>
      </c>
      <c r="C295" t="s">
        <v>190</v>
      </c>
      <c r="D295">
        <v>111440</v>
      </c>
      <c r="E295" t="s">
        <v>14</v>
      </c>
      <c r="F295">
        <v>47.326700000000002</v>
      </c>
      <c r="G295">
        <v>12.795299999999999</v>
      </c>
      <c r="H295">
        <v>1</v>
      </c>
      <c r="I295">
        <v>769.9</v>
      </c>
      <c r="J295" t="str">
        <f>HYPERLINK("https://climate.onebuilding.org/WMO_Region_6_Europe/AUT_Austria/SZ_Salzburg/AUT_SZ_Zell.am.See.111440_TMYx.2009-2023.zip")</f>
        <v>https://climate.onebuilding.org/WMO_Region_6_Europe/AUT_Austria/SZ_Salzburg/AUT_SZ_Zell.am.See.111440_TMYx.2009-2023.zip</v>
      </c>
    </row>
    <row r="296" spans="1:10" x14ac:dyDescent="0.25">
      <c r="A296" t="s">
        <v>79</v>
      </c>
      <c r="B296" t="s">
        <v>178</v>
      </c>
      <c r="C296" t="s">
        <v>190</v>
      </c>
      <c r="D296">
        <v>111440</v>
      </c>
      <c r="E296" t="s">
        <v>14</v>
      </c>
      <c r="F296">
        <v>47.326700000000002</v>
      </c>
      <c r="G296">
        <v>12.795299999999999</v>
      </c>
      <c r="H296">
        <v>1</v>
      </c>
      <c r="I296">
        <v>769.9</v>
      </c>
      <c r="J296" t="str">
        <f>HYPERLINK("https://climate.onebuilding.org/WMO_Region_6_Europe/AUT_Austria/SZ_Salzburg/AUT_SZ_Zell.am.See.111440_TMYx.zip")</f>
        <v>https://climate.onebuilding.org/WMO_Region_6_Europe/AUT_Austria/SZ_Salzburg/AUT_SZ_Zell.am.See.111440_TMYx.zip</v>
      </c>
    </row>
    <row r="297" spans="1:10" x14ac:dyDescent="0.25">
      <c r="A297" t="s">
        <v>79</v>
      </c>
      <c r="B297" t="s">
        <v>178</v>
      </c>
      <c r="C297" t="s">
        <v>192</v>
      </c>
      <c r="D297">
        <v>111470</v>
      </c>
      <c r="E297" t="s">
        <v>193</v>
      </c>
      <c r="F297">
        <v>47.383000000000003</v>
      </c>
      <c r="G297">
        <v>13.45</v>
      </c>
      <c r="H297">
        <v>1</v>
      </c>
      <c r="I297">
        <v>861</v>
      </c>
      <c r="J297" t="str">
        <f>HYPERLINK("https://climate.onebuilding.org/WMO_Region_6_Europe/AUT_Austria/SZ_Salzburg/AUT_SZ_Radstadt.111470_TMYx.2004-2018.zip")</f>
        <v>https://climate.onebuilding.org/WMO_Region_6_Europe/AUT_Austria/SZ_Salzburg/AUT_SZ_Radstadt.111470_TMYx.2004-2018.zip</v>
      </c>
    </row>
    <row r="298" spans="1:10" x14ac:dyDescent="0.25">
      <c r="A298" t="s">
        <v>79</v>
      </c>
      <c r="B298" t="s">
        <v>178</v>
      </c>
      <c r="C298" t="s">
        <v>192</v>
      </c>
      <c r="D298">
        <v>111470</v>
      </c>
      <c r="E298" t="s">
        <v>14</v>
      </c>
      <c r="F298">
        <v>47.383000000000003</v>
      </c>
      <c r="G298">
        <v>13.45</v>
      </c>
      <c r="H298">
        <v>1</v>
      </c>
      <c r="I298">
        <v>861</v>
      </c>
      <c r="J298" t="str">
        <f>HYPERLINK("https://climate.onebuilding.org/WMO_Region_6_Europe/AUT_Austria/SZ_Salzburg/AUT_SZ_Radstadt.111470_TMYx.2007-2021.zip")</f>
        <v>https://climate.onebuilding.org/WMO_Region_6_Europe/AUT_Austria/SZ_Salzburg/AUT_SZ_Radstadt.111470_TMYx.2007-2021.zip</v>
      </c>
    </row>
    <row r="299" spans="1:10" x14ac:dyDescent="0.25">
      <c r="A299" t="s">
        <v>79</v>
      </c>
      <c r="B299" t="s">
        <v>178</v>
      </c>
      <c r="C299" t="s">
        <v>192</v>
      </c>
      <c r="D299">
        <v>111470</v>
      </c>
      <c r="E299" t="s">
        <v>14</v>
      </c>
      <c r="F299">
        <v>47.383000000000003</v>
      </c>
      <c r="G299">
        <v>13.45</v>
      </c>
      <c r="H299">
        <v>1</v>
      </c>
      <c r="I299">
        <v>861</v>
      </c>
      <c r="J299" t="str">
        <f>HYPERLINK("https://climate.onebuilding.org/WMO_Region_6_Europe/AUT_Austria/SZ_Salzburg/AUT_SZ_Radstadt.111470_TMYx.2009-2023.zip")</f>
        <v>https://climate.onebuilding.org/WMO_Region_6_Europe/AUT_Austria/SZ_Salzburg/AUT_SZ_Radstadt.111470_TMYx.2009-2023.zip</v>
      </c>
    </row>
    <row r="300" spans="1:10" x14ac:dyDescent="0.25">
      <c r="A300" t="s">
        <v>79</v>
      </c>
      <c r="B300" t="s">
        <v>178</v>
      </c>
      <c r="C300" t="s">
        <v>192</v>
      </c>
      <c r="D300">
        <v>111470</v>
      </c>
      <c r="E300" t="s">
        <v>14</v>
      </c>
      <c r="F300">
        <v>47.383000000000003</v>
      </c>
      <c r="G300">
        <v>13.45</v>
      </c>
      <c r="H300">
        <v>1</v>
      </c>
      <c r="I300">
        <v>861</v>
      </c>
      <c r="J300" t="str">
        <f>HYPERLINK("https://climate.onebuilding.org/WMO_Region_6_Europe/AUT_Austria/SZ_Salzburg/AUT_SZ_Radstadt.111470_TMYx.zip")</f>
        <v>https://climate.onebuilding.org/WMO_Region_6_Europe/AUT_Austria/SZ_Salzburg/AUT_SZ_Radstadt.111470_TMYx.zip</v>
      </c>
    </row>
    <row r="301" spans="1:10" x14ac:dyDescent="0.25">
      <c r="A301" t="s">
        <v>79</v>
      </c>
      <c r="B301" t="s">
        <v>178</v>
      </c>
      <c r="C301" t="s">
        <v>194</v>
      </c>
      <c r="D301">
        <v>111480</v>
      </c>
      <c r="E301" t="s">
        <v>195</v>
      </c>
      <c r="F301">
        <v>47.0944</v>
      </c>
      <c r="G301">
        <v>13.6228</v>
      </c>
      <c r="H301">
        <v>1</v>
      </c>
      <c r="I301">
        <v>1094</v>
      </c>
      <c r="J301" t="str">
        <f>HYPERLINK("https://climate.onebuilding.org/WMO_Region_6_Europe/AUT_Austria/SZ_Salzburg/AUT_SZ_St.Michael.im.Lungau.111480_TMYx.2004-2018.zip")</f>
        <v>https://climate.onebuilding.org/WMO_Region_6_Europe/AUT_Austria/SZ_Salzburg/AUT_SZ_St.Michael.im.Lungau.111480_TMYx.2004-2018.zip</v>
      </c>
    </row>
    <row r="302" spans="1:10" x14ac:dyDescent="0.25">
      <c r="A302" t="s">
        <v>79</v>
      </c>
      <c r="B302" t="s">
        <v>178</v>
      </c>
      <c r="C302" t="s">
        <v>194</v>
      </c>
      <c r="D302">
        <v>111480</v>
      </c>
      <c r="E302" t="s">
        <v>14</v>
      </c>
      <c r="F302">
        <v>47.0944</v>
      </c>
      <c r="G302">
        <v>13.6228</v>
      </c>
      <c r="H302">
        <v>1</v>
      </c>
      <c r="I302">
        <v>1094</v>
      </c>
      <c r="J302" t="str">
        <f>HYPERLINK("https://climate.onebuilding.org/WMO_Region_6_Europe/AUT_Austria/SZ_Salzburg/AUT_SZ_St.Michael.im.Lungau.111480_TMYx.2007-2021.zip")</f>
        <v>https://climate.onebuilding.org/WMO_Region_6_Europe/AUT_Austria/SZ_Salzburg/AUT_SZ_St.Michael.im.Lungau.111480_TMYx.2007-2021.zip</v>
      </c>
    </row>
    <row r="303" spans="1:10" x14ac:dyDescent="0.25">
      <c r="A303" t="s">
        <v>79</v>
      </c>
      <c r="B303" t="s">
        <v>178</v>
      </c>
      <c r="C303" t="s">
        <v>194</v>
      </c>
      <c r="D303">
        <v>111480</v>
      </c>
      <c r="E303" t="s">
        <v>14</v>
      </c>
      <c r="F303">
        <v>47.0944</v>
      </c>
      <c r="G303">
        <v>13.6228</v>
      </c>
      <c r="H303">
        <v>1</v>
      </c>
      <c r="I303">
        <v>1094</v>
      </c>
      <c r="J303" t="str">
        <f>HYPERLINK("https://climate.onebuilding.org/WMO_Region_6_Europe/AUT_Austria/SZ_Salzburg/AUT_SZ_St.Michael.im.Lungau.111480_TMYx.2009-2023.zip")</f>
        <v>https://climate.onebuilding.org/WMO_Region_6_Europe/AUT_Austria/SZ_Salzburg/AUT_SZ_St.Michael.im.Lungau.111480_TMYx.2009-2023.zip</v>
      </c>
    </row>
    <row r="304" spans="1:10" x14ac:dyDescent="0.25">
      <c r="A304" t="s">
        <v>79</v>
      </c>
      <c r="B304" t="s">
        <v>178</v>
      </c>
      <c r="C304" t="s">
        <v>194</v>
      </c>
      <c r="D304">
        <v>111480</v>
      </c>
      <c r="E304" t="s">
        <v>14</v>
      </c>
      <c r="F304">
        <v>47.0944</v>
      </c>
      <c r="G304">
        <v>13.6228</v>
      </c>
      <c r="H304">
        <v>1</v>
      </c>
      <c r="I304">
        <v>1094</v>
      </c>
      <c r="J304" t="str">
        <f>HYPERLINK("https://climate.onebuilding.org/WMO_Region_6_Europe/AUT_Austria/SZ_Salzburg/AUT_SZ_St.Michael.im.Lungau.111480_TMYx.zip")</f>
        <v>https://climate.onebuilding.org/WMO_Region_6_Europe/AUT_Austria/SZ_Salzburg/AUT_SZ_St.Michael.im.Lungau.111480_TMYx.zip</v>
      </c>
    </row>
    <row r="305" spans="1:10" x14ac:dyDescent="0.25">
      <c r="A305" t="s">
        <v>79</v>
      </c>
      <c r="B305" t="s">
        <v>178</v>
      </c>
      <c r="C305" t="s">
        <v>196</v>
      </c>
      <c r="D305">
        <v>111490</v>
      </c>
      <c r="E305" t="s">
        <v>197</v>
      </c>
      <c r="F305">
        <v>47.248899999999999</v>
      </c>
      <c r="G305">
        <v>13.559699999999999</v>
      </c>
      <c r="H305">
        <v>1</v>
      </c>
      <c r="I305">
        <v>1744.9</v>
      </c>
      <c r="J305" t="str">
        <f>HYPERLINK("https://climate.onebuilding.org/WMO_Region_6_Europe/AUT_Austria/SZ_Salzburg/AUT_SZ_Obertauern.111490_TMYx.2004-2018.zip")</f>
        <v>https://climate.onebuilding.org/WMO_Region_6_Europe/AUT_Austria/SZ_Salzburg/AUT_SZ_Obertauern.111490_TMYx.2004-2018.zip</v>
      </c>
    </row>
    <row r="306" spans="1:10" x14ac:dyDescent="0.25">
      <c r="A306" t="s">
        <v>79</v>
      </c>
      <c r="B306" t="s">
        <v>178</v>
      </c>
      <c r="C306" t="s">
        <v>196</v>
      </c>
      <c r="D306">
        <v>111490</v>
      </c>
      <c r="E306" t="s">
        <v>14</v>
      </c>
      <c r="F306">
        <v>47.248899999999999</v>
      </c>
      <c r="G306">
        <v>13.559699999999999</v>
      </c>
      <c r="H306">
        <v>1</v>
      </c>
      <c r="I306">
        <v>1744.9</v>
      </c>
      <c r="J306" t="str">
        <f>HYPERLINK("https://climate.onebuilding.org/WMO_Region_6_Europe/AUT_Austria/SZ_Salzburg/AUT_SZ_Obertauern.111490_TMYx.2007-2021.zip")</f>
        <v>https://climate.onebuilding.org/WMO_Region_6_Europe/AUT_Austria/SZ_Salzburg/AUT_SZ_Obertauern.111490_TMYx.2007-2021.zip</v>
      </c>
    </row>
    <row r="307" spans="1:10" x14ac:dyDescent="0.25">
      <c r="A307" t="s">
        <v>79</v>
      </c>
      <c r="B307" t="s">
        <v>178</v>
      </c>
      <c r="C307" t="s">
        <v>196</v>
      </c>
      <c r="D307">
        <v>111490</v>
      </c>
      <c r="E307" t="s">
        <v>14</v>
      </c>
      <c r="F307">
        <v>47.248899999999999</v>
      </c>
      <c r="G307">
        <v>13.559699999999999</v>
      </c>
      <c r="H307">
        <v>1</v>
      </c>
      <c r="I307">
        <v>1744.9</v>
      </c>
      <c r="J307" t="str">
        <f>HYPERLINK("https://climate.onebuilding.org/WMO_Region_6_Europe/AUT_Austria/SZ_Salzburg/AUT_SZ_Obertauern.111490_TMYx.2009-2023.zip")</f>
        <v>https://climate.onebuilding.org/WMO_Region_6_Europe/AUT_Austria/SZ_Salzburg/AUT_SZ_Obertauern.111490_TMYx.2009-2023.zip</v>
      </c>
    </row>
    <row r="308" spans="1:10" x14ac:dyDescent="0.25">
      <c r="A308" t="s">
        <v>79</v>
      </c>
      <c r="B308" t="s">
        <v>178</v>
      </c>
      <c r="C308" t="s">
        <v>196</v>
      </c>
      <c r="D308">
        <v>111490</v>
      </c>
      <c r="E308" t="s">
        <v>14</v>
      </c>
      <c r="F308">
        <v>47.248899999999999</v>
      </c>
      <c r="G308">
        <v>13.559699999999999</v>
      </c>
      <c r="H308">
        <v>1</v>
      </c>
      <c r="I308">
        <v>1744.9</v>
      </c>
      <c r="J308" t="str">
        <f>HYPERLINK("https://climate.onebuilding.org/WMO_Region_6_Europe/AUT_Austria/SZ_Salzburg/AUT_SZ_Obertauern.111490_TMYx.zip")</f>
        <v>https://climate.onebuilding.org/WMO_Region_6_Europe/AUT_Austria/SZ_Salzburg/AUT_SZ_Obertauern.111490_TMYx.zip</v>
      </c>
    </row>
    <row r="309" spans="1:10" x14ac:dyDescent="0.25">
      <c r="A309" t="s">
        <v>79</v>
      </c>
      <c r="B309" t="s">
        <v>178</v>
      </c>
      <c r="C309" t="s">
        <v>198</v>
      </c>
      <c r="D309">
        <v>111500</v>
      </c>
      <c r="E309" t="s">
        <v>199</v>
      </c>
      <c r="F309">
        <v>47.794400000000003</v>
      </c>
      <c r="G309">
        <v>13.003299999999999</v>
      </c>
      <c r="H309">
        <v>1</v>
      </c>
      <c r="I309">
        <v>445</v>
      </c>
      <c r="J309" t="str">
        <f>HYPERLINK("https://climate.onebuilding.org/WMO_Region_6_Europe/AUT_Austria/SZ_Salzburg/AUT_SZ_Salzburg.AP.111500_TMYx.2004-2018.zip")</f>
        <v>https://climate.onebuilding.org/WMO_Region_6_Europe/AUT_Austria/SZ_Salzburg/AUT_SZ_Salzburg.AP.111500_TMYx.2004-2018.zip</v>
      </c>
    </row>
    <row r="310" spans="1:10" x14ac:dyDescent="0.25">
      <c r="A310" t="s">
        <v>79</v>
      </c>
      <c r="B310" t="s">
        <v>178</v>
      </c>
      <c r="C310" t="s">
        <v>198</v>
      </c>
      <c r="D310">
        <v>111500</v>
      </c>
      <c r="E310" t="s">
        <v>14</v>
      </c>
      <c r="F310">
        <v>47.794400000000003</v>
      </c>
      <c r="G310">
        <v>13.003299999999999</v>
      </c>
      <c r="H310">
        <v>1</v>
      </c>
      <c r="I310">
        <v>445</v>
      </c>
      <c r="J310" t="str">
        <f>HYPERLINK("https://climate.onebuilding.org/WMO_Region_6_Europe/AUT_Austria/SZ_Salzburg/AUT_SZ_Salzburg.AP.111500_TMYx.2007-2021.zip")</f>
        <v>https://climate.onebuilding.org/WMO_Region_6_Europe/AUT_Austria/SZ_Salzburg/AUT_SZ_Salzburg.AP.111500_TMYx.2007-2021.zip</v>
      </c>
    </row>
    <row r="311" spans="1:10" x14ac:dyDescent="0.25">
      <c r="A311" t="s">
        <v>79</v>
      </c>
      <c r="B311" t="s">
        <v>178</v>
      </c>
      <c r="C311" t="s">
        <v>198</v>
      </c>
      <c r="D311">
        <v>111500</v>
      </c>
      <c r="E311" t="s">
        <v>14</v>
      </c>
      <c r="F311">
        <v>47.794400000000003</v>
      </c>
      <c r="G311">
        <v>13.003299999999999</v>
      </c>
      <c r="H311">
        <v>1</v>
      </c>
      <c r="I311">
        <v>445</v>
      </c>
      <c r="J311" t="str">
        <f>HYPERLINK("https://climate.onebuilding.org/WMO_Region_6_Europe/AUT_Austria/SZ_Salzburg/AUT_SZ_Salzburg.AP.111500_TMYx.2009-2023.zip")</f>
        <v>https://climate.onebuilding.org/WMO_Region_6_Europe/AUT_Austria/SZ_Salzburg/AUT_SZ_Salzburg.AP.111500_TMYx.2009-2023.zip</v>
      </c>
    </row>
    <row r="312" spans="1:10" x14ac:dyDescent="0.25">
      <c r="A312" t="s">
        <v>79</v>
      </c>
      <c r="B312" t="s">
        <v>178</v>
      </c>
      <c r="C312" t="s">
        <v>198</v>
      </c>
      <c r="D312">
        <v>111500</v>
      </c>
      <c r="E312" t="s">
        <v>14</v>
      </c>
      <c r="F312">
        <v>47.794400000000003</v>
      </c>
      <c r="G312">
        <v>13.003299999999999</v>
      </c>
      <c r="H312">
        <v>1</v>
      </c>
      <c r="I312">
        <v>445</v>
      </c>
      <c r="J312" t="str">
        <f>HYPERLINK("https://climate.onebuilding.org/WMO_Region_6_Europe/AUT_Austria/SZ_Salzburg/AUT_SZ_Salzburg.AP.111500_TMYx.zip")</f>
        <v>https://climate.onebuilding.org/WMO_Region_6_Europe/AUT_Austria/SZ_Salzburg/AUT_SZ_Salzburg.AP.111500_TMYx.zip</v>
      </c>
    </row>
    <row r="313" spans="1:10" x14ac:dyDescent="0.25">
      <c r="A313" t="s">
        <v>79</v>
      </c>
      <c r="B313" t="s">
        <v>80</v>
      </c>
      <c r="C313" t="s">
        <v>200</v>
      </c>
      <c r="D313">
        <v>111510</v>
      </c>
      <c r="E313" t="s">
        <v>14</v>
      </c>
      <c r="F313">
        <v>47.95</v>
      </c>
      <c r="G313">
        <v>13.6</v>
      </c>
      <c r="H313">
        <v>1</v>
      </c>
      <c r="I313">
        <v>496</v>
      </c>
      <c r="J313" t="str">
        <f>HYPERLINK("https://climate.onebuilding.org/WMO_Region_6_Europe/AUT_Austria/OO_Upper_Austria/AUT_OO_Seewalchen.am.Attersee.111510_TMYx.zip")</f>
        <v>https://climate.onebuilding.org/WMO_Region_6_Europe/AUT_Austria/OO_Upper_Austria/AUT_OO_Seewalchen.am.Attersee.111510_TMYx.zip</v>
      </c>
    </row>
    <row r="314" spans="1:10" x14ac:dyDescent="0.25">
      <c r="A314" t="s">
        <v>79</v>
      </c>
      <c r="B314" t="s">
        <v>178</v>
      </c>
      <c r="C314" t="s">
        <v>201</v>
      </c>
      <c r="D314">
        <v>111520</v>
      </c>
      <c r="E314" t="s">
        <v>202</v>
      </c>
      <c r="F314">
        <v>47.977200000000003</v>
      </c>
      <c r="G314">
        <v>13.105600000000001</v>
      </c>
      <c r="H314">
        <v>1</v>
      </c>
      <c r="I314">
        <v>504</v>
      </c>
      <c r="J314" t="str">
        <f>HYPERLINK("https://climate.onebuilding.org/WMO_Region_6_Europe/AUT_Austria/SZ_Salzburg/AUT_SZ_Mattsee.111520_TMYx.2004-2018.zip")</f>
        <v>https://climate.onebuilding.org/WMO_Region_6_Europe/AUT_Austria/SZ_Salzburg/AUT_SZ_Mattsee.111520_TMYx.2004-2018.zip</v>
      </c>
    </row>
    <row r="315" spans="1:10" x14ac:dyDescent="0.25">
      <c r="A315" t="s">
        <v>79</v>
      </c>
      <c r="B315" t="s">
        <v>178</v>
      </c>
      <c r="C315" t="s">
        <v>201</v>
      </c>
      <c r="D315">
        <v>111520</v>
      </c>
      <c r="E315" t="s">
        <v>14</v>
      </c>
      <c r="F315">
        <v>47.977200000000003</v>
      </c>
      <c r="G315">
        <v>13.105600000000001</v>
      </c>
      <c r="H315">
        <v>1</v>
      </c>
      <c r="I315">
        <v>504</v>
      </c>
      <c r="J315" t="str">
        <f>HYPERLINK("https://climate.onebuilding.org/WMO_Region_6_Europe/AUT_Austria/SZ_Salzburg/AUT_SZ_Mattsee.111520_TMYx.2007-2021.zip")</f>
        <v>https://climate.onebuilding.org/WMO_Region_6_Europe/AUT_Austria/SZ_Salzburg/AUT_SZ_Mattsee.111520_TMYx.2007-2021.zip</v>
      </c>
    </row>
    <row r="316" spans="1:10" x14ac:dyDescent="0.25">
      <c r="A316" t="s">
        <v>79</v>
      </c>
      <c r="B316" t="s">
        <v>178</v>
      </c>
      <c r="C316" t="s">
        <v>201</v>
      </c>
      <c r="D316">
        <v>111520</v>
      </c>
      <c r="E316" t="s">
        <v>14</v>
      </c>
      <c r="F316">
        <v>47.977200000000003</v>
      </c>
      <c r="G316">
        <v>13.105600000000001</v>
      </c>
      <c r="H316">
        <v>1</v>
      </c>
      <c r="I316">
        <v>504</v>
      </c>
      <c r="J316" t="str">
        <f>HYPERLINK("https://climate.onebuilding.org/WMO_Region_6_Europe/AUT_Austria/SZ_Salzburg/AUT_SZ_Mattsee.111520_TMYx.2009-2023.zip")</f>
        <v>https://climate.onebuilding.org/WMO_Region_6_Europe/AUT_Austria/SZ_Salzburg/AUT_SZ_Mattsee.111520_TMYx.2009-2023.zip</v>
      </c>
    </row>
    <row r="317" spans="1:10" x14ac:dyDescent="0.25">
      <c r="A317" t="s">
        <v>79</v>
      </c>
      <c r="B317" t="s">
        <v>178</v>
      </c>
      <c r="C317" t="s">
        <v>201</v>
      </c>
      <c r="D317">
        <v>111520</v>
      </c>
      <c r="E317" t="s">
        <v>14</v>
      </c>
      <c r="F317">
        <v>47.977200000000003</v>
      </c>
      <c r="G317">
        <v>13.105600000000001</v>
      </c>
      <c r="H317">
        <v>1</v>
      </c>
      <c r="I317">
        <v>504</v>
      </c>
      <c r="J317" t="str">
        <f>HYPERLINK("https://climate.onebuilding.org/WMO_Region_6_Europe/AUT_Austria/SZ_Salzburg/AUT_SZ_Mattsee.111520_TMYx.zip")</f>
        <v>https://climate.onebuilding.org/WMO_Region_6_Europe/AUT_Austria/SZ_Salzburg/AUT_SZ_Mattsee.111520_TMYx.zip</v>
      </c>
    </row>
    <row r="318" spans="1:10" x14ac:dyDescent="0.25">
      <c r="A318" t="s">
        <v>79</v>
      </c>
      <c r="B318" t="s">
        <v>80</v>
      </c>
      <c r="C318" t="s">
        <v>203</v>
      </c>
      <c r="D318">
        <v>111530</v>
      </c>
      <c r="E318" t="s">
        <v>204</v>
      </c>
      <c r="F318">
        <v>47.8508</v>
      </c>
      <c r="G318">
        <v>13.347200000000001</v>
      </c>
      <c r="H318">
        <v>1</v>
      </c>
      <c r="I318">
        <v>482</v>
      </c>
      <c r="J318" t="str">
        <f>HYPERLINK("https://climate.onebuilding.org/WMO_Region_6_Europe/AUT_Austria/OO_Upper_Austria/AUT_OO_Mondsee.111530_TMYx.2004-2018.zip")</f>
        <v>https://climate.onebuilding.org/WMO_Region_6_Europe/AUT_Austria/OO_Upper_Austria/AUT_OO_Mondsee.111530_TMYx.2004-2018.zip</v>
      </c>
    </row>
    <row r="319" spans="1:10" x14ac:dyDescent="0.25">
      <c r="A319" t="s">
        <v>79</v>
      </c>
      <c r="B319" t="s">
        <v>80</v>
      </c>
      <c r="C319" t="s">
        <v>203</v>
      </c>
      <c r="D319">
        <v>111530</v>
      </c>
      <c r="E319" t="s">
        <v>14</v>
      </c>
      <c r="F319">
        <v>47.8508</v>
      </c>
      <c r="G319">
        <v>13.347200000000001</v>
      </c>
      <c r="H319">
        <v>1</v>
      </c>
      <c r="I319">
        <v>482</v>
      </c>
      <c r="J319" t="str">
        <f>HYPERLINK("https://climate.onebuilding.org/WMO_Region_6_Europe/AUT_Austria/OO_Upper_Austria/AUT_OO_Mondsee.111530_TMYx.2007-2021.zip")</f>
        <v>https://climate.onebuilding.org/WMO_Region_6_Europe/AUT_Austria/OO_Upper_Austria/AUT_OO_Mondsee.111530_TMYx.2007-2021.zip</v>
      </c>
    </row>
    <row r="320" spans="1:10" x14ac:dyDescent="0.25">
      <c r="A320" t="s">
        <v>79</v>
      </c>
      <c r="B320" t="s">
        <v>80</v>
      </c>
      <c r="C320" t="s">
        <v>203</v>
      </c>
      <c r="D320">
        <v>111530</v>
      </c>
      <c r="E320" t="s">
        <v>14</v>
      </c>
      <c r="F320">
        <v>47.8508</v>
      </c>
      <c r="G320">
        <v>13.347200000000001</v>
      </c>
      <c r="H320">
        <v>1</v>
      </c>
      <c r="I320">
        <v>482</v>
      </c>
      <c r="J320" t="str">
        <f>HYPERLINK("https://climate.onebuilding.org/WMO_Region_6_Europe/AUT_Austria/OO_Upper_Austria/AUT_OO_Mondsee.111530_TMYx.2009-2023.zip")</f>
        <v>https://climate.onebuilding.org/WMO_Region_6_Europe/AUT_Austria/OO_Upper_Austria/AUT_OO_Mondsee.111530_TMYx.2009-2023.zip</v>
      </c>
    </row>
    <row r="321" spans="1:10" x14ac:dyDescent="0.25">
      <c r="A321" t="s">
        <v>79</v>
      </c>
      <c r="B321" t="s">
        <v>80</v>
      </c>
      <c r="C321" t="s">
        <v>203</v>
      </c>
      <c r="D321">
        <v>111530</v>
      </c>
      <c r="E321" t="s">
        <v>14</v>
      </c>
      <c r="F321">
        <v>47.8508</v>
      </c>
      <c r="G321">
        <v>13.347200000000001</v>
      </c>
      <c r="H321">
        <v>1</v>
      </c>
      <c r="I321">
        <v>482</v>
      </c>
      <c r="J321" t="str">
        <f>HYPERLINK("https://climate.onebuilding.org/WMO_Region_6_Europe/AUT_Austria/OO_Upper_Austria/AUT_OO_Mondsee.111530_TMYx.zip")</f>
        <v>https://climate.onebuilding.org/WMO_Region_6_Europe/AUT_Austria/OO_Upper_Austria/AUT_OO_Mondsee.111530_TMYx.zip</v>
      </c>
    </row>
    <row r="322" spans="1:10" x14ac:dyDescent="0.25">
      <c r="A322" t="s">
        <v>79</v>
      </c>
      <c r="B322" t="s">
        <v>93</v>
      </c>
      <c r="C322" t="s">
        <v>205</v>
      </c>
      <c r="D322">
        <v>111540</v>
      </c>
      <c r="E322" t="s">
        <v>206</v>
      </c>
      <c r="F322">
        <v>47.914999999999999</v>
      </c>
      <c r="G322">
        <v>13.807</v>
      </c>
      <c r="H322">
        <v>1</v>
      </c>
      <c r="I322">
        <v>428</v>
      </c>
      <c r="J322" t="str">
        <f>HYPERLINK("https://climate.onebuilding.org/WMO_Region_6_Europe/AUT_Austria/NO_Lower_Austria/AUT_NO_Gmunden.111540_TMYx.2004-2018.zip")</f>
        <v>https://climate.onebuilding.org/WMO_Region_6_Europe/AUT_Austria/NO_Lower_Austria/AUT_NO_Gmunden.111540_TMYx.2004-2018.zip</v>
      </c>
    </row>
    <row r="323" spans="1:10" x14ac:dyDescent="0.25">
      <c r="A323" t="s">
        <v>79</v>
      </c>
      <c r="B323" t="s">
        <v>93</v>
      </c>
      <c r="C323" t="s">
        <v>205</v>
      </c>
      <c r="D323">
        <v>111540</v>
      </c>
      <c r="E323" t="s">
        <v>14</v>
      </c>
      <c r="F323">
        <v>47.914999999999999</v>
      </c>
      <c r="G323">
        <v>13.807</v>
      </c>
      <c r="H323">
        <v>1</v>
      </c>
      <c r="I323">
        <v>428</v>
      </c>
      <c r="J323" t="str">
        <f>HYPERLINK("https://climate.onebuilding.org/WMO_Region_6_Europe/AUT_Austria/NO_Lower_Austria/AUT_NO_Gmunden.111540_TMYx.2007-2021.zip")</f>
        <v>https://climate.onebuilding.org/WMO_Region_6_Europe/AUT_Austria/NO_Lower_Austria/AUT_NO_Gmunden.111540_TMYx.2007-2021.zip</v>
      </c>
    </row>
    <row r="324" spans="1:10" x14ac:dyDescent="0.25">
      <c r="A324" t="s">
        <v>79</v>
      </c>
      <c r="B324" t="s">
        <v>93</v>
      </c>
      <c r="C324" t="s">
        <v>205</v>
      </c>
      <c r="D324">
        <v>111540</v>
      </c>
      <c r="E324" t="s">
        <v>14</v>
      </c>
      <c r="F324">
        <v>47.914999999999999</v>
      </c>
      <c r="G324">
        <v>13.807</v>
      </c>
      <c r="H324">
        <v>1</v>
      </c>
      <c r="I324">
        <v>428</v>
      </c>
      <c r="J324" t="str">
        <f>HYPERLINK("https://climate.onebuilding.org/WMO_Region_6_Europe/AUT_Austria/NO_Lower_Austria/AUT_NO_Gmunden.111540_TMYx.2009-2023.zip")</f>
        <v>https://climate.onebuilding.org/WMO_Region_6_Europe/AUT_Austria/NO_Lower_Austria/AUT_NO_Gmunden.111540_TMYx.2009-2023.zip</v>
      </c>
    </row>
    <row r="325" spans="1:10" x14ac:dyDescent="0.25">
      <c r="A325" t="s">
        <v>79</v>
      </c>
      <c r="B325" t="s">
        <v>93</v>
      </c>
      <c r="C325" t="s">
        <v>205</v>
      </c>
      <c r="D325">
        <v>111540</v>
      </c>
      <c r="E325" t="s">
        <v>14</v>
      </c>
      <c r="F325">
        <v>47.914999999999999</v>
      </c>
      <c r="G325">
        <v>13.807</v>
      </c>
      <c r="H325">
        <v>1</v>
      </c>
      <c r="I325">
        <v>428</v>
      </c>
      <c r="J325" t="str">
        <f>HYPERLINK("https://climate.onebuilding.org/WMO_Region_6_Europe/AUT_Austria/NO_Lower_Austria/AUT_NO_Gmunden.111540_TMYx.zip")</f>
        <v>https://climate.onebuilding.org/WMO_Region_6_Europe/AUT_Austria/NO_Lower_Austria/AUT_NO_Gmunden.111540_TMYx.zip</v>
      </c>
    </row>
    <row r="326" spans="1:10" x14ac:dyDescent="0.25">
      <c r="A326" t="s">
        <v>79</v>
      </c>
      <c r="B326" t="s">
        <v>80</v>
      </c>
      <c r="C326" t="s">
        <v>207</v>
      </c>
      <c r="D326">
        <v>111550</v>
      </c>
      <c r="E326" t="s">
        <v>208</v>
      </c>
      <c r="F326">
        <v>47.816699999999997</v>
      </c>
      <c r="G326">
        <v>13.7178</v>
      </c>
      <c r="H326">
        <v>1</v>
      </c>
      <c r="I326">
        <v>1620.1</v>
      </c>
      <c r="J326" t="str">
        <f>HYPERLINK("https://climate.onebuilding.org/WMO_Region_6_Europe/AUT_Austria/OO_Upper_Austria/AUT_OO_Feuerkogel.111550_TMYx.2004-2018.zip")</f>
        <v>https://climate.onebuilding.org/WMO_Region_6_Europe/AUT_Austria/OO_Upper_Austria/AUT_OO_Feuerkogel.111550_TMYx.2004-2018.zip</v>
      </c>
    </row>
    <row r="327" spans="1:10" x14ac:dyDescent="0.25">
      <c r="A327" t="s">
        <v>79</v>
      </c>
      <c r="B327" t="s">
        <v>80</v>
      </c>
      <c r="C327" t="s">
        <v>207</v>
      </c>
      <c r="D327">
        <v>111550</v>
      </c>
      <c r="E327" t="s">
        <v>14</v>
      </c>
      <c r="F327">
        <v>47.816699999999997</v>
      </c>
      <c r="G327">
        <v>13.7178</v>
      </c>
      <c r="H327">
        <v>1</v>
      </c>
      <c r="I327">
        <v>1620.1</v>
      </c>
      <c r="J327" t="str">
        <f>HYPERLINK("https://climate.onebuilding.org/WMO_Region_6_Europe/AUT_Austria/OO_Upper_Austria/AUT_OO_Feuerkogel.111550_TMYx.2007-2021.zip")</f>
        <v>https://climate.onebuilding.org/WMO_Region_6_Europe/AUT_Austria/OO_Upper_Austria/AUT_OO_Feuerkogel.111550_TMYx.2007-2021.zip</v>
      </c>
    </row>
    <row r="328" spans="1:10" x14ac:dyDescent="0.25">
      <c r="A328" t="s">
        <v>79</v>
      </c>
      <c r="B328" t="s">
        <v>80</v>
      </c>
      <c r="C328" t="s">
        <v>207</v>
      </c>
      <c r="D328">
        <v>111550</v>
      </c>
      <c r="E328" t="s">
        <v>14</v>
      </c>
      <c r="F328">
        <v>47.816699999999997</v>
      </c>
      <c r="G328">
        <v>13.7178</v>
      </c>
      <c r="H328">
        <v>1</v>
      </c>
      <c r="I328">
        <v>1620.1</v>
      </c>
      <c r="J328" t="str">
        <f>HYPERLINK("https://climate.onebuilding.org/WMO_Region_6_Europe/AUT_Austria/OO_Upper_Austria/AUT_OO_Feuerkogel.111550_TMYx.2009-2023.zip")</f>
        <v>https://climate.onebuilding.org/WMO_Region_6_Europe/AUT_Austria/OO_Upper_Austria/AUT_OO_Feuerkogel.111550_TMYx.2009-2023.zip</v>
      </c>
    </row>
    <row r="329" spans="1:10" x14ac:dyDescent="0.25">
      <c r="A329" t="s">
        <v>79</v>
      </c>
      <c r="B329" t="s">
        <v>80</v>
      </c>
      <c r="C329" t="s">
        <v>207</v>
      </c>
      <c r="D329">
        <v>111550</v>
      </c>
      <c r="E329" t="s">
        <v>14</v>
      </c>
      <c r="F329">
        <v>47.816699999999997</v>
      </c>
      <c r="G329">
        <v>13.7178</v>
      </c>
      <c r="H329">
        <v>1</v>
      </c>
      <c r="I329">
        <v>1620.1</v>
      </c>
      <c r="J329" t="str">
        <f>HYPERLINK("https://climate.onebuilding.org/WMO_Region_6_Europe/AUT_Austria/OO_Upper_Austria/AUT_OO_Feuerkogel.111550_TMYx.zip")</f>
        <v>https://climate.onebuilding.org/WMO_Region_6_Europe/AUT_Austria/OO_Upper_Austria/AUT_OO_Feuerkogel.111550_TMYx.zip</v>
      </c>
    </row>
    <row r="330" spans="1:10" x14ac:dyDescent="0.25">
      <c r="A330" t="s">
        <v>79</v>
      </c>
      <c r="B330" t="s">
        <v>80</v>
      </c>
      <c r="C330" t="s">
        <v>209</v>
      </c>
      <c r="D330">
        <v>111560</v>
      </c>
      <c r="E330" t="s">
        <v>14</v>
      </c>
      <c r="F330">
        <v>47.716999999999999</v>
      </c>
      <c r="G330">
        <v>13.632999999999999</v>
      </c>
      <c r="H330">
        <v>1</v>
      </c>
      <c r="I330">
        <v>470</v>
      </c>
      <c r="J330" t="str">
        <f>HYPERLINK("https://climate.onebuilding.org/WMO_Region_6_Europe/AUT_Austria/OO_Upper_Austria/AUT_OO_Bad.Ischl.111560_TMYx.zip")</f>
        <v>https://climate.onebuilding.org/WMO_Region_6_Europe/AUT_Austria/OO_Upper_Austria/AUT_OO_Bad.Ischl.111560_TMYx.zip</v>
      </c>
    </row>
    <row r="331" spans="1:10" x14ac:dyDescent="0.25">
      <c r="A331" t="s">
        <v>79</v>
      </c>
      <c r="B331" t="s">
        <v>210</v>
      </c>
      <c r="C331" t="s">
        <v>211</v>
      </c>
      <c r="D331">
        <v>111570</v>
      </c>
      <c r="E331" t="s">
        <v>212</v>
      </c>
      <c r="F331">
        <v>47.532800000000002</v>
      </c>
      <c r="G331">
        <v>14.138299999999999</v>
      </c>
      <c r="H331">
        <v>1</v>
      </c>
      <c r="I331">
        <v>651.79999999999995</v>
      </c>
      <c r="J331" t="str">
        <f>HYPERLINK("https://climate.onebuilding.org/WMO_Region_6_Europe/AUT_Austria/ST_Styria/AUT_ST_Aigen.im.Ennstal.AB.111570_TMYx.2004-2018.zip")</f>
        <v>https://climate.onebuilding.org/WMO_Region_6_Europe/AUT_Austria/ST_Styria/AUT_ST_Aigen.im.Ennstal.AB.111570_TMYx.2004-2018.zip</v>
      </c>
    </row>
    <row r="332" spans="1:10" x14ac:dyDescent="0.25">
      <c r="A332" t="s">
        <v>79</v>
      </c>
      <c r="B332" t="s">
        <v>210</v>
      </c>
      <c r="C332" t="s">
        <v>211</v>
      </c>
      <c r="D332">
        <v>111570</v>
      </c>
      <c r="E332" t="s">
        <v>14</v>
      </c>
      <c r="F332">
        <v>47.532800000000002</v>
      </c>
      <c r="G332">
        <v>14.138299999999999</v>
      </c>
      <c r="H332">
        <v>1</v>
      </c>
      <c r="I332">
        <v>651.79999999999995</v>
      </c>
      <c r="J332" t="str">
        <f>HYPERLINK("https://climate.onebuilding.org/WMO_Region_6_Europe/AUT_Austria/ST_Styria/AUT_ST_Aigen.im.Ennstal.AB.111570_TMYx.2007-2021.zip")</f>
        <v>https://climate.onebuilding.org/WMO_Region_6_Europe/AUT_Austria/ST_Styria/AUT_ST_Aigen.im.Ennstal.AB.111570_TMYx.2007-2021.zip</v>
      </c>
    </row>
    <row r="333" spans="1:10" x14ac:dyDescent="0.25">
      <c r="A333" t="s">
        <v>79</v>
      </c>
      <c r="B333" t="s">
        <v>210</v>
      </c>
      <c r="C333" t="s">
        <v>211</v>
      </c>
      <c r="D333">
        <v>111570</v>
      </c>
      <c r="E333" t="s">
        <v>14</v>
      </c>
      <c r="F333">
        <v>47.532800000000002</v>
      </c>
      <c r="G333">
        <v>14.138299999999999</v>
      </c>
      <c r="H333">
        <v>1</v>
      </c>
      <c r="I333">
        <v>651.79999999999995</v>
      </c>
      <c r="J333" t="str">
        <f>HYPERLINK("https://climate.onebuilding.org/WMO_Region_6_Europe/AUT_Austria/ST_Styria/AUT_ST_Aigen.im.Ennstal.AB.111570_TMYx.2009-2023.zip")</f>
        <v>https://climate.onebuilding.org/WMO_Region_6_Europe/AUT_Austria/ST_Styria/AUT_ST_Aigen.im.Ennstal.AB.111570_TMYx.2009-2023.zip</v>
      </c>
    </row>
    <row r="334" spans="1:10" x14ac:dyDescent="0.25">
      <c r="A334" t="s">
        <v>79</v>
      </c>
      <c r="B334" t="s">
        <v>210</v>
      </c>
      <c r="C334" t="s">
        <v>211</v>
      </c>
      <c r="D334">
        <v>111570</v>
      </c>
      <c r="E334" t="s">
        <v>14</v>
      </c>
      <c r="F334">
        <v>47.532800000000002</v>
      </c>
      <c r="G334">
        <v>14.138299999999999</v>
      </c>
      <c r="H334">
        <v>1</v>
      </c>
      <c r="I334">
        <v>651.79999999999995</v>
      </c>
      <c r="J334" t="str">
        <f>HYPERLINK("https://climate.onebuilding.org/WMO_Region_6_Europe/AUT_Austria/ST_Styria/AUT_ST_Aigen.im.Ennstal.AB.111570_TMYx.zip")</f>
        <v>https://climate.onebuilding.org/WMO_Region_6_Europe/AUT_Austria/ST_Styria/AUT_ST_Aigen.im.Ennstal.AB.111570_TMYx.zip</v>
      </c>
    </row>
    <row r="335" spans="1:10" x14ac:dyDescent="0.25">
      <c r="A335" t="s">
        <v>79</v>
      </c>
      <c r="B335" t="s">
        <v>210</v>
      </c>
      <c r="C335" t="s">
        <v>213</v>
      </c>
      <c r="D335">
        <v>111600</v>
      </c>
      <c r="E335" t="s">
        <v>14</v>
      </c>
      <c r="F335">
        <v>47.6</v>
      </c>
      <c r="G335">
        <v>14.75</v>
      </c>
      <c r="H335">
        <v>1</v>
      </c>
      <c r="I335">
        <v>492</v>
      </c>
      <c r="J335" t="str">
        <f>HYPERLINK("https://climate.onebuilding.org/WMO_Region_6_Europe/AUT_Austria/ST_Styria/AUT_ST_Hieflau.111600_TMYx.zip")</f>
        <v>https://climate.onebuilding.org/WMO_Region_6_Europe/AUT_Austria/ST_Styria/AUT_ST_Hieflau.111600_TMYx.zip</v>
      </c>
    </row>
    <row r="336" spans="1:10" x14ac:dyDescent="0.25">
      <c r="A336" t="s">
        <v>79</v>
      </c>
      <c r="B336" t="s">
        <v>210</v>
      </c>
      <c r="C336" t="s">
        <v>214</v>
      </c>
      <c r="D336">
        <v>111610</v>
      </c>
      <c r="E336" t="s">
        <v>14</v>
      </c>
      <c r="F336">
        <v>47.521700000000003</v>
      </c>
      <c r="G336">
        <v>14.9542</v>
      </c>
      <c r="H336">
        <v>1</v>
      </c>
      <c r="I336">
        <v>1214.2</v>
      </c>
      <c r="J336" t="str">
        <f>HYPERLINK("https://climate.onebuilding.org/WMO_Region_6_Europe/AUT_Austria/ST_Styria/AUT_ST_Prabichl.111610_TMYx.2007-2021.zip")</f>
        <v>https://climate.onebuilding.org/WMO_Region_6_Europe/AUT_Austria/ST_Styria/AUT_ST_Prabichl.111610_TMYx.2007-2021.zip</v>
      </c>
    </row>
    <row r="337" spans="1:10" x14ac:dyDescent="0.25">
      <c r="A337" t="s">
        <v>79</v>
      </c>
      <c r="B337" t="s">
        <v>210</v>
      </c>
      <c r="C337" t="s">
        <v>214</v>
      </c>
      <c r="D337">
        <v>111610</v>
      </c>
      <c r="E337" t="s">
        <v>14</v>
      </c>
      <c r="F337">
        <v>47.521700000000003</v>
      </c>
      <c r="G337">
        <v>14.9542</v>
      </c>
      <c r="H337">
        <v>1</v>
      </c>
      <c r="I337">
        <v>1214.2</v>
      </c>
      <c r="J337" t="str">
        <f>HYPERLINK("https://climate.onebuilding.org/WMO_Region_6_Europe/AUT_Austria/ST_Styria/AUT_ST_Prabichl.111610_TMYx.2009-2023.zip")</f>
        <v>https://climate.onebuilding.org/WMO_Region_6_Europe/AUT_Austria/ST_Styria/AUT_ST_Prabichl.111610_TMYx.2009-2023.zip</v>
      </c>
    </row>
    <row r="338" spans="1:10" x14ac:dyDescent="0.25">
      <c r="A338" t="s">
        <v>79</v>
      </c>
      <c r="B338" t="s">
        <v>210</v>
      </c>
      <c r="C338" t="s">
        <v>214</v>
      </c>
      <c r="D338">
        <v>111610</v>
      </c>
      <c r="E338" t="s">
        <v>14</v>
      </c>
      <c r="F338">
        <v>47.521700000000003</v>
      </c>
      <c r="G338">
        <v>14.9542</v>
      </c>
      <c r="H338">
        <v>1</v>
      </c>
      <c r="I338">
        <v>1214.2</v>
      </c>
      <c r="J338" t="str">
        <f>HYPERLINK("https://climate.onebuilding.org/WMO_Region_6_Europe/AUT_Austria/ST_Styria/AUT_ST_Prabichl.111610_TMYx.zip")</f>
        <v>https://climate.onebuilding.org/WMO_Region_6_Europe/AUT_Austria/ST_Styria/AUT_ST_Prabichl.111610_TMYx.zip</v>
      </c>
    </row>
    <row r="339" spans="1:10" x14ac:dyDescent="0.25">
      <c r="A339" t="s">
        <v>79</v>
      </c>
      <c r="B339" t="s">
        <v>210</v>
      </c>
      <c r="C339" t="s">
        <v>215</v>
      </c>
      <c r="D339">
        <v>111650</v>
      </c>
      <c r="E339" t="s">
        <v>216</v>
      </c>
      <c r="F339">
        <v>47.2</v>
      </c>
      <c r="G339">
        <v>14.75</v>
      </c>
      <c r="H339">
        <v>1</v>
      </c>
      <c r="I339">
        <v>682</v>
      </c>
      <c r="J339" t="str">
        <f>HYPERLINK("https://climate.onebuilding.org/WMO_Region_6_Europe/AUT_Austria/ST_Styria/AUT_ST_Zeltweg.AB.111650_TMYx.2004-2018.zip")</f>
        <v>https://climate.onebuilding.org/WMO_Region_6_Europe/AUT_Austria/ST_Styria/AUT_ST_Zeltweg.AB.111650_TMYx.2004-2018.zip</v>
      </c>
    </row>
    <row r="340" spans="1:10" x14ac:dyDescent="0.25">
      <c r="A340" t="s">
        <v>79</v>
      </c>
      <c r="B340" t="s">
        <v>210</v>
      </c>
      <c r="C340" t="s">
        <v>215</v>
      </c>
      <c r="D340">
        <v>111650</v>
      </c>
      <c r="E340" t="s">
        <v>14</v>
      </c>
      <c r="F340">
        <v>47.2</v>
      </c>
      <c r="G340">
        <v>14.75</v>
      </c>
      <c r="H340">
        <v>1</v>
      </c>
      <c r="I340">
        <v>682</v>
      </c>
      <c r="J340" t="str">
        <f>HYPERLINK("https://climate.onebuilding.org/WMO_Region_6_Europe/AUT_Austria/ST_Styria/AUT_ST_Zeltweg.AB.111650_TMYx.2007-2021.zip")</f>
        <v>https://climate.onebuilding.org/WMO_Region_6_Europe/AUT_Austria/ST_Styria/AUT_ST_Zeltweg.AB.111650_TMYx.2007-2021.zip</v>
      </c>
    </row>
    <row r="341" spans="1:10" x14ac:dyDescent="0.25">
      <c r="A341" t="s">
        <v>79</v>
      </c>
      <c r="B341" t="s">
        <v>210</v>
      </c>
      <c r="C341" t="s">
        <v>215</v>
      </c>
      <c r="D341">
        <v>111650</v>
      </c>
      <c r="E341" t="s">
        <v>14</v>
      </c>
      <c r="F341">
        <v>47.2</v>
      </c>
      <c r="G341">
        <v>14.75</v>
      </c>
      <c r="H341">
        <v>1</v>
      </c>
      <c r="I341">
        <v>682</v>
      </c>
      <c r="J341" t="str">
        <f>HYPERLINK("https://climate.onebuilding.org/WMO_Region_6_Europe/AUT_Austria/ST_Styria/AUT_ST_Zeltweg.AB.111650_TMYx.2009-2023.zip")</f>
        <v>https://climate.onebuilding.org/WMO_Region_6_Europe/AUT_Austria/ST_Styria/AUT_ST_Zeltweg.AB.111650_TMYx.2009-2023.zip</v>
      </c>
    </row>
    <row r="342" spans="1:10" x14ac:dyDescent="0.25">
      <c r="A342" t="s">
        <v>79</v>
      </c>
      <c r="B342" t="s">
        <v>210</v>
      </c>
      <c r="C342" t="s">
        <v>215</v>
      </c>
      <c r="D342">
        <v>111650</v>
      </c>
      <c r="E342" t="s">
        <v>14</v>
      </c>
      <c r="F342">
        <v>47.2</v>
      </c>
      <c r="G342">
        <v>14.75</v>
      </c>
      <c r="H342">
        <v>1</v>
      </c>
      <c r="I342">
        <v>682</v>
      </c>
      <c r="J342" t="str">
        <f>HYPERLINK("https://climate.onebuilding.org/WMO_Region_6_Europe/AUT_Austria/ST_Styria/AUT_ST_Zeltweg.AB.111650_TMYx.zip")</f>
        <v>https://climate.onebuilding.org/WMO_Region_6_Europe/AUT_Austria/ST_Styria/AUT_ST_Zeltweg.AB.111650_TMYx.zip</v>
      </c>
    </row>
    <row r="343" spans="1:10" x14ac:dyDescent="0.25">
      <c r="A343" t="s">
        <v>79</v>
      </c>
      <c r="B343" t="s">
        <v>93</v>
      </c>
      <c r="C343" t="s">
        <v>217</v>
      </c>
      <c r="D343">
        <v>111700</v>
      </c>
      <c r="E343" t="s">
        <v>218</v>
      </c>
      <c r="F343">
        <v>47.854399999999998</v>
      </c>
      <c r="G343">
        <v>15.067500000000001</v>
      </c>
      <c r="H343">
        <v>1</v>
      </c>
      <c r="I343">
        <v>610.9</v>
      </c>
      <c r="J343" t="str">
        <f>HYPERLINK("https://climate.onebuilding.org/WMO_Region_6_Europe/AUT_Austria/NO_Lower_Austria/AUT_NO_Lunz.111700_TMYx.2004-2018.zip")</f>
        <v>https://climate.onebuilding.org/WMO_Region_6_Europe/AUT_Austria/NO_Lower_Austria/AUT_NO_Lunz.111700_TMYx.2004-2018.zip</v>
      </c>
    </row>
    <row r="344" spans="1:10" x14ac:dyDescent="0.25">
      <c r="A344" t="s">
        <v>79</v>
      </c>
      <c r="B344" t="s">
        <v>93</v>
      </c>
      <c r="C344" t="s">
        <v>217</v>
      </c>
      <c r="D344">
        <v>111700</v>
      </c>
      <c r="E344" t="s">
        <v>14</v>
      </c>
      <c r="F344">
        <v>47.854399999999998</v>
      </c>
      <c r="G344">
        <v>15.067500000000001</v>
      </c>
      <c r="H344">
        <v>1</v>
      </c>
      <c r="I344">
        <v>610.9</v>
      </c>
      <c r="J344" t="str">
        <f>HYPERLINK("https://climate.onebuilding.org/WMO_Region_6_Europe/AUT_Austria/NO_Lower_Austria/AUT_NO_Lunz.111700_TMYx.2007-2021.zip")</f>
        <v>https://climate.onebuilding.org/WMO_Region_6_Europe/AUT_Austria/NO_Lower_Austria/AUT_NO_Lunz.111700_TMYx.2007-2021.zip</v>
      </c>
    </row>
    <row r="345" spans="1:10" x14ac:dyDescent="0.25">
      <c r="A345" t="s">
        <v>79</v>
      </c>
      <c r="B345" t="s">
        <v>93</v>
      </c>
      <c r="C345" t="s">
        <v>217</v>
      </c>
      <c r="D345">
        <v>111700</v>
      </c>
      <c r="E345" t="s">
        <v>14</v>
      </c>
      <c r="F345">
        <v>47.854399999999998</v>
      </c>
      <c r="G345">
        <v>15.067500000000001</v>
      </c>
      <c r="H345">
        <v>1</v>
      </c>
      <c r="I345">
        <v>610.9</v>
      </c>
      <c r="J345" t="str">
        <f>HYPERLINK("https://climate.onebuilding.org/WMO_Region_6_Europe/AUT_Austria/NO_Lower_Austria/AUT_NO_Lunz.111700_TMYx.2009-2023.zip")</f>
        <v>https://climate.onebuilding.org/WMO_Region_6_Europe/AUT_Austria/NO_Lower_Austria/AUT_NO_Lunz.111700_TMYx.2009-2023.zip</v>
      </c>
    </row>
    <row r="346" spans="1:10" x14ac:dyDescent="0.25">
      <c r="A346" t="s">
        <v>79</v>
      </c>
      <c r="B346" t="s">
        <v>93</v>
      </c>
      <c r="C346" t="s">
        <v>217</v>
      </c>
      <c r="D346">
        <v>111700</v>
      </c>
      <c r="E346" t="s">
        <v>14</v>
      </c>
      <c r="F346">
        <v>47.854399999999998</v>
      </c>
      <c r="G346">
        <v>15.067500000000001</v>
      </c>
      <c r="H346">
        <v>1</v>
      </c>
      <c r="I346">
        <v>610.9</v>
      </c>
      <c r="J346" t="str">
        <f>HYPERLINK("https://climate.onebuilding.org/WMO_Region_6_Europe/AUT_Austria/NO_Lower_Austria/AUT_NO_Lunz.111700_TMYx.zip")</f>
        <v>https://climate.onebuilding.org/WMO_Region_6_Europe/AUT_Austria/NO_Lower_Austria/AUT_NO_Lunz.111700_TMYx.zip</v>
      </c>
    </row>
    <row r="347" spans="1:10" x14ac:dyDescent="0.25">
      <c r="A347" t="s">
        <v>79</v>
      </c>
      <c r="B347" t="s">
        <v>210</v>
      </c>
      <c r="C347" t="s">
        <v>219</v>
      </c>
      <c r="D347">
        <v>111710</v>
      </c>
      <c r="E347" t="s">
        <v>220</v>
      </c>
      <c r="F347">
        <v>47.789200000000001</v>
      </c>
      <c r="G347">
        <v>15.302199999999999</v>
      </c>
      <c r="H347">
        <v>1</v>
      </c>
      <c r="I347">
        <v>865.4</v>
      </c>
      <c r="J347" t="str">
        <f>HYPERLINK("https://climate.onebuilding.org/WMO_Region_6_Europe/AUT_Austria/ST_Styria/AUT_ST_St.Sebastian-Mariazell.AP.111710_TMYx.2004-2018.zip")</f>
        <v>https://climate.onebuilding.org/WMO_Region_6_Europe/AUT_Austria/ST_Styria/AUT_ST_St.Sebastian-Mariazell.AP.111710_TMYx.2004-2018.zip</v>
      </c>
    </row>
    <row r="348" spans="1:10" x14ac:dyDescent="0.25">
      <c r="A348" t="s">
        <v>79</v>
      </c>
      <c r="B348" t="s">
        <v>210</v>
      </c>
      <c r="C348" t="s">
        <v>219</v>
      </c>
      <c r="D348">
        <v>111710</v>
      </c>
      <c r="E348" t="s">
        <v>14</v>
      </c>
      <c r="F348">
        <v>47.789200000000001</v>
      </c>
      <c r="G348">
        <v>15.302199999999999</v>
      </c>
      <c r="H348">
        <v>1</v>
      </c>
      <c r="I348">
        <v>865.4</v>
      </c>
      <c r="J348" t="str">
        <f>HYPERLINK("https://climate.onebuilding.org/WMO_Region_6_Europe/AUT_Austria/ST_Styria/AUT_ST_St.Sebastian-Mariazell.AP.111710_TMYx.2007-2021.zip")</f>
        <v>https://climate.onebuilding.org/WMO_Region_6_Europe/AUT_Austria/ST_Styria/AUT_ST_St.Sebastian-Mariazell.AP.111710_TMYx.2007-2021.zip</v>
      </c>
    </row>
    <row r="349" spans="1:10" x14ac:dyDescent="0.25">
      <c r="A349" t="s">
        <v>79</v>
      </c>
      <c r="B349" t="s">
        <v>210</v>
      </c>
      <c r="C349" t="s">
        <v>219</v>
      </c>
      <c r="D349">
        <v>111710</v>
      </c>
      <c r="E349" t="s">
        <v>14</v>
      </c>
      <c r="F349">
        <v>47.789200000000001</v>
      </c>
      <c r="G349">
        <v>15.302199999999999</v>
      </c>
      <c r="H349">
        <v>1</v>
      </c>
      <c r="I349">
        <v>865.4</v>
      </c>
      <c r="J349" t="str">
        <f>HYPERLINK("https://climate.onebuilding.org/WMO_Region_6_Europe/AUT_Austria/ST_Styria/AUT_ST_St.Sebastian-Mariazell.AP.111710_TMYx.2009-2023.zip")</f>
        <v>https://climate.onebuilding.org/WMO_Region_6_Europe/AUT_Austria/ST_Styria/AUT_ST_St.Sebastian-Mariazell.AP.111710_TMYx.2009-2023.zip</v>
      </c>
    </row>
    <row r="350" spans="1:10" x14ac:dyDescent="0.25">
      <c r="A350" t="s">
        <v>79</v>
      </c>
      <c r="B350" t="s">
        <v>210</v>
      </c>
      <c r="C350" t="s">
        <v>219</v>
      </c>
      <c r="D350">
        <v>111710</v>
      </c>
      <c r="E350" t="s">
        <v>14</v>
      </c>
      <c r="F350">
        <v>47.789200000000001</v>
      </c>
      <c r="G350">
        <v>15.302199999999999</v>
      </c>
      <c r="H350">
        <v>1</v>
      </c>
      <c r="I350">
        <v>865.4</v>
      </c>
      <c r="J350" t="str">
        <f>HYPERLINK("https://climate.onebuilding.org/WMO_Region_6_Europe/AUT_Austria/ST_Styria/AUT_ST_St.Sebastian-Mariazell.AP.111710_TMYx.zip")</f>
        <v>https://climate.onebuilding.org/WMO_Region_6_Europe/AUT_Austria/ST_Styria/AUT_ST_St.Sebastian-Mariazell.AP.111710_TMYx.zip</v>
      </c>
    </row>
    <row r="351" spans="1:10" x14ac:dyDescent="0.25">
      <c r="A351" t="s">
        <v>79</v>
      </c>
      <c r="B351" t="s">
        <v>210</v>
      </c>
      <c r="C351" t="s">
        <v>221</v>
      </c>
      <c r="D351">
        <v>111730</v>
      </c>
      <c r="E351" t="s">
        <v>222</v>
      </c>
      <c r="F351">
        <v>47.444200000000002</v>
      </c>
      <c r="G351">
        <v>15.6439</v>
      </c>
      <c r="H351">
        <v>1</v>
      </c>
      <c r="I351">
        <v>1037.2</v>
      </c>
      <c r="J351" t="str">
        <f>HYPERLINK("https://climate.onebuilding.org/WMO_Region_6_Europe/AUT_Austria/ST_Styria/AUT_ST_Fishbach.111730_TMYx.2004-2018.zip")</f>
        <v>https://climate.onebuilding.org/WMO_Region_6_Europe/AUT_Austria/ST_Styria/AUT_ST_Fishbach.111730_TMYx.2004-2018.zip</v>
      </c>
    </row>
    <row r="352" spans="1:10" x14ac:dyDescent="0.25">
      <c r="A352" t="s">
        <v>79</v>
      </c>
      <c r="B352" t="s">
        <v>210</v>
      </c>
      <c r="C352" t="s">
        <v>221</v>
      </c>
      <c r="D352">
        <v>111730</v>
      </c>
      <c r="E352" t="s">
        <v>14</v>
      </c>
      <c r="F352">
        <v>47.444200000000002</v>
      </c>
      <c r="G352">
        <v>15.6439</v>
      </c>
      <c r="H352">
        <v>1</v>
      </c>
      <c r="I352">
        <v>1037.2</v>
      </c>
      <c r="J352" t="str">
        <f>HYPERLINK("https://climate.onebuilding.org/WMO_Region_6_Europe/AUT_Austria/ST_Styria/AUT_ST_Fishbach.111730_TMYx.2007-2021.zip")</f>
        <v>https://climate.onebuilding.org/WMO_Region_6_Europe/AUT_Austria/ST_Styria/AUT_ST_Fishbach.111730_TMYx.2007-2021.zip</v>
      </c>
    </row>
    <row r="353" spans="1:10" x14ac:dyDescent="0.25">
      <c r="A353" t="s">
        <v>79</v>
      </c>
      <c r="B353" t="s">
        <v>210</v>
      </c>
      <c r="C353" t="s">
        <v>221</v>
      </c>
      <c r="D353">
        <v>111730</v>
      </c>
      <c r="E353" t="s">
        <v>14</v>
      </c>
      <c r="F353">
        <v>47.444200000000002</v>
      </c>
      <c r="G353">
        <v>15.6439</v>
      </c>
      <c r="H353">
        <v>1</v>
      </c>
      <c r="I353">
        <v>1037.2</v>
      </c>
      <c r="J353" t="str">
        <f>HYPERLINK("https://climate.onebuilding.org/WMO_Region_6_Europe/AUT_Austria/ST_Styria/AUT_ST_Fishbach.111730_TMYx.2009-2023.zip")</f>
        <v>https://climate.onebuilding.org/WMO_Region_6_Europe/AUT_Austria/ST_Styria/AUT_ST_Fishbach.111730_TMYx.2009-2023.zip</v>
      </c>
    </row>
    <row r="354" spans="1:10" x14ac:dyDescent="0.25">
      <c r="A354" t="s">
        <v>79</v>
      </c>
      <c r="B354" t="s">
        <v>210</v>
      </c>
      <c r="C354" t="s">
        <v>221</v>
      </c>
      <c r="D354">
        <v>111730</v>
      </c>
      <c r="E354" t="s">
        <v>14</v>
      </c>
      <c r="F354">
        <v>47.444200000000002</v>
      </c>
      <c r="G354">
        <v>15.6439</v>
      </c>
      <c r="H354">
        <v>1</v>
      </c>
      <c r="I354">
        <v>1037.2</v>
      </c>
      <c r="J354" t="str">
        <f>HYPERLINK("https://climate.onebuilding.org/WMO_Region_6_Europe/AUT_Austria/ST_Styria/AUT_ST_Fishbach.111730_TMYx.zip")</f>
        <v>https://climate.onebuilding.org/WMO_Region_6_Europe/AUT_Austria/ST_Styria/AUT_ST_Fishbach.111730_TMYx.zip</v>
      </c>
    </row>
    <row r="355" spans="1:10" x14ac:dyDescent="0.25">
      <c r="A355" t="s">
        <v>79</v>
      </c>
      <c r="B355" t="s">
        <v>210</v>
      </c>
      <c r="C355" t="s">
        <v>223</v>
      </c>
      <c r="D355">
        <v>111740</v>
      </c>
      <c r="E355" t="s">
        <v>224</v>
      </c>
      <c r="F355">
        <v>47.332999999999998</v>
      </c>
      <c r="G355">
        <v>15</v>
      </c>
      <c r="H355">
        <v>1</v>
      </c>
      <c r="I355">
        <v>572</v>
      </c>
      <c r="J355" t="str">
        <f>HYPERLINK("https://climate.onebuilding.org/WMO_Region_6_Europe/AUT_Austria/ST_Styria/AUT_ST_St.Michael-Leoben.111740_TMYx.2004-2018.zip")</f>
        <v>https://climate.onebuilding.org/WMO_Region_6_Europe/AUT_Austria/ST_Styria/AUT_ST_St.Michael-Leoben.111740_TMYx.2004-2018.zip</v>
      </c>
    </row>
    <row r="356" spans="1:10" x14ac:dyDescent="0.25">
      <c r="A356" t="s">
        <v>79</v>
      </c>
      <c r="B356" t="s">
        <v>210</v>
      </c>
      <c r="C356" t="s">
        <v>223</v>
      </c>
      <c r="D356">
        <v>111740</v>
      </c>
      <c r="E356" t="s">
        <v>14</v>
      </c>
      <c r="F356">
        <v>47.332999999999998</v>
      </c>
      <c r="G356">
        <v>15</v>
      </c>
      <c r="H356">
        <v>1</v>
      </c>
      <c r="I356">
        <v>572</v>
      </c>
      <c r="J356" t="str">
        <f>HYPERLINK("https://climate.onebuilding.org/WMO_Region_6_Europe/AUT_Austria/ST_Styria/AUT_ST_St.Michael-Leoben.111740_TMYx.2007-2021.zip")</f>
        <v>https://climate.onebuilding.org/WMO_Region_6_Europe/AUT_Austria/ST_Styria/AUT_ST_St.Michael-Leoben.111740_TMYx.2007-2021.zip</v>
      </c>
    </row>
    <row r="357" spans="1:10" x14ac:dyDescent="0.25">
      <c r="A357" t="s">
        <v>79</v>
      </c>
      <c r="B357" t="s">
        <v>210</v>
      </c>
      <c r="C357" t="s">
        <v>223</v>
      </c>
      <c r="D357">
        <v>111740</v>
      </c>
      <c r="E357" t="s">
        <v>14</v>
      </c>
      <c r="F357">
        <v>47.332999999999998</v>
      </c>
      <c r="G357">
        <v>15</v>
      </c>
      <c r="H357">
        <v>1</v>
      </c>
      <c r="I357">
        <v>572</v>
      </c>
      <c r="J357" t="str">
        <f>HYPERLINK("https://climate.onebuilding.org/WMO_Region_6_Europe/AUT_Austria/ST_Styria/AUT_ST_St.Michael-Leoben.111740_TMYx.2009-2023.zip")</f>
        <v>https://climate.onebuilding.org/WMO_Region_6_Europe/AUT_Austria/ST_Styria/AUT_ST_St.Michael-Leoben.111740_TMYx.2009-2023.zip</v>
      </c>
    </row>
    <row r="358" spans="1:10" x14ac:dyDescent="0.25">
      <c r="A358" t="s">
        <v>79</v>
      </c>
      <c r="B358" t="s">
        <v>210</v>
      </c>
      <c r="C358" t="s">
        <v>223</v>
      </c>
      <c r="D358">
        <v>111740</v>
      </c>
      <c r="E358" t="s">
        <v>14</v>
      </c>
      <c r="F358">
        <v>47.332999999999998</v>
      </c>
      <c r="G358">
        <v>15</v>
      </c>
      <c r="H358">
        <v>1</v>
      </c>
      <c r="I358">
        <v>572</v>
      </c>
      <c r="J358" t="str">
        <f>HYPERLINK("https://climate.onebuilding.org/WMO_Region_6_Europe/AUT_Austria/ST_Styria/AUT_ST_St.Michael-Leoben.111740_TMYx.zip")</f>
        <v>https://climate.onebuilding.org/WMO_Region_6_Europe/AUT_Austria/ST_Styria/AUT_ST_St.Michael-Leoben.111740_TMYx.zip</v>
      </c>
    </row>
    <row r="359" spans="1:10" x14ac:dyDescent="0.25">
      <c r="A359" t="s">
        <v>79</v>
      </c>
      <c r="B359" t="s">
        <v>210</v>
      </c>
      <c r="C359" t="s">
        <v>225</v>
      </c>
      <c r="D359">
        <v>111750</v>
      </c>
      <c r="E359" t="s">
        <v>226</v>
      </c>
      <c r="F359">
        <v>47.4056</v>
      </c>
      <c r="G359">
        <v>15.249700000000001</v>
      </c>
      <c r="H359">
        <v>1</v>
      </c>
      <c r="I359">
        <v>483.7</v>
      </c>
      <c r="J359" t="str">
        <f>HYPERLINK("https://climate.onebuilding.org/WMO_Region_6_Europe/AUT_Austria/ST_Styria/AUT_ST_Bruck.an.der.Mur.111750_TMYx.2004-2018.zip")</f>
        <v>https://climate.onebuilding.org/WMO_Region_6_Europe/AUT_Austria/ST_Styria/AUT_ST_Bruck.an.der.Mur.111750_TMYx.2004-2018.zip</v>
      </c>
    </row>
    <row r="360" spans="1:10" x14ac:dyDescent="0.25">
      <c r="A360" t="s">
        <v>79</v>
      </c>
      <c r="B360" t="s">
        <v>210</v>
      </c>
      <c r="C360" t="s">
        <v>225</v>
      </c>
      <c r="D360">
        <v>111750</v>
      </c>
      <c r="E360" t="s">
        <v>14</v>
      </c>
      <c r="F360">
        <v>47.4056</v>
      </c>
      <c r="G360">
        <v>15.249700000000001</v>
      </c>
      <c r="H360">
        <v>1</v>
      </c>
      <c r="I360">
        <v>483.7</v>
      </c>
      <c r="J360" t="str">
        <f>HYPERLINK("https://climate.onebuilding.org/WMO_Region_6_Europe/AUT_Austria/ST_Styria/AUT_ST_Bruck.an.der.Mur.111750_TMYx.2007-2021.zip")</f>
        <v>https://climate.onebuilding.org/WMO_Region_6_Europe/AUT_Austria/ST_Styria/AUT_ST_Bruck.an.der.Mur.111750_TMYx.2007-2021.zip</v>
      </c>
    </row>
    <row r="361" spans="1:10" x14ac:dyDescent="0.25">
      <c r="A361" t="s">
        <v>79</v>
      </c>
      <c r="B361" t="s">
        <v>210</v>
      </c>
      <c r="C361" t="s">
        <v>225</v>
      </c>
      <c r="D361">
        <v>111750</v>
      </c>
      <c r="E361" t="s">
        <v>14</v>
      </c>
      <c r="F361">
        <v>47.4056</v>
      </c>
      <c r="G361">
        <v>15.249700000000001</v>
      </c>
      <c r="H361">
        <v>1</v>
      </c>
      <c r="I361">
        <v>483.7</v>
      </c>
      <c r="J361" t="str">
        <f>HYPERLINK("https://climate.onebuilding.org/WMO_Region_6_Europe/AUT_Austria/ST_Styria/AUT_ST_Bruck.an.der.Mur.111750_TMYx.2009-2023.zip")</f>
        <v>https://climate.onebuilding.org/WMO_Region_6_Europe/AUT_Austria/ST_Styria/AUT_ST_Bruck.an.der.Mur.111750_TMYx.2009-2023.zip</v>
      </c>
    </row>
    <row r="362" spans="1:10" x14ac:dyDescent="0.25">
      <c r="A362" t="s">
        <v>79</v>
      </c>
      <c r="B362" t="s">
        <v>210</v>
      </c>
      <c r="C362" t="s">
        <v>225</v>
      </c>
      <c r="D362">
        <v>111750</v>
      </c>
      <c r="E362" t="s">
        <v>14</v>
      </c>
      <c r="F362">
        <v>47.4056</v>
      </c>
      <c r="G362">
        <v>15.249700000000001</v>
      </c>
      <c r="H362">
        <v>1</v>
      </c>
      <c r="I362">
        <v>483.7</v>
      </c>
      <c r="J362" t="str">
        <f>HYPERLINK("https://climate.onebuilding.org/WMO_Region_6_Europe/AUT_Austria/ST_Styria/AUT_ST_Bruck.an.der.Mur.111750_TMYx.zip")</f>
        <v>https://climate.onebuilding.org/WMO_Region_6_Europe/AUT_Austria/ST_Styria/AUT_ST_Bruck.an.der.Mur.111750_TMYx.zip</v>
      </c>
    </row>
    <row r="363" spans="1:10" x14ac:dyDescent="0.25">
      <c r="A363" t="s">
        <v>79</v>
      </c>
      <c r="B363" t="s">
        <v>93</v>
      </c>
      <c r="C363" t="s">
        <v>227</v>
      </c>
      <c r="D363">
        <v>111800</v>
      </c>
      <c r="E363" t="s">
        <v>228</v>
      </c>
      <c r="F363">
        <v>47.717500000000001</v>
      </c>
      <c r="G363">
        <v>15.778600000000001</v>
      </c>
      <c r="H363">
        <v>1</v>
      </c>
      <c r="I363">
        <v>1557.7</v>
      </c>
      <c r="J363" t="str">
        <f>HYPERLINK("https://climate.onebuilding.org/WMO_Region_6_Europe/AUT_Austria/NO_Lower_Austria/AUT_NO_Raxseilbahn.Bergstation.111800_TMYx.2004-2018.zip")</f>
        <v>https://climate.onebuilding.org/WMO_Region_6_Europe/AUT_Austria/NO_Lower_Austria/AUT_NO_Raxseilbahn.Bergstation.111800_TMYx.2004-2018.zip</v>
      </c>
    </row>
    <row r="364" spans="1:10" x14ac:dyDescent="0.25">
      <c r="A364" t="s">
        <v>79</v>
      </c>
      <c r="B364" t="s">
        <v>93</v>
      </c>
      <c r="C364" t="s">
        <v>227</v>
      </c>
      <c r="D364">
        <v>111800</v>
      </c>
      <c r="E364" t="s">
        <v>14</v>
      </c>
      <c r="F364">
        <v>47.717500000000001</v>
      </c>
      <c r="G364">
        <v>15.778600000000001</v>
      </c>
      <c r="H364">
        <v>1</v>
      </c>
      <c r="I364">
        <v>1557.7</v>
      </c>
      <c r="J364" t="str">
        <f>HYPERLINK("https://climate.onebuilding.org/WMO_Region_6_Europe/AUT_Austria/NO_Lower_Austria/AUT_NO_Raxseilbahn.Bergstation.111800_TMYx.2007-2021.zip")</f>
        <v>https://climate.onebuilding.org/WMO_Region_6_Europe/AUT_Austria/NO_Lower_Austria/AUT_NO_Raxseilbahn.Bergstation.111800_TMYx.2007-2021.zip</v>
      </c>
    </row>
    <row r="365" spans="1:10" x14ac:dyDescent="0.25">
      <c r="A365" t="s">
        <v>79</v>
      </c>
      <c r="B365" t="s">
        <v>93</v>
      </c>
      <c r="C365" t="s">
        <v>227</v>
      </c>
      <c r="D365">
        <v>111800</v>
      </c>
      <c r="E365" t="s">
        <v>14</v>
      </c>
      <c r="F365">
        <v>47.717500000000001</v>
      </c>
      <c r="G365">
        <v>15.778600000000001</v>
      </c>
      <c r="H365">
        <v>1</v>
      </c>
      <c r="I365">
        <v>1557.7</v>
      </c>
      <c r="J365" t="str">
        <f>HYPERLINK("https://climate.onebuilding.org/WMO_Region_6_Europe/AUT_Austria/NO_Lower_Austria/AUT_NO_Raxseilbahn.Bergstation.111800_TMYx.2009-2023.zip")</f>
        <v>https://climate.onebuilding.org/WMO_Region_6_Europe/AUT_Austria/NO_Lower_Austria/AUT_NO_Raxseilbahn.Bergstation.111800_TMYx.2009-2023.zip</v>
      </c>
    </row>
    <row r="366" spans="1:10" x14ac:dyDescent="0.25">
      <c r="A366" t="s">
        <v>79</v>
      </c>
      <c r="B366" t="s">
        <v>93</v>
      </c>
      <c r="C366" t="s">
        <v>227</v>
      </c>
      <c r="D366">
        <v>111800</v>
      </c>
      <c r="E366" t="s">
        <v>14</v>
      </c>
      <c r="F366">
        <v>47.717500000000001</v>
      </c>
      <c r="G366">
        <v>15.778600000000001</v>
      </c>
      <c r="H366">
        <v>1</v>
      </c>
      <c r="I366">
        <v>1557.7</v>
      </c>
      <c r="J366" t="str">
        <f>HYPERLINK("https://climate.onebuilding.org/WMO_Region_6_Europe/AUT_Austria/NO_Lower_Austria/AUT_NO_Raxseilbahn.Bergstation.111800_TMYx.zip")</f>
        <v>https://climate.onebuilding.org/WMO_Region_6_Europe/AUT_Austria/NO_Lower_Austria/AUT_NO_Raxseilbahn.Bergstation.111800_TMYx.zip</v>
      </c>
    </row>
    <row r="367" spans="1:10" x14ac:dyDescent="0.25">
      <c r="A367" t="s">
        <v>79</v>
      </c>
      <c r="B367" t="s">
        <v>93</v>
      </c>
      <c r="C367" t="s">
        <v>229</v>
      </c>
      <c r="D367">
        <v>111820</v>
      </c>
      <c r="E367" t="s">
        <v>230</v>
      </c>
      <c r="F367">
        <v>47.8322</v>
      </c>
      <c r="G367">
        <v>16.231400000000001</v>
      </c>
      <c r="H367">
        <v>1</v>
      </c>
      <c r="I367">
        <v>281</v>
      </c>
      <c r="J367" t="str">
        <f>HYPERLINK("https://climate.onebuilding.org/WMO_Region_6_Europe/AUT_Austria/NO_Lower_Austria/AUT_NO_Wiener.Neustadt.AF.111820_TMYx.2004-2018.zip")</f>
        <v>https://climate.onebuilding.org/WMO_Region_6_Europe/AUT_Austria/NO_Lower_Austria/AUT_NO_Wiener.Neustadt.AF.111820_TMYx.2004-2018.zip</v>
      </c>
    </row>
    <row r="368" spans="1:10" x14ac:dyDescent="0.25">
      <c r="A368" t="s">
        <v>79</v>
      </c>
      <c r="B368" t="s">
        <v>93</v>
      </c>
      <c r="C368" t="s">
        <v>229</v>
      </c>
      <c r="D368">
        <v>111820</v>
      </c>
      <c r="E368" t="s">
        <v>14</v>
      </c>
      <c r="F368">
        <v>47.8322</v>
      </c>
      <c r="G368">
        <v>16.231400000000001</v>
      </c>
      <c r="H368">
        <v>1</v>
      </c>
      <c r="I368">
        <v>281</v>
      </c>
      <c r="J368" t="str">
        <f>HYPERLINK("https://climate.onebuilding.org/WMO_Region_6_Europe/AUT_Austria/NO_Lower_Austria/AUT_NO_Wiener.Neustadt.AF.111820_TMYx.2007-2021.zip")</f>
        <v>https://climate.onebuilding.org/WMO_Region_6_Europe/AUT_Austria/NO_Lower_Austria/AUT_NO_Wiener.Neustadt.AF.111820_TMYx.2007-2021.zip</v>
      </c>
    </row>
    <row r="369" spans="1:10" x14ac:dyDescent="0.25">
      <c r="A369" t="s">
        <v>79</v>
      </c>
      <c r="B369" t="s">
        <v>93</v>
      </c>
      <c r="C369" t="s">
        <v>229</v>
      </c>
      <c r="D369">
        <v>111820</v>
      </c>
      <c r="E369" t="s">
        <v>14</v>
      </c>
      <c r="F369">
        <v>47.8322</v>
      </c>
      <c r="G369">
        <v>16.231400000000001</v>
      </c>
      <c r="H369">
        <v>1</v>
      </c>
      <c r="I369">
        <v>281</v>
      </c>
      <c r="J369" t="str">
        <f>HYPERLINK("https://climate.onebuilding.org/WMO_Region_6_Europe/AUT_Austria/NO_Lower_Austria/AUT_NO_Wiener.Neustadt.AF.111820_TMYx.2009-2023.zip")</f>
        <v>https://climate.onebuilding.org/WMO_Region_6_Europe/AUT_Austria/NO_Lower_Austria/AUT_NO_Wiener.Neustadt.AF.111820_TMYx.2009-2023.zip</v>
      </c>
    </row>
    <row r="370" spans="1:10" x14ac:dyDescent="0.25">
      <c r="A370" t="s">
        <v>79</v>
      </c>
      <c r="B370" t="s">
        <v>93</v>
      </c>
      <c r="C370" t="s">
        <v>229</v>
      </c>
      <c r="D370">
        <v>111820</v>
      </c>
      <c r="E370" t="s">
        <v>14</v>
      </c>
      <c r="F370">
        <v>47.8322</v>
      </c>
      <c r="G370">
        <v>16.231400000000001</v>
      </c>
      <c r="H370">
        <v>1</v>
      </c>
      <c r="I370">
        <v>281</v>
      </c>
      <c r="J370" t="str">
        <f>HYPERLINK("https://climate.onebuilding.org/WMO_Region_6_Europe/AUT_Austria/NO_Lower_Austria/AUT_NO_Wiener.Neustadt.AF.111820_TMYx.zip")</f>
        <v>https://climate.onebuilding.org/WMO_Region_6_Europe/AUT_Austria/NO_Lower_Austria/AUT_NO_Wiener.Neustadt.AF.111820_TMYx.zip</v>
      </c>
    </row>
    <row r="371" spans="1:10" x14ac:dyDescent="0.25">
      <c r="A371" t="s">
        <v>79</v>
      </c>
      <c r="B371" t="s">
        <v>93</v>
      </c>
      <c r="C371" t="s">
        <v>231</v>
      </c>
      <c r="D371">
        <v>111850</v>
      </c>
      <c r="E371" t="s">
        <v>232</v>
      </c>
      <c r="F371">
        <v>47.511099999999999</v>
      </c>
      <c r="G371">
        <v>16.033300000000001</v>
      </c>
      <c r="H371">
        <v>1</v>
      </c>
      <c r="I371">
        <v>990</v>
      </c>
      <c r="J371" t="str">
        <f>HYPERLINK("https://climate.onebuilding.org/WMO_Region_6_Europe/AUT_Austria/NO_Lower_Austria/AUT_NO_Monichkirchen.111850_TMYx.2004-2018.zip")</f>
        <v>https://climate.onebuilding.org/WMO_Region_6_Europe/AUT_Austria/NO_Lower_Austria/AUT_NO_Monichkirchen.111850_TMYx.2004-2018.zip</v>
      </c>
    </row>
    <row r="372" spans="1:10" x14ac:dyDescent="0.25">
      <c r="A372" t="s">
        <v>79</v>
      </c>
      <c r="B372" t="s">
        <v>93</v>
      </c>
      <c r="C372" t="s">
        <v>231</v>
      </c>
      <c r="D372">
        <v>111850</v>
      </c>
      <c r="E372" t="s">
        <v>14</v>
      </c>
      <c r="F372">
        <v>47.511099999999999</v>
      </c>
      <c r="G372">
        <v>16.033300000000001</v>
      </c>
      <c r="H372">
        <v>1</v>
      </c>
      <c r="I372">
        <v>990</v>
      </c>
      <c r="J372" t="str">
        <f>HYPERLINK("https://climate.onebuilding.org/WMO_Region_6_Europe/AUT_Austria/NO_Lower_Austria/AUT_NO_Monichkirchen.111850_TMYx.2007-2021.zip")</f>
        <v>https://climate.onebuilding.org/WMO_Region_6_Europe/AUT_Austria/NO_Lower_Austria/AUT_NO_Monichkirchen.111850_TMYx.2007-2021.zip</v>
      </c>
    </row>
    <row r="373" spans="1:10" x14ac:dyDescent="0.25">
      <c r="A373" t="s">
        <v>79</v>
      </c>
      <c r="B373" t="s">
        <v>93</v>
      </c>
      <c r="C373" t="s">
        <v>231</v>
      </c>
      <c r="D373">
        <v>111850</v>
      </c>
      <c r="E373" t="s">
        <v>14</v>
      </c>
      <c r="F373">
        <v>47.511099999999999</v>
      </c>
      <c r="G373">
        <v>16.033300000000001</v>
      </c>
      <c r="H373">
        <v>1</v>
      </c>
      <c r="I373">
        <v>990</v>
      </c>
      <c r="J373" t="str">
        <f>HYPERLINK("https://climate.onebuilding.org/WMO_Region_6_Europe/AUT_Austria/NO_Lower_Austria/AUT_NO_Monichkirchen.111850_TMYx.2009-2023.zip")</f>
        <v>https://climate.onebuilding.org/WMO_Region_6_Europe/AUT_Austria/NO_Lower_Austria/AUT_NO_Monichkirchen.111850_TMYx.2009-2023.zip</v>
      </c>
    </row>
    <row r="374" spans="1:10" x14ac:dyDescent="0.25">
      <c r="A374" t="s">
        <v>79</v>
      </c>
      <c r="B374" t="s">
        <v>93</v>
      </c>
      <c r="C374" t="s">
        <v>231</v>
      </c>
      <c r="D374">
        <v>111850</v>
      </c>
      <c r="E374" t="s">
        <v>14</v>
      </c>
      <c r="F374">
        <v>47.511099999999999</v>
      </c>
      <c r="G374">
        <v>16.033300000000001</v>
      </c>
      <c r="H374">
        <v>1</v>
      </c>
      <c r="I374">
        <v>990</v>
      </c>
      <c r="J374" t="str">
        <f>HYPERLINK("https://climate.onebuilding.org/WMO_Region_6_Europe/AUT_Austria/NO_Lower_Austria/AUT_NO_Monichkirchen.111850_TMYx.zip")</f>
        <v>https://climate.onebuilding.org/WMO_Region_6_Europe/AUT_Austria/NO_Lower_Austria/AUT_NO_Monichkirchen.111850_TMYx.zip</v>
      </c>
    </row>
    <row r="375" spans="1:10" x14ac:dyDescent="0.25">
      <c r="A375" t="s">
        <v>79</v>
      </c>
      <c r="B375" t="s">
        <v>233</v>
      </c>
      <c r="C375" t="s">
        <v>234</v>
      </c>
      <c r="D375">
        <v>111900</v>
      </c>
      <c r="E375" t="s">
        <v>235</v>
      </c>
      <c r="F375">
        <v>47.854199999999999</v>
      </c>
      <c r="G375">
        <v>16.5383</v>
      </c>
      <c r="H375">
        <v>1</v>
      </c>
      <c r="I375">
        <v>182</v>
      </c>
      <c r="J375" t="str">
        <f>HYPERLINK("https://climate.onebuilding.org/WMO_Region_6_Europe/AUT_Austria/BU_Burgenland/AUT_BU_Eisenstadt.111900_TMYx.2004-2018.zip")</f>
        <v>https://climate.onebuilding.org/WMO_Region_6_Europe/AUT_Austria/BU_Burgenland/AUT_BU_Eisenstadt.111900_TMYx.2004-2018.zip</v>
      </c>
    </row>
    <row r="376" spans="1:10" x14ac:dyDescent="0.25">
      <c r="A376" t="s">
        <v>79</v>
      </c>
      <c r="B376" t="s">
        <v>233</v>
      </c>
      <c r="C376" t="s">
        <v>234</v>
      </c>
      <c r="D376">
        <v>111900</v>
      </c>
      <c r="E376" t="s">
        <v>14</v>
      </c>
      <c r="F376">
        <v>47.854199999999999</v>
      </c>
      <c r="G376">
        <v>16.5383</v>
      </c>
      <c r="H376">
        <v>1</v>
      </c>
      <c r="I376">
        <v>182</v>
      </c>
      <c r="J376" t="str">
        <f>HYPERLINK("https://climate.onebuilding.org/WMO_Region_6_Europe/AUT_Austria/BU_Burgenland/AUT_BU_Eisenstadt.111900_TMYx.2007-2021.zip")</f>
        <v>https://climate.onebuilding.org/WMO_Region_6_Europe/AUT_Austria/BU_Burgenland/AUT_BU_Eisenstadt.111900_TMYx.2007-2021.zip</v>
      </c>
    </row>
    <row r="377" spans="1:10" x14ac:dyDescent="0.25">
      <c r="A377" t="s">
        <v>79</v>
      </c>
      <c r="B377" t="s">
        <v>233</v>
      </c>
      <c r="C377" t="s">
        <v>234</v>
      </c>
      <c r="D377">
        <v>111900</v>
      </c>
      <c r="E377" t="s">
        <v>14</v>
      </c>
      <c r="F377">
        <v>47.854199999999999</v>
      </c>
      <c r="G377">
        <v>16.5383</v>
      </c>
      <c r="H377">
        <v>1</v>
      </c>
      <c r="I377">
        <v>182</v>
      </c>
      <c r="J377" t="str">
        <f>HYPERLINK("https://climate.onebuilding.org/WMO_Region_6_Europe/AUT_Austria/BU_Burgenland/AUT_BU_Eisenstadt.111900_TMYx.2009-2023.zip")</f>
        <v>https://climate.onebuilding.org/WMO_Region_6_Europe/AUT_Austria/BU_Burgenland/AUT_BU_Eisenstadt.111900_TMYx.2009-2023.zip</v>
      </c>
    </row>
    <row r="378" spans="1:10" x14ac:dyDescent="0.25">
      <c r="A378" t="s">
        <v>79</v>
      </c>
      <c r="B378" t="s">
        <v>233</v>
      </c>
      <c r="C378" t="s">
        <v>234</v>
      </c>
      <c r="D378">
        <v>111900</v>
      </c>
      <c r="E378" t="s">
        <v>14</v>
      </c>
      <c r="F378">
        <v>47.854199999999999</v>
      </c>
      <c r="G378">
        <v>16.5383</v>
      </c>
      <c r="H378">
        <v>1</v>
      </c>
      <c r="I378">
        <v>182</v>
      </c>
      <c r="J378" t="str">
        <f>HYPERLINK("https://climate.onebuilding.org/WMO_Region_6_Europe/AUT_Austria/BU_Burgenland/AUT_BU_Eisenstadt.111900_TMYx.zip")</f>
        <v>https://climate.onebuilding.org/WMO_Region_6_Europe/AUT_Austria/BU_Burgenland/AUT_BU_Eisenstadt.111900_TMYx.zip</v>
      </c>
    </row>
    <row r="379" spans="1:10" x14ac:dyDescent="0.25">
      <c r="A379" t="s">
        <v>79</v>
      </c>
      <c r="B379" t="s">
        <v>233</v>
      </c>
      <c r="C379" t="s">
        <v>236</v>
      </c>
      <c r="D379">
        <v>111920</v>
      </c>
      <c r="E379" t="s">
        <v>237</v>
      </c>
      <c r="F379">
        <v>47.207500000000003</v>
      </c>
      <c r="G379">
        <v>16.335599999999999</v>
      </c>
      <c r="H379">
        <v>1</v>
      </c>
      <c r="I379">
        <v>267.10000000000002</v>
      </c>
      <c r="J379" t="str">
        <f>HYPERLINK("https://climate.onebuilding.org/WMO_Region_6_Europe/AUT_Austria/BU_Burgenland/AUT_BU_Kleinzicken.111920_TMYx.2004-2018.zip")</f>
        <v>https://climate.onebuilding.org/WMO_Region_6_Europe/AUT_Austria/BU_Burgenland/AUT_BU_Kleinzicken.111920_TMYx.2004-2018.zip</v>
      </c>
    </row>
    <row r="380" spans="1:10" x14ac:dyDescent="0.25">
      <c r="A380" t="s">
        <v>79</v>
      </c>
      <c r="B380" t="s">
        <v>233</v>
      </c>
      <c r="C380" t="s">
        <v>236</v>
      </c>
      <c r="D380">
        <v>111920</v>
      </c>
      <c r="E380" t="s">
        <v>14</v>
      </c>
      <c r="F380">
        <v>47.207500000000003</v>
      </c>
      <c r="G380">
        <v>16.335599999999999</v>
      </c>
      <c r="H380">
        <v>1</v>
      </c>
      <c r="I380">
        <v>267.10000000000002</v>
      </c>
      <c r="J380" t="str">
        <f>HYPERLINK("https://climate.onebuilding.org/WMO_Region_6_Europe/AUT_Austria/BU_Burgenland/AUT_BU_Kleinzicken.111920_TMYx.2007-2021.zip")</f>
        <v>https://climate.onebuilding.org/WMO_Region_6_Europe/AUT_Austria/BU_Burgenland/AUT_BU_Kleinzicken.111920_TMYx.2007-2021.zip</v>
      </c>
    </row>
    <row r="381" spans="1:10" x14ac:dyDescent="0.25">
      <c r="A381" t="s">
        <v>79</v>
      </c>
      <c r="B381" t="s">
        <v>233</v>
      </c>
      <c r="C381" t="s">
        <v>236</v>
      </c>
      <c r="D381">
        <v>111920</v>
      </c>
      <c r="E381" t="s">
        <v>14</v>
      </c>
      <c r="F381">
        <v>47.207500000000003</v>
      </c>
      <c r="G381">
        <v>16.335599999999999</v>
      </c>
      <c r="H381">
        <v>1</v>
      </c>
      <c r="I381">
        <v>267.10000000000002</v>
      </c>
      <c r="J381" t="str">
        <f>HYPERLINK("https://climate.onebuilding.org/WMO_Region_6_Europe/AUT_Austria/BU_Burgenland/AUT_BU_Kleinzicken.111920_TMYx.2009-2023.zip")</f>
        <v>https://climate.onebuilding.org/WMO_Region_6_Europe/AUT_Austria/BU_Burgenland/AUT_BU_Kleinzicken.111920_TMYx.2009-2023.zip</v>
      </c>
    </row>
    <row r="382" spans="1:10" x14ac:dyDescent="0.25">
      <c r="A382" t="s">
        <v>79</v>
      </c>
      <c r="B382" t="s">
        <v>233</v>
      </c>
      <c r="C382" t="s">
        <v>236</v>
      </c>
      <c r="D382">
        <v>111920</v>
      </c>
      <c r="E382" t="s">
        <v>14</v>
      </c>
      <c r="F382">
        <v>47.207500000000003</v>
      </c>
      <c r="G382">
        <v>16.335599999999999</v>
      </c>
      <c r="H382">
        <v>1</v>
      </c>
      <c r="I382">
        <v>267.10000000000002</v>
      </c>
      <c r="J382" t="str">
        <f>HYPERLINK("https://climate.onebuilding.org/WMO_Region_6_Europe/AUT_Austria/BU_Burgenland/AUT_BU_Kleinzicken.111920_TMYx.zip")</f>
        <v>https://climate.onebuilding.org/WMO_Region_6_Europe/AUT_Austria/BU_Burgenland/AUT_BU_Kleinzicken.111920_TMYx.zip</v>
      </c>
    </row>
    <row r="383" spans="1:10" x14ac:dyDescent="0.25">
      <c r="A383" t="s">
        <v>79</v>
      </c>
      <c r="B383" t="s">
        <v>233</v>
      </c>
      <c r="C383" t="s">
        <v>238</v>
      </c>
      <c r="D383">
        <v>111930</v>
      </c>
      <c r="E383" t="s">
        <v>14</v>
      </c>
      <c r="F383">
        <v>47.338099999999997</v>
      </c>
      <c r="G383">
        <v>16.225000000000001</v>
      </c>
      <c r="H383">
        <v>1</v>
      </c>
      <c r="I383">
        <v>340</v>
      </c>
      <c r="J383" t="str">
        <f>HYPERLINK("https://climate.onebuilding.org/WMO_Region_6_Europe/AUT_Austria/BU_Burgenland/AUT_BU_Bad.Tatzmannsdorf.111930_TMYx.2007-2021.zip")</f>
        <v>https://climate.onebuilding.org/WMO_Region_6_Europe/AUT_Austria/BU_Burgenland/AUT_BU_Bad.Tatzmannsdorf.111930_TMYx.2007-2021.zip</v>
      </c>
    </row>
    <row r="384" spans="1:10" x14ac:dyDescent="0.25">
      <c r="A384" t="s">
        <v>79</v>
      </c>
      <c r="B384" t="s">
        <v>233</v>
      </c>
      <c r="C384" t="s">
        <v>238</v>
      </c>
      <c r="D384">
        <v>111930</v>
      </c>
      <c r="E384" t="s">
        <v>14</v>
      </c>
      <c r="F384">
        <v>47.338099999999997</v>
      </c>
      <c r="G384">
        <v>16.225000000000001</v>
      </c>
      <c r="H384">
        <v>1</v>
      </c>
      <c r="I384">
        <v>340</v>
      </c>
      <c r="J384" t="str">
        <f>HYPERLINK("https://climate.onebuilding.org/WMO_Region_6_Europe/AUT_Austria/BU_Burgenland/AUT_BU_Bad.Tatzmannsdorf.111930_TMYx.2009-2023.zip")</f>
        <v>https://climate.onebuilding.org/WMO_Region_6_Europe/AUT_Austria/BU_Burgenland/AUT_BU_Bad.Tatzmannsdorf.111930_TMYx.2009-2023.zip</v>
      </c>
    </row>
    <row r="385" spans="1:10" x14ac:dyDescent="0.25">
      <c r="A385" t="s">
        <v>79</v>
      </c>
      <c r="B385" t="s">
        <v>233</v>
      </c>
      <c r="C385" t="s">
        <v>238</v>
      </c>
      <c r="D385">
        <v>111930</v>
      </c>
      <c r="E385" t="s">
        <v>14</v>
      </c>
      <c r="F385">
        <v>47.338099999999997</v>
      </c>
      <c r="G385">
        <v>16.225000000000001</v>
      </c>
      <c r="H385">
        <v>1</v>
      </c>
      <c r="I385">
        <v>340</v>
      </c>
      <c r="J385" t="str">
        <f>HYPERLINK("https://climate.onebuilding.org/WMO_Region_6_Europe/AUT_Austria/BU_Burgenland/AUT_BU_Bad.Tatzmannsdorf.111930_TMYx.zip")</f>
        <v>https://climate.onebuilding.org/WMO_Region_6_Europe/AUT_Austria/BU_Burgenland/AUT_BU_Bad.Tatzmannsdorf.111930_TMYx.zip</v>
      </c>
    </row>
    <row r="386" spans="1:10" x14ac:dyDescent="0.25">
      <c r="A386" t="s">
        <v>79</v>
      </c>
      <c r="B386" t="s">
        <v>233</v>
      </c>
      <c r="C386" t="s">
        <v>239</v>
      </c>
      <c r="D386">
        <v>111940</v>
      </c>
      <c r="E386" t="s">
        <v>240</v>
      </c>
      <c r="F386">
        <v>47.95</v>
      </c>
      <c r="G386">
        <v>16.850000000000001</v>
      </c>
      <c r="H386">
        <v>1</v>
      </c>
      <c r="I386">
        <v>132</v>
      </c>
      <c r="J386" t="str">
        <f>HYPERLINK("https://climate.onebuilding.org/WMO_Region_6_Europe/AUT_Austria/BU_Burgenland/AUT_BU_Neusiedl.am.See.111940_TMYx.2004-2018.zip")</f>
        <v>https://climate.onebuilding.org/WMO_Region_6_Europe/AUT_Austria/BU_Burgenland/AUT_BU_Neusiedl.am.See.111940_TMYx.2004-2018.zip</v>
      </c>
    </row>
    <row r="387" spans="1:10" x14ac:dyDescent="0.25">
      <c r="A387" t="s">
        <v>79</v>
      </c>
      <c r="B387" t="s">
        <v>233</v>
      </c>
      <c r="C387" t="s">
        <v>239</v>
      </c>
      <c r="D387">
        <v>111940</v>
      </c>
      <c r="E387" t="s">
        <v>14</v>
      </c>
      <c r="F387">
        <v>47.95</v>
      </c>
      <c r="G387">
        <v>16.850000000000001</v>
      </c>
      <c r="H387">
        <v>1</v>
      </c>
      <c r="I387">
        <v>132</v>
      </c>
      <c r="J387" t="str">
        <f>HYPERLINK("https://climate.onebuilding.org/WMO_Region_6_Europe/AUT_Austria/BU_Burgenland/AUT_BU_Neusiedl.am.See.111940_TMYx.2007-2021.zip")</f>
        <v>https://climate.onebuilding.org/WMO_Region_6_Europe/AUT_Austria/BU_Burgenland/AUT_BU_Neusiedl.am.See.111940_TMYx.2007-2021.zip</v>
      </c>
    </row>
    <row r="388" spans="1:10" x14ac:dyDescent="0.25">
      <c r="A388" t="s">
        <v>79</v>
      </c>
      <c r="B388" t="s">
        <v>233</v>
      </c>
      <c r="C388" t="s">
        <v>239</v>
      </c>
      <c r="D388">
        <v>111940</v>
      </c>
      <c r="E388" t="s">
        <v>14</v>
      </c>
      <c r="F388">
        <v>47.95</v>
      </c>
      <c r="G388">
        <v>16.850000000000001</v>
      </c>
      <c r="H388">
        <v>1</v>
      </c>
      <c r="I388">
        <v>132</v>
      </c>
      <c r="J388" t="str">
        <f>HYPERLINK("https://climate.onebuilding.org/WMO_Region_6_Europe/AUT_Austria/BU_Burgenland/AUT_BU_Neusiedl.am.See.111940_TMYx.2009-2023.zip")</f>
        <v>https://climate.onebuilding.org/WMO_Region_6_Europe/AUT_Austria/BU_Burgenland/AUT_BU_Neusiedl.am.See.111940_TMYx.2009-2023.zip</v>
      </c>
    </row>
    <row r="389" spans="1:10" x14ac:dyDescent="0.25">
      <c r="A389" t="s">
        <v>79</v>
      </c>
      <c r="B389" t="s">
        <v>233</v>
      </c>
      <c r="C389" t="s">
        <v>239</v>
      </c>
      <c r="D389">
        <v>111940</v>
      </c>
      <c r="E389" t="s">
        <v>14</v>
      </c>
      <c r="F389">
        <v>47.95</v>
      </c>
      <c r="G389">
        <v>16.850000000000001</v>
      </c>
      <c r="H389">
        <v>1</v>
      </c>
      <c r="I389">
        <v>132</v>
      </c>
      <c r="J389" t="str">
        <f>HYPERLINK("https://climate.onebuilding.org/WMO_Region_6_Europe/AUT_Austria/BU_Burgenland/AUT_BU_Neusiedl.am.See.111940_TMYx.zip")</f>
        <v>https://climate.onebuilding.org/WMO_Region_6_Europe/AUT_Austria/BU_Burgenland/AUT_BU_Neusiedl.am.See.111940_TMYx.zip</v>
      </c>
    </row>
    <row r="390" spans="1:10" x14ac:dyDescent="0.25">
      <c r="A390" t="s">
        <v>79</v>
      </c>
      <c r="B390" t="s">
        <v>233</v>
      </c>
      <c r="C390" t="s">
        <v>241</v>
      </c>
      <c r="D390">
        <v>111950</v>
      </c>
      <c r="E390" t="s">
        <v>14</v>
      </c>
      <c r="F390">
        <v>47.15</v>
      </c>
      <c r="G390">
        <v>16.317</v>
      </c>
      <c r="H390">
        <v>1</v>
      </c>
      <c r="I390">
        <v>290</v>
      </c>
      <c r="J390" t="str">
        <f>HYPERLINK("https://climate.onebuilding.org/WMO_Region_6_Europe/AUT_Austria/BU_Burgenland/AUT_BU_Punitz.AP.111950_TMYx.zip")</f>
        <v>https://climate.onebuilding.org/WMO_Region_6_Europe/AUT_Austria/BU_Burgenland/AUT_BU_Punitz.AP.111950_TMYx.zip</v>
      </c>
    </row>
    <row r="391" spans="1:10" x14ac:dyDescent="0.25">
      <c r="A391" t="s">
        <v>79</v>
      </c>
      <c r="B391" t="s">
        <v>155</v>
      </c>
      <c r="C391" t="s">
        <v>242</v>
      </c>
      <c r="D391">
        <v>112010</v>
      </c>
      <c r="E391" t="s">
        <v>14</v>
      </c>
      <c r="F391">
        <v>46.746400000000001</v>
      </c>
      <c r="G391">
        <v>12.4236</v>
      </c>
      <c r="H391">
        <v>1</v>
      </c>
      <c r="I391">
        <v>1084.4000000000001</v>
      </c>
      <c r="J391" t="str">
        <f>HYPERLINK("https://climate.onebuilding.org/WMO_Region_6_Europe/AUT_Austria/TR_Tyrol/AUT_TR_Sillian.112010_TMYx.2007-2021.zip")</f>
        <v>https://climate.onebuilding.org/WMO_Region_6_Europe/AUT_Austria/TR_Tyrol/AUT_TR_Sillian.112010_TMYx.2007-2021.zip</v>
      </c>
    </row>
    <row r="392" spans="1:10" x14ac:dyDescent="0.25">
      <c r="A392" t="s">
        <v>79</v>
      </c>
      <c r="B392" t="s">
        <v>155</v>
      </c>
      <c r="C392" t="s">
        <v>242</v>
      </c>
      <c r="D392">
        <v>112010</v>
      </c>
      <c r="E392" t="s">
        <v>14</v>
      </c>
      <c r="F392">
        <v>46.746400000000001</v>
      </c>
      <c r="G392">
        <v>12.4236</v>
      </c>
      <c r="H392">
        <v>1</v>
      </c>
      <c r="I392">
        <v>1084.4000000000001</v>
      </c>
      <c r="J392" t="str">
        <f>HYPERLINK("https://climate.onebuilding.org/WMO_Region_6_Europe/AUT_Austria/TR_Tyrol/AUT_TR_Sillian.112010_TMYx.2009-2023.zip")</f>
        <v>https://climate.onebuilding.org/WMO_Region_6_Europe/AUT_Austria/TR_Tyrol/AUT_TR_Sillian.112010_TMYx.2009-2023.zip</v>
      </c>
    </row>
    <row r="393" spans="1:10" x14ac:dyDescent="0.25">
      <c r="A393" t="s">
        <v>79</v>
      </c>
      <c r="B393" t="s">
        <v>155</v>
      </c>
      <c r="C393" t="s">
        <v>242</v>
      </c>
      <c r="D393">
        <v>112010</v>
      </c>
      <c r="E393" t="s">
        <v>14</v>
      </c>
      <c r="F393">
        <v>46.746400000000001</v>
      </c>
      <c r="G393">
        <v>12.4236</v>
      </c>
      <c r="H393">
        <v>1</v>
      </c>
      <c r="I393">
        <v>1084.4000000000001</v>
      </c>
      <c r="J393" t="str">
        <f>HYPERLINK("https://climate.onebuilding.org/WMO_Region_6_Europe/AUT_Austria/TR_Tyrol/AUT_TR_Sillian.112010_TMYx.zip")</f>
        <v>https://climate.onebuilding.org/WMO_Region_6_Europe/AUT_Austria/TR_Tyrol/AUT_TR_Sillian.112010_TMYx.zip</v>
      </c>
    </row>
    <row r="394" spans="1:10" x14ac:dyDescent="0.25">
      <c r="A394" t="s">
        <v>79</v>
      </c>
      <c r="B394" t="s">
        <v>155</v>
      </c>
      <c r="C394" t="s">
        <v>243</v>
      </c>
      <c r="D394">
        <v>112020</v>
      </c>
      <c r="E394" t="s">
        <v>14</v>
      </c>
      <c r="F394">
        <v>47.116999999999997</v>
      </c>
      <c r="G394">
        <v>12.5</v>
      </c>
      <c r="H394">
        <v>1</v>
      </c>
      <c r="I394">
        <v>1632</v>
      </c>
      <c r="J394" t="str">
        <f>HYPERLINK("https://climate.onebuilding.org/WMO_Region_6_Europe/AUT_Austria/TR_Tyrol/AUT_TR_Felbertauern.112020_TMYx.zip")</f>
        <v>https://climate.onebuilding.org/WMO_Region_6_Europe/AUT_Austria/TR_Tyrol/AUT_TR_Felbertauern.112020_TMYx.zip</v>
      </c>
    </row>
    <row r="395" spans="1:10" x14ac:dyDescent="0.25">
      <c r="A395" t="s">
        <v>79</v>
      </c>
      <c r="B395" t="s">
        <v>155</v>
      </c>
      <c r="C395" t="s">
        <v>244</v>
      </c>
      <c r="D395">
        <v>112040</v>
      </c>
      <c r="E395" t="s">
        <v>245</v>
      </c>
      <c r="F395">
        <v>46.825600000000001</v>
      </c>
      <c r="G395">
        <v>12.8064</v>
      </c>
      <c r="H395">
        <v>1</v>
      </c>
      <c r="I395">
        <v>668</v>
      </c>
      <c r="J395" t="str">
        <f>HYPERLINK("https://climate.onebuilding.org/WMO_Region_6_Europe/AUT_Austria/TR_Tyrol/AUT_TR_Lienz.112040_TMYx.2004-2018.zip")</f>
        <v>https://climate.onebuilding.org/WMO_Region_6_Europe/AUT_Austria/TR_Tyrol/AUT_TR_Lienz.112040_TMYx.2004-2018.zip</v>
      </c>
    </row>
    <row r="396" spans="1:10" x14ac:dyDescent="0.25">
      <c r="A396" t="s">
        <v>79</v>
      </c>
      <c r="B396" t="s">
        <v>155</v>
      </c>
      <c r="C396" t="s">
        <v>244</v>
      </c>
      <c r="D396">
        <v>112040</v>
      </c>
      <c r="E396" t="s">
        <v>14</v>
      </c>
      <c r="F396">
        <v>46.825600000000001</v>
      </c>
      <c r="G396">
        <v>12.8064</v>
      </c>
      <c r="H396">
        <v>1</v>
      </c>
      <c r="I396">
        <v>668</v>
      </c>
      <c r="J396" t="str">
        <f>HYPERLINK("https://climate.onebuilding.org/WMO_Region_6_Europe/AUT_Austria/TR_Tyrol/AUT_TR_Lienz.112040_TMYx.2007-2021.zip")</f>
        <v>https://climate.onebuilding.org/WMO_Region_6_Europe/AUT_Austria/TR_Tyrol/AUT_TR_Lienz.112040_TMYx.2007-2021.zip</v>
      </c>
    </row>
    <row r="397" spans="1:10" x14ac:dyDescent="0.25">
      <c r="A397" t="s">
        <v>79</v>
      </c>
      <c r="B397" t="s">
        <v>155</v>
      </c>
      <c r="C397" t="s">
        <v>244</v>
      </c>
      <c r="D397">
        <v>112040</v>
      </c>
      <c r="E397" t="s">
        <v>14</v>
      </c>
      <c r="F397">
        <v>46.825600000000001</v>
      </c>
      <c r="G397">
        <v>12.8064</v>
      </c>
      <c r="H397">
        <v>1</v>
      </c>
      <c r="I397">
        <v>668</v>
      </c>
      <c r="J397" t="str">
        <f>HYPERLINK("https://climate.onebuilding.org/WMO_Region_6_Europe/AUT_Austria/TR_Tyrol/AUT_TR_Lienz.112040_TMYx.2009-2023.zip")</f>
        <v>https://climate.onebuilding.org/WMO_Region_6_Europe/AUT_Austria/TR_Tyrol/AUT_TR_Lienz.112040_TMYx.2009-2023.zip</v>
      </c>
    </row>
    <row r="398" spans="1:10" x14ac:dyDescent="0.25">
      <c r="A398" t="s">
        <v>79</v>
      </c>
      <c r="B398" t="s">
        <v>155</v>
      </c>
      <c r="C398" t="s">
        <v>244</v>
      </c>
      <c r="D398">
        <v>112040</v>
      </c>
      <c r="E398" t="s">
        <v>14</v>
      </c>
      <c r="F398">
        <v>46.825600000000001</v>
      </c>
      <c r="G398">
        <v>12.8064</v>
      </c>
      <c r="H398">
        <v>1</v>
      </c>
      <c r="I398">
        <v>668</v>
      </c>
      <c r="J398" t="str">
        <f>HYPERLINK("https://climate.onebuilding.org/WMO_Region_6_Europe/AUT_Austria/TR_Tyrol/AUT_TR_Lienz.112040_TMYx.zip")</f>
        <v>https://climate.onebuilding.org/WMO_Region_6_Europe/AUT_Austria/TR_Tyrol/AUT_TR_Lienz.112040_TMYx.zip</v>
      </c>
    </row>
    <row r="399" spans="1:10" x14ac:dyDescent="0.25">
      <c r="A399" t="s">
        <v>79</v>
      </c>
      <c r="B399" t="s">
        <v>246</v>
      </c>
      <c r="C399" t="s">
        <v>247</v>
      </c>
      <c r="D399">
        <v>112070</v>
      </c>
      <c r="E399" t="s">
        <v>14</v>
      </c>
      <c r="F399">
        <v>46.65</v>
      </c>
      <c r="G399">
        <v>13.15</v>
      </c>
      <c r="H399">
        <v>1</v>
      </c>
      <c r="I399">
        <v>646</v>
      </c>
      <c r="J399" t="str">
        <f>HYPERLINK("https://climate.onebuilding.org/WMO_Region_6_Europe/AUT_Austria/KA_Carinthia/AUT_KA_Reisach.112070_TMYx.zip")</f>
        <v>https://climate.onebuilding.org/WMO_Region_6_Europe/AUT_Austria/KA_Carinthia/AUT_KA_Reisach.112070_TMYx.zip</v>
      </c>
    </row>
    <row r="400" spans="1:10" x14ac:dyDescent="0.25">
      <c r="A400" t="s">
        <v>79</v>
      </c>
      <c r="B400" t="s">
        <v>246</v>
      </c>
      <c r="C400" t="s">
        <v>248</v>
      </c>
      <c r="D400">
        <v>112110</v>
      </c>
      <c r="E400" t="s">
        <v>14</v>
      </c>
      <c r="F400">
        <v>46.8</v>
      </c>
      <c r="G400">
        <v>13.7</v>
      </c>
      <c r="H400">
        <v>1</v>
      </c>
      <c r="I400">
        <v>704</v>
      </c>
      <c r="J400" t="str">
        <f>HYPERLINK("https://climate.onebuilding.org/WMO_Region_6_Europe/AUT_Austria/KA_Carinthia/AUT_KA_Radenthein.112110_TMYx.zip")</f>
        <v>https://climate.onebuilding.org/WMO_Region_6_Europe/AUT_Austria/KA_Carinthia/AUT_KA_Radenthein.112110_TMYx.zip</v>
      </c>
    </row>
    <row r="401" spans="1:10" x14ac:dyDescent="0.25">
      <c r="A401" t="s">
        <v>79</v>
      </c>
      <c r="B401" t="s">
        <v>246</v>
      </c>
      <c r="C401" t="s">
        <v>249</v>
      </c>
      <c r="D401">
        <v>112120</v>
      </c>
      <c r="E401" t="s">
        <v>250</v>
      </c>
      <c r="F401">
        <v>46.6036</v>
      </c>
      <c r="G401">
        <v>13.673299999999999</v>
      </c>
      <c r="H401">
        <v>1</v>
      </c>
      <c r="I401">
        <v>2160</v>
      </c>
      <c r="J401" t="str">
        <f>HYPERLINK("https://climate.onebuilding.org/WMO_Region_6_Europe/AUT_Austria/KA_Carinthia/AUT_KA_Villacher.Alps.112120_TMYx.2004-2018.zip")</f>
        <v>https://climate.onebuilding.org/WMO_Region_6_Europe/AUT_Austria/KA_Carinthia/AUT_KA_Villacher.Alps.112120_TMYx.2004-2018.zip</v>
      </c>
    </row>
    <row r="402" spans="1:10" x14ac:dyDescent="0.25">
      <c r="A402" t="s">
        <v>79</v>
      </c>
      <c r="B402" t="s">
        <v>246</v>
      </c>
      <c r="C402" t="s">
        <v>249</v>
      </c>
      <c r="D402">
        <v>112120</v>
      </c>
      <c r="E402" t="s">
        <v>14</v>
      </c>
      <c r="F402">
        <v>46.6036</v>
      </c>
      <c r="G402">
        <v>13.673299999999999</v>
      </c>
      <c r="H402">
        <v>1</v>
      </c>
      <c r="I402">
        <v>2160</v>
      </c>
      <c r="J402" t="str">
        <f>HYPERLINK("https://climate.onebuilding.org/WMO_Region_6_Europe/AUT_Austria/KA_Carinthia/AUT_KA_Villacher.Alps.112120_TMYx.2007-2021.zip")</f>
        <v>https://climate.onebuilding.org/WMO_Region_6_Europe/AUT_Austria/KA_Carinthia/AUT_KA_Villacher.Alps.112120_TMYx.2007-2021.zip</v>
      </c>
    </row>
    <row r="403" spans="1:10" x14ac:dyDescent="0.25">
      <c r="A403" t="s">
        <v>79</v>
      </c>
      <c r="B403" t="s">
        <v>246</v>
      </c>
      <c r="C403" t="s">
        <v>249</v>
      </c>
      <c r="D403">
        <v>112120</v>
      </c>
      <c r="E403" t="s">
        <v>14</v>
      </c>
      <c r="F403">
        <v>46.6036</v>
      </c>
      <c r="G403">
        <v>13.673299999999999</v>
      </c>
      <c r="H403">
        <v>1</v>
      </c>
      <c r="I403">
        <v>2160</v>
      </c>
      <c r="J403" t="str">
        <f>HYPERLINK("https://climate.onebuilding.org/WMO_Region_6_Europe/AUT_Austria/KA_Carinthia/AUT_KA_Villacher.Alps.112120_TMYx.2009-2023.zip")</f>
        <v>https://climate.onebuilding.org/WMO_Region_6_Europe/AUT_Austria/KA_Carinthia/AUT_KA_Villacher.Alps.112120_TMYx.2009-2023.zip</v>
      </c>
    </row>
    <row r="404" spans="1:10" x14ac:dyDescent="0.25">
      <c r="A404" t="s">
        <v>79</v>
      </c>
      <c r="B404" t="s">
        <v>246</v>
      </c>
      <c r="C404" t="s">
        <v>249</v>
      </c>
      <c r="D404">
        <v>112120</v>
      </c>
      <c r="E404" t="s">
        <v>14</v>
      </c>
      <c r="F404">
        <v>46.6036</v>
      </c>
      <c r="G404">
        <v>13.673299999999999</v>
      </c>
      <c r="H404">
        <v>1</v>
      </c>
      <c r="I404">
        <v>2160</v>
      </c>
      <c r="J404" t="str">
        <f>HYPERLINK("https://climate.onebuilding.org/WMO_Region_6_Europe/AUT_Austria/KA_Carinthia/AUT_KA_Villacher.Alps.112120_TMYx.zip")</f>
        <v>https://climate.onebuilding.org/WMO_Region_6_Europe/AUT_Austria/KA_Carinthia/AUT_KA_Villacher.Alps.112120_TMYx.zip</v>
      </c>
    </row>
    <row r="405" spans="1:10" x14ac:dyDescent="0.25">
      <c r="A405" t="s">
        <v>79</v>
      </c>
      <c r="B405" t="s">
        <v>246</v>
      </c>
      <c r="C405" t="s">
        <v>251</v>
      </c>
      <c r="D405">
        <v>112130</v>
      </c>
      <c r="E405" t="s">
        <v>252</v>
      </c>
      <c r="F405">
        <v>46.618000000000002</v>
      </c>
      <c r="G405">
        <v>13.873900000000001</v>
      </c>
      <c r="H405">
        <v>1</v>
      </c>
      <c r="I405">
        <v>494.5</v>
      </c>
      <c r="J405" t="str">
        <f>HYPERLINK("https://climate.onebuilding.org/WMO_Region_6_Europe/AUT_Austria/KA_Carinthia/AUT_KA_Villach.112130_TMYx.2004-2018.zip")</f>
        <v>https://climate.onebuilding.org/WMO_Region_6_Europe/AUT_Austria/KA_Carinthia/AUT_KA_Villach.112130_TMYx.2004-2018.zip</v>
      </c>
    </row>
    <row r="406" spans="1:10" x14ac:dyDescent="0.25">
      <c r="A406" t="s">
        <v>79</v>
      </c>
      <c r="B406" t="s">
        <v>246</v>
      </c>
      <c r="C406" t="s">
        <v>251</v>
      </c>
      <c r="D406">
        <v>112130</v>
      </c>
      <c r="E406" t="s">
        <v>14</v>
      </c>
      <c r="F406">
        <v>46.618000000000002</v>
      </c>
      <c r="G406">
        <v>13.873900000000001</v>
      </c>
      <c r="H406">
        <v>1</v>
      </c>
      <c r="I406">
        <v>494.5</v>
      </c>
      <c r="J406" t="str">
        <f>HYPERLINK("https://climate.onebuilding.org/WMO_Region_6_Europe/AUT_Austria/KA_Carinthia/AUT_KA_Villach.112130_TMYx.2007-2021.zip")</f>
        <v>https://climate.onebuilding.org/WMO_Region_6_Europe/AUT_Austria/KA_Carinthia/AUT_KA_Villach.112130_TMYx.2007-2021.zip</v>
      </c>
    </row>
    <row r="407" spans="1:10" x14ac:dyDescent="0.25">
      <c r="A407" t="s">
        <v>79</v>
      </c>
      <c r="B407" t="s">
        <v>246</v>
      </c>
      <c r="C407" t="s">
        <v>251</v>
      </c>
      <c r="D407">
        <v>112130</v>
      </c>
      <c r="E407" t="s">
        <v>14</v>
      </c>
      <c r="F407">
        <v>46.618000000000002</v>
      </c>
      <c r="G407">
        <v>13.873900000000001</v>
      </c>
      <c r="H407">
        <v>1</v>
      </c>
      <c r="I407">
        <v>494.5</v>
      </c>
      <c r="J407" t="str">
        <f>HYPERLINK("https://climate.onebuilding.org/WMO_Region_6_Europe/AUT_Austria/KA_Carinthia/AUT_KA_Villach.112130_TMYx.2009-2023.zip")</f>
        <v>https://climate.onebuilding.org/WMO_Region_6_Europe/AUT_Austria/KA_Carinthia/AUT_KA_Villach.112130_TMYx.2009-2023.zip</v>
      </c>
    </row>
    <row r="408" spans="1:10" x14ac:dyDescent="0.25">
      <c r="A408" t="s">
        <v>79</v>
      </c>
      <c r="B408" t="s">
        <v>246</v>
      </c>
      <c r="C408" t="s">
        <v>251</v>
      </c>
      <c r="D408">
        <v>112130</v>
      </c>
      <c r="E408" t="s">
        <v>14</v>
      </c>
      <c r="F408">
        <v>46.618000000000002</v>
      </c>
      <c r="G408">
        <v>13.873900000000001</v>
      </c>
      <c r="H408">
        <v>1</v>
      </c>
      <c r="I408">
        <v>494.5</v>
      </c>
      <c r="J408" t="str">
        <f>HYPERLINK("https://climate.onebuilding.org/WMO_Region_6_Europe/AUT_Austria/KA_Carinthia/AUT_KA_Villach.112130_TMYx.zip")</f>
        <v>https://climate.onebuilding.org/WMO_Region_6_Europe/AUT_Austria/KA_Carinthia/AUT_KA_Villach.112130_TMYx.zip</v>
      </c>
    </row>
    <row r="409" spans="1:10" x14ac:dyDescent="0.25">
      <c r="A409" t="s">
        <v>79</v>
      </c>
      <c r="B409" t="s">
        <v>246</v>
      </c>
      <c r="C409" t="s">
        <v>253</v>
      </c>
      <c r="D409">
        <v>112140</v>
      </c>
      <c r="E409" t="s">
        <v>14</v>
      </c>
      <c r="F409">
        <v>46.938099999999999</v>
      </c>
      <c r="G409">
        <v>14.914999999999999</v>
      </c>
      <c r="H409">
        <v>1</v>
      </c>
      <c r="I409">
        <v>1036.4000000000001</v>
      </c>
      <c r="J409" t="str">
        <f>HYPERLINK("https://climate.onebuilding.org/WMO_Region_6_Europe/AUT_Austria/KA_Carinthia/AUT_KA_Preitenegg.112140_TMYx.2007-2021.zip")</f>
        <v>https://climate.onebuilding.org/WMO_Region_6_Europe/AUT_Austria/KA_Carinthia/AUT_KA_Preitenegg.112140_TMYx.2007-2021.zip</v>
      </c>
    </row>
    <row r="410" spans="1:10" x14ac:dyDescent="0.25">
      <c r="A410" t="s">
        <v>79</v>
      </c>
      <c r="B410" t="s">
        <v>246</v>
      </c>
      <c r="C410" t="s">
        <v>253</v>
      </c>
      <c r="D410">
        <v>112140</v>
      </c>
      <c r="E410" t="s">
        <v>14</v>
      </c>
      <c r="F410">
        <v>46.938099999999999</v>
      </c>
      <c r="G410">
        <v>14.914999999999999</v>
      </c>
      <c r="H410">
        <v>1</v>
      </c>
      <c r="I410">
        <v>1036.4000000000001</v>
      </c>
      <c r="J410" t="str">
        <f>HYPERLINK("https://climate.onebuilding.org/WMO_Region_6_Europe/AUT_Austria/KA_Carinthia/AUT_KA_Preitenegg.112140_TMYx.2009-2023.zip")</f>
        <v>https://climate.onebuilding.org/WMO_Region_6_Europe/AUT_Austria/KA_Carinthia/AUT_KA_Preitenegg.112140_TMYx.2009-2023.zip</v>
      </c>
    </row>
    <row r="411" spans="1:10" x14ac:dyDescent="0.25">
      <c r="A411" t="s">
        <v>79</v>
      </c>
      <c r="B411" t="s">
        <v>246</v>
      </c>
      <c r="C411" t="s">
        <v>253</v>
      </c>
      <c r="D411">
        <v>112140</v>
      </c>
      <c r="E411" t="s">
        <v>14</v>
      </c>
      <c r="F411">
        <v>46.938099999999999</v>
      </c>
      <c r="G411">
        <v>14.914999999999999</v>
      </c>
      <c r="H411">
        <v>1</v>
      </c>
      <c r="I411">
        <v>1036.4000000000001</v>
      </c>
      <c r="J411" t="str">
        <f>HYPERLINK("https://climate.onebuilding.org/WMO_Region_6_Europe/AUT_Austria/KA_Carinthia/AUT_KA_Preitenegg.112140_TMYx.zip")</f>
        <v>https://climate.onebuilding.org/WMO_Region_6_Europe/AUT_Austria/KA_Carinthia/AUT_KA_Preitenegg.112140_TMYx.zip</v>
      </c>
    </row>
    <row r="412" spans="1:10" x14ac:dyDescent="0.25">
      <c r="A412" t="s">
        <v>79</v>
      </c>
      <c r="B412" t="s">
        <v>210</v>
      </c>
      <c r="C412" t="s">
        <v>254</v>
      </c>
      <c r="D412">
        <v>112200</v>
      </c>
      <c r="E412" t="s">
        <v>14</v>
      </c>
      <c r="F412">
        <v>47.069699999999997</v>
      </c>
      <c r="G412">
        <v>14.4247</v>
      </c>
      <c r="H412">
        <v>1</v>
      </c>
      <c r="I412">
        <v>871</v>
      </c>
      <c r="J412" t="str">
        <f>HYPERLINK("https://climate.onebuilding.org/WMO_Region_6_Europe/AUT_Austria/ST_Styria/AUT_ST_Neumarkt.112200_TMYx.2007-2021.zip")</f>
        <v>https://climate.onebuilding.org/WMO_Region_6_Europe/AUT_Austria/ST_Styria/AUT_ST_Neumarkt.112200_TMYx.2007-2021.zip</v>
      </c>
    </row>
    <row r="413" spans="1:10" x14ac:dyDescent="0.25">
      <c r="A413" t="s">
        <v>79</v>
      </c>
      <c r="B413" t="s">
        <v>210</v>
      </c>
      <c r="C413" t="s">
        <v>254</v>
      </c>
      <c r="D413">
        <v>112200</v>
      </c>
      <c r="E413" t="s">
        <v>14</v>
      </c>
      <c r="F413">
        <v>47.069699999999997</v>
      </c>
      <c r="G413">
        <v>14.4247</v>
      </c>
      <c r="H413">
        <v>1</v>
      </c>
      <c r="I413">
        <v>871</v>
      </c>
      <c r="J413" t="str">
        <f>HYPERLINK("https://climate.onebuilding.org/WMO_Region_6_Europe/AUT_Austria/ST_Styria/AUT_ST_Neumarkt.112200_TMYx.2009-2023.zip")</f>
        <v>https://climate.onebuilding.org/WMO_Region_6_Europe/AUT_Austria/ST_Styria/AUT_ST_Neumarkt.112200_TMYx.2009-2023.zip</v>
      </c>
    </row>
    <row r="414" spans="1:10" x14ac:dyDescent="0.25">
      <c r="A414" t="s">
        <v>79</v>
      </c>
      <c r="B414" t="s">
        <v>210</v>
      </c>
      <c r="C414" t="s">
        <v>254</v>
      </c>
      <c r="D414">
        <v>112200</v>
      </c>
      <c r="E414" t="s">
        <v>14</v>
      </c>
      <c r="F414">
        <v>47.069699999999997</v>
      </c>
      <c r="G414">
        <v>14.4247</v>
      </c>
      <c r="H414">
        <v>1</v>
      </c>
      <c r="I414">
        <v>871</v>
      </c>
      <c r="J414" t="str">
        <f>HYPERLINK("https://climate.onebuilding.org/WMO_Region_6_Europe/AUT_Austria/ST_Styria/AUT_ST_Neumarkt.112200_TMYx.zip")</f>
        <v>https://climate.onebuilding.org/WMO_Region_6_Europe/AUT_Austria/ST_Styria/AUT_ST_Neumarkt.112200_TMYx.zip</v>
      </c>
    </row>
    <row r="415" spans="1:10" x14ac:dyDescent="0.25">
      <c r="A415" t="s">
        <v>79</v>
      </c>
      <c r="B415" t="s">
        <v>246</v>
      </c>
      <c r="C415" t="s">
        <v>255</v>
      </c>
      <c r="D415">
        <v>112250</v>
      </c>
      <c r="E415" t="s">
        <v>256</v>
      </c>
      <c r="F415">
        <v>46.849200000000003</v>
      </c>
      <c r="G415">
        <v>14.190799999999999</v>
      </c>
      <c r="H415">
        <v>1</v>
      </c>
      <c r="I415">
        <v>712.4</v>
      </c>
      <c r="J415" t="str">
        <f>HYPERLINK("https://climate.onebuilding.org/WMO_Region_6_Europe/AUT_Austria/KA_Carinthia/AUT_KA_Weitensfeld.112250_TMYx.2004-2018.zip")</f>
        <v>https://climate.onebuilding.org/WMO_Region_6_Europe/AUT_Austria/KA_Carinthia/AUT_KA_Weitensfeld.112250_TMYx.2004-2018.zip</v>
      </c>
    </row>
    <row r="416" spans="1:10" x14ac:dyDescent="0.25">
      <c r="A416" t="s">
        <v>79</v>
      </c>
      <c r="B416" t="s">
        <v>246</v>
      </c>
      <c r="C416" t="s">
        <v>255</v>
      </c>
      <c r="D416">
        <v>112250</v>
      </c>
      <c r="E416" t="s">
        <v>14</v>
      </c>
      <c r="F416">
        <v>46.849200000000003</v>
      </c>
      <c r="G416">
        <v>14.190799999999999</v>
      </c>
      <c r="H416">
        <v>1</v>
      </c>
      <c r="I416">
        <v>712.4</v>
      </c>
      <c r="J416" t="str">
        <f>HYPERLINK("https://climate.onebuilding.org/WMO_Region_6_Europe/AUT_Austria/KA_Carinthia/AUT_KA_Weitensfeld.112250_TMYx.2007-2021.zip")</f>
        <v>https://climate.onebuilding.org/WMO_Region_6_Europe/AUT_Austria/KA_Carinthia/AUT_KA_Weitensfeld.112250_TMYx.2007-2021.zip</v>
      </c>
    </row>
    <row r="417" spans="1:10" x14ac:dyDescent="0.25">
      <c r="A417" t="s">
        <v>79</v>
      </c>
      <c r="B417" t="s">
        <v>246</v>
      </c>
      <c r="C417" t="s">
        <v>255</v>
      </c>
      <c r="D417">
        <v>112250</v>
      </c>
      <c r="E417" t="s">
        <v>14</v>
      </c>
      <c r="F417">
        <v>46.849200000000003</v>
      </c>
      <c r="G417">
        <v>14.190799999999999</v>
      </c>
      <c r="H417">
        <v>1</v>
      </c>
      <c r="I417">
        <v>712.4</v>
      </c>
      <c r="J417" t="str">
        <f>HYPERLINK("https://climate.onebuilding.org/WMO_Region_6_Europe/AUT_Austria/KA_Carinthia/AUT_KA_Weitensfeld.112250_TMYx.2009-2023.zip")</f>
        <v>https://climate.onebuilding.org/WMO_Region_6_Europe/AUT_Austria/KA_Carinthia/AUT_KA_Weitensfeld.112250_TMYx.2009-2023.zip</v>
      </c>
    </row>
    <row r="418" spans="1:10" x14ac:dyDescent="0.25">
      <c r="A418" t="s">
        <v>79</v>
      </c>
      <c r="B418" t="s">
        <v>246</v>
      </c>
      <c r="C418" t="s">
        <v>255</v>
      </c>
      <c r="D418">
        <v>112250</v>
      </c>
      <c r="E418" t="s">
        <v>14</v>
      </c>
      <c r="F418">
        <v>46.849200000000003</v>
      </c>
      <c r="G418">
        <v>14.190799999999999</v>
      </c>
      <c r="H418">
        <v>1</v>
      </c>
      <c r="I418">
        <v>712.4</v>
      </c>
      <c r="J418" t="str">
        <f>HYPERLINK("https://climate.onebuilding.org/WMO_Region_6_Europe/AUT_Austria/KA_Carinthia/AUT_KA_Weitensfeld.112250_TMYx.zip")</f>
        <v>https://climate.onebuilding.org/WMO_Region_6_Europe/AUT_Austria/KA_Carinthia/AUT_KA_Weitensfeld.112250_TMYx.zip</v>
      </c>
    </row>
    <row r="419" spans="1:10" x14ac:dyDescent="0.25">
      <c r="A419" t="s">
        <v>79</v>
      </c>
      <c r="B419" t="s">
        <v>246</v>
      </c>
      <c r="C419" t="s">
        <v>257</v>
      </c>
      <c r="D419">
        <v>112270</v>
      </c>
      <c r="E419" t="s">
        <v>14</v>
      </c>
      <c r="F419">
        <v>46.722000000000001</v>
      </c>
      <c r="G419">
        <v>14.0969</v>
      </c>
      <c r="H419">
        <v>1</v>
      </c>
      <c r="I419">
        <v>546.4</v>
      </c>
      <c r="J419" t="str">
        <f>HYPERLINK("https://climate.onebuilding.org/WMO_Region_6_Europe/AUT_Austria/KA_Carinthia/AUT_KA_Feldkirchen.112270_TMYx.2007-2021.zip")</f>
        <v>https://climate.onebuilding.org/WMO_Region_6_Europe/AUT_Austria/KA_Carinthia/AUT_KA_Feldkirchen.112270_TMYx.2007-2021.zip</v>
      </c>
    </row>
    <row r="420" spans="1:10" x14ac:dyDescent="0.25">
      <c r="A420" t="s">
        <v>79</v>
      </c>
      <c r="B420" t="s">
        <v>246</v>
      </c>
      <c r="C420" t="s">
        <v>257</v>
      </c>
      <c r="D420">
        <v>112270</v>
      </c>
      <c r="E420" t="s">
        <v>14</v>
      </c>
      <c r="F420">
        <v>46.722000000000001</v>
      </c>
      <c r="G420">
        <v>14.0969</v>
      </c>
      <c r="H420">
        <v>1</v>
      </c>
      <c r="I420">
        <v>546.4</v>
      </c>
      <c r="J420" t="str">
        <f>HYPERLINK("https://climate.onebuilding.org/WMO_Region_6_Europe/AUT_Austria/KA_Carinthia/AUT_KA_Feldkirchen.112270_TMYx.2009-2023.zip")</f>
        <v>https://climate.onebuilding.org/WMO_Region_6_Europe/AUT_Austria/KA_Carinthia/AUT_KA_Feldkirchen.112270_TMYx.2009-2023.zip</v>
      </c>
    </row>
    <row r="421" spans="1:10" x14ac:dyDescent="0.25">
      <c r="A421" t="s">
        <v>79</v>
      </c>
      <c r="B421" t="s">
        <v>246</v>
      </c>
      <c r="C421" t="s">
        <v>257</v>
      </c>
      <c r="D421">
        <v>112270</v>
      </c>
      <c r="E421" t="s">
        <v>14</v>
      </c>
      <c r="F421">
        <v>46.722000000000001</v>
      </c>
      <c r="G421">
        <v>14.0969</v>
      </c>
      <c r="H421">
        <v>1</v>
      </c>
      <c r="I421">
        <v>546.4</v>
      </c>
      <c r="J421" t="str">
        <f>HYPERLINK("https://climate.onebuilding.org/WMO_Region_6_Europe/AUT_Austria/KA_Carinthia/AUT_KA_Feldkirchen.112270_TMYx.zip")</f>
        <v>https://climate.onebuilding.org/WMO_Region_6_Europe/AUT_Austria/KA_Carinthia/AUT_KA_Feldkirchen.112270_TMYx.zip</v>
      </c>
    </row>
    <row r="422" spans="1:10" x14ac:dyDescent="0.25">
      <c r="A422" t="s">
        <v>79</v>
      </c>
      <c r="B422" t="s">
        <v>80</v>
      </c>
      <c r="C422" t="s">
        <v>258</v>
      </c>
      <c r="D422">
        <v>112280</v>
      </c>
      <c r="E422" t="s">
        <v>14</v>
      </c>
      <c r="F422">
        <v>46.958599999999997</v>
      </c>
      <c r="G422">
        <v>14.405799999999999</v>
      </c>
      <c r="H422">
        <v>1</v>
      </c>
      <c r="I422">
        <v>641.29999999999995</v>
      </c>
      <c r="J422" t="str">
        <f>HYPERLINK("https://climate.onebuilding.org/WMO_Region_6_Europe/AUT_Austria/OO_Upper_Austria/AUT_OO_Friesach.112280_TMYx.2007-2021.zip")</f>
        <v>https://climate.onebuilding.org/WMO_Region_6_Europe/AUT_Austria/OO_Upper_Austria/AUT_OO_Friesach.112280_TMYx.2007-2021.zip</v>
      </c>
    </row>
    <row r="423" spans="1:10" x14ac:dyDescent="0.25">
      <c r="A423" t="s">
        <v>79</v>
      </c>
      <c r="B423" t="s">
        <v>80</v>
      </c>
      <c r="C423" t="s">
        <v>258</v>
      </c>
      <c r="D423">
        <v>112280</v>
      </c>
      <c r="E423" t="s">
        <v>14</v>
      </c>
      <c r="F423">
        <v>46.958599999999997</v>
      </c>
      <c r="G423">
        <v>14.405799999999999</v>
      </c>
      <c r="H423">
        <v>1</v>
      </c>
      <c r="I423">
        <v>641.29999999999995</v>
      </c>
      <c r="J423" t="str">
        <f>HYPERLINK("https://climate.onebuilding.org/WMO_Region_6_Europe/AUT_Austria/OO_Upper_Austria/AUT_OO_Friesach.112280_TMYx.2009-2023.zip")</f>
        <v>https://climate.onebuilding.org/WMO_Region_6_Europe/AUT_Austria/OO_Upper_Austria/AUT_OO_Friesach.112280_TMYx.2009-2023.zip</v>
      </c>
    </row>
    <row r="424" spans="1:10" x14ac:dyDescent="0.25">
      <c r="A424" t="s">
        <v>79</v>
      </c>
      <c r="B424" t="s">
        <v>80</v>
      </c>
      <c r="C424" t="s">
        <v>258</v>
      </c>
      <c r="D424">
        <v>112280</v>
      </c>
      <c r="E424" t="s">
        <v>14</v>
      </c>
      <c r="F424">
        <v>46.958599999999997</v>
      </c>
      <c r="G424">
        <v>14.405799999999999</v>
      </c>
      <c r="H424">
        <v>1</v>
      </c>
      <c r="I424">
        <v>641.29999999999995</v>
      </c>
      <c r="J424" t="str">
        <f>HYPERLINK("https://climate.onebuilding.org/WMO_Region_6_Europe/AUT_Austria/OO_Upper_Austria/AUT_OO_Friesach.112280_TMYx.zip")</f>
        <v>https://climate.onebuilding.org/WMO_Region_6_Europe/AUT_Austria/OO_Upper_Austria/AUT_OO_Friesach.112280_TMYx.zip</v>
      </c>
    </row>
    <row r="425" spans="1:10" x14ac:dyDescent="0.25">
      <c r="A425" t="s">
        <v>79</v>
      </c>
      <c r="B425" t="s">
        <v>246</v>
      </c>
      <c r="C425" t="s">
        <v>259</v>
      </c>
      <c r="D425">
        <v>112290</v>
      </c>
      <c r="E425" t="s">
        <v>260</v>
      </c>
      <c r="F425">
        <v>46.764200000000002</v>
      </c>
      <c r="G425">
        <v>14.828099999999999</v>
      </c>
      <c r="H425">
        <v>1</v>
      </c>
      <c r="I425">
        <v>403.7</v>
      </c>
      <c r="J425" t="str">
        <f>HYPERLINK("https://climate.onebuilding.org/WMO_Region_6_Europe/AUT_Austria/KA_Carinthia/AUT_KA_St.Andra.112290_TMYx.2004-2018.zip")</f>
        <v>https://climate.onebuilding.org/WMO_Region_6_Europe/AUT_Austria/KA_Carinthia/AUT_KA_St.Andra.112290_TMYx.2004-2018.zip</v>
      </c>
    </row>
    <row r="426" spans="1:10" x14ac:dyDescent="0.25">
      <c r="A426" t="s">
        <v>79</v>
      </c>
      <c r="B426" t="s">
        <v>246</v>
      </c>
      <c r="C426" t="s">
        <v>259</v>
      </c>
      <c r="D426">
        <v>112290</v>
      </c>
      <c r="E426" t="s">
        <v>14</v>
      </c>
      <c r="F426">
        <v>46.764200000000002</v>
      </c>
      <c r="G426">
        <v>14.828099999999999</v>
      </c>
      <c r="H426">
        <v>1</v>
      </c>
      <c r="I426">
        <v>403.7</v>
      </c>
      <c r="J426" t="str">
        <f>HYPERLINK("https://climate.onebuilding.org/WMO_Region_6_Europe/AUT_Austria/KA_Carinthia/AUT_KA_St.Andra.112290_TMYx.2007-2021.zip")</f>
        <v>https://climate.onebuilding.org/WMO_Region_6_Europe/AUT_Austria/KA_Carinthia/AUT_KA_St.Andra.112290_TMYx.2007-2021.zip</v>
      </c>
    </row>
    <row r="427" spans="1:10" x14ac:dyDescent="0.25">
      <c r="A427" t="s">
        <v>79</v>
      </c>
      <c r="B427" t="s">
        <v>246</v>
      </c>
      <c r="C427" t="s">
        <v>259</v>
      </c>
      <c r="D427">
        <v>112290</v>
      </c>
      <c r="E427" t="s">
        <v>14</v>
      </c>
      <c r="F427">
        <v>46.764200000000002</v>
      </c>
      <c r="G427">
        <v>14.828099999999999</v>
      </c>
      <c r="H427">
        <v>1</v>
      </c>
      <c r="I427">
        <v>403.7</v>
      </c>
      <c r="J427" t="str">
        <f>HYPERLINK("https://climate.onebuilding.org/WMO_Region_6_Europe/AUT_Austria/KA_Carinthia/AUT_KA_St.Andra.112290_TMYx.2009-2023.zip")</f>
        <v>https://climate.onebuilding.org/WMO_Region_6_Europe/AUT_Austria/KA_Carinthia/AUT_KA_St.Andra.112290_TMYx.2009-2023.zip</v>
      </c>
    </row>
    <row r="428" spans="1:10" x14ac:dyDescent="0.25">
      <c r="A428" t="s">
        <v>79</v>
      </c>
      <c r="B428" t="s">
        <v>246</v>
      </c>
      <c r="C428" t="s">
        <v>259</v>
      </c>
      <c r="D428">
        <v>112290</v>
      </c>
      <c r="E428" t="s">
        <v>14</v>
      </c>
      <c r="F428">
        <v>46.764200000000002</v>
      </c>
      <c r="G428">
        <v>14.828099999999999</v>
      </c>
      <c r="H428">
        <v>1</v>
      </c>
      <c r="I428">
        <v>403.7</v>
      </c>
      <c r="J428" t="str">
        <f>HYPERLINK("https://climate.onebuilding.org/WMO_Region_6_Europe/AUT_Austria/KA_Carinthia/AUT_KA_St.Andra.112290_TMYx.zip")</f>
        <v>https://climate.onebuilding.org/WMO_Region_6_Europe/AUT_Austria/KA_Carinthia/AUT_KA_St.Andra.112290_TMYx.zip</v>
      </c>
    </row>
    <row r="429" spans="1:10" x14ac:dyDescent="0.25">
      <c r="A429" t="s">
        <v>79</v>
      </c>
      <c r="B429" t="s">
        <v>246</v>
      </c>
      <c r="C429" t="s">
        <v>261</v>
      </c>
      <c r="D429">
        <v>112320</v>
      </c>
      <c r="E429" t="s">
        <v>262</v>
      </c>
      <c r="F429">
        <v>46.558900000000001</v>
      </c>
      <c r="G429">
        <v>14.7667</v>
      </c>
      <c r="H429">
        <v>1</v>
      </c>
      <c r="I429">
        <v>530.9</v>
      </c>
      <c r="J429" t="str">
        <f>HYPERLINK("https://climate.onebuilding.org/WMO_Region_6_Europe/AUT_Austria/KA_Carinthia/AUT_KA_Feistritz.ob.Bleiburg.112320_TMYx.2004-2018.zip")</f>
        <v>https://climate.onebuilding.org/WMO_Region_6_Europe/AUT_Austria/KA_Carinthia/AUT_KA_Feistritz.ob.Bleiburg.112320_TMYx.2004-2018.zip</v>
      </c>
    </row>
    <row r="430" spans="1:10" x14ac:dyDescent="0.25">
      <c r="A430" t="s">
        <v>79</v>
      </c>
      <c r="B430" t="s">
        <v>246</v>
      </c>
      <c r="C430" t="s">
        <v>261</v>
      </c>
      <c r="D430">
        <v>112320</v>
      </c>
      <c r="E430" t="s">
        <v>14</v>
      </c>
      <c r="F430">
        <v>46.558900000000001</v>
      </c>
      <c r="G430">
        <v>14.7667</v>
      </c>
      <c r="H430">
        <v>1</v>
      </c>
      <c r="I430">
        <v>530.9</v>
      </c>
      <c r="J430" t="str">
        <f>HYPERLINK("https://climate.onebuilding.org/WMO_Region_6_Europe/AUT_Austria/KA_Carinthia/AUT_KA_Feistritz.ob.Bleiburg.112320_TMYx.2007-2021.zip")</f>
        <v>https://climate.onebuilding.org/WMO_Region_6_Europe/AUT_Austria/KA_Carinthia/AUT_KA_Feistritz.ob.Bleiburg.112320_TMYx.2007-2021.zip</v>
      </c>
    </row>
    <row r="431" spans="1:10" x14ac:dyDescent="0.25">
      <c r="A431" t="s">
        <v>79</v>
      </c>
      <c r="B431" t="s">
        <v>246</v>
      </c>
      <c r="C431" t="s">
        <v>261</v>
      </c>
      <c r="D431">
        <v>112320</v>
      </c>
      <c r="E431" t="s">
        <v>14</v>
      </c>
      <c r="F431">
        <v>46.558900000000001</v>
      </c>
      <c r="G431">
        <v>14.7667</v>
      </c>
      <c r="H431">
        <v>1</v>
      </c>
      <c r="I431">
        <v>530.9</v>
      </c>
      <c r="J431" t="str">
        <f>HYPERLINK("https://climate.onebuilding.org/WMO_Region_6_Europe/AUT_Austria/KA_Carinthia/AUT_KA_Feistritz.ob.Bleiburg.112320_TMYx.2009-2023.zip")</f>
        <v>https://climate.onebuilding.org/WMO_Region_6_Europe/AUT_Austria/KA_Carinthia/AUT_KA_Feistritz.ob.Bleiburg.112320_TMYx.2009-2023.zip</v>
      </c>
    </row>
    <row r="432" spans="1:10" x14ac:dyDescent="0.25">
      <c r="A432" t="s">
        <v>79</v>
      </c>
      <c r="B432" t="s">
        <v>246</v>
      </c>
      <c r="C432" t="s">
        <v>261</v>
      </c>
      <c r="D432">
        <v>112320</v>
      </c>
      <c r="E432" t="s">
        <v>14</v>
      </c>
      <c r="F432">
        <v>46.558900000000001</v>
      </c>
      <c r="G432">
        <v>14.7667</v>
      </c>
      <c r="H432">
        <v>1</v>
      </c>
      <c r="I432">
        <v>530.9</v>
      </c>
      <c r="J432" t="str">
        <f>HYPERLINK("https://climate.onebuilding.org/WMO_Region_6_Europe/AUT_Austria/KA_Carinthia/AUT_KA_Feistritz.ob.Bleiburg.112320_TMYx.zip")</f>
        <v>https://climate.onebuilding.org/WMO_Region_6_Europe/AUT_Austria/KA_Carinthia/AUT_KA_Feistritz.ob.Bleiburg.112320_TMYx.zip</v>
      </c>
    </row>
    <row r="433" spans="1:10" x14ac:dyDescent="0.25">
      <c r="A433" t="s">
        <v>79</v>
      </c>
      <c r="B433" t="s">
        <v>246</v>
      </c>
      <c r="C433" t="s">
        <v>263</v>
      </c>
      <c r="D433">
        <v>112330</v>
      </c>
      <c r="E433" t="s">
        <v>14</v>
      </c>
      <c r="F433">
        <v>46.582999999999998</v>
      </c>
      <c r="G433">
        <v>14.75</v>
      </c>
      <c r="H433">
        <v>1</v>
      </c>
      <c r="I433">
        <v>500</v>
      </c>
      <c r="J433" t="str">
        <f>HYPERLINK("https://climate.onebuilding.org/WMO_Region_6_Europe/AUT_Austria/KA_Carinthia/AUT_KA_St.Michael.112330_TMYx.zip")</f>
        <v>https://climate.onebuilding.org/WMO_Region_6_Europe/AUT_Austria/KA_Carinthia/AUT_KA_St.Michael.112330_TMYx.zip</v>
      </c>
    </row>
    <row r="434" spans="1:10" x14ac:dyDescent="0.25">
      <c r="A434" t="s">
        <v>79</v>
      </c>
      <c r="B434" t="s">
        <v>246</v>
      </c>
      <c r="C434" t="s">
        <v>264</v>
      </c>
      <c r="D434">
        <v>112340</v>
      </c>
      <c r="E434" t="s">
        <v>14</v>
      </c>
      <c r="F434">
        <v>46.490600000000001</v>
      </c>
      <c r="G434">
        <v>14.593299999999999</v>
      </c>
      <c r="H434">
        <v>1</v>
      </c>
      <c r="I434">
        <v>621</v>
      </c>
      <c r="J434" t="str">
        <f>HYPERLINK("https://climate.onebuilding.org/WMO_Region_6_Europe/AUT_Austria/KA_Carinthia/AUT_KA_Bad.Eisenkappel.112340_TMYx.2007-2021.zip")</f>
        <v>https://climate.onebuilding.org/WMO_Region_6_Europe/AUT_Austria/KA_Carinthia/AUT_KA_Bad.Eisenkappel.112340_TMYx.2007-2021.zip</v>
      </c>
    </row>
    <row r="435" spans="1:10" x14ac:dyDescent="0.25">
      <c r="A435" t="s">
        <v>79</v>
      </c>
      <c r="B435" t="s">
        <v>246</v>
      </c>
      <c r="C435" t="s">
        <v>264</v>
      </c>
      <c r="D435">
        <v>112340</v>
      </c>
      <c r="E435" t="s">
        <v>14</v>
      </c>
      <c r="F435">
        <v>46.490600000000001</v>
      </c>
      <c r="G435">
        <v>14.593299999999999</v>
      </c>
      <c r="H435">
        <v>1</v>
      </c>
      <c r="I435">
        <v>621</v>
      </c>
      <c r="J435" t="str">
        <f>HYPERLINK("https://climate.onebuilding.org/WMO_Region_6_Europe/AUT_Austria/KA_Carinthia/AUT_KA_Bad.Eisenkappel.112340_TMYx.2009-2023.zip")</f>
        <v>https://climate.onebuilding.org/WMO_Region_6_Europe/AUT_Austria/KA_Carinthia/AUT_KA_Bad.Eisenkappel.112340_TMYx.2009-2023.zip</v>
      </c>
    </row>
    <row r="436" spans="1:10" x14ac:dyDescent="0.25">
      <c r="A436" t="s">
        <v>79</v>
      </c>
      <c r="B436" t="s">
        <v>246</v>
      </c>
      <c r="C436" t="s">
        <v>264</v>
      </c>
      <c r="D436">
        <v>112340</v>
      </c>
      <c r="E436" t="s">
        <v>14</v>
      </c>
      <c r="F436">
        <v>46.490600000000001</v>
      </c>
      <c r="G436">
        <v>14.593299999999999</v>
      </c>
      <c r="H436">
        <v>1</v>
      </c>
      <c r="I436">
        <v>621</v>
      </c>
      <c r="J436" t="str">
        <f>HYPERLINK("https://climate.onebuilding.org/WMO_Region_6_Europe/AUT_Austria/KA_Carinthia/AUT_KA_Bad.Eisenkappel.112340_TMYx.zip")</f>
        <v>https://climate.onebuilding.org/WMO_Region_6_Europe/AUT_Austria/KA_Carinthia/AUT_KA_Bad.Eisenkappel.112340_TMYx.zip</v>
      </c>
    </row>
    <row r="437" spans="1:10" x14ac:dyDescent="0.25">
      <c r="A437" t="s">
        <v>79</v>
      </c>
      <c r="B437" t="s">
        <v>210</v>
      </c>
      <c r="C437" t="s">
        <v>265</v>
      </c>
      <c r="D437">
        <v>112400</v>
      </c>
      <c r="E437" t="s">
        <v>266</v>
      </c>
      <c r="F437">
        <v>46.980600000000003</v>
      </c>
      <c r="G437">
        <v>15.44</v>
      </c>
      <c r="H437">
        <v>1</v>
      </c>
      <c r="I437">
        <v>363</v>
      </c>
      <c r="J437" t="str">
        <f>HYPERLINK("https://climate.onebuilding.org/WMO_Region_6_Europe/AUT_Austria/ST_Styria/AUT_ST_Graz.AP.112400_TMYx.2004-2018.zip")</f>
        <v>https://climate.onebuilding.org/WMO_Region_6_Europe/AUT_Austria/ST_Styria/AUT_ST_Graz.AP.112400_TMYx.2004-2018.zip</v>
      </c>
    </row>
    <row r="438" spans="1:10" x14ac:dyDescent="0.25">
      <c r="A438" t="s">
        <v>79</v>
      </c>
      <c r="B438" t="s">
        <v>210</v>
      </c>
      <c r="C438" t="s">
        <v>265</v>
      </c>
      <c r="D438">
        <v>112400</v>
      </c>
      <c r="E438" t="s">
        <v>14</v>
      </c>
      <c r="F438">
        <v>46.980600000000003</v>
      </c>
      <c r="G438">
        <v>15.44</v>
      </c>
      <c r="H438">
        <v>1</v>
      </c>
      <c r="I438">
        <v>363</v>
      </c>
      <c r="J438" t="str">
        <f>HYPERLINK("https://climate.onebuilding.org/WMO_Region_6_Europe/AUT_Austria/ST_Styria/AUT_ST_Graz.AP.112400_TMYx.2007-2021.zip")</f>
        <v>https://climate.onebuilding.org/WMO_Region_6_Europe/AUT_Austria/ST_Styria/AUT_ST_Graz.AP.112400_TMYx.2007-2021.zip</v>
      </c>
    </row>
    <row r="439" spans="1:10" x14ac:dyDescent="0.25">
      <c r="A439" t="s">
        <v>79</v>
      </c>
      <c r="B439" t="s">
        <v>210</v>
      </c>
      <c r="C439" t="s">
        <v>265</v>
      </c>
      <c r="D439">
        <v>112400</v>
      </c>
      <c r="E439" t="s">
        <v>14</v>
      </c>
      <c r="F439">
        <v>46.980600000000003</v>
      </c>
      <c r="G439">
        <v>15.44</v>
      </c>
      <c r="H439">
        <v>1</v>
      </c>
      <c r="I439">
        <v>363</v>
      </c>
      <c r="J439" t="str">
        <f>HYPERLINK("https://climate.onebuilding.org/WMO_Region_6_Europe/AUT_Austria/ST_Styria/AUT_ST_Graz.AP.112400_TMYx.2009-2023.zip")</f>
        <v>https://climate.onebuilding.org/WMO_Region_6_Europe/AUT_Austria/ST_Styria/AUT_ST_Graz.AP.112400_TMYx.2009-2023.zip</v>
      </c>
    </row>
    <row r="440" spans="1:10" x14ac:dyDescent="0.25">
      <c r="A440" t="s">
        <v>79</v>
      </c>
      <c r="B440" t="s">
        <v>210</v>
      </c>
      <c r="C440" t="s">
        <v>265</v>
      </c>
      <c r="D440">
        <v>112400</v>
      </c>
      <c r="E440" t="s">
        <v>14</v>
      </c>
      <c r="F440">
        <v>46.980600000000003</v>
      </c>
      <c r="G440">
        <v>15.44</v>
      </c>
      <c r="H440">
        <v>1</v>
      </c>
      <c r="I440">
        <v>363</v>
      </c>
      <c r="J440" t="str">
        <f>HYPERLINK("https://climate.onebuilding.org/WMO_Region_6_Europe/AUT_Austria/ST_Styria/AUT_ST_Graz.AP.112400_TMYx.zip")</f>
        <v>https://climate.onebuilding.org/WMO_Region_6_Europe/AUT_Austria/ST_Styria/AUT_ST_Graz.AP.112400_TMYx.zip</v>
      </c>
    </row>
    <row r="441" spans="1:10" x14ac:dyDescent="0.25">
      <c r="A441" t="s">
        <v>79</v>
      </c>
      <c r="B441" t="s">
        <v>210</v>
      </c>
      <c r="C441" t="s">
        <v>267</v>
      </c>
      <c r="D441">
        <v>112410</v>
      </c>
      <c r="E441" t="s">
        <v>268</v>
      </c>
      <c r="F441">
        <v>47.198599999999999</v>
      </c>
      <c r="G441">
        <v>15.4664</v>
      </c>
      <c r="H441">
        <v>1</v>
      </c>
      <c r="I441">
        <v>1438.7</v>
      </c>
      <c r="J441" t="str">
        <f>HYPERLINK("https://climate.onebuilding.org/WMO_Region_6_Europe/AUT_Austria/ST_Styria/AUT_ST_Schockl.112410_TMYx.2004-2018.zip")</f>
        <v>https://climate.onebuilding.org/WMO_Region_6_Europe/AUT_Austria/ST_Styria/AUT_ST_Schockl.112410_TMYx.2004-2018.zip</v>
      </c>
    </row>
    <row r="442" spans="1:10" x14ac:dyDescent="0.25">
      <c r="A442" t="s">
        <v>79</v>
      </c>
      <c r="B442" t="s">
        <v>210</v>
      </c>
      <c r="C442" t="s">
        <v>267</v>
      </c>
      <c r="D442">
        <v>112410</v>
      </c>
      <c r="E442" t="s">
        <v>14</v>
      </c>
      <c r="F442">
        <v>47.198599999999999</v>
      </c>
      <c r="G442">
        <v>15.4664</v>
      </c>
      <c r="H442">
        <v>1</v>
      </c>
      <c r="I442">
        <v>1438.7</v>
      </c>
      <c r="J442" t="str">
        <f>HYPERLINK("https://climate.onebuilding.org/WMO_Region_6_Europe/AUT_Austria/ST_Styria/AUT_ST_Schockl.112410_TMYx.2007-2021.zip")</f>
        <v>https://climate.onebuilding.org/WMO_Region_6_Europe/AUT_Austria/ST_Styria/AUT_ST_Schockl.112410_TMYx.2007-2021.zip</v>
      </c>
    </row>
    <row r="443" spans="1:10" x14ac:dyDescent="0.25">
      <c r="A443" t="s">
        <v>79</v>
      </c>
      <c r="B443" t="s">
        <v>210</v>
      </c>
      <c r="C443" t="s">
        <v>267</v>
      </c>
      <c r="D443">
        <v>112410</v>
      </c>
      <c r="E443" t="s">
        <v>14</v>
      </c>
      <c r="F443">
        <v>47.198599999999999</v>
      </c>
      <c r="G443">
        <v>15.4664</v>
      </c>
      <c r="H443">
        <v>1</v>
      </c>
      <c r="I443">
        <v>1438.7</v>
      </c>
      <c r="J443" t="str">
        <f>HYPERLINK("https://climate.onebuilding.org/WMO_Region_6_Europe/AUT_Austria/ST_Styria/AUT_ST_Schockl.112410_TMYx.2009-2023.zip")</f>
        <v>https://climate.onebuilding.org/WMO_Region_6_Europe/AUT_Austria/ST_Styria/AUT_ST_Schockl.112410_TMYx.2009-2023.zip</v>
      </c>
    </row>
    <row r="444" spans="1:10" x14ac:dyDescent="0.25">
      <c r="A444" t="s">
        <v>79</v>
      </c>
      <c r="B444" t="s">
        <v>210</v>
      </c>
      <c r="C444" t="s">
        <v>267</v>
      </c>
      <c r="D444">
        <v>112410</v>
      </c>
      <c r="E444" t="s">
        <v>14</v>
      </c>
      <c r="F444">
        <v>47.198599999999999</v>
      </c>
      <c r="G444">
        <v>15.4664</v>
      </c>
      <c r="H444">
        <v>1</v>
      </c>
      <c r="I444">
        <v>1438.7</v>
      </c>
      <c r="J444" t="str">
        <f>HYPERLINK("https://climate.onebuilding.org/WMO_Region_6_Europe/AUT_Austria/ST_Styria/AUT_ST_Schockl.112410_TMYx.zip")</f>
        <v>https://climate.onebuilding.org/WMO_Region_6_Europe/AUT_Austria/ST_Styria/AUT_ST_Schockl.112410_TMYx.zip</v>
      </c>
    </row>
    <row r="445" spans="1:10" x14ac:dyDescent="0.25">
      <c r="A445" t="s">
        <v>79</v>
      </c>
      <c r="B445" t="s">
        <v>210</v>
      </c>
      <c r="C445" t="s">
        <v>269</v>
      </c>
      <c r="D445">
        <v>112420</v>
      </c>
      <c r="E445" t="s">
        <v>14</v>
      </c>
      <c r="F445">
        <v>47.182200000000002</v>
      </c>
      <c r="G445">
        <v>15.489699999999999</v>
      </c>
      <c r="H445">
        <v>1</v>
      </c>
      <c r="I445">
        <v>728.6</v>
      </c>
      <c r="J445" t="str">
        <f>HYPERLINK("https://climate.onebuilding.org/WMO_Region_6_Europe/AUT_Austria/ST_Styria/AUT_ST_Sankt.Radegund.112420_TMYx.2007-2021.zip")</f>
        <v>https://climate.onebuilding.org/WMO_Region_6_Europe/AUT_Austria/ST_Styria/AUT_ST_Sankt.Radegund.112420_TMYx.2007-2021.zip</v>
      </c>
    </row>
    <row r="446" spans="1:10" x14ac:dyDescent="0.25">
      <c r="A446" t="s">
        <v>79</v>
      </c>
      <c r="B446" t="s">
        <v>210</v>
      </c>
      <c r="C446" t="s">
        <v>269</v>
      </c>
      <c r="D446">
        <v>112420</v>
      </c>
      <c r="E446" t="s">
        <v>14</v>
      </c>
      <c r="F446">
        <v>47.182200000000002</v>
      </c>
      <c r="G446">
        <v>15.489699999999999</v>
      </c>
      <c r="H446">
        <v>1</v>
      </c>
      <c r="I446">
        <v>728.6</v>
      </c>
      <c r="J446" t="str">
        <f>HYPERLINK("https://climate.onebuilding.org/WMO_Region_6_Europe/AUT_Austria/ST_Styria/AUT_ST_Sankt.Radegund.112420_TMYx.2009-2023.zip")</f>
        <v>https://climate.onebuilding.org/WMO_Region_6_Europe/AUT_Austria/ST_Styria/AUT_ST_Sankt.Radegund.112420_TMYx.2009-2023.zip</v>
      </c>
    </row>
    <row r="447" spans="1:10" x14ac:dyDescent="0.25">
      <c r="A447" t="s">
        <v>79</v>
      </c>
      <c r="B447" t="s">
        <v>210</v>
      </c>
      <c r="C447" t="s">
        <v>269</v>
      </c>
      <c r="D447">
        <v>112420</v>
      </c>
      <c r="E447" t="s">
        <v>14</v>
      </c>
      <c r="F447">
        <v>47.182200000000002</v>
      </c>
      <c r="G447">
        <v>15.489699999999999</v>
      </c>
      <c r="H447">
        <v>1</v>
      </c>
      <c r="I447">
        <v>728.6</v>
      </c>
      <c r="J447" t="str">
        <f>HYPERLINK("https://climate.onebuilding.org/WMO_Region_6_Europe/AUT_Austria/ST_Styria/AUT_ST_Sankt.Radegund.112420_TMYx.zip")</f>
        <v>https://climate.onebuilding.org/WMO_Region_6_Europe/AUT_Austria/ST_Styria/AUT_ST_Sankt.Radegund.112420_TMYx.zip</v>
      </c>
    </row>
    <row r="448" spans="1:10" x14ac:dyDescent="0.25">
      <c r="A448" t="s">
        <v>79</v>
      </c>
      <c r="B448" t="s">
        <v>210</v>
      </c>
      <c r="C448" t="s">
        <v>270</v>
      </c>
      <c r="D448">
        <v>112440</v>
      </c>
      <c r="E448" t="s">
        <v>271</v>
      </c>
      <c r="F448">
        <v>46.872199999999999</v>
      </c>
      <c r="G448">
        <v>15.903600000000001</v>
      </c>
      <c r="H448">
        <v>1</v>
      </c>
      <c r="I448">
        <v>271.39999999999998</v>
      </c>
      <c r="J448" t="str">
        <f>HYPERLINK("https://climate.onebuilding.org/WMO_Region_6_Europe/AUT_Austria/ST_Styria/AUT_ST_Bad.Gleichenberg.112440_TMYx.2004-2018.zip")</f>
        <v>https://climate.onebuilding.org/WMO_Region_6_Europe/AUT_Austria/ST_Styria/AUT_ST_Bad.Gleichenberg.112440_TMYx.2004-2018.zip</v>
      </c>
    </row>
    <row r="449" spans="1:10" x14ac:dyDescent="0.25">
      <c r="A449" t="s">
        <v>79</v>
      </c>
      <c r="B449" t="s">
        <v>210</v>
      </c>
      <c r="C449" t="s">
        <v>270</v>
      </c>
      <c r="D449">
        <v>112440</v>
      </c>
      <c r="E449" t="s">
        <v>14</v>
      </c>
      <c r="F449">
        <v>46.872199999999999</v>
      </c>
      <c r="G449">
        <v>15.903600000000001</v>
      </c>
      <c r="H449">
        <v>1</v>
      </c>
      <c r="I449">
        <v>271.39999999999998</v>
      </c>
      <c r="J449" t="str">
        <f>HYPERLINK("https://climate.onebuilding.org/WMO_Region_6_Europe/AUT_Austria/ST_Styria/AUT_ST_Bad.Gleichenberg.112440_TMYx.2007-2021.zip")</f>
        <v>https://climate.onebuilding.org/WMO_Region_6_Europe/AUT_Austria/ST_Styria/AUT_ST_Bad.Gleichenberg.112440_TMYx.2007-2021.zip</v>
      </c>
    </row>
    <row r="450" spans="1:10" x14ac:dyDescent="0.25">
      <c r="A450" t="s">
        <v>79</v>
      </c>
      <c r="B450" t="s">
        <v>210</v>
      </c>
      <c r="C450" t="s">
        <v>270</v>
      </c>
      <c r="D450">
        <v>112440</v>
      </c>
      <c r="E450" t="s">
        <v>14</v>
      </c>
      <c r="F450">
        <v>46.872199999999999</v>
      </c>
      <c r="G450">
        <v>15.903600000000001</v>
      </c>
      <c r="H450">
        <v>1</v>
      </c>
      <c r="I450">
        <v>271.39999999999998</v>
      </c>
      <c r="J450" t="str">
        <f>HYPERLINK("https://climate.onebuilding.org/WMO_Region_6_Europe/AUT_Austria/ST_Styria/AUT_ST_Bad.Gleichenberg.112440_TMYx.2009-2023.zip")</f>
        <v>https://climate.onebuilding.org/WMO_Region_6_Europe/AUT_Austria/ST_Styria/AUT_ST_Bad.Gleichenberg.112440_TMYx.2009-2023.zip</v>
      </c>
    </row>
    <row r="451" spans="1:10" x14ac:dyDescent="0.25">
      <c r="A451" t="s">
        <v>79</v>
      </c>
      <c r="B451" t="s">
        <v>210</v>
      </c>
      <c r="C451" t="s">
        <v>270</v>
      </c>
      <c r="D451">
        <v>112440</v>
      </c>
      <c r="E451" t="s">
        <v>14</v>
      </c>
      <c r="F451">
        <v>46.872199999999999</v>
      </c>
      <c r="G451">
        <v>15.903600000000001</v>
      </c>
      <c r="H451">
        <v>1</v>
      </c>
      <c r="I451">
        <v>271.39999999999998</v>
      </c>
      <c r="J451" t="str">
        <f>HYPERLINK("https://climate.onebuilding.org/WMO_Region_6_Europe/AUT_Austria/ST_Styria/AUT_ST_Bad.Gleichenberg.112440_TMYx.zip")</f>
        <v>https://climate.onebuilding.org/WMO_Region_6_Europe/AUT_Austria/ST_Styria/AUT_ST_Bad.Gleichenberg.112440_TMYx.zip</v>
      </c>
    </row>
    <row r="452" spans="1:10" x14ac:dyDescent="0.25">
      <c r="A452" t="s">
        <v>79</v>
      </c>
      <c r="B452" t="s">
        <v>210</v>
      </c>
      <c r="C452" t="s">
        <v>272</v>
      </c>
      <c r="D452">
        <v>112480</v>
      </c>
      <c r="E452" t="s">
        <v>273</v>
      </c>
      <c r="F452">
        <v>46.686</v>
      </c>
      <c r="G452">
        <v>15.978999999999999</v>
      </c>
      <c r="H452">
        <v>1</v>
      </c>
      <c r="I452">
        <v>214</v>
      </c>
      <c r="J452" t="str">
        <f>HYPERLINK("https://climate.onebuilding.org/WMO_Region_6_Europe/AUT_Austria/ST_Styria/AUT_ST_Bad.Radkersburg.112480_TMYx.2004-2018.zip")</f>
        <v>https://climate.onebuilding.org/WMO_Region_6_Europe/AUT_Austria/ST_Styria/AUT_ST_Bad.Radkersburg.112480_TMYx.2004-2018.zip</v>
      </c>
    </row>
    <row r="453" spans="1:10" x14ac:dyDescent="0.25">
      <c r="A453" t="s">
        <v>79</v>
      </c>
      <c r="B453" t="s">
        <v>210</v>
      </c>
      <c r="C453" t="s">
        <v>272</v>
      </c>
      <c r="D453">
        <v>112480</v>
      </c>
      <c r="E453" t="s">
        <v>14</v>
      </c>
      <c r="F453">
        <v>46.686</v>
      </c>
      <c r="G453">
        <v>15.978999999999999</v>
      </c>
      <c r="H453">
        <v>1</v>
      </c>
      <c r="I453">
        <v>214</v>
      </c>
      <c r="J453" t="str">
        <f>HYPERLINK("https://climate.onebuilding.org/WMO_Region_6_Europe/AUT_Austria/ST_Styria/AUT_ST_Bad.Radkersburg.112480_TMYx.2007-2021.zip")</f>
        <v>https://climate.onebuilding.org/WMO_Region_6_Europe/AUT_Austria/ST_Styria/AUT_ST_Bad.Radkersburg.112480_TMYx.2007-2021.zip</v>
      </c>
    </row>
    <row r="454" spans="1:10" x14ac:dyDescent="0.25">
      <c r="A454" t="s">
        <v>79</v>
      </c>
      <c r="B454" t="s">
        <v>210</v>
      </c>
      <c r="C454" t="s">
        <v>272</v>
      </c>
      <c r="D454">
        <v>112480</v>
      </c>
      <c r="E454" t="s">
        <v>14</v>
      </c>
      <c r="F454">
        <v>46.686</v>
      </c>
      <c r="G454">
        <v>15.978999999999999</v>
      </c>
      <c r="H454">
        <v>1</v>
      </c>
      <c r="I454">
        <v>214</v>
      </c>
      <c r="J454" t="str">
        <f>HYPERLINK("https://climate.onebuilding.org/WMO_Region_6_Europe/AUT_Austria/ST_Styria/AUT_ST_Bad.Radkersburg.112480_TMYx.2009-2023.zip")</f>
        <v>https://climate.onebuilding.org/WMO_Region_6_Europe/AUT_Austria/ST_Styria/AUT_ST_Bad.Radkersburg.112480_TMYx.2009-2023.zip</v>
      </c>
    </row>
    <row r="455" spans="1:10" x14ac:dyDescent="0.25">
      <c r="A455" t="s">
        <v>79</v>
      </c>
      <c r="B455" t="s">
        <v>210</v>
      </c>
      <c r="C455" t="s">
        <v>272</v>
      </c>
      <c r="D455">
        <v>112480</v>
      </c>
      <c r="E455" t="s">
        <v>14</v>
      </c>
      <c r="F455">
        <v>46.686</v>
      </c>
      <c r="G455">
        <v>15.978999999999999</v>
      </c>
      <c r="H455">
        <v>1</v>
      </c>
      <c r="I455">
        <v>214</v>
      </c>
      <c r="J455" t="str">
        <f>HYPERLINK("https://climate.onebuilding.org/WMO_Region_6_Europe/AUT_Austria/ST_Styria/AUT_ST_Bad.Radkersburg.112480_TMYx.zip")</f>
        <v>https://climate.onebuilding.org/WMO_Region_6_Europe/AUT_Austria/ST_Styria/AUT_ST_Bad.Radkersburg.112480_TMYx.zip</v>
      </c>
    </row>
    <row r="456" spans="1:10" x14ac:dyDescent="0.25">
      <c r="A456" t="s">
        <v>79</v>
      </c>
      <c r="B456" t="s">
        <v>155</v>
      </c>
      <c r="C456" t="s">
        <v>274</v>
      </c>
      <c r="D456">
        <v>112520</v>
      </c>
      <c r="E456" t="s">
        <v>275</v>
      </c>
      <c r="F456">
        <v>47.002800000000001</v>
      </c>
      <c r="G456">
        <v>12.4558</v>
      </c>
      <c r="H456">
        <v>1</v>
      </c>
      <c r="I456">
        <v>1192.9000000000001</v>
      </c>
      <c r="J456" t="str">
        <f>HYPERLINK("https://climate.onebuilding.org/WMO_Region_6_Europe/AUT_Austria/TR_Tyrol/AUT_TR_Virgen.112520_TMYx.2004-2018.zip")</f>
        <v>https://climate.onebuilding.org/WMO_Region_6_Europe/AUT_Austria/TR_Tyrol/AUT_TR_Virgen.112520_TMYx.2004-2018.zip</v>
      </c>
    </row>
    <row r="457" spans="1:10" x14ac:dyDescent="0.25">
      <c r="A457" t="s">
        <v>79</v>
      </c>
      <c r="B457" t="s">
        <v>155</v>
      </c>
      <c r="C457" t="s">
        <v>274</v>
      </c>
      <c r="D457">
        <v>112520</v>
      </c>
      <c r="E457" t="s">
        <v>14</v>
      </c>
      <c r="F457">
        <v>47.002800000000001</v>
      </c>
      <c r="G457">
        <v>12.4558</v>
      </c>
      <c r="H457">
        <v>1</v>
      </c>
      <c r="I457">
        <v>1192.9000000000001</v>
      </c>
      <c r="J457" t="str">
        <f>HYPERLINK("https://climate.onebuilding.org/WMO_Region_6_Europe/AUT_Austria/TR_Tyrol/AUT_TR_Virgen.112520_TMYx.2007-2021.zip")</f>
        <v>https://climate.onebuilding.org/WMO_Region_6_Europe/AUT_Austria/TR_Tyrol/AUT_TR_Virgen.112520_TMYx.2007-2021.zip</v>
      </c>
    </row>
    <row r="458" spans="1:10" x14ac:dyDescent="0.25">
      <c r="A458" t="s">
        <v>79</v>
      </c>
      <c r="B458" t="s">
        <v>155</v>
      </c>
      <c r="C458" t="s">
        <v>274</v>
      </c>
      <c r="D458">
        <v>112520</v>
      </c>
      <c r="E458" t="s">
        <v>14</v>
      </c>
      <c r="F458">
        <v>47.002800000000001</v>
      </c>
      <c r="G458">
        <v>12.4558</v>
      </c>
      <c r="H458">
        <v>1</v>
      </c>
      <c r="I458">
        <v>1192.9000000000001</v>
      </c>
      <c r="J458" t="str">
        <f>HYPERLINK("https://climate.onebuilding.org/WMO_Region_6_Europe/AUT_Austria/TR_Tyrol/AUT_TR_Virgen.112520_TMYx.2009-2023.zip")</f>
        <v>https://climate.onebuilding.org/WMO_Region_6_Europe/AUT_Austria/TR_Tyrol/AUT_TR_Virgen.112520_TMYx.2009-2023.zip</v>
      </c>
    </row>
    <row r="459" spans="1:10" x14ac:dyDescent="0.25">
      <c r="A459" t="s">
        <v>79</v>
      </c>
      <c r="B459" t="s">
        <v>155</v>
      </c>
      <c r="C459" t="s">
        <v>274</v>
      </c>
      <c r="D459">
        <v>112520</v>
      </c>
      <c r="E459" t="s">
        <v>14</v>
      </c>
      <c r="F459">
        <v>47.002800000000001</v>
      </c>
      <c r="G459">
        <v>12.4558</v>
      </c>
      <c r="H459">
        <v>1</v>
      </c>
      <c r="I459">
        <v>1192.9000000000001</v>
      </c>
      <c r="J459" t="str">
        <f>HYPERLINK("https://climate.onebuilding.org/WMO_Region_6_Europe/AUT_Austria/TR_Tyrol/AUT_TR_Virgen.112520_TMYx.zip")</f>
        <v>https://climate.onebuilding.org/WMO_Region_6_Europe/AUT_Austria/TR_Tyrol/AUT_TR_Virgen.112520_TMYx.zip</v>
      </c>
    </row>
    <row r="460" spans="1:10" x14ac:dyDescent="0.25">
      <c r="A460" t="s">
        <v>79</v>
      </c>
      <c r="B460" t="s">
        <v>246</v>
      </c>
      <c r="C460" t="s">
        <v>276</v>
      </c>
      <c r="D460">
        <v>112550</v>
      </c>
      <c r="E460" t="s">
        <v>277</v>
      </c>
      <c r="F460">
        <v>46.677199999999999</v>
      </c>
      <c r="G460">
        <v>12.997199999999999</v>
      </c>
      <c r="H460">
        <v>1</v>
      </c>
      <c r="I460">
        <v>712</v>
      </c>
      <c r="J460" t="str">
        <f>HYPERLINK("https://climate.onebuilding.org/WMO_Region_6_Europe/AUT_Austria/KA_Carinthia/AUT_KA_Kotschach.Mauthen.112550_TMYx.2004-2018.zip")</f>
        <v>https://climate.onebuilding.org/WMO_Region_6_Europe/AUT_Austria/KA_Carinthia/AUT_KA_Kotschach.Mauthen.112550_TMYx.2004-2018.zip</v>
      </c>
    </row>
    <row r="461" spans="1:10" x14ac:dyDescent="0.25">
      <c r="A461" t="s">
        <v>79</v>
      </c>
      <c r="B461" t="s">
        <v>246</v>
      </c>
      <c r="C461" t="s">
        <v>276</v>
      </c>
      <c r="D461">
        <v>112550</v>
      </c>
      <c r="E461" t="s">
        <v>14</v>
      </c>
      <c r="F461">
        <v>46.677199999999999</v>
      </c>
      <c r="G461">
        <v>12.997199999999999</v>
      </c>
      <c r="H461">
        <v>1</v>
      </c>
      <c r="I461">
        <v>712</v>
      </c>
      <c r="J461" t="str">
        <f>HYPERLINK("https://climate.onebuilding.org/WMO_Region_6_Europe/AUT_Austria/KA_Carinthia/AUT_KA_Kotschach.Mauthen.112550_TMYx.2007-2021.zip")</f>
        <v>https://climate.onebuilding.org/WMO_Region_6_Europe/AUT_Austria/KA_Carinthia/AUT_KA_Kotschach.Mauthen.112550_TMYx.2007-2021.zip</v>
      </c>
    </row>
    <row r="462" spans="1:10" x14ac:dyDescent="0.25">
      <c r="A462" t="s">
        <v>79</v>
      </c>
      <c r="B462" t="s">
        <v>246</v>
      </c>
      <c r="C462" t="s">
        <v>276</v>
      </c>
      <c r="D462">
        <v>112550</v>
      </c>
      <c r="E462" t="s">
        <v>14</v>
      </c>
      <c r="F462">
        <v>46.677199999999999</v>
      </c>
      <c r="G462">
        <v>12.997199999999999</v>
      </c>
      <c r="H462">
        <v>1</v>
      </c>
      <c r="I462">
        <v>712</v>
      </c>
      <c r="J462" t="str">
        <f>HYPERLINK("https://climate.onebuilding.org/WMO_Region_6_Europe/AUT_Austria/KA_Carinthia/AUT_KA_Kotschach.Mauthen.112550_TMYx.2009-2023.zip")</f>
        <v>https://climate.onebuilding.org/WMO_Region_6_Europe/AUT_Austria/KA_Carinthia/AUT_KA_Kotschach.Mauthen.112550_TMYx.2009-2023.zip</v>
      </c>
    </row>
    <row r="463" spans="1:10" x14ac:dyDescent="0.25">
      <c r="A463" t="s">
        <v>79</v>
      </c>
      <c r="B463" t="s">
        <v>246</v>
      </c>
      <c r="C463" t="s">
        <v>276</v>
      </c>
      <c r="D463">
        <v>112550</v>
      </c>
      <c r="E463" t="s">
        <v>14</v>
      </c>
      <c r="F463">
        <v>46.677199999999999</v>
      </c>
      <c r="G463">
        <v>12.997199999999999</v>
      </c>
      <c r="H463">
        <v>1</v>
      </c>
      <c r="I463">
        <v>712</v>
      </c>
      <c r="J463" t="str">
        <f>HYPERLINK("https://climate.onebuilding.org/WMO_Region_6_Europe/AUT_Austria/KA_Carinthia/AUT_KA_Kotschach.Mauthen.112550_TMYx.zip")</f>
        <v>https://climate.onebuilding.org/WMO_Region_6_Europe/AUT_Austria/KA_Carinthia/AUT_KA_Kotschach.Mauthen.112550_TMYx.zip</v>
      </c>
    </row>
    <row r="464" spans="1:10" x14ac:dyDescent="0.25">
      <c r="A464" t="s">
        <v>79</v>
      </c>
      <c r="B464" t="s">
        <v>246</v>
      </c>
      <c r="C464" t="s">
        <v>278</v>
      </c>
      <c r="D464">
        <v>112600</v>
      </c>
      <c r="E464" t="s">
        <v>14</v>
      </c>
      <c r="F464">
        <v>46.991900000000001</v>
      </c>
      <c r="G464">
        <v>13.166700000000001</v>
      </c>
      <c r="H464">
        <v>1</v>
      </c>
      <c r="I464">
        <v>1201.2</v>
      </c>
      <c r="J464" t="str">
        <f>HYPERLINK("https://climate.onebuilding.org/WMO_Region_6_Europe/AUT_Austria/KA_Carinthia/AUT_KA_Mallnitz.Bad.112600_TMYx.2007-2021.zip")</f>
        <v>https://climate.onebuilding.org/WMO_Region_6_Europe/AUT_Austria/KA_Carinthia/AUT_KA_Mallnitz.Bad.112600_TMYx.2007-2021.zip</v>
      </c>
    </row>
    <row r="465" spans="1:10" x14ac:dyDescent="0.25">
      <c r="A465" t="s">
        <v>79</v>
      </c>
      <c r="B465" t="s">
        <v>246</v>
      </c>
      <c r="C465" t="s">
        <v>278</v>
      </c>
      <c r="D465">
        <v>112600</v>
      </c>
      <c r="E465" t="s">
        <v>14</v>
      </c>
      <c r="F465">
        <v>46.991900000000001</v>
      </c>
      <c r="G465">
        <v>13.166700000000001</v>
      </c>
      <c r="H465">
        <v>1</v>
      </c>
      <c r="I465">
        <v>1201.2</v>
      </c>
      <c r="J465" t="str">
        <f>HYPERLINK("https://climate.onebuilding.org/WMO_Region_6_Europe/AUT_Austria/KA_Carinthia/AUT_KA_Mallnitz.Bad.112600_TMYx.2009-2023.zip")</f>
        <v>https://climate.onebuilding.org/WMO_Region_6_Europe/AUT_Austria/KA_Carinthia/AUT_KA_Mallnitz.Bad.112600_TMYx.2009-2023.zip</v>
      </c>
    </row>
    <row r="466" spans="1:10" x14ac:dyDescent="0.25">
      <c r="A466" t="s">
        <v>79</v>
      </c>
      <c r="B466" t="s">
        <v>246</v>
      </c>
      <c r="C466" t="s">
        <v>278</v>
      </c>
      <c r="D466">
        <v>112600</v>
      </c>
      <c r="E466" t="s">
        <v>14</v>
      </c>
      <c r="F466">
        <v>46.991900000000001</v>
      </c>
      <c r="G466">
        <v>13.166700000000001</v>
      </c>
      <c r="H466">
        <v>1</v>
      </c>
      <c r="I466">
        <v>1201.2</v>
      </c>
      <c r="J466" t="str">
        <f>HYPERLINK("https://climate.onebuilding.org/WMO_Region_6_Europe/AUT_Austria/KA_Carinthia/AUT_KA_Mallnitz.Bad.112600_TMYx.zip")</f>
        <v>https://climate.onebuilding.org/WMO_Region_6_Europe/AUT_Austria/KA_Carinthia/AUT_KA_Mallnitz.Bad.112600_TMYx.zip</v>
      </c>
    </row>
    <row r="467" spans="1:10" x14ac:dyDescent="0.25">
      <c r="A467" t="s">
        <v>79</v>
      </c>
      <c r="B467" t="s">
        <v>246</v>
      </c>
      <c r="C467" t="s">
        <v>279</v>
      </c>
      <c r="D467">
        <v>112610</v>
      </c>
      <c r="E467" t="s">
        <v>280</v>
      </c>
      <c r="F467">
        <v>46.931899999999999</v>
      </c>
      <c r="G467">
        <v>13.202299999999999</v>
      </c>
      <c r="H467">
        <v>1</v>
      </c>
      <c r="I467">
        <v>682</v>
      </c>
      <c r="J467" t="str">
        <f>HYPERLINK("https://climate.onebuilding.org/WMO_Region_6_Europe/AUT_Austria/KA_Carinthia/AUT_KA_Obervellach.112610_TMYx.2004-2018.zip")</f>
        <v>https://climate.onebuilding.org/WMO_Region_6_Europe/AUT_Austria/KA_Carinthia/AUT_KA_Obervellach.112610_TMYx.2004-2018.zip</v>
      </c>
    </row>
    <row r="468" spans="1:10" x14ac:dyDescent="0.25">
      <c r="A468" t="s">
        <v>79</v>
      </c>
      <c r="B468" t="s">
        <v>246</v>
      </c>
      <c r="C468" t="s">
        <v>279</v>
      </c>
      <c r="D468">
        <v>112610</v>
      </c>
      <c r="E468" t="s">
        <v>14</v>
      </c>
      <c r="F468">
        <v>46.931899999999999</v>
      </c>
      <c r="G468">
        <v>13.202299999999999</v>
      </c>
      <c r="H468">
        <v>1</v>
      </c>
      <c r="I468">
        <v>682</v>
      </c>
      <c r="J468" t="str">
        <f>HYPERLINK("https://climate.onebuilding.org/WMO_Region_6_Europe/AUT_Austria/KA_Carinthia/AUT_KA_Obervellach.112610_TMYx.2007-2021.zip")</f>
        <v>https://climate.onebuilding.org/WMO_Region_6_Europe/AUT_Austria/KA_Carinthia/AUT_KA_Obervellach.112610_TMYx.2007-2021.zip</v>
      </c>
    </row>
    <row r="469" spans="1:10" x14ac:dyDescent="0.25">
      <c r="A469" t="s">
        <v>79</v>
      </c>
      <c r="B469" t="s">
        <v>246</v>
      </c>
      <c r="C469" t="s">
        <v>279</v>
      </c>
      <c r="D469">
        <v>112610</v>
      </c>
      <c r="E469" t="s">
        <v>14</v>
      </c>
      <c r="F469">
        <v>46.931899999999999</v>
      </c>
      <c r="G469">
        <v>13.202299999999999</v>
      </c>
      <c r="H469">
        <v>1</v>
      </c>
      <c r="I469">
        <v>682</v>
      </c>
      <c r="J469" t="str">
        <f>HYPERLINK("https://climate.onebuilding.org/WMO_Region_6_Europe/AUT_Austria/KA_Carinthia/AUT_KA_Obervellach.112610_TMYx.2009-2023.zip")</f>
        <v>https://climate.onebuilding.org/WMO_Region_6_Europe/AUT_Austria/KA_Carinthia/AUT_KA_Obervellach.112610_TMYx.2009-2023.zip</v>
      </c>
    </row>
    <row r="470" spans="1:10" x14ac:dyDescent="0.25">
      <c r="A470" t="s">
        <v>79</v>
      </c>
      <c r="B470" t="s">
        <v>246</v>
      </c>
      <c r="C470" t="s">
        <v>279</v>
      </c>
      <c r="D470">
        <v>112610</v>
      </c>
      <c r="E470" t="s">
        <v>14</v>
      </c>
      <c r="F470">
        <v>46.931899999999999</v>
      </c>
      <c r="G470">
        <v>13.202299999999999</v>
      </c>
      <c r="H470">
        <v>1</v>
      </c>
      <c r="I470">
        <v>682</v>
      </c>
      <c r="J470" t="str">
        <f>HYPERLINK("https://climate.onebuilding.org/WMO_Region_6_Europe/AUT_Austria/KA_Carinthia/AUT_KA_Obervellach.112610_TMYx.zip")</f>
        <v>https://climate.onebuilding.org/WMO_Region_6_Europe/AUT_Austria/KA_Carinthia/AUT_KA_Obervellach.112610_TMYx.zip</v>
      </c>
    </row>
    <row r="471" spans="1:10" x14ac:dyDescent="0.25">
      <c r="A471" t="s">
        <v>79</v>
      </c>
      <c r="B471" t="s">
        <v>246</v>
      </c>
      <c r="C471" t="s">
        <v>281</v>
      </c>
      <c r="D471">
        <v>112630</v>
      </c>
      <c r="E471" t="s">
        <v>14</v>
      </c>
      <c r="F471">
        <v>46.718600000000002</v>
      </c>
      <c r="G471">
        <v>13.2858</v>
      </c>
      <c r="H471">
        <v>1</v>
      </c>
      <c r="I471">
        <v>956</v>
      </c>
      <c r="J471" t="str">
        <f>HYPERLINK("https://climate.onebuilding.org/WMO_Region_6_Europe/AUT_Austria/KA_Carinthia/AUT_KA_Weissensee-Gatschach.112630_TMYx.2007-2021.zip")</f>
        <v>https://climate.onebuilding.org/WMO_Region_6_Europe/AUT_Austria/KA_Carinthia/AUT_KA_Weissensee-Gatschach.112630_TMYx.2007-2021.zip</v>
      </c>
    </row>
    <row r="472" spans="1:10" x14ac:dyDescent="0.25">
      <c r="A472" t="s">
        <v>79</v>
      </c>
      <c r="B472" t="s">
        <v>246</v>
      </c>
      <c r="C472" t="s">
        <v>281</v>
      </c>
      <c r="D472">
        <v>112630</v>
      </c>
      <c r="E472" t="s">
        <v>14</v>
      </c>
      <c r="F472">
        <v>46.718600000000002</v>
      </c>
      <c r="G472">
        <v>13.2858</v>
      </c>
      <c r="H472">
        <v>1</v>
      </c>
      <c r="I472">
        <v>956</v>
      </c>
      <c r="J472" t="str">
        <f>HYPERLINK("https://climate.onebuilding.org/WMO_Region_6_Europe/AUT_Austria/KA_Carinthia/AUT_KA_Weissensee-Gatschach.112630_TMYx.2009-2023.zip")</f>
        <v>https://climate.onebuilding.org/WMO_Region_6_Europe/AUT_Austria/KA_Carinthia/AUT_KA_Weissensee-Gatschach.112630_TMYx.2009-2023.zip</v>
      </c>
    </row>
    <row r="473" spans="1:10" x14ac:dyDescent="0.25">
      <c r="A473" t="s">
        <v>79</v>
      </c>
      <c r="B473" t="s">
        <v>246</v>
      </c>
      <c r="C473" t="s">
        <v>281</v>
      </c>
      <c r="D473">
        <v>112630</v>
      </c>
      <c r="E473" t="s">
        <v>14</v>
      </c>
      <c r="F473">
        <v>46.718600000000002</v>
      </c>
      <c r="G473">
        <v>13.2858</v>
      </c>
      <c r="H473">
        <v>1</v>
      </c>
      <c r="I473">
        <v>956</v>
      </c>
      <c r="J473" t="str">
        <f>HYPERLINK("https://climate.onebuilding.org/WMO_Region_6_Europe/AUT_Austria/KA_Carinthia/AUT_KA_Weissensee-Gatschach.112630_TMYx.zip")</f>
        <v>https://climate.onebuilding.org/WMO_Region_6_Europe/AUT_Austria/KA_Carinthia/AUT_KA_Weissensee-Gatschach.112630_TMYx.zip</v>
      </c>
    </row>
    <row r="474" spans="1:10" x14ac:dyDescent="0.25">
      <c r="A474" t="s">
        <v>79</v>
      </c>
      <c r="B474" t="s">
        <v>246</v>
      </c>
      <c r="C474" t="s">
        <v>282</v>
      </c>
      <c r="D474">
        <v>112700</v>
      </c>
      <c r="E474" t="s">
        <v>283</v>
      </c>
      <c r="F474">
        <v>46.741900000000001</v>
      </c>
      <c r="G474">
        <v>13.082800000000001</v>
      </c>
      <c r="H474">
        <v>1</v>
      </c>
      <c r="I474">
        <v>627.20000000000005</v>
      </c>
      <c r="J474" t="str">
        <f>HYPERLINK("https://climate.onebuilding.org/WMO_Region_6_Europe/AUT_Austria/KA_Carinthia/AUT_KA_Dellach.im.Drautal.112700_TMYx.2004-2018.zip")</f>
        <v>https://climate.onebuilding.org/WMO_Region_6_Europe/AUT_Austria/KA_Carinthia/AUT_KA_Dellach.im.Drautal.112700_TMYx.2004-2018.zip</v>
      </c>
    </row>
    <row r="475" spans="1:10" x14ac:dyDescent="0.25">
      <c r="A475" t="s">
        <v>79</v>
      </c>
      <c r="B475" t="s">
        <v>246</v>
      </c>
      <c r="C475" t="s">
        <v>282</v>
      </c>
      <c r="D475">
        <v>112700</v>
      </c>
      <c r="E475" t="s">
        <v>14</v>
      </c>
      <c r="F475">
        <v>46.741900000000001</v>
      </c>
      <c r="G475">
        <v>13.082800000000001</v>
      </c>
      <c r="H475">
        <v>1</v>
      </c>
      <c r="I475">
        <v>627.20000000000005</v>
      </c>
      <c r="J475" t="str">
        <f>HYPERLINK("https://climate.onebuilding.org/WMO_Region_6_Europe/AUT_Austria/KA_Carinthia/AUT_KA_Dellach.im.Drautal.112700_TMYx.2007-2021.zip")</f>
        <v>https://climate.onebuilding.org/WMO_Region_6_Europe/AUT_Austria/KA_Carinthia/AUT_KA_Dellach.im.Drautal.112700_TMYx.2007-2021.zip</v>
      </c>
    </row>
    <row r="476" spans="1:10" x14ac:dyDescent="0.25">
      <c r="A476" t="s">
        <v>79</v>
      </c>
      <c r="B476" t="s">
        <v>246</v>
      </c>
      <c r="C476" t="s">
        <v>282</v>
      </c>
      <c r="D476">
        <v>112700</v>
      </c>
      <c r="E476" t="s">
        <v>14</v>
      </c>
      <c r="F476">
        <v>46.741900000000001</v>
      </c>
      <c r="G476">
        <v>13.082800000000001</v>
      </c>
      <c r="H476">
        <v>1</v>
      </c>
      <c r="I476">
        <v>627.20000000000005</v>
      </c>
      <c r="J476" t="str">
        <f>HYPERLINK("https://climate.onebuilding.org/WMO_Region_6_Europe/AUT_Austria/KA_Carinthia/AUT_KA_Dellach.im.Drautal.112700_TMYx.2009-2023.zip")</f>
        <v>https://climate.onebuilding.org/WMO_Region_6_Europe/AUT_Austria/KA_Carinthia/AUT_KA_Dellach.im.Drautal.112700_TMYx.2009-2023.zip</v>
      </c>
    </row>
    <row r="477" spans="1:10" x14ac:dyDescent="0.25">
      <c r="A477" t="s">
        <v>79</v>
      </c>
      <c r="B477" t="s">
        <v>246</v>
      </c>
      <c r="C477" t="s">
        <v>282</v>
      </c>
      <c r="D477">
        <v>112700</v>
      </c>
      <c r="E477" t="s">
        <v>14</v>
      </c>
      <c r="F477">
        <v>46.741900000000001</v>
      </c>
      <c r="G477">
        <v>13.082800000000001</v>
      </c>
      <c r="H477">
        <v>1</v>
      </c>
      <c r="I477">
        <v>627.20000000000005</v>
      </c>
      <c r="J477" t="str">
        <f>HYPERLINK("https://climate.onebuilding.org/WMO_Region_6_Europe/AUT_Austria/KA_Carinthia/AUT_KA_Dellach.im.Drautal.112700_TMYx.zip")</f>
        <v>https://climate.onebuilding.org/WMO_Region_6_Europe/AUT_Austria/KA_Carinthia/AUT_KA_Dellach.im.Drautal.112700_TMYx.zip</v>
      </c>
    </row>
    <row r="478" spans="1:10" x14ac:dyDescent="0.25">
      <c r="A478" t="s">
        <v>79</v>
      </c>
      <c r="B478" t="s">
        <v>246</v>
      </c>
      <c r="C478" t="s">
        <v>284</v>
      </c>
      <c r="D478">
        <v>112720</v>
      </c>
      <c r="E478" t="s">
        <v>14</v>
      </c>
      <c r="F478">
        <v>46.790599999999998</v>
      </c>
      <c r="G478">
        <v>13.4872</v>
      </c>
      <c r="H478">
        <v>1</v>
      </c>
      <c r="I478">
        <v>543.5</v>
      </c>
      <c r="J478" t="str">
        <f>HYPERLINK("https://climate.onebuilding.org/WMO_Region_6_Europe/AUT_Austria/KA_Carinthia/AUT_KA_Spittal.an.der.Drau.112720_TMYx.2007-2021.zip")</f>
        <v>https://climate.onebuilding.org/WMO_Region_6_Europe/AUT_Austria/KA_Carinthia/AUT_KA_Spittal.an.der.Drau.112720_TMYx.2007-2021.zip</v>
      </c>
    </row>
    <row r="479" spans="1:10" x14ac:dyDescent="0.25">
      <c r="A479" t="s">
        <v>79</v>
      </c>
      <c r="B479" t="s">
        <v>246</v>
      </c>
      <c r="C479" t="s">
        <v>284</v>
      </c>
      <c r="D479">
        <v>112720</v>
      </c>
      <c r="E479" t="s">
        <v>14</v>
      </c>
      <c r="F479">
        <v>46.790599999999998</v>
      </c>
      <c r="G479">
        <v>13.4872</v>
      </c>
      <c r="H479">
        <v>1</v>
      </c>
      <c r="I479">
        <v>543.5</v>
      </c>
      <c r="J479" t="str">
        <f>HYPERLINK("https://climate.onebuilding.org/WMO_Region_6_Europe/AUT_Austria/KA_Carinthia/AUT_KA_Spittal.an.der.Drau.112720_TMYx.2009-2023.zip")</f>
        <v>https://climate.onebuilding.org/WMO_Region_6_Europe/AUT_Austria/KA_Carinthia/AUT_KA_Spittal.an.der.Drau.112720_TMYx.2009-2023.zip</v>
      </c>
    </row>
    <row r="480" spans="1:10" x14ac:dyDescent="0.25">
      <c r="A480" t="s">
        <v>79</v>
      </c>
      <c r="B480" t="s">
        <v>246</v>
      </c>
      <c r="C480" t="s">
        <v>284</v>
      </c>
      <c r="D480">
        <v>112720</v>
      </c>
      <c r="E480" t="s">
        <v>14</v>
      </c>
      <c r="F480">
        <v>46.790599999999998</v>
      </c>
      <c r="G480">
        <v>13.4872</v>
      </c>
      <c r="H480">
        <v>1</v>
      </c>
      <c r="I480">
        <v>543.5</v>
      </c>
      <c r="J480" t="str">
        <f>HYPERLINK("https://climate.onebuilding.org/WMO_Region_6_Europe/AUT_Austria/KA_Carinthia/AUT_KA_Spittal.an.der.Drau.112720_TMYx.zip")</f>
        <v>https://climate.onebuilding.org/WMO_Region_6_Europe/AUT_Austria/KA_Carinthia/AUT_KA_Spittal.an.der.Drau.112720_TMYx.zip</v>
      </c>
    </row>
    <row r="481" spans="1:10" x14ac:dyDescent="0.25">
      <c r="A481" t="s">
        <v>79</v>
      </c>
      <c r="B481" t="s">
        <v>246</v>
      </c>
      <c r="C481" t="s">
        <v>285</v>
      </c>
      <c r="D481">
        <v>112750</v>
      </c>
      <c r="E481" t="s">
        <v>286</v>
      </c>
      <c r="F481">
        <v>46.727800000000002</v>
      </c>
      <c r="G481">
        <v>13.852499999999999</v>
      </c>
      <c r="H481">
        <v>1</v>
      </c>
      <c r="I481">
        <v>892.3</v>
      </c>
      <c r="J481" t="str">
        <f>HYPERLINK("https://climate.onebuilding.org/WMO_Region_6_Europe/AUT_Austria/KA_Carinthia/AUT_KA_Arriach.112750_TMYx.2004-2018.zip")</f>
        <v>https://climate.onebuilding.org/WMO_Region_6_Europe/AUT_Austria/KA_Carinthia/AUT_KA_Arriach.112750_TMYx.2004-2018.zip</v>
      </c>
    </row>
    <row r="482" spans="1:10" x14ac:dyDescent="0.25">
      <c r="A482" t="s">
        <v>79</v>
      </c>
      <c r="B482" t="s">
        <v>246</v>
      </c>
      <c r="C482" t="s">
        <v>285</v>
      </c>
      <c r="D482">
        <v>112750</v>
      </c>
      <c r="E482" t="s">
        <v>14</v>
      </c>
      <c r="F482">
        <v>46.727800000000002</v>
      </c>
      <c r="G482">
        <v>13.852499999999999</v>
      </c>
      <c r="H482">
        <v>1</v>
      </c>
      <c r="I482">
        <v>892.3</v>
      </c>
      <c r="J482" t="str">
        <f>HYPERLINK("https://climate.onebuilding.org/WMO_Region_6_Europe/AUT_Austria/KA_Carinthia/AUT_KA_Arriach.112750_TMYx.2007-2021.zip")</f>
        <v>https://climate.onebuilding.org/WMO_Region_6_Europe/AUT_Austria/KA_Carinthia/AUT_KA_Arriach.112750_TMYx.2007-2021.zip</v>
      </c>
    </row>
    <row r="483" spans="1:10" x14ac:dyDescent="0.25">
      <c r="A483" t="s">
        <v>79</v>
      </c>
      <c r="B483" t="s">
        <v>246</v>
      </c>
      <c r="C483" t="s">
        <v>285</v>
      </c>
      <c r="D483">
        <v>112750</v>
      </c>
      <c r="E483" t="s">
        <v>14</v>
      </c>
      <c r="F483">
        <v>46.727800000000002</v>
      </c>
      <c r="G483">
        <v>13.852499999999999</v>
      </c>
      <c r="H483">
        <v>1</v>
      </c>
      <c r="I483">
        <v>892.3</v>
      </c>
      <c r="J483" t="str">
        <f>HYPERLINK("https://climate.onebuilding.org/WMO_Region_6_Europe/AUT_Austria/KA_Carinthia/AUT_KA_Arriach.112750_TMYx.2009-2023.zip")</f>
        <v>https://climate.onebuilding.org/WMO_Region_6_Europe/AUT_Austria/KA_Carinthia/AUT_KA_Arriach.112750_TMYx.2009-2023.zip</v>
      </c>
    </row>
    <row r="484" spans="1:10" x14ac:dyDescent="0.25">
      <c r="A484" t="s">
        <v>79</v>
      </c>
      <c r="B484" t="s">
        <v>246</v>
      </c>
      <c r="C484" t="s">
        <v>285</v>
      </c>
      <c r="D484">
        <v>112750</v>
      </c>
      <c r="E484" t="s">
        <v>14</v>
      </c>
      <c r="F484">
        <v>46.727800000000002</v>
      </c>
      <c r="G484">
        <v>13.852499999999999</v>
      </c>
      <c r="H484">
        <v>1</v>
      </c>
      <c r="I484">
        <v>892.3</v>
      </c>
      <c r="J484" t="str">
        <f>HYPERLINK("https://climate.onebuilding.org/WMO_Region_6_Europe/AUT_Austria/KA_Carinthia/AUT_KA_Arriach.112750_TMYx.zip")</f>
        <v>https://climate.onebuilding.org/WMO_Region_6_Europe/AUT_Austria/KA_Carinthia/AUT_KA_Arriach.112750_TMYx.zip</v>
      </c>
    </row>
    <row r="485" spans="1:10" x14ac:dyDescent="0.25">
      <c r="A485" t="s">
        <v>79</v>
      </c>
      <c r="B485" t="s">
        <v>246</v>
      </c>
      <c r="C485" t="s">
        <v>287</v>
      </c>
      <c r="D485">
        <v>112780</v>
      </c>
      <c r="E485" t="s">
        <v>14</v>
      </c>
      <c r="F485">
        <v>46.630800000000001</v>
      </c>
      <c r="G485">
        <v>14.1653</v>
      </c>
      <c r="H485">
        <v>1</v>
      </c>
      <c r="I485">
        <v>453.4</v>
      </c>
      <c r="J485" t="str">
        <f>HYPERLINK("https://climate.onebuilding.org/WMO_Region_6_Europe/AUT_Austria/KA_Carinthia/AUT_KA_Poertschach.112780_TMYx.2007-2021.zip")</f>
        <v>https://climate.onebuilding.org/WMO_Region_6_Europe/AUT_Austria/KA_Carinthia/AUT_KA_Poertschach.112780_TMYx.2007-2021.zip</v>
      </c>
    </row>
    <row r="486" spans="1:10" x14ac:dyDescent="0.25">
      <c r="A486" t="s">
        <v>79</v>
      </c>
      <c r="B486" t="s">
        <v>246</v>
      </c>
      <c r="C486" t="s">
        <v>287</v>
      </c>
      <c r="D486">
        <v>112780</v>
      </c>
      <c r="E486" t="s">
        <v>14</v>
      </c>
      <c r="F486">
        <v>46.630800000000001</v>
      </c>
      <c r="G486">
        <v>14.1653</v>
      </c>
      <c r="H486">
        <v>1</v>
      </c>
      <c r="I486">
        <v>453.4</v>
      </c>
      <c r="J486" t="str">
        <f>HYPERLINK("https://climate.onebuilding.org/WMO_Region_6_Europe/AUT_Austria/KA_Carinthia/AUT_KA_Poertschach.112780_TMYx.2009-2023.zip")</f>
        <v>https://climate.onebuilding.org/WMO_Region_6_Europe/AUT_Austria/KA_Carinthia/AUT_KA_Poertschach.112780_TMYx.2009-2023.zip</v>
      </c>
    </row>
    <row r="487" spans="1:10" x14ac:dyDescent="0.25">
      <c r="A487" t="s">
        <v>79</v>
      </c>
      <c r="B487" t="s">
        <v>246</v>
      </c>
      <c r="C487" t="s">
        <v>287</v>
      </c>
      <c r="D487">
        <v>112780</v>
      </c>
      <c r="E487" t="s">
        <v>14</v>
      </c>
      <c r="F487">
        <v>46.630800000000001</v>
      </c>
      <c r="G487">
        <v>14.1653</v>
      </c>
      <c r="H487">
        <v>1</v>
      </c>
      <c r="I487">
        <v>453.4</v>
      </c>
      <c r="J487" t="str">
        <f>HYPERLINK("https://climate.onebuilding.org/WMO_Region_6_Europe/AUT_Austria/KA_Carinthia/AUT_KA_Poertschach.112780_TMYx.zip")</f>
        <v>https://climate.onebuilding.org/WMO_Region_6_Europe/AUT_Austria/KA_Carinthia/AUT_KA_Poertschach.112780_TMYx.zip</v>
      </c>
    </row>
    <row r="488" spans="1:10" x14ac:dyDescent="0.25">
      <c r="A488" t="s">
        <v>79</v>
      </c>
      <c r="B488" t="s">
        <v>210</v>
      </c>
      <c r="C488" t="s">
        <v>288</v>
      </c>
      <c r="D488">
        <v>112800</v>
      </c>
      <c r="E488" t="s">
        <v>289</v>
      </c>
      <c r="F488">
        <v>47.1111</v>
      </c>
      <c r="G488">
        <v>14.1769</v>
      </c>
      <c r="H488">
        <v>1</v>
      </c>
      <c r="I488">
        <v>814.1</v>
      </c>
      <c r="J488" t="str">
        <f>HYPERLINK("https://climate.onebuilding.org/WMO_Region_6_Europe/AUT_Austria/ST_Styria/AUT_ST_Murau.112800_TMYx.2004-2018.zip")</f>
        <v>https://climate.onebuilding.org/WMO_Region_6_Europe/AUT_Austria/ST_Styria/AUT_ST_Murau.112800_TMYx.2004-2018.zip</v>
      </c>
    </row>
    <row r="489" spans="1:10" x14ac:dyDescent="0.25">
      <c r="A489" t="s">
        <v>79</v>
      </c>
      <c r="B489" t="s">
        <v>210</v>
      </c>
      <c r="C489" t="s">
        <v>288</v>
      </c>
      <c r="D489">
        <v>112800</v>
      </c>
      <c r="E489" t="s">
        <v>14</v>
      </c>
      <c r="F489">
        <v>47.1111</v>
      </c>
      <c r="G489">
        <v>14.1769</v>
      </c>
      <c r="H489">
        <v>1</v>
      </c>
      <c r="I489">
        <v>814.1</v>
      </c>
      <c r="J489" t="str">
        <f>HYPERLINK("https://climate.onebuilding.org/WMO_Region_6_Europe/AUT_Austria/ST_Styria/AUT_ST_Murau.112800_TMYx.2007-2021.zip")</f>
        <v>https://climate.onebuilding.org/WMO_Region_6_Europe/AUT_Austria/ST_Styria/AUT_ST_Murau.112800_TMYx.2007-2021.zip</v>
      </c>
    </row>
    <row r="490" spans="1:10" x14ac:dyDescent="0.25">
      <c r="A490" t="s">
        <v>79</v>
      </c>
      <c r="B490" t="s">
        <v>210</v>
      </c>
      <c r="C490" t="s">
        <v>288</v>
      </c>
      <c r="D490">
        <v>112800</v>
      </c>
      <c r="E490" t="s">
        <v>14</v>
      </c>
      <c r="F490">
        <v>47.1111</v>
      </c>
      <c r="G490">
        <v>14.1769</v>
      </c>
      <c r="H490">
        <v>1</v>
      </c>
      <c r="I490">
        <v>814.1</v>
      </c>
      <c r="J490" t="str">
        <f>HYPERLINK("https://climate.onebuilding.org/WMO_Region_6_Europe/AUT_Austria/ST_Styria/AUT_ST_Murau.112800_TMYx.2009-2023.zip")</f>
        <v>https://climate.onebuilding.org/WMO_Region_6_Europe/AUT_Austria/ST_Styria/AUT_ST_Murau.112800_TMYx.2009-2023.zip</v>
      </c>
    </row>
    <row r="491" spans="1:10" x14ac:dyDescent="0.25">
      <c r="A491" t="s">
        <v>79</v>
      </c>
      <c r="B491" t="s">
        <v>210</v>
      </c>
      <c r="C491" t="s">
        <v>288</v>
      </c>
      <c r="D491">
        <v>112800</v>
      </c>
      <c r="E491" t="s">
        <v>14</v>
      </c>
      <c r="F491">
        <v>47.1111</v>
      </c>
      <c r="G491">
        <v>14.1769</v>
      </c>
      <c r="H491">
        <v>1</v>
      </c>
      <c r="I491">
        <v>814.1</v>
      </c>
      <c r="J491" t="str">
        <f>HYPERLINK("https://climate.onebuilding.org/WMO_Region_6_Europe/AUT_Austria/ST_Styria/AUT_ST_Murau.112800_TMYx.zip")</f>
        <v>https://climate.onebuilding.org/WMO_Region_6_Europe/AUT_Austria/ST_Styria/AUT_ST_Murau.112800_TMYx.zip</v>
      </c>
    </row>
    <row r="492" spans="1:10" x14ac:dyDescent="0.25">
      <c r="A492" t="s">
        <v>79</v>
      </c>
      <c r="B492" t="s">
        <v>210</v>
      </c>
      <c r="C492" t="s">
        <v>290</v>
      </c>
      <c r="D492">
        <v>112850</v>
      </c>
      <c r="E492" t="s">
        <v>14</v>
      </c>
      <c r="F492">
        <v>46.8217</v>
      </c>
      <c r="G492">
        <v>15.226900000000001</v>
      </c>
      <c r="H492">
        <v>1</v>
      </c>
      <c r="I492">
        <v>355</v>
      </c>
      <c r="J492" t="str">
        <f>HYPERLINK("https://climate.onebuilding.org/WMO_Region_6_Europe/AUT_Austria/ST_Styria/AUT_ST_Deutschlandsberg.112850_TMYx.2007-2021.zip")</f>
        <v>https://climate.onebuilding.org/WMO_Region_6_Europe/AUT_Austria/ST_Styria/AUT_ST_Deutschlandsberg.112850_TMYx.2007-2021.zip</v>
      </c>
    </row>
    <row r="493" spans="1:10" x14ac:dyDescent="0.25">
      <c r="A493" t="s">
        <v>79</v>
      </c>
      <c r="B493" t="s">
        <v>210</v>
      </c>
      <c r="C493" t="s">
        <v>290</v>
      </c>
      <c r="D493">
        <v>112850</v>
      </c>
      <c r="E493" t="s">
        <v>14</v>
      </c>
      <c r="F493">
        <v>46.8217</v>
      </c>
      <c r="G493">
        <v>15.226900000000001</v>
      </c>
      <c r="H493">
        <v>1</v>
      </c>
      <c r="I493">
        <v>355</v>
      </c>
      <c r="J493" t="str">
        <f>HYPERLINK("https://climate.onebuilding.org/WMO_Region_6_Europe/AUT_Austria/ST_Styria/AUT_ST_Deutschlandsberg.112850_TMYx.2009-2023.zip")</f>
        <v>https://climate.onebuilding.org/WMO_Region_6_Europe/AUT_Austria/ST_Styria/AUT_ST_Deutschlandsberg.112850_TMYx.2009-2023.zip</v>
      </c>
    </row>
    <row r="494" spans="1:10" x14ac:dyDescent="0.25">
      <c r="A494" t="s">
        <v>79</v>
      </c>
      <c r="B494" t="s">
        <v>210</v>
      </c>
      <c r="C494" t="s">
        <v>290</v>
      </c>
      <c r="D494">
        <v>112850</v>
      </c>
      <c r="E494" t="s">
        <v>14</v>
      </c>
      <c r="F494">
        <v>46.8217</v>
      </c>
      <c r="G494">
        <v>15.226900000000001</v>
      </c>
      <c r="H494">
        <v>1</v>
      </c>
      <c r="I494">
        <v>355</v>
      </c>
      <c r="J494" t="str">
        <f>HYPERLINK("https://climate.onebuilding.org/WMO_Region_6_Europe/AUT_Austria/ST_Styria/AUT_ST_Deutschlandsberg.112850_TMYx.zip")</f>
        <v>https://climate.onebuilding.org/WMO_Region_6_Europe/AUT_Austria/ST_Styria/AUT_ST_Deutschlandsberg.112850_TMYx.zip</v>
      </c>
    </row>
    <row r="495" spans="1:10" x14ac:dyDescent="0.25">
      <c r="A495" t="s">
        <v>79</v>
      </c>
      <c r="B495" t="s">
        <v>210</v>
      </c>
      <c r="C495" t="s">
        <v>291</v>
      </c>
      <c r="D495">
        <v>112900</v>
      </c>
      <c r="E495" t="s">
        <v>14</v>
      </c>
      <c r="F495">
        <v>47.077800000000003</v>
      </c>
      <c r="G495">
        <v>15.4489</v>
      </c>
      <c r="H495">
        <v>1</v>
      </c>
      <c r="I495">
        <v>378.8</v>
      </c>
      <c r="J495" t="str">
        <f>HYPERLINK("https://climate.onebuilding.org/WMO_Region_6_Europe/AUT_Austria/ST_Styria/AUT_ST_Graz.Univ.112900_TMYx.2007-2021.zip")</f>
        <v>https://climate.onebuilding.org/WMO_Region_6_Europe/AUT_Austria/ST_Styria/AUT_ST_Graz.Univ.112900_TMYx.2007-2021.zip</v>
      </c>
    </row>
    <row r="496" spans="1:10" x14ac:dyDescent="0.25">
      <c r="A496" t="s">
        <v>79</v>
      </c>
      <c r="B496" t="s">
        <v>210</v>
      </c>
      <c r="C496" t="s">
        <v>291</v>
      </c>
      <c r="D496">
        <v>112900</v>
      </c>
      <c r="E496" t="s">
        <v>14</v>
      </c>
      <c r="F496">
        <v>47.077800000000003</v>
      </c>
      <c r="G496">
        <v>15.4489</v>
      </c>
      <c r="H496">
        <v>1</v>
      </c>
      <c r="I496">
        <v>378.8</v>
      </c>
      <c r="J496" t="str">
        <f>HYPERLINK("https://climate.onebuilding.org/WMO_Region_6_Europe/AUT_Austria/ST_Styria/AUT_ST_Graz.Univ.112900_TMYx.2009-2023.zip")</f>
        <v>https://climate.onebuilding.org/WMO_Region_6_Europe/AUT_Austria/ST_Styria/AUT_ST_Graz.Univ.112900_TMYx.2009-2023.zip</v>
      </c>
    </row>
    <row r="497" spans="1:10" x14ac:dyDescent="0.25">
      <c r="A497" t="s">
        <v>79</v>
      </c>
      <c r="B497" t="s">
        <v>210</v>
      </c>
      <c r="C497" t="s">
        <v>291</v>
      </c>
      <c r="D497">
        <v>112900</v>
      </c>
      <c r="E497" t="s">
        <v>14</v>
      </c>
      <c r="F497">
        <v>47.077800000000003</v>
      </c>
      <c r="G497">
        <v>15.4489</v>
      </c>
      <c r="H497">
        <v>1</v>
      </c>
      <c r="I497">
        <v>378.8</v>
      </c>
      <c r="J497" t="str">
        <f>HYPERLINK("https://climate.onebuilding.org/WMO_Region_6_Europe/AUT_Austria/ST_Styria/AUT_ST_Graz.Univ.112900_TMYx.zip")</f>
        <v>https://climate.onebuilding.org/WMO_Region_6_Europe/AUT_Austria/ST_Styria/AUT_ST_Graz.Univ.112900_TMYx.zip</v>
      </c>
    </row>
    <row r="498" spans="1:10" x14ac:dyDescent="0.25">
      <c r="A498" t="s">
        <v>79</v>
      </c>
      <c r="B498" t="s">
        <v>233</v>
      </c>
      <c r="C498" t="s">
        <v>292</v>
      </c>
      <c r="D498">
        <v>112920</v>
      </c>
      <c r="E498" t="s">
        <v>293</v>
      </c>
      <c r="F498">
        <v>47.073599999999999</v>
      </c>
      <c r="G498">
        <v>15.5922</v>
      </c>
      <c r="H498">
        <v>1</v>
      </c>
      <c r="I498">
        <v>529.29999999999995</v>
      </c>
      <c r="J498" t="str">
        <f>HYPERLINK("https://climate.onebuilding.org/WMO_Region_6_Europe/AUT_Austria/BU_Burgenland/AUT_BU_Lassnitzhohe.112920_TMYx.2004-2018.zip")</f>
        <v>https://climate.onebuilding.org/WMO_Region_6_Europe/AUT_Austria/BU_Burgenland/AUT_BU_Lassnitzhohe.112920_TMYx.2004-2018.zip</v>
      </c>
    </row>
    <row r="499" spans="1:10" x14ac:dyDescent="0.25">
      <c r="A499" t="s">
        <v>79</v>
      </c>
      <c r="B499" t="s">
        <v>233</v>
      </c>
      <c r="C499" t="s">
        <v>292</v>
      </c>
      <c r="D499">
        <v>112920</v>
      </c>
      <c r="E499" t="s">
        <v>14</v>
      </c>
      <c r="F499">
        <v>47.073599999999999</v>
      </c>
      <c r="G499">
        <v>15.5922</v>
      </c>
      <c r="H499">
        <v>1</v>
      </c>
      <c r="I499">
        <v>529.29999999999995</v>
      </c>
      <c r="J499" t="str">
        <f>HYPERLINK("https://climate.onebuilding.org/WMO_Region_6_Europe/AUT_Austria/BU_Burgenland/AUT_BU_Lassnitzhohe.112920_TMYx.2007-2021.zip")</f>
        <v>https://climate.onebuilding.org/WMO_Region_6_Europe/AUT_Austria/BU_Burgenland/AUT_BU_Lassnitzhohe.112920_TMYx.2007-2021.zip</v>
      </c>
    </row>
    <row r="500" spans="1:10" x14ac:dyDescent="0.25">
      <c r="A500" t="s">
        <v>79</v>
      </c>
      <c r="B500" t="s">
        <v>233</v>
      </c>
      <c r="C500" t="s">
        <v>292</v>
      </c>
      <c r="D500">
        <v>112920</v>
      </c>
      <c r="E500" t="s">
        <v>14</v>
      </c>
      <c r="F500">
        <v>47.073599999999999</v>
      </c>
      <c r="G500">
        <v>15.5922</v>
      </c>
      <c r="H500">
        <v>1</v>
      </c>
      <c r="I500">
        <v>529.29999999999995</v>
      </c>
      <c r="J500" t="str">
        <f>HYPERLINK("https://climate.onebuilding.org/WMO_Region_6_Europe/AUT_Austria/BU_Burgenland/AUT_BU_Lassnitzhohe.112920_TMYx.2009-2023.zip")</f>
        <v>https://climate.onebuilding.org/WMO_Region_6_Europe/AUT_Austria/BU_Burgenland/AUT_BU_Lassnitzhohe.112920_TMYx.2009-2023.zip</v>
      </c>
    </row>
    <row r="501" spans="1:10" x14ac:dyDescent="0.25">
      <c r="A501" t="s">
        <v>79</v>
      </c>
      <c r="B501" t="s">
        <v>233</v>
      </c>
      <c r="C501" t="s">
        <v>292</v>
      </c>
      <c r="D501">
        <v>112920</v>
      </c>
      <c r="E501" t="s">
        <v>14</v>
      </c>
      <c r="F501">
        <v>47.073599999999999</v>
      </c>
      <c r="G501">
        <v>15.5922</v>
      </c>
      <c r="H501">
        <v>1</v>
      </c>
      <c r="I501">
        <v>529.29999999999995</v>
      </c>
      <c r="J501" t="str">
        <f>HYPERLINK("https://climate.onebuilding.org/WMO_Region_6_Europe/AUT_Austria/BU_Burgenland/AUT_BU_Lassnitzhohe.112920_TMYx.zip")</f>
        <v>https://climate.onebuilding.org/WMO_Region_6_Europe/AUT_Austria/BU_Burgenland/AUT_BU_Lassnitzhohe.112920_TMYx.zip</v>
      </c>
    </row>
    <row r="502" spans="1:10" x14ac:dyDescent="0.25">
      <c r="A502" t="s">
        <v>79</v>
      </c>
      <c r="B502" t="s">
        <v>210</v>
      </c>
      <c r="C502" t="s">
        <v>294</v>
      </c>
      <c r="D502">
        <v>112960</v>
      </c>
      <c r="E502" t="s">
        <v>14</v>
      </c>
      <c r="F502">
        <v>46.767499999999998</v>
      </c>
      <c r="G502">
        <v>15.5528</v>
      </c>
      <c r="H502">
        <v>1</v>
      </c>
      <c r="I502">
        <v>265.7</v>
      </c>
      <c r="J502" t="str">
        <f>HYPERLINK("https://climate.onebuilding.org/WMO_Region_6_Europe/AUT_Austria/ST_Styria/AUT_ST_Leibnitz.112960_TMYx.2007-2021.zip")</f>
        <v>https://climate.onebuilding.org/WMO_Region_6_Europe/AUT_Austria/ST_Styria/AUT_ST_Leibnitz.112960_TMYx.2007-2021.zip</v>
      </c>
    </row>
    <row r="503" spans="1:10" x14ac:dyDescent="0.25">
      <c r="A503" t="s">
        <v>79</v>
      </c>
      <c r="B503" t="s">
        <v>210</v>
      </c>
      <c r="C503" t="s">
        <v>294</v>
      </c>
      <c r="D503">
        <v>112960</v>
      </c>
      <c r="E503" t="s">
        <v>14</v>
      </c>
      <c r="F503">
        <v>46.767499999999998</v>
      </c>
      <c r="G503">
        <v>15.5528</v>
      </c>
      <c r="H503">
        <v>1</v>
      </c>
      <c r="I503">
        <v>265.7</v>
      </c>
      <c r="J503" t="str">
        <f>HYPERLINK("https://climate.onebuilding.org/WMO_Region_6_Europe/AUT_Austria/ST_Styria/AUT_ST_Leibnitz.112960_TMYx.2009-2023.zip")</f>
        <v>https://climate.onebuilding.org/WMO_Region_6_Europe/AUT_Austria/ST_Styria/AUT_ST_Leibnitz.112960_TMYx.2009-2023.zip</v>
      </c>
    </row>
    <row r="504" spans="1:10" x14ac:dyDescent="0.25">
      <c r="A504" t="s">
        <v>79</v>
      </c>
      <c r="B504" t="s">
        <v>210</v>
      </c>
      <c r="C504" t="s">
        <v>294</v>
      </c>
      <c r="D504">
        <v>112960</v>
      </c>
      <c r="E504" t="s">
        <v>14</v>
      </c>
      <c r="F504">
        <v>46.767499999999998</v>
      </c>
      <c r="G504">
        <v>15.5528</v>
      </c>
      <c r="H504">
        <v>1</v>
      </c>
      <c r="I504">
        <v>265.7</v>
      </c>
      <c r="J504" t="str">
        <f>HYPERLINK("https://climate.onebuilding.org/WMO_Region_6_Europe/AUT_Austria/ST_Styria/AUT_ST_Leibnitz.112960_TMYx.zip")</f>
        <v>https://climate.onebuilding.org/WMO_Region_6_Europe/AUT_Austria/ST_Styria/AUT_ST_Leibnitz.112960_TMYx.zip</v>
      </c>
    </row>
    <row r="505" spans="1:10" x14ac:dyDescent="0.25">
      <c r="A505" t="s">
        <v>79</v>
      </c>
      <c r="B505" t="s">
        <v>210</v>
      </c>
      <c r="C505" t="s">
        <v>295</v>
      </c>
      <c r="D505">
        <v>112980</v>
      </c>
      <c r="E505" t="s">
        <v>14</v>
      </c>
      <c r="F505">
        <v>46.948900000000002</v>
      </c>
      <c r="G505">
        <v>15.8797</v>
      </c>
      <c r="H505">
        <v>1</v>
      </c>
      <c r="I505">
        <v>320.10000000000002</v>
      </c>
      <c r="J505" t="str">
        <f>HYPERLINK("https://climate.onebuilding.org/WMO_Region_6_Europe/AUT_Austria/ST_Styria/AUT_ST_Feldbach.112980_TMYx.2007-2021.zip")</f>
        <v>https://climate.onebuilding.org/WMO_Region_6_Europe/AUT_Austria/ST_Styria/AUT_ST_Feldbach.112980_TMYx.2007-2021.zip</v>
      </c>
    </row>
    <row r="506" spans="1:10" x14ac:dyDescent="0.25">
      <c r="A506" t="s">
        <v>79</v>
      </c>
      <c r="B506" t="s">
        <v>210</v>
      </c>
      <c r="C506" t="s">
        <v>295</v>
      </c>
      <c r="D506">
        <v>112980</v>
      </c>
      <c r="E506" t="s">
        <v>14</v>
      </c>
      <c r="F506">
        <v>46.948900000000002</v>
      </c>
      <c r="G506">
        <v>15.8797</v>
      </c>
      <c r="H506">
        <v>1</v>
      </c>
      <c r="I506">
        <v>320.10000000000002</v>
      </c>
      <c r="J506" t="str">
        <f>HYPERLINK("https://climate.onebuilding.org/WMO_Region_6_Europe/AUT_Austria/ST_Styria/AUT_ST_Feldbach.112980_TMYx.2009-2023.zip")</f>
        <v>https://climate.onebuilding.org/WMO_Region_6_Europe/AUT_Austria/ST_Styria/AUT_ST_Feldbach.112980_TMYx.2009-2023.zip</v>
      </c>
    </row>
    <row r="507" spans="1:10" x14ac:dyDescent="0.25">
      <c r="A507" t="s">
        <v>79</v>
      </c>
      <c r="B507" t="s">
        <v>210</v>
      </c>
      <c r="C507" t="s">
        <v>295</v>
      </c>
      <c r="D507">
        <v>112980</v>
      </c>
      <c r="E507" t="s">
        <v>14</v>
      </c>
      <c r="F507">
        <v>46.948900000000002</v>
      </c>
      <c r="G507">
        <v>15.8797</v>
      </c>
      <c r="H507">
        <v>1</v>
      </c>
      <c r="I507">
        <v>320.10000000000002</v>
      </c>
      <c r="J507" t="str">
        <f>HYPERLINK("https://climate.onebuilding.org/WMO_Region_6_Europe/AUT_Austria/ST_Styria/AUT_ST_Feldbach.112980_TMYx.zip")</f>
        <v>https://climate.onebuilding.org/WMO_Region_6_Europe/AUT_Austria/ST_Styria/AUT_ST_Feldbach.112980_TMYx.zip</v>
      </c>
    </row>
    <row r="508" spans="1:10" x14ac:dyDescent="0.25">
      <c r="A508" t="s">
        <v>79</v>
      </c>
      <c r="B508" t="s">
        <v>149</v>
      </c>
      <c r="C508" t="s">
        <v>296</v>
      </c>
      <c r="D508">
        <v>113010</v>
      </c>
      <c r="E508" t="s">
        <v>14</v>
      </c>
      <c r="F508">
        <v>47.457500000000003</v>
      </c>
      <c r="G508">
        <v>9.8485999999999994</v>
      </c>
      <c r="H508">
        <v>1</v>
      </c>
      <c r="I508">
        <v>715</v>
      </c>
      <c r="J508" t="str">
        <f>HYPERLINK("https://climate.onebuilding.org/WMO_Region_6_Europe/AUT_Austria/VO_Vorarlberg/AUT_VO_Alberschwende.113010_TMYx.2007-2021.zip")</f>
        <v>https://climate.onebuilding.org/WMO_Region_6_Europe/AUT_Austria/VO_Vorarlberg/AUT_VO_Alberschwende.113010_TMYx.2007-2021.zip</v>
      </c>
    </row>
    <row r="509" spans="1:10" x14ac:dyDescent="0.25">
      <c r="A509" t="s">
        <v>79</v>
      </c>
      <c r="B509" t="s">
        <v>149</v>
      </c>
      <c r="C509" t="s">
        <v>296</v>
      </c>
      <c r="D509">
        <v>113010</v>
      </c>
      <c r="E509" t="s">
        <v>14</v>
      </c>
      <c r="F509">
        <v>47.457500000000003</v>
      </c>
      <c r="G509">
        <v>9.8485999999999994</v>
      </c>
      <c r="H509">
        <v>1</v>
      </c>
      <c r="I509">
        <v>715</v>
      </c>
      <c r="J509" t="str">
        <f>HYPERLINK("https://climate.onebuilding.org/WMO_Region_6_Europe/AUT_Austria/VO_Vorarlberg/AUT_VO_Alberschwende.113010_TMYx.2009-2023.zip")</f>
        <v>https://climate.onebuilding.org/WMO_Region_6_Europe/AUT_Austria/VO_Vorarlberg/AUT_VO_Alberschwende.113010_TMYx.2009-2023.zip</v>
      </c>
    </row>
    <row r="510" spans="1:10" x14ac:dyDescent="0.25">
      <c r="A510" t="s">
        <v>79</v>
      </c>
      <c r="B510" t="s">
        <v>149</v>
      </c>
      <c r="C510" t="s">
        <v>296</v>
      </c>
      <c r="D510">
        <v>113010</v>
      </c>
      <c r="E510" t="s">
        <v>14</v>
      </c>
      <c r="F510">
        <v>47.457500000000003</v>
      </c>
      <c r="G510">
        <v>9.8485999999999994</v>
      </c>
      <c r="H510">
        <v>1</v>
      </c>
      <c r="I510">
        <v>715</v>
      </c>
      <c r="J510" t="str">
        <f>HYPERLINK("https://climate.onebuilding.org/WMO_Region_6_Europe/AUT_Austria/VO_Vorarlberg/AUT_VO_Alberschwende.113010_TMYx.zip")</f>
        <v>https://climate.onebuilding.org/WMO_Region_6_Europe/AUT_Austria/VO_Vorarlberg/AUT_VO_Alberschwende.113010_TMYx.zip</v>
      </c>
    </row>
    <row r="511" spans="1:10" x14ac:dyDescent="0.25">
      <c r="A511" t="s">
        <v>79</v>
      </c>
      <c r="B511" t="s">
        <v>149</v>
      </c>
      <c r="C511" t="s">
        <v>297</v>
      </c>
      <c r="D511">
        <v>113020</v>
      </c>
      <c r="E511" t="s">
        <v>298</v>
      </c>
      <c r="F511">
        <v>47.432499999999997</v>
      </c>
      <c r="G511">
        <v>9.7256</v>
      </c>
      <c r="H511">
        <v>1</v>
      </c>
      <c r="I511">
        <v>407</v>
      </c>
      <c r="J511" t="str">
        <f>HYPERLINK("https://climate.onebuilding.org/WMO_Region_6_Europe/AUT_Austria/VO_Vorarlberg/AUT_VO_Dornbirn.113020_TMYx.2004-2018.zip")</f>
        <v>https://climate.onebuilding.org/WMO_Region_6_Europe/AUT_Austria/VO_Vorarlberg/AUT_VO_Dornbirn.113020_TMYx.2004-2018.zip</v>
      </c>
    </row>
    <row r="512" spans="1:10" x14ac:dyDescent="0.25">
      <c r="A512" t="s">
        <v>79</v>
      </c>
      <c r="B512" t="s">
        <v>149</v>
      </c>
      <c r="C512" t="s">
        <v>297</v>
      </c>
      <c r="D512">
        <v>113020</v>
      </c>
      <c r="E512" t="s">
        <v>14</v>
      </c>
      <c r="F512">
        <v>47.432499999999997</v>
      </c>
      <c r="G512">
        <v>9.7256</v>
      </c>
      <c r="H512">
        <v>1</v>
      </c>
      <c r="I512">
        <v>407</v>
      </c>
      <c r="J512" t="str">
        <f>HYPERLINK("https://climate.onebuilding.org/WMO_Region_6_Europe/AUT_Austria/VO_Vorarlberg/AUT_VO_Dornbirn.113020_TMYx.2007-2021.zip")</f>
        <v>https://climate.onebuilding.org/WMO_Region_6_Europe/AUT_Austria/VO_Vorarlberg/AUT_VO_Dornbirn.113020_TMYx.2007-2021.zip</v>
      </c>
    </row>
    <row r="513" spans="1:10" x14ac:dyDescent="0.25">
      <c r="A513" t="s">
        <v>79</v>
      </c>
      <c r="B513" t="s">
        <v>149</v>
      </c>
      <c r="C513" t="s">
        <v>297</v>
      </c>
      <c r="D513">
        <v>113020</v>
      </c>
      <c r="E513" t="s">
        <v>14</v>
      </c>
      <c r="F513">
        <v>47.432499999999997</v>
      </c>
      <c r="G513">
        <v>9.7256</v>
      </c>
      <c r="H513">
        <v>1</v>
      </c>
      <c r="I513">
        <v>407</v>
      </c>
      <c r="J513" t="str">
        <f>HYPERLINK("https://climate.onebuilding.org/WMO_Region_6_Europe/AUT_Austria/VO_Vorarlberg/AUT_VO_Dornbirn.113020_TMYx.2009-2023.zip")</f>
        <v>https://climate.onebuilding.org/WMO_Region_6_Europe/AUT_Austria/VO_Vorarlberg/AUT_VO_Dornbirn.113020_TMYx.2009-2023.zip</v>
      </c>
    </row>
    <row r="514" spans="1:10" x14ac:dyDescent="0.25">
      <c r="A514" t="s">
        <v>79</v>
      </c>
      <c r="B514" t="s">
        <v>149</v>
      </c>
      <c r="C514" t="s">
        <v>297</v>
      </c>
      <c r="D514">
        <v>113020</v>
      </c>
      <c r="E514" t="s">
        <v>14</v>
      </c>
      <c r="F514">
        <v>47.432499999999997</v>
      </c>
      <c r="G514">
        <v>9.7256</v>
      </c>
      <c r="H514">
        <v>1</v>
      </c>
      <c r="I514">
        <v>407</v>
      </c>
      <c r="J514" t="str">
        <f>HYPERLINK("https://climate.onebuilding.org/WMO_Region_6_Europe/AUT_Austria/VO_Vorarlberg/AUT_VO_Dornbirn.113020_TMYx.zip")</f>
        <v>https://climate.onebuilding.org/WMO_Region_6_Europe/AUT_Austria/VO_Vorarlberg/AUT_VO_Dornbirn.113020_TMYx.zip</v>
      </c>
    </row>
    <row r="515" spans="1:10" x14ac:dyDescent="0.25">
      <c r="A515" t="s">
        <v>79</v>
      </c>
      <c r="B515" t="s">
        <v>149</v>
      </c>
      <c r="C515" t="s">
        <v>299</v>
      </c>
      <c r="D515">
        <v>113040</v>
      </c>
      <c r="E515" t="s">
        <v>14</v>
      </c>
      <c r="F515">
        <v>47.103099999999998</v>
      </c>
      <c r="G515">
        <v>9.7383000000000006</v>
      </c>
      <c r="H515">
        <v>1</v>
      </c>
      <c r="I515">
        <v>1032.3</v>
      </c>
      <c r="J515" t="str">
        <f>HYPERLINK("https://climate.onebuilding.org/WMO_Region_6_Europe/AUT_Austria/VO_Vorarlberg/AUT_VO_Brand.113040_TMYx.2007-2021.zip")</f>
        <v>https://climate.onebuilding.org/WMO_Region_6_Europe/AUT_Austria/VO_Vorarlberg/AUT_VO_Brand.113040_TMYx.2007-2021.zip</v>
      </c>
    </row>
    <row r="516" spans="1:10" x14ac:dyDescent="0.25">
      <c r="A516" t="s">
        <v>79</v>
      </c>
      <c r="B516" t="s">
        <v>149</v>
      </c>
      <c r="C516" t="s">
        <v>299</v>
      </c>
      <c r="D516">
        <v>113040</v>
      </c>
      <c r="E516" t="s">
        <v>14</v>
      </c>
      <c r="F516">
        <v>47.103099999999998</v>
      </c>
      <c r="G516">
        <v>9.7383000000000006</v>
      </c>
      <c r="H516">
        <v>1</v>
      </c>
      <c r="I516">
        <v>1032.3</v>
      </c>
      <c r="J516" t="str">
        <f>HYPERLINK("https://climate.onebuilding.org/WMO_Region_6_Europe/AUT_Austria/VO_Vorarlberg/AUT_VO_Brand.113040_TMYx.2009-2023.zip")</f>
        <v>https://climate.onebuilding.org/WMO_Region_6_Europe/AUT_Austria/VO_Vorarlberg/AUT_VO_Brand.113040_TMYx.2009-2023.zip</v>
      </c>
    </row>
    <row r="517" spans="1:10" x14ac:dyDescent="0.25">
      <c r="A517" t="s">
        <v>79</v>
      </c>
      <c r="B517" t="s">
        <v>149</v>
      </c>
      <c r="C517" t="s">
        <v>299</v>
      </c>
      <c r="D517">
        <v>113040</v>
      </c>
      <c r="E517" t="s">
        <v>14</v>
      </c>
      <c r="F517">
        <v>47.103099999999998</v>
      </c>
      <c r="G517">
        <v>9.7383000000000006</v>
      </c>
      <c r="H517">
        <v>1</v>
      </c>
      <c r="I517">
        <v>1032.3</v>
      </c>
      <c r="J517" t="str">
        <f>HYPERLINK("https://climate.onebuilding.org/WMO_Region_6_Europe/AUT_Austria/VO_Vorarlberg/AUT_VO_Brand.113040_TMYx.zip")</f>
        <v>https://climate.onebuilding.org/WMO_Region_6_Europe/AUT_Austria/VO_Vorarlberg/AUT_VO_Brand.113040_TMYx.zip</v>
      </c>
    </row>
    <row r="518" spans="1:10" x14ac:dyDescent="0.25">
      <c r="A518" t="s">
        <v>79</v>
      </c>
      <c r="B518" t="s">
        <v>149</v>
      </c>
      <c r="C518" t="s">
        <v>300</v>
      </c>
      <c r="D518">
        <v>113060</v>
      </c>
      <c r="E518" t="s">
        <v>14</v>
      </c>
      <c r="F518">
        <v>47.261699999999998</v>
      </c>
      <c r="G518">
        <v>10.0861</v>
      </c>
      <c r="H518">
        <v>1</v>
      </c>
      <c r="I518">
        <v>1243.9000000000001</v>
      </c>
      <c r="J518" t="str">
        <f>HYPERLINK("https://climate.onebuilding.org/WMO_Region_6_Europe/AUT_Austria/VO_Vorarlberg/AUT_VO_Schroecken.113060_TMYx.2007-2021.zip")</f>
        <v>https://climate.onebuilding.org/WMO_Region_6_Europe/AUT_Austria/VO_Vorarlberg/AUT_VO_Schroecken.113060_TMYx.2007-2021.zip</v>
      </c>
    </row>
    <row r="519" spans="1:10" x14ac:dyDescent="0.25">
      <c r="A519" t="s">
        <v>79</v>
      </c>
      <c r="B519" t="s">
        <v>149</v>
      </c>
      <c r="C519" t="s">
        <v>300</v>
      </c>
      <c r="D519">
        <v>113060</v>
      </c>
      <c r="E519" t="s">
        <v>14</v>
      </c>
      <c r="F519">
        <v>47.261699999999998</v>
      </c>
      <c r="G519">
        <v>10.0861</v>
      </c>
      <c r="H519">
        <v>1</v>
      </c>
      <c r="I519">
        <v>1243.9000000000001</v>
      </c>
      <c r="J519" t="str">
        <f>HYPERLINK("https://climate.onebuilding.org/WMO_Region_6_Europe/AUT_Austria/VO_Vorarlberg/AUT_VO_Schroecken.113060_TMYx.2009-2023.zip")</f>
        <v>https://climate.onebuilding.org/WMO_Region_6_Europe/AUT_Austria/VO_Vorarlberg/AUT_VO_Schroecken.113060_TMYx.2009-2023.zip</v>
      </c>
    </row>
    <row r="520" spans="1:10" x14ac:dyDescent="0.25">
      <c r="A520" t="s">
        <v>79</v>
      </c>
      <c r="B520" t="s">
        <v>149</v>
      </c>
      <c r="C520" t="s">
        <v>300</v>
      </c>
      <c r="D520">
        <v>113060</v>
      </c>
      <c r="E520" t="s">
        <v>14</v>
      </c>
      <c r="F520">
        <v>47.261699999999998</v>
      </c>
      <c r="G520">
        <v>10.0861</v>
      </c>
      <c r="H520">
        <v>1</v>
      </c>
      <c r="I520">
        <v>1243.9000000000001</v>
      </c>
      <c r="J520" t="str">
        <f>HYPERLINK("https://climate.onebuilding.org/WMO_Region_6_Europe/AUT_Austria/VO_Vorarlberg/AUT_VO_Schroecken.113060_TMYx.zip")</f>
        <v>https://climate.onebuilding.org/WMO_Region_6_Europe/AUT_Austria/VO_Vorarlberg/AUT_VO_Schroecken.113060_TMYx.zip</v>
      </c>
    </row>
    <row r="521" spans="1:10" x14ac:dyDescent="0.25">
      <c r="A521" t="s">
        <v>79</v>
      </c>
      <c r="B521" t="s">
        <v>149</v>
      </c>
      <c r="C521" t="s">
        <v>301</v>
      </c>
      <c r="D521">
        <v>113070</v>
      </c>
      <c r="E521" t="s">
        <v>14</v>
      </c>
      <c r="F521">
        <v>47.133099999999999</v>
      </c>
      <c r="G521">
        <v>10.1242</v>
      </c>
      <c r="H521">
        <v>1</v>
      </c>
      <c r="I521">
        <v>1248</v>
      </c>
      <c r="J521" t="str">
        <f>HYPERLINK("https://climate.onebuilding.org/WMO_Region_6_Europe/AUT_Austria/VO_Vorarlberg/AUT_VO_Langen.113070_TMYx.2007-2021.zip")</f>
        <v>https://climate.onebuilding.org/WMO_Region_6_Europe/AUT_Austria/VO_Vorarlberg/AUT_VO_Langen.113070_TMYx.2007-2021.zip</v>
      </c>
    </row>
    <row r="522" spans="1:10" x14ac:dyDescent="0.25">
      <c r="A522" t="s">
        <v>79</v>
      </c>
      <c r="B522" t="s">
        <v>149</v>
      </c>
      <c r="C522" t="s">
        <v>301</v>
      </c>
      <c r="D522">
        <v>113070</v>
      </c>
      <c r="E522" t="s">
        <v>14</v>
      </c>
      <c r="F522">
        <v>47.133099999999999</v>
      </c>
      <c r="G522">
        <v>10.1242</v>
      </c>
      <c r="H522">
        <v>1</v>
      </c>
      <c r="I522">
        <v>1248</v>
      </c>
      <c r="J522" t="str">
        <f>HYPERLINK("https://climate.onebuilding.org/WMO_Region_6_Europe/AUT_Austria/VO_Vorarlberg/AUT_VO_Langen.113070_TMYx.2009-2023.zip")</f>
        <v>https://climate.onebuilding.org/WMO_Region_6_Europe/AUT_Austria/VO_Vorarlberg/AUT_VO_Langen.113070_TMYx.2009-2023.zip</v>
      </c>
    </row>
    <row r="523" spans="1:10" x14ac:dyDescent="0.25">
      <c r="A523" t="s">
        <v>79</v>
      </c>
      <c r="B523" t="s">
        <v>149</v>
      </c>
      <c r="C523" t="s">
        <v>301</v>
      </c>
      <c r="D523">
        <v>113070</v>
      </c>
      <c r="E523" t="s">
        <v>14</v>
      </c>
      <c r="F523">
        <v>47.133099999999999</v>
      </c>
      <c r="G523">
        <v>10.1242</v>
      </c>
      <c r="H523">
        <v>1</v>
      </c>
      <c r="I523">
        <v>1248</v>
      </c>
      <c r="J523" t="str">
        <f>HYPERLINK("https://climate.onebuilding.org/WMO_Region_6_Europe/AUT_Austria/VO_Vorarlberg/AUT_VO_Langen.113070_TMYx.zip")</f>
        <v>https://climate.onebuilding.org/WMO_Region_6_Europe/AUT_Austria/VO_Vorarlberg/AUT_VO_Langen.113070_TMYx.zip</v>
      </c>
    </row>
    <row r="524" spans="1:10" x14ac:dyDescent="0.25">
      <c r="A524" t="s">
        <v>79</v>
      </c>
      <c r="B524" t="s">
        <v>155</v>
      </c>
      <c r="C524" t="s">
        <v>302</v>
      </c>
      <c r="D524">
        <v>113080</v>
      </c>
      <c r="E524" t="s">
        <v>303</v>
      </c>
      <c r="F524">
        <v>47.255800000000001</v>
      </c>
      <c r="G524">
        <v>10.1861</v>
      </c>
      <c r="H524">
        <v>1</v>
      </c>
      <c r="I524">
        <v>1470.3</v>
      </c>
      <c r="J524" t="str">
        <f>HYPERLINK("https://climate.onebuilding.org/WMO_Region_6_Europe/AUT_Austria/TR_Tyrol/AUT_TR_Warth.113080_TMYx.2004-2018.zip")</f>
        <v>https://climate.onebuilding.org/WMO_Region_6_Europe/AUT_Austria/TR_Tyrol/AUT_TR_Warth.113080_TMYx.2004-2018.zip</v>
      </c>
    </row>
    <row r="525" spans="1:10" x14ac:dyDescent="0.25">
      <c r="A525" t="s">
        <v>79</v>
      </c>
      <c r="B525" t="s">
        <v>155</v>
      </c>
      <c r="C525" t="s">
        <v>302</v>
      </c>
      <c r="D525">
        <v>113080</v>
      </c>
      <c r="E525" t="s">
        <v>14</v>
      </c>
      <c r="F525">
        <v>47.255800000000001</v>
      </c>
      <c r="G525">
        <v>10.1861</v>
      </c>
      <c r="H525">
        <v>1</v>
      </c>
      <c r="I525">
        <v>1470.3</v>
      </c>
      <c r="J525" t="str">
        <f>HYPERLINK("https://climate.onebuilding.org/WMO_Region_6_Europe/AUT_Austria/TR_Tyrol/AUT_TR_Warth.113080_TMYx.2007-2021.zip")</f>
        <v>https://climate.onebuilding.org/WMO_Region_6_Europe/AUT_Austria/TR_Tyrol/AUT_TR_Warth.113080_TMYx.2007-2021.zip</v>
      </c>
    </row>
    <row r="526" spans="1:10" x14ac:dyDescent="0.25">
      <c r="A526" t="s">
        <v>79</v>
      </c>
      <c r="B526" t="s">
        <v>155</v>
      </c>
      <c r="C526" t="s">
        <v>302</v>
      </c>
      <c r="D526">
        <v>113080</v>
      </c>
      <c r="E526" t="s">
        <v>14</v>
      </c>
      <c r="F526">
        <v>47.255800000000001</v>
      </c>
      <c r="G526">
        <v>10.1861</v>
      </c>
      <c r="H526">
        <v>1</v>
      </c>
      <c r="I526">
        <v>1470.3</v>
      </c>
      <c r="J526" t="str">
        <f>HYPERLINK("https://climate.onebuilding.org/WMO_Region_6_Europe/AUT_Austria/TR_Tyrol/AUT_TR_Warth.113080_TMYx.2009-2023.zip")</f>
        <v>https://climate.onebuilding.org/WMO_Region_6_Europe/AUT_Austria/TR_Tyrol/AUT_TR_Warth.113080_TMYx.2009-2023.zip</v>
      </c>
    </row>
    <row r="527" spans="1:10" x14ac:dyDescent="0.25">
      <c r="A527" t="s">
        <v>79</v>
      </c>
      <c r="B527" t="s">
        <v>155</v>
      </c>
      <c r="C527" t="s">
        <v>302</v>
      </c>
      <c r="D527">
        <v>113080</v>
      </c>
      <c r="E527" t="s">
        <v>14</v>
      </c>
      <c r="F527">
        <v>47.255800000000001</v>
      </c>
      <c r="G527">
        <v>10.1861</v>
      </c>
      <c r="H527">
        <v>1</v>
      </c>
      <c r="I527">
        <v>1470.3</v>
      </c>
      <c r="J527" t="str">
        <f>HYPERLINK("https://climate.onebuilding.org/WMO_Region_6_Europe/AUT_Austria/TR_Tyrol/AUT_TR_Warth.113080_TMYx.zip")</f>
        <v>https://climate.onebuilding.org/WMO_Region_6_Europe/AUT_Austria/TR_Tyrol/AUT_TR_Warth.113080_TMYx.zip</v>
      </c>
    </row>
    <row r="528" spans="1:10" x14ac:dyDescent="0.25">
      <c r="A528" t="s">
        <v>79</v>
      </c>
      <c r="B528" t="s">
        <v>155</v>
      </c>
      <c r="C528" t="s">
        <v>304</v>
      </c>
      <c r="D528">
        <v>113100</v>
      </c>
      <c r="E528" t="s">
        <v>305</v>
      </c>
      <c r="F528">
        <v>46.982500000000002</v>
      </c>
      <c r="G528">
        <v>10.3172</v>
      </c>
      <c r="H528">
        <v>1</v>
      </c>
      <c r="I528">
        <v>2312</v>
      </c>
      <c r="J528" t="str">
        <f>HYPERLINK("https://climate.onebuilding.org/WMO_Region_6_Europe/AUT_Austria/TR_Tyrol/AUT_TR_Ischgl.Ski.Resort.113100_TMYx.2004-2018.zip")</f>
        <v>https://climate.onebuilding.org/WMO_Region_6_Europe/AUT_Austria/TR_Tyrol/AUT_TR_Ischgl.Ski.Resort.113100_TMYx.2004-2018.zip</v>
      </c>
    </row>
    <row r="529" spans="1:10" x14ac:dyDescent="0.25">
      <c r="A529" t="s">
        <v>79</v>
      </c>
      <c r="B529" t="s">
        <v>155</v>
      </c>
      <c r="C529" t="s">
        <v>304</v>
      </c>
      <c r="D529">
        <v>113100</v>
      </c>
      <c r="E529" t="s">
        <v>14</v>
      </c>
      <c r="F529">
        <v>46.982500000000002</v>
      </c>
      <c r="G529">
        <v>10.3172</v>
      </c>
      <c r="H529">
        <v>1</v>
      </c>
      <c r="I529">
        <v>2312</v>
      </c>
      <c r="J529" t="str">
        <f>HYPERLINK("https://climate.onebuilding.org/WMO_Region_6_Europe/AUT_Austria/TR_Tyrol/AUT_TR_Ischgl.Ski.Resort.113100_TMYx.2007-2021.zip")</f>
        <v>https://climate.onebuilding.org/WMO_Region_6_Europe/AUT_Austria/TR_Tyrol/AUT_TR_Ischgl.Ski.Resort.113100_TMYx.2007-2021.zip</v>
      </c>
    </row>
    <row r="530" spans="1:10" x14ac:dyDescent="0.25">
      <c r="A530" t="s">
        <v>79</v>
      </c>
      <c r="B530" t="s">
        <v>155</v>
      </c>
      <c r="C530" t="s">
        <v>304</v>
      </c>
      <c r="D530">
        <v>113100</v>
      </c>
      <c r="E530" t="s">
        <v>14</v>
      </c>
      <c r="F530">
        <v>46.982500000000002</v>
      </c>
      <c r="G530">
        <v>10.3172</v>
      </c>
      <c r="H530">
        <v>1</v>
      </c>
      <c r="I530">
        <v>2312</v>
      </c>
      <c r="J530" t="str">
        <f>HYPERLINK("https://climate.onebuilding.org/WMO_Region_6_Europe/AUT_Austria/TR_Tyrol/AUT_TR_Ischgl.Ski.Resort.113100_TMYx.2009-2023.zip")</f>
        <v>https://climate.onebuilding.org/WMO_Region_6_Europe/AUT_Austria/TR_Tyrol/AUT_TR_Ischgl.Ski.Resort.113100_TMYx.2009-2023.zip</v>
      </c>
    </row>
    <row r="531" spans="1:10" x14ac:dyDescent="0.25">
      <c r="A531" t="s">
        <v>79</v>
      </c>
      <c r="B531" t="s">
        <v>155</v>
      </c>
      <c r="C531" t="s">
        <v>304</v>
      </c>
      <c r="D531">
        <v>113100</v>
      </c>
      <c r="E531" t="s">
        <v>14</v>
      </c>
      <c r="F531">
        <v>46.982500000000002</v>
      </c>
      <c r="G531">
        <v>10.3172</v>
      </c>
      <c r="H531">
        <v>1</v>
      </c>
      <c r="I531">
        <v>2312</v>
      </c>
      <c r="J531" t="str">
        <f>HYPERLINK("https://climate.onebuilding.org/WMO_Region_6_Europe/AUT_Austria/TR_Tyrol/AUT_TR_Ischgl.Ski.Resort.113100_TMYx.zip")</f>
        <v>https://climate.onebuilding.org/WMO_Region_6_Europe/AUT_Austria/TR_Tyrol/AUT_TR_Ischgl.Ski.Resort.113100_TMYx.zip</v>
      </c>
    </row>
    <row r="532" spans="1:10" x14ac:dyDescent="0.25">
      <c r="A532" t="s">
        <v>79</v>
      </c>
      <c r="B532" t="s">
        <v>155</v>
      </c>
      <c r="C532" t="s">
        <v>306</v>
      </c>
      <c r="D532">
        <v>113120</v>
      </c>
      <c r="E532" t="s">
        <v>14</v>
      </c>
      <c r="F532">
        <v>46.9681</v>
      </c>
      <c r="G532">
        <v>10.185600000000001</v>
      </c>
      <c r="H532">
        <v>1</v>
      </c>
      <c r="I532">
        <v>1576.7</v>
      </c>
      <c r="J532" t="str">
        <f>HYPERLINK("https://climate.onebuilding.org/WMO_Region_6_Europe/AUT_Austria/TR_Tyrol/AUT_TR_Galtuer.113120_TMYx.2007-2021.zip")</f>
        <v>https://climate.onebuilding.org/WMO_Region_6_Europe/AUT_Austria/TR_Tyrol/AUT_TR_Galtuer.113120_TMYx.2007-2021.zip</v>
      </c>
    </row>
    <row r="533" spans="1:10" x14ac:dyDescent="0.25">
      <c r="A533" t="s">
        <v>79</v>
      </c>
      <c r="B533" t="s">
        <v>155</v>
      </c>
      <c r="C533" t="s">
        <v>306</v>
      </c>
      <c r="D533">
        <v>113120</v>
      </c>
      <c r="E533" t="s">
        <v>14</v>
      </c>
      <c r="F533">
        <v>46.9681</v>
      </c>
      <c r="G533">
        <v>10.185600000000001</v>
      </c>
      <c r="H533">
        <v>1</v>
      </c>
      <c r="I533">
        <v>1576.7</v>
      </c>
      <c r="J533" t="str">
        <f>HYPERLINK("https://climate.onebuilding.org/WMO_Region_6_Europe/AUT_Austria/TR_Tyrol/AUT_TR_Galtuer.113120_TMYx.2009-2023.zip")</f>
        <v>https://climate.onebuilding.org/WMO_Region_6_Europe/AUT_Austria/TR_Tyrol/AUT_TR_Galtuer.113120_TMYx.2009-2023.zip</v>
      </c>
    </row>
    <row r="534" spans="1:10" x14ac:dyDescent="0.25">
      <c r="A534" t="s">
        <v>79</v>
      </c>
      <c r="B534" t="s">
        <v>155</v>
      </c>
      <c r="C534" t="s">
        <v>306</v>
      </c>
      <c r="D534">
        <v>113120</v>
      </c>
      <c r="E534" t="s">
        <v>14</v>
      </c>
      <c r="F534">
        <v>46.9681</v>
      </c>
      <c r="G534">
        <v>10.185600000000001</v>
      </c>
      <c r="H534">
        <v>1</v>
      </c>
      <c r="I534">
        <v>1576.7</v>
      </c>
      <c r="J534" t="str">
        <f>HYPERLINK("https://climate.onebuilding.org/WMO_Region_6_Europe/AUT_Austria/TR_Tyrol/AUT_TR_Galtuer.113120_TMYx.zip")</f>
        <v>https://climate.onebuilding.org/WMO_Region_6_Europe/AUT_Austria/TR_Tyrol/AUT_TR_Galtuer.113120_TMYx.zip</v>
      </c>
    </row>
    <row r="535" spans="1:10" x14ac:dyDescent="0.25">
      <c r="A535" t="s">
        <v>79</v>
      </c>
      <c r="B535" t="s">
        <v>155</v>
      </c>
      <c r="C535" t="s">
        <v>307</v>
      </c>
      <c r="D535">
        <v>113150</v>
      </c>
      <c r="E535" t="s">
        <v>14</v>
      </c>
      <c r="F535">
        <v>47.2575</v>
      </c>
      <c r="G535">
        <v>10.3386</v>
      </c>
      <c r="H535">
        <v>1</v>
      </c>
      <c r="I535">
        <v>1140</v>
      </c>
      <c r="J535" t="str">
        <f>HYPERLINK("https://climate.onebuilding.org/WMO_Region_6_Europe/AUT_Austria/TR_Tyrol/AUT_TR_Holzgau.113150_TMYx.2007-2021.zip")</f>
        <v>https://climate.onebuilding.org/WMO_Region_6_Europe/AUT_Austria/TR_Tyrol/AUT_TR_Holzgau.113150_TMYx.2007-2021.zip</v>
      </c>
    </row>
    <row r="536" spans="1:10" x14ac:dyDescent="0.25">
      <c r="A536" t="s">
        <v>79</v>
      </c>
      <c r="B536" t="s">
        <v>155</v>
      </c>
      <c r="C536" t="s">
        <v>307</v>
      </c>
      <c r="D536">
        <v>113150</v>
      </c>
      <c r="E536" t="s">
        <v>14</v>
      </c>
      <c r="F536">
        <v>47.2575</v>
      </c>
      <c r="G536">
        <v>10.3386</v>
      </c>
      <c r="H536">
        <v>1</v>
      </c>
      <c r="I536">
        <v>1140</v>
      </c>
      <c r="J536" t="str">
        <f>HYPERLINK("https://climate.onebuilding.org/WMO_Region_6_Europe/AUT_Austria/TR_Tyrol/AUT_TR_Holzgau.113150_TMYx.2009-2023.zip")</f>
        <v>https://climate.onebuilding.org/WMO_Region_6_Europe/AUT_Austria/TR_Tyrol/AUT_TR_Holzgau.113150_TMYx.2009-2023.zip</v>
      </c>
    </row>
    <row r="537" spans="1:10" x14ac:dyDescent="0.25">
      <c r="A537" t="s">
        <v>79</v>
      </c>
      <c r="B537" t="s">
        <v>155</v>
      </c>
      <c r="C537" t="s">
        <v>307</v>
      </c>
      <c r="D537">
        <v>113150</v>
      </c>
      <c r="E537" t="s">
        <v>14</v>
      </c>
      <c r="F537">
        <v>47.2575</v>
      </c>
      <c r="G537">
        <v>10.3386</v>
      </c>
      <c r="H537">
        <v>1</v>
      </c>
      <c r="I537">
        <v>1140</v>
      </c>
      <c r="J537" t="str">
        <f>HYPERLINK("https://climate.onebuilding.org/WMO_Region_6_Europe/AUT_Austria/TR_Tyrol/AUT_TR_Holzgau.113150_TMYx.zip")</f>
        <v>https://climate.onebuilding.org/WMO_Region_6_Europe/AUT_Austria/TR_Tyrol/AUT_TR_Holzgau.113150_TMYx.zip</v>
      </c>
    </row>
    <row r="538" spans="1:10" x14ac:dyDescent="0.25">
      <c r="A538" t="s">
        <v>79</v>
      </c>
      <c r="B538" t="s">
        <v>155</v>
      </c>
      <c r="C538" t="s">
        <v>308</v>
      </c>
      <c r="D538">
        <v>113160</v>
      </c>
      <c r="E538" t="s">
        <v>14</v>
      </c>
      <c r="F538">
        <v>46.926900000000003</v>
      </c>
      <c r="G538">
        <v>10.879200000000001</v>
      </c>
      <c r="H538">
        <v>1</v>
      </c>
      <c r="I538">
        <v>2847.6</v>
      </c>
      <c r="J538" t="str">
        <f>HYPERLINK("https://climate.onebuilding.org/WMO_Region_6_Europe/AUT_Austria/TR_Tyrol/AUT_TR_Pitztaler.Gletscher.113160_TMYx.2007-2021.zip")</f>
        <v>https://climate.onebuilding.org/WMO_Region_6_Europe/AUT_Austria/TR_Tyrol/AUT_TR_Pitztaler.Gletscher.113160_TMYx.2007-2021.zip</v>
      </c>
    </row>
    <row r="539" spans="1:10" x14ac:dyDescent="0.25">
      <c r="A539" t="s">
        <v>79</v>
      </c>
      <c r="B539" t="s">
        <v>155</v>
      </c>
      <c r="C539" t="s">
        <v>308</v>
      </c>
      <c r="D539">
        <v>113160</v>
      </c>
      <c r="E539" t="s">
        <v>14</v>
      </c>
      <c r="F539">
        <v>46.926900000000003</v>
      </c>
      <c r="G539">
        <v>10.879200000000001</v>
      </c>
      <c r="H539">
        <v>1</v>
      </c>
      <c r="I539">
        <v>2847.6</v>
      </c>
      <c r="J539" t="str">
        <f>HYPERLINK("https://climate.onebuilding.org/WMO_Region_6_Europe/AUT_Austria/TR_Tyrol/AUT_TR_Pitztaler.Gletscher.113160_TMYx.2009-2023.zip")</f>
        <v>https://climate.onebuilding.org/WMO_Region_6_Europe/AUT_Austria/TR_Tyrol/AUT_TR_Pitztaler.Gletscher.113160_TMYx.2009-2023.zip</v>
      </c>
    </row>
    <row r="540" spans="1:10" x14ac:dyDescent="0.25">
      <c r="A540" t="s">
        <v>79</v>
      </c>
      <c r="B540" t="s">
        <v>155</v>
      </c>
      <c r="C540" t="s">
        <v>308</v>
      </c>
      <c r="D540">
        <v>113160</v>
      </c>
      <c r="E540" t="s">
        <v>14</v>
      </c>
      <c r="F540">
        <v>46.926900000000003</v>
      </c>
      <c r="G540">
        <v>10.879200000000001</v>
      </c>
      <c r="H540">
        <v>1</v>
      </c>
      <c r="I540">
        <v>2847.6</v>
      </c>
      <c r="J540" t="str">
        <f>HYPERLINK("https://climate.onebuilding.org/WMO_Region_6_Europe/AUT_Austria/TR_Tyrol/AUT_TR_Pitztaler.Gletscher.113160_TMYx.zip")</f>
        <v>https://climate.onebuilding.org/WMO_Region_6_Europe/AUT_Austria/TR_Tyrol/AUT_TR_Pitztaler.Gletscher.113160_TMYx.zip</v>
      </c>
    </row>
    <row r="541" spans="1:10" x14ac:dyDescent="0.25">
      <c r="A541" t="s">
        <v>79</v>
      </c>
      <c r="B541" t="s">
        <v>155</v>
      </c>
      <c r="C541" t="s">
        <v>309</v>
      </c>
      <c r="D541">
        <v>113180</v>
      </c>
      <c r="E541" t="s">
        <v>14</v>
      </c>
      <c r="F541">
        <v>46.912799999999997</v>
      </c>
      <c r="G541">
        <v>10.861700000000001</v>
      </c>
      <c r="H541">
        <v>1</v>
      </c>
      <c r="I541">
        <v>3429</v>
      </c>
      <c r="J541" t="str">
        <f>HYPERLINK("https://climate.onebuilding.org/WMO_Region_6_Europe/AUT_Austria/TR_Tyrol/AUT_TR_Hinterer.Brunnenkogel-Otztal.Alps.113180_TMYx.2007-2021.zip")</f>
        <v>https://climate.onebuilding.org/WMO_Region_6_Europe/AUT_Austria/TR_Tyrol/AUT_TR_Hinterer.Brunnenkogel-Otztal.Alps.113180_TMYx.2007-2021.zip</v>
      </c>
    </row>
    <row r="542" spans="1:10" x14ac:dyDescent="0.25">
      <c r="A542" t="s">
        <v>79</v>
      </c>
      <c r="B542" t="s">
        <v>155</v>
      </c>
      <c r="C542" t="s">
        <v>309</v>
      </c>
      <c r="D542">
        <v>113180</v>
      </c>
      <c r="E542" t="s">
        <v>14</v>
      </c>
      <c r="F542">
        <v>46.912799999999997</v>
      </c>
      <c r="G542">
        <v>10.861700000000001</v>
      </c>
      <c r="H542">
        <v>1</v>
      </c>
      <c r="I542">
        <v>3429</v>
      </c>
      <c r="J542" t="str">
        <f>HYPERLINK("https://climate.onebuilding.org/WMO_Region_6_Europe/AUT_Austria/TR_Tyrol/AUT_TR_Hinterer.Brunnenkogel-Otztal.Alps.113180_TMYx.2009-2023.zip")</f>
        <v>https://climate.onebuilding.org/WMO_Region_6_Europe/AUT_Austria/TR_Tyrol/AUT_TR_Hinterer.Brunnenkogel-Otztal.Alps.113180_TMYx.2009-2023.zip</v>
      </c>
    </row>
    <row r="543" spans="1:10" x14ac:dyDescent="0.25">
      <c r="A543" t="s">
        <v>79</v>
      </c>
      <c r="B543" t="s">
        <v>155</v>
      </c>
      <c r="C543" t="s">
        <v>309</v>
      </c>
      <c r="D543">
        <v>113180</v>
      </c>
      <c r="E543" t="s">
        <v>14</v>
      </c>
      <c r="F543">
        <v>46.912799999999997</v>
      </c>
      <c r="G543">
        <v>10.861700000000001</v>
      </c>
      <c r="H543">
        <v>1</v>
      </c>
      <c r="I543">
        <v>3429</v>
      </c>
      <c r="J543" t="str">
        <f>HYPERLINK("https://climate.onebuilding.org/WMO_Region_6_Europe/AUT_Austria/TR_Tyrol/AUT_TR_Hinterer.Brunnenkogel-Otztal.Alps.113180_TMYx.zip")</f>
        <v>https://climate.onebuilding.org/WMO_Region_6_Europe/AUT_Austria/TR_Tyrol/AUT_TR_Hinterer.Brunnenkogel-Otztal.Alps.113180_TMYx.zip</v>
      </c>
    </row>
    <row r="544" spans="1:10" x14ac:dyDescent="0.25">
      <c r="A544" t="s">
        <v>79</v>
      </c>
      <c r="B544" t="s">
        <v>155</v>
      </c>
      <c r="C544" t="s">
        <v>310</v>
      </c>
      <c r="D544">
        <v>113250</v>
      </c>
      <c r="E544" t="s">
        <v>14</v>
      </c>
      <c r="F544">
        <v>47.3889</v>
      </c>
      <c r="G544">
        <v>11.758100000000001</v>
      </c>
      <c r="H544">
        <v>1</v>
      </c>
      <c r="I544">
        <v>536</v>
      </c>
      <c r="J544" t="str">
        <f>HYPERLINK("https://climate.onebuilding.org/WMO_Region_6_Europe/AUT_Austria/TR_Tyrol/AUT_TR_Jenbach.113250_TMYx.2007-2021.zip")</f>
        <v>https://climate.onebuilding.org/WMO_Region_6_Europe/AUT_Austria/TR_Tyrol/AUT_TR_Jenbach.113250_TMYx.2007-2021.zip</v>
      </c>
    </row>
    <row r="545" spans="1:10" x14ac:dyDescent="0.25">
      <c r="A545" t="s">
        <v>79</v>
      </c>
      <c r="B545" t="s">
        <v>155</v>
      </c>
      <c r="C545" t="s">
        <v>310</v>
      </c>
      <c r="D545">
        <v>113250</v>
      </c>
      <c r="E545" t="s">
        <v>14</v>
      </c>
      <c r="F545">
        <v>47.3889</v>
      </c>
      <c r="G545">
        <v>11.758100000000001</v>
      </c>
      <c r="H545">
        <v>1</v>
      </c>
      <c r="I545">
        <v>536</v>
      </c>
      <c r="J545" t="str">
        <f>HYPERLINK("https://climate.onebuilding.org/WMO_Region_6_Europe/AUT_Austria/TR_Tyrol/AUT_TR_Jenbach.113250_TMYx.2009-2023.zip")</f>
        <v>https://climate.onebuilding.org/WMO_Region_6_Europe/AUT_Austria/TR_Tyrol/AUT_TR_Jenbach.113250_TMYx.2009-2023.zip</v>
      </c>
    </row>
    <row r="546" spans="1:10" x14ac:dyDescent="0.25">
      <c r="A546" t="s">
        <v>79</v>
      </c>
      <c r="B546" t="s">
        <v>155</v>
      </c>
      <c r="C546" t="s">
        <v>310</v>
      </c>
      <c r="D546">
        <v>113250</v>
      </c>
      <c r="E546" t="s">
        <v>14</v>
      </c>
      <c r="F546">
        <v>47.3889</v>
      </c>
      <c r="G546">
        <v>11.758100000000001</v>
      </c>
      <c r="H546">
        <v>1</v>
      </c>
      <c r="I546">
        <v>536</v>
      </c>
      <c r="J546" t="str">
        <f>HYPERLINK("https://climate.onebuilding.org/WMO_Region_6_Europe/AUT_Austria/TR_Tyrol/AUT_TR_Jenbach.113250_TMYx.zip")</f>
        <v>https://climate.onebuilding.org/WMO_Region_6_Europe/AUT_Austria/TR_Tyrol/AUT_TR_Jenbach.113250_TMYx.zip</v>
      </c>
    </row>
    <row r="547" spans="1:10" x14ac:dyDescent="0.25">
      <c r="A547" t="s">
        <v>79</v>
      </c>
      <c r="B547" t="s">
        <v>155</v>
      </c>
      <c r="C547" t="s">
        <v>311</v>
      </c>
      <c r="D547">
        <v>113300</v>
      </c>
      <c r="E547" t="s">
        <v>14</v>
      </c>
      <c r="F547">
        <v>47.162500000000001</v>
      </c>
      <c r="G547">
        <v>11.8514</v>
      </c>
      <c r="H547">
        <v>1</v>
      </c>
      <c r="I547">
        <v>641</v>
      </c>
      <c r="J547" t="str">
        <f>HYPERLINK("https://climate.onebuilding.org/WMO_Region_6_Europe/AUT_Austria/TR_Tyrol/AUT_TR_Mayrhofen.113300_TMYx.2007-2021.zip")</f>
        <v>https://climate.onebuilding.org/WMO_Region_6_Europe/AUT_Austria/TR_Tyrol/AUT_TR_Mayrhofen.113300_TMYx.2007-2021.zip</v>
      </c>
    </row>
    <row r="548" spans="1:10" x14ac:dyDescent="0.25">
      <c r="A548" t="s">
        <v>79</v>
      </c>
      <c r="B548" t="s">
        <v>155</v>
      </c>
      <c r="C548" t="s">
        <v>311</v>
      </c>
      <c r="D548">
        <v>113300</v>
      </c>
      <c r="E548" t="s">
        <v>14</v>
      </c>
      <c r="F548">
        <v>47.162500000000001</v>
      </c>
      <c r="G548">
        <v>11.8514</v>
      </c>
      <c r="H548">
        <v>1</v>
      </c>
      <c r="I548">
        <v>641</v>
      </c>
      <c r="J548" t="str">
        <f>HYPERLINK("https://climate.onebuilding.org/WMO_Region_6_Europe/AUT_Austria/TR_Tyrol/AUT_TR_Mayrhofen.113300_TMYx.2009-2023.zip")</f>
        <v>https://climate.onebuilding.org/WMO_Region_6_Europe/AUT_Austria/TR_Tyrol/AUT_TR_Mayrhofen.113300_TMYx.2009-2023.zip</v>
      </c>
    </row>
    <row r="549" spans="1:10" x14ac:dyDescent="0.25">
      <c r="A549" t="s">
        <v>79</v>
      </c>
      <c r="B549" t="s">
        <v>155</v>
      </c>
      <c r="C549" t="s">
        <v>311</v>
      </c>
      <c r="D549">
        <v>113300</v>
      </c>
      <c r="E549" t="s">
        <v>14</v>
      </c>
      <c r="F549">
        <v>47.162500000000001</v>
      </c>
      <c r="G549">
        <v>11.8514</v>
      </c>
      <c r="H549">
        <v>1</v>
      </c>
      <c r="I549">
        <v>641</v>
      </c>
      <c r="J549" t="str">
        <f>HYPERLINK("https://climate.onebuilding.org/WMO_Region_6_Europe/AUT_Austria/TR_Tyrol/AUT_TR_Mayrhofen.113300_TMYx.zip")</f>
        <v>https://climate.onebuilding.org/WMO_Region_6_Europe/AUT_Austria/TR_Tyrol/AUT_TR_Mayrhofen.113300_TMYx.zip</v>
      </c>
    </row>
    <row r="550" spans="1:10" x14ac:dyDescent="0.25">
      <c r="A550" t="s">
        <v>79</v>
      </c>
      <c r="B550" t="s">
        <v>246</v>
      </c>
      <c r="C550" t="s">
        <v>312</v>
      </c>
      <c r="D550">
        <v>113310</v>
      </c>
      <c r="E550" t="s">
        <v>313</v>
      </c>
      <c r="F550">
        <v>46.633000000000003</v>
      </c>
      <c r="G550">
        <v>14.317</v>
      </c>
      <c r="H550">
        <v>1</v>
      </c>
      <c r="I550">
        <v>450</v>
      </c>
      <c r="J550" t="str">
        <f>HYPERLINK("https://climate.onebuilding.org/WMO_Region_6_Europe/AUT_Austria/KA_Carinthia/AUT_KA_Klagenfurt.AP.113310_TMYx.2004-2018.zip")</f>
        <v>https://climate.onebuilding.org/WMO_Region_6_Europe/AUT_Austria/KA_Carinthia/AUT_KA_Klagenfurt.AP.113310_TMYx.2004-2018.zip</v>
      </c>
    </row>
    <row r="551" spans="1:10" x14ac:dyDescent="0.25">
      <c r="A551" t="s">
        <v>79</v>
      </c>
      <c r="B551" t="s">
        <v>246</v>
      </c>
      <c r="C551" t="s">
        <v>312</v>
      </c>
      <c r="D551">
        <v>113310</v>
      </c>
      <c r="E551" t="s">
        <v>14</v>
      </c>
      <c r="F551">
        <v>46.633000000000003</v>
      </c>
      <c r="G551">
        <v>14.317</v>
      </c>
      <c r="H551">
        <v>1</v>
      </c>
      <c r="I551">
        <v>450</v>
      </c>
      <c r="J551" t="str">
        <f>HYPERLINK("https://climate.onebuilding.org/WMO_Region_6_Europe/AUT_Austria/KA_Carinthia/AUT_KA_Klagenfurt.AP.113310_TMYx.2007-2021.zip")</f>
        <v>https://climate.onebuilding.org/WMO_Region_6_Europe/AUT_Austria/KA_Carinthia/AUT_KA_Klagenfurt.AP.113310_TMYx.2007-2021.zip</v>
      </c>
    </row>
    <row r="552" spans="1:10" x14ac:dyDescent="0.25">
      <c r="A552" t="s">
        <v>79</v>
      </c>
      <c r="B552" t="s">
        <v>246</v>
      </c>
      <c r="C552" t="s">
        <v>312</v>
      </c>
      <c r="D552">
        <v>113310</v>
      </c>
      <c r="E552" t="s">
        <v>14</v>
      </c>
      <c r="F552">
        <v>46.633000000000003</v>
      </c>
      <c r="G552">
        <v>14.317</v>
      </c>
      <c r="H552">
        <v>1</v>
      </c>
      <c r="I552">
        <v>450</v>
      </c>
      <c r="J552" t="str">
        <f>HYPERLINK("https://climate.onebuilding.org/WMO_Region_6_Europe/AUT_Austria/KA_Carinthia/AUT_KA_Klagenfurt.AP.113310_TMYx.2009-2023.zip")</f>
        <v>https://climate.onebuilding.org/WMO_Region_6_Europe/AUT_Austria/KA_Carinthia/AUT_KA_Klagenfurt.AP.113310_TMYx.2009-2023.zip</v>
      </c>
    </row>
    <row r="553" spans="1:10" x14ac:dyDescent="0.25">
      <c r="A553" t="s">
        <v>79</v>
      </c>
      <c r="B553" t="s">
        <v>246</v>
      </c>
      <c r="C553" t="s">
        <v>312</v>
      </c>
      <c r="D553">
        <v>113310</v>
      </c>
      <c r="E553" t="s">
        <v>14</v>
      </c>
      <c r="F553">
        <v>46.633000000000003</v>
      </c>
      <c r="G553">
        <v>14.317</v>
      </c>
      <c r="H553">
        <v>1</v>
      </c>
      <c r="I553">
        <v>450</v>
      </c>
      <c r="J553" t="str">
        <f>HYPERLINK("https://climate.onebuilding.org/WMO_Region_6_Europe/AUT_Austria/KA_Carinthia/AUT_KA_Klagenfurt.AP.113310_TMYx.zip")</f>
        <v>https://climate.onebuilding.org/WMO_Region_6_Europe/AUT_Austria/KA_Carinthia/AUT_KA_Klagenfurt.AP.113310_TMYx.zip</v>
      </c>
    </row>
    <row r="554" spans="1:10" x14ac:dyDescent="0.25">
      <c r="A554" t="s">
        <v>79</v>
      </c>
      <c r="B554" t="s">
        <v>93</v>
      </c>
      <c r="C554" t="s">
        <v>314</v>
      </c>
      <c r="D554">
        <v>113320</v>
      </c>
      <c r="E554" t="s">
        <v>14</v>
      </c>
      <c r="F554">
        <v>48.570799999999998</v>
      </c>
      <c r="G554">
        <v>16.609400000000001</v>
      </c>
      <c r="H554">
        <v>1</v>
      </c>
      <c r="I554">
        <v>190</v>
      </c>
      <c r="J554" t="str">
        <f>HYPERLINK("https://climate.onebuilding.org/WMO_Region_6_Europe/AUT_Austria/NO_Lower_Austria/AUT_NO_Mistelbach.113320_TMYx.2007-2021.zip")</f>
        <v>https://climate.onebuilding.org/WMO_Region_6_Europe/AUT_Austria/NO_Lower_Austria/AUT_NO_Mistelbach.113320_TMYx.2007-2021.zip</v>
      </c>
    </row>
    <row r="555" spans="1:10" x14ac:dyDescent="0.25">
      <c r="A555" t="s">
        <v>79</v>
      </c>
      <c r="B555" t="s">
        <v>93</v>
      </c>
      <c r="C555" t="s">
        <v>314</v>
      </c>
      <c r="D555">
        <v>113320</v>
      </c>
      <c r="E555" t="s">
        <v>14</v>
      </c>
      <c r="F555">
        <v>48.570799999999998</v>
      </c>
      <c r="G555">
        <v>16.609400000000001</v>
      </c>
      <c r="H555">
        <v>1</v>
      </c>
      <c r="I555">
        <v>190</v>
      </c>
      <c r="J555" t="str">
        <f>HYPERLINK("https://climate.onebuilding.org/WMO_Region_6_Europe/AUT_Austria/NO_Lower_Austria/AUT_NO_Mistelbach.113320_TMYx.2009-2023.zip")</f>
        <v>https://climate.onebuilding.org/WMO_Region_6_Europe/AUT_Austria/NO_Lower_Austria/AUT_NO_Mistelbach.113320_TMYx.2009-2023.zip</v>
      </c>
    </row>
    <row r="556" spans="1:10" x14ac:dyDescent="0.25">
      <c r="A556" t="s">
        <v>79</v>
      </c>
      <c r="B556" t="s">
        <v>93</v>
      </c>
      <c r="C556" t="s">
        <v>314</v>
      </c>
      <c r="D556">
        <v>113320</v>
      </c>
      <c r="E556" t="s">
        <v>14</v>
      </c>
      <c r="F556">
        <v>48.570799999999998</v>
      </c>
      <c r="G556">
        <v>16.609400000000001</v>
      </c>
      <c r="H556">
        <v>1</v>
      </c>
      <c r="I556">
        <v>190</v>
      </c>
      <c r="J556" t="str">
        <f>HYPERLINK("https://climate.onebuilding.org/WMO_Region_6_Europe/AUT_Austria/NO_Lower_Austria/AUT_NO_Mistelbach.113320_TMYx.zip")</f>
        <v>https://climate.onebuilding.org/WMO_Region_6_Europe/AUT_Austria/NO_Lower_Austria/AUT_NO_Mistelbach.113320_TMYx.zip</v>
      </c>
    </row>
    <row r="557" spans="1:10" x14ac:dyDescent="0.25">
      <c r="A557" t="s">
        <v>79</v>
      </c>
      <c r="B557" t="s">
        <v>178</v>
      </c>
      <c r="C557" t="s">
        <v>315</v>
      </c>
      <c r="D557">
        <v>113370</v>
      </c>
      <c r="E557" t="s">
        <v>14</v>
      </c>
      <c r="F557">
        <v>47.597200000000001</v>
      </c>
      <c r="G557">
        <v>12.645300000000001</v>
      </c>
      <c r="H557">
        <v>1</v>
      </c>
      <c r="I557">
        <v>1625</v>
      </c>
      <c r="J557" t="str">
        <f>HYPERLINK("https://climate.onebuilding.org/WMO_Region_6_Europe/AUT_Austria/SZ_Salzburg/AUT_SZ_Loferer.Alm.113370_TMYx.2007-2021.zip")</f>
        <v>https://climate.onebuilding.org/WMO_Region_6_Europe/AUT_Austria/SZ_Salzburg/AUT_SZ_Loferer.Alm.113370_TMYx.2007-2021.zip</v>
      </c>
    </row>
    <row r="558" spans="1:10" x14ac:dyDescent="0.25">
      <c r="A558" t="s">
        <v>79</v>
      </c>
      <c r="B558" t="s">
        <v>178</v>
      </c>
      <c r="C558" t="s">
        <v>315</v>
      </c>
      <c r="D558">
        <v>113370</v>
      </c>
      <c r="E558" t="s">
        <v>14</v>
      </c>
      <c r="F558">
        <v>47.597200000000001</v>
      </c>
      <c r="G558">
        <v>12.645300000000001</v>
      </c>
      <c r="H558">
        <v>1</v>
      </c>
      <c r="I558">
        <v>1625</v>
      </c>
      <c r="J558" t="str">
        <f>HYPERLINK("https://climate.onebuilding.org/WMO_Region_6_Europe/AUT_Austria/SZ_Salzburg/AUT_SZ_Loferer.Alm.113370_TMYx.2009-2023.zip")</f>
        <v>https://climate.onebuilding.org/WMO_Region_6_Europe/AUT_Austria/SZ_Salzburg/AUT_SZ_Loferer.Alm.113370_TMYx.2009-2023.zip</v>
      </c>
    </row>
    <row r="559" spans="1:10" x14ac:dyDescent="0.25">
      <c r="A559" t="s">
        <v>79</v>
      </c>
      <c r="B559" t="s">
        <v>178</v>
      </c>
      <c r="C559" t="s">
        <v>315</v>
      </c>
      <c r="D559">
        <v>113370</v>
      </c>
      <c r="E559" t="s">
        <v>14</v>
      </c>
      <c r="F559">
        <v>47.597200000000001</v>
      </c>
      <c r="G559">
        <v>12.645300000000001</v>
      </c>
      <c r="H559">
        <v>1</v>
      </c>
      <c r="I559">
        <v>1625</v>
      </c>
      <c r="J559" t="str">
        <f>HYPERLINK("https://climate.onebuilding.org/WMO_Region_6_Europe/AUT_Austria/SZ_Salzburg/AUT_SZ_Loferer.Alm.113370_TMYx.zip")</f>
        <v>https://climate.onebuilding.org/WMO_Region_6_Europe/AUT_Austria/SZ_Salzburg/AUT_SZ_Loferer.Alm.113370_TMYx.zip</v>
      </c>
    </row>
    <row r="560" spans="1:10" x14ac:dyDescent="0.25">
      <c r="A560" t="s">
        <v>79</v>
      </c>
      <c r="B560" t="s">
        <v>178</v>
      </c>
      <c r="C560" t="s">
        <v>316</v>
      </c>
      <c r="D560">
        <v>113400</v>
      </c>
      <c r="E560" t="s">
        <v>317</v>
      </c>
      <c r="F560">
        <v>47.328600000000002</v>
      </c>
      <c r="G560">
        <v>12.738099999999999</v>
      </c>
      <c r="H560">
        <v>1</v>
      </c>
      <c r="I560">
        <v>1954.4</v>
      </c>
      <c r="J560" t="str">
        <f>HYPERLINK("https://climate.onebuilding.org/WMO_Region_6_Europe/AUT_Austria/SZ_Salzburg/AUT_SZ_Schmittenhohe.Mtn-Klitzbuhel.Alps.113400_TMYx.2004-2018.zip")</f>
        <v>https://climate.onebuilding.org/WMO_Region_6_Europe/AUT_Austria/SZ_Salzburg/AUT_SZ_Schmittenhohe.Mtn-Klitzbuhel.Alps.113400_TMYx.2004-2018.zip</v>
      </c>
    </row>
    <row r="561" spans="1:10" x14ac:dyDescent="0.25">
      <c r="A561" t="s">
        <v>79</v>
      </c>
      <c r="B561" t="s">
        <v>178</v>
      </c>
      <c r="C561" t="s">
        <v>316</v>
      </c>
      <c r="D561">
        <v>113400</v>
      </c>
      <c r="E561" t="s">
        <v>14</v>
      </c>
      <c r="F561">
        <v>47.328600000000002</v>
      </c>
      <c r="G561">
        <v>12.738099999999999</v>
      </c>
      <c r="H561">
        <v>1</v>
      </c>
      <c r="I561">
        <v>1954.4</v>
      </c>
      <c r="J561" t="str">
        <f>HYPERLINK("https://climate.onebuilding.org/WMO_Region_6_Europe/AUT_Austria/SZ_Salzburg/AUT_SZ_Schmittenhohe.Mtn-Klitzbuhel.Alps.113400_TMYx.2007-2021.zip")</f>
        <v>https://climate.onebuilding.org/WMO_Region_6_Europe/AUT_Austria/SZ_Salzburg/AUT_SZ_Schmittenhohe.Mtn-Klitzbuhel.Alps.113400_TMYx.2007-2021.zip</v>
      </c>
    </row>
    <row r="562" spans="1:10" x14ac:dyDescent="0.25">
      <c r="A562" t="s">
        <v>79</v>
      </c>
      <c r="B562" t="s">
        <v>178</v>
      </c>
      <c r="C562" t="s">
        <v>316</v>
      </c>
      <c r="D562">
        <v>113400</v>
      </c>
      <c r="E562" t="s">
        <v>14</v>
      </c>
      <c r="F562">
        <v>47.328600000000002</v>
      </c>
      <c r="G562">
        <v>12.738099999999999</v>
      </c>
      <c r="H562">
        <v>1</v>
      </c>
      <c r="I562">
        <v>1954.4</v>
      </c>
      <c r="J562" t="str">
        <f>HYPERLINK("https://climate.onebuilding.org/WMO_Region_6_Europe/AUT_Austria/SZ_Salzburg/AUT_SZ_Schmittenhohe.Mtn-Klitzbuhel.Alps.113400_TMYx.2009-2023.zip")</f>
        <v>https://climate.onebuilding.org/WMO_Region_6_Europe/AUT_Austria/SZ_Salzburg/AUT_SZ_Schmittenhohe.Mtn-Klitzbuhel.Alps.113400_TMYx.2009-2023.zip</v>
      </c>
    </row>
    <row r="563" spans="1:10" x14ac:dyDescent="0.25">
      <c r="A563" t="s">
        <v>79</v>
      </c>
      <c r="B563" t="s">
        <v>178</v>
      </c>
      <c r="C563" t="s">
        <v>316</v>
      </c>
      <c r="D563">
        <v>113400</v>
      </c>
      <c r="E563" t="s">
        <v>14</v>
      </c>
      <c r="F563">
        <v>47.328600000000002</v>
      </c>
      <c r="G563">
        <v>12.738099999999999</v>
      </c>
      <c r="H563">
        <v>1</v>
      </c>
      <c r="I563">
        <v>1954.4</v>
      </c>
      <c r="J563" t="str">
        <f>HYPERLINK("https://climate.onebuilding.org/WMO_Region_6_Europe/AUT_Austria/SZ_Salzburg/AUT_SZ_Schmittenhohe.Mtn-Klitzbuhel.Alps.113400_TMYx.zip")</f>
        <v>https://climate.onebuilding.org/WMO_Region_6_Europe/AUT_Austria/SZ_Salzburg/AUT_SZ_Schmittenhohe.Mtn-Klitzbuhel.Alps.113400_TMYx.zip</v>
      </c>
    </row>
    <row r="564" spans="1:10" x14ac:dyDescent="0.25">
      <c r="A564" t="s">
        <v>79</v>
      </c>
      <c r="B564" t="s">
        <v>246</v>
      </c>
      <c r="C564" t="s">
        <v>318</v>
      </c>
      <c r="D564">
        <v>113430</v>
      </c>
      <c r="E564" t="s">
        <v>319</v>
      </c>
      <c r="F564">
        <v>47.054200000000002</v>
      </c>
      <c r="G564">
        <v>12.9575</v>
      </c>
      <c r="H564">
        <v>1</v>
      </c>
      <c r="I564">
        <v>3113.8</v>
      </c>
      <c r="J564" t="str">
        <f>HYPERLINK("https://climate.onebuilding.org/WMO_Region_6_Europe/AUT_Austria/KA_Carinthia/AUT_KA_Sonnblick.Obs.113430_TMYx.2004-2018.zip")</f>
        <v>https://climate.onebuilding.org/WMO_Region_6_Europe/AUT_Austria/KA_Carinthia/AUT_KA_Sonnblick.Obs.113430_TMYx.2004-2018.zip</v>
      </c>
    </row>
    <row r="565" spans="1:10" x14ac:dyDescent="0.25">
      <c r="A565" t="s">
        <v>79</v>
      </c>
      <c r="B565" t="s">
        <v>246</v>
      </c>
      <c r="C565" t="s">
        <v>318</v>
      </c>
      <c r="D565">
        <v>113430</v>
      </c>
      <c r="E565" t="s">
        <v>14</v>
      </c>
      <c r="F565">
        <v>47.054200000000002</v>
      </c>
      <c r="G565">
        <v>12.9575</v>
      </c>
      <c r="H565">
        <v>1</v>
      </c>
      <c r="I565">
        <v>3113.8</v>
      </c>
      <c r="J565" t="str">
        <f>HYPERLINK("https://climate.onebuilding.org/WMO_Region_6_Europe/AUT_Austria/KA_Carinthia/AUT_KA_Sonnblick.Obs.113430_TMYx.2007-2021.zip")</f>
        <v>https://climate.onebuilding.org/WMO_Region_6_Europe/AUT_Austria/KA_Carinthia/AUT_KA_Sonnblick.Obs.113430_TMYx.2007-2021.zip</v>
      </c>
    </row>
    <row r="566" spans="1:10" x14ac:dyDescent="0.25">
      <c r="A566" t="s">
        <v>79</v>
      </c>
      <c r="B566" t="s">
        <v>246</v>
      </c>
      <c r="C566" t="s">
        <v>318</v>
      </c>
      <c r="D566">
        <v>113430</v>
      </c>
      <c r="E566" t="s">
        <v>14</v>
      </c>
      <c r="F566">
        <v>47.054200000000002</v>
      </c>
      <c r="G566">
        <v>12.9575</v>
      </c>
      <c r="H566">
        <v>1</v>
      </c>
      <c r="I566">
        <v>3113.8</v>
      </c>
      <c r="J566" t="str">
        <f>HYPERLINK("https://climate.onebuilding.org/WMO_Region_6_Europe/AUT_Austria/KA_Carinthia/AUT_KA_Sonnblick.Obs.113430_TMYx.2009-2023.zip")</f>
        <v>https://climate.onebuilding.org/WMO_Region_6_Europe/AUT_Austria/KA_Carinthia/AUT_KA_Sonnblick.Obs.113430_TMYx.2009-2023.zip</v>
      </c>
    </row>
    <row r="567" spans="1:10" x14ac:dyDescent="0.25">
      <c r="A567" t="s">
        <v>79</v>
      </c>
      <c r="B567" t="s">
        <v>246</v>
      </c>
      <c r="C567" t="s">
        <v>318</v>
      </c>
      <c r="D567">
        <v>113430</v>
      </c>
      <c r="E567" t="s">
        <v>14</v>
      </c>
      <c r="F567">
        <v>47.054200000000002</v>
      </c>
      <c r="G567">
        <v>12.9575</v>
      </c>
      <c r="H567">
        <v>1</v>
      </c>
      <c r="I567">
        <v>3113.8</v>
      </c>
      <c r="J567" t="str">
        <f>HYPERLINK("https://climate.onebuilding.org/WMO_Region_6_Europe/AUT_Austria/KA_Carinthia/AUT_KA_Sonnblick.Obs.113430_TMYx.zip")</f>
        <v>https://climate.onebuilding.org/WMO_Region_6_Europe/AUT_Austria/KA_Carinthia/AUT_KA_Sonnblick.Obs.113430_TMYx.zip</v>
      </c>
    </row>
    <row r="568" spans="1:10" x14ac:dyDescent="0.25">
      <c r="A568" t="s">
        <v>79</v>
      </c>
      <c r="B568" t="s">
        <v>155</v>
      </c>
      <c r="C568" t="s">
        <v>320</v>
      </c>
      <c r="D568">
        <v>113450</v>
      </c>
      <c r="E568" t="s">
        <v>321</v>
      </c>
      <c r="F568">
        <v>47.3292</v>
      </c>
      <c r="G568">
        <v>13.154999999999999</v>
      </c>
      <c r="H568">
        <v>1</v>
      </c>
      <c r="I568">
        <v>749.2</v>
      </c>
      <c r="J568" t="str">
        <f>HYPERLINK("https://climate.onebuilding.org/WMO_Region_6_Europe/AUT_Austria/TR_Tyrol/AUT_TR_St.Veit.im.Pongau.113450_TMYx.2004-2018.zip")</f>
        <v>https://climate.onebuilding.org/WMO_Region_6_Europe/AUT_Austria/TR_Tyrol/AUT_TR_St.Veit.im.Pongau.113450_TMYx.2004-2018.zip</v>
      </c>
    </row>
    <row r="569" spans="1:10" x14ac:dyDescent="0.25">
      <c r="A569" t="s">
        <v>79</v>
      </c>
      <c r="B569" t="s">
        <v>155</v>
      </c>
      <c r="C569" t="s">
        <v>320</v>
      </c>
      <c r="D569">
        <v>113450</v>
      </c>
      <c r="E569" t="s">
        <v>14</v>
      </c>
      <c r="F569">
        <v>47.3292</v>
      </c>
      <c r="G569">
        <v>13.154999999999999</v>
      </c>
      <c r="H569">
        <v>1</v>
      </c>
      <c r="I569">
        <v>749.2</v>
      </c>
      <c r="J569" t="str">
        <f>HYPERLINK("https://climate.onebuilding.org/WMO_Region_6_Europe/AUT_Austria/TR_Tyrol/AUT_TR_St.Veit.im.Pongau.113450_TMYx.2007-2021.zip")</f>
        <v>https://climate.onebuilding.org/WMO_Region_6_Europe/AUT_Austria/TR_Tyrol/AUT_TR_St.Veit.im.Pongau.113450_TMYx.2007-2021.zip</v>
      </c>
    </row>
    <row r="570" spans="1:10" x14ac:dyDescent="0.25">
      <c r="A570" t="s">
        <v>79</v>
      </c>
      <c r="B570" t="s">
        <v>155</v>
      </c>
      <c r="C570" t="s">
        <v>320</v>
      </c>
      <c r="D570">
        <v>113450</v>
      </c>
      <c r="E570" t="s">
        <v>14</v>
      </c>
      <c r="F570">
        <v>47.3292</v>
      </c>
      <c r="G570">
        <v>13.154999999999999</v>
      </c>
      <c r="H570">
        <v>1</v>
      </c>
      <c r="I570">
        <v>749.2</v>
      </c>
      <c r="J570" t="str">
        <f>HYPERLINK("https://climate.onebuilding.org/WMO_Region_6_Europe/AUT_Austria/TR_Tyrol/AUT_TR_St.Veit.im.Pongau.113450_TMYx.2009-2023.zip")</f>
        <v>https://climate.onebuilding.org/WMO_Region_6_Europe/AUT_Austria/TR_Tyrol/AUT_TR_St.Veit.im.Pongau.113450_TMYx.2009-2023.zip</v>
      </c>
    </row>
    <row r="571" spans="1:10" x14ac:dyDescent="0.25">
      <c r="A571" t="s">
        <v>79</v>
      </c>
      <c r="B571" t="s">
        <v>155</v>
      </c>
      <c r="C571" t="s">
        <v>320</v>
      </c>
      <c r="D571">
        <v>113450</v>
      </c>
      <c r="E571" t="s">
        <v>14</v>
      </c>
      <c r="F571">
        <v>47.3292</v>
      </c>
      <c r="G571">
        <v>13.154999999999999</v>
      </c>
      <c r="H571">
        <v>1</v>
      </c>
      <c r="I571">
        <v>749.2</v>
      </c>
      <c r="J571" t="str">
        <f>HYPERLINK("https://climate.onebuilding.org/WMO_Region_6_Europe/AUT_Austria/TR_Tyrol/AUT_TR_St.Veit.im.Pongau.113450_TMYx.zip")</f>
        <v>https://climate.onebuilding.org/WMO_Region_6_Europe/AUT_Austria/TR_Tyrol/AUT_TR_St.Veit.im.Pongau.113450_TMYx.zip</v>
      </c>
    </row>
    <row r="572" spans="1:10" x14ac:dyDescent="0.25">
      <c r="A572" t="s">
        <v>79</v>
      </c>
      <c r="B572" t="s">
        <v>178</v>
      </c>
      <c r="C572" t="s">
        <v>322</v>
      </c>
      <c r="D572">
        <v>113460</v>
      </c>
      <c r="E572" t="s">
        <v>323</v>
      </c>
      <c r="F572">
        <v>47.223599999999998</v>
      </c>
      <c r="G572">
        <v>12.9925</v>
      </c>
      <c r="H572">
        <v>1</v>
      </c>
      <c r="I572">
        <v>942.1</v>
      </c>
      <c r="J572" t="str">
        <f>HYPERLINK("https://climate.onebuilding.org/WMO_Region_6_Europe/AUT_Austria/SZ_Salzburg/AUT_SZ_Rauris.113460_TMYx.2004-2018.zip")</f>
        <v>https://climate.onebuilding.org/WMO_Region_6_Europe/AUT_Austria/SZ_Salzburg/AUT_SZ_Rauris.113460_TMYx.2004-2018.zip</v>
      </c>
    </row>
    <row r="573" spans="1:10" x14ac:dyDescent="0.25">
      <c r="A573" t="s">
        <v>79</v>
      </c>
      <c r="B573" t="s">
        <v>178</v>
      </c>
      <c r="C573" t="s">
        <v>322</v>
      </c>
      <c r="D573">
        <v>113460</v>
      </c>
      <c r="E573" t="s">
        <v>14</v>
      </c>
      <c r="F573">
        <v>47.223599999999998</v>
      </c>
      <c r="G573">
        <v>12.9925</v>
      </c>
      <c r="H573">
        <v>1</v>
      </c>
      <c r="I573">
        <v>942.1</v>
      </c>
      <c r="J573" t="str">
        <f>HYPERLINK("https://climate.onebuilding.org/WMO_Region_6_Europe/AUT_Austria/SZ_Salzburg/AUT_SZ_Rauris.113460_TMYx.2007-2021.zip")</f>
        <v>https://climate.onebuilding.org/WMO_Region_6_Europe/AUT_Austria/SZ_Salzburg/AUT_SZ_Rauris.113460_TMYx.2007-2021.zip</v>
      </c>
    </row>
    <row r="574" spans="1:10" x14ac:dyDescent="0.25">
      <c r="A574" t="s">
        <v>79</v>
      </c>
      <c r="B574" t="s">
        <v>178</v>
      </c>
      <c r="C574" t="s">
        <v>322</v>
      </c>
      <c r="D574">
        <v>113460</v>
      </c>
      <c r="E574" t="s">
        <v>14</v>
      </c>
      <c r="F574">
        <v>47.223599999999998</v>
      </c>
      <c r="G574">
        <v>12.9925</v>
      </c>
      <c r="H574">
        <v>1</v>
      </c>
      <c r="I574">
        <v>942.1</v>
      </c>
      <c r="J574" t="str">
        <f>HYPERLINK("https://climate.onebuilding.org/WMO_Region_6_Europe/AUT_Austria/SZ_Salzburg/AUT_SZ_Rauris.113460_TMYx.2009-2023.zip")</f>
        <v>https://climate.onebuilding.org/WMO_Region_6_Europe/AUT_Austria/SZ_Salzburg/AUT_SZ_Rauris.113460_TMYx.2009-2023.zip</v>
      </c>
    </row>
    <row r="575" spans="1:10" x14ac:dyDescent="0.25">
      <c r="A575" t="s">
        <v>79</v>
      </c>
      <c r="B575" t="s">
        <v>178</v>
      </c>
      <c r="C575" t="s">
        <v>322</v>
      </c>
      <c r="D575">
        <v>113460</v>
      </c>
      <c r="E575" t="s">
        <v>14</v>
      </c>
      <c r="F575">
        <v>47.223599999999998</v>
      </c>
      <c r="G575">
        <v>12.9925</v>
      </c>
      <c r="H575">
        <v>1</v>
      </c>
      <c r="I575">
        <v>942.1</v>
      </c>
      <c r="J575" t="str">
        <f>HYPERLINK("https://climate.onebuilding.org/WMO_Region_6_Europe/AUT_Austria/SZ_Salzburg/AUT_SZ_Rauris.113460_TMYx.zip")</f>
        <v>https://climate.onebuilding.org/WMO_Region_6_Europe/AUT_Austria/SZ_Salzburg/AUT_SZ_Rauris.113460_TMYx.zip</v>
      </c>
    </row>
    <row r="576" spans="1:10" x14ac:dyDescent="0.25">
      <c r="A576" t="s">
        <v>79</v>
      </c>
      <c r="B576" t="s">
        <v>178</v>
      </c>
      <c r="C576" t="s">
        <v>324</v>
      </c>
      <c r="D576">
        <v>113480</v>
      </c>
      <c r="E576" t="s">
        <v>325</v>
      </c>
      <c r="F576">
        <v>47.152200000000001</v>
      </c>
      <c r="G576">
        <v>13.744999999999999</v>
      </c>
      <c r="H576">
        <v>1</v>
      </c>
      <c r="I576">
        <v>1153</v>
      </c>
      <c r="J576" t="str">
        <f>HYPERLINK("https://climate.onebuilding.org/WMO_Region_6_Europe/AUT_Austria/SZ_Salzburg/AUT_SZ_Mariapfarr.113480_TMYx.2004-2018.zip")</f>
        <v>https://climate.onebuilding.org/WMO_Region_6_Europe/AUT_Austria/SZ_Salzburg/AUT_SZ_Mariapfarr.113480_TMYx.2004-2018.zip</v>
      </c>
    </row>
    <row r="577" spans="1:10" x14ac:dyDescent="0.25">
      <c r="A577" t="s">
        <v>79</v>
      </c>
      <c r="B577" t="s">
        <v>178</v>
      </c>
      <c r="C577" t="s">
        <v>324</v>
      </c>
      <c r="D577">
        <v>113480</v>
      </c>
      <c r="E577" t="s">
        <v>14</v>
      </c>
      <c r="F577">
        <v>47.152200000000001</v>
      </c>
      <c r="G577">
        <v>13.744999999999999</v>
      </c>
      <c r="H577">
        <v>1</v>
      </c>
      <c r="I577">
        <v>1153</v>
      </c>
      <c r="J577" t="str">
        <f>HYPERLINK("https://climate.onebuilding.org/WMO_Region_6_Europe/AUT_Austria/SZ_Salzburg/AUT_SZ_Mariapfarr.113480_TMYx.2007-2021.zip")</f>
        <v>https://climate.onebuilding.org/WMO_Region_6_Europe/AUT_Austria/SZ_Salzburg/AUT_SZ_Mariapfarr.113480_TMYx.2007-2021.zip</v>
      </c>
    </row>
    <row r="578" spans="1:10" x14ac:dyDescent="0.25">
      <c r="A578" t="s">
        <v>79</v>
      </c>
      <c r="B578" t="s">
        <v>178</v>
      </c>
      <c r="C578" t="s">
        <v>324</v>
      </c>
      <c r="D578">
        <v>113480</v>
      </c>
      <c r="E578" t="s">
        <v>14</v>
      </c>
      <c r="F578">
        <v>47.152200000000001</v>
      </c>
      <c r="G578">
        <v>13.744999999999999</v>
      </c>
      <c r="H578">
        <v>1</v>
      </c>
      <c r="I578">
        <v>1153</v>
      </c>
      <c r="J578" t="str">
        <f>HYPERLINK("https://climate.onebuilding.org/WMO_Region_6_Europe/AUT_Austria/SZ_Salzburg/AUT_SZ_Mariapfarr.113480_TMYx.2009-2023.zip")</f>
        <v>https://climate.onebuilding.org/WMO_Region_6_Europe/AUT_Austria/SZ_Salzburg/AUT_SZ_Mariapfarr.113480_TMYx.2009-2023.zip</v>
      </c>
    </row>
    <row r="579" spans="1:10" x14ac:dyDescent="0.25">
      <c r="A579" t="s">
        <v>79</v>
      </c>
      <c r="B579" t="s">
        <v>178</v>
      </c>
      <c r="C579" t="s">
        <v>324</v>
      </c>
      <c r="D579">
        <v>113480</v>
      </c>
      <c r="E579" t="s">
        <v>14</v>
      </c>
      <c r="F579">
        <v>47.152200000000001</v>
      </c>
      <c r="G579">
        <v>13.744999999999999</v>
      </c>
      <c r="H579">
        <v>1</v>
      </c>
      <c r="I579">
        <v>1153</v>
      </c>
      <c r="J579" t="str">
        <f>HYPERLINK("https://climate.onebuilding.org/WMO_Region_6_Europe/AUT_Austria/SZ_Salzburg/AUT_SZ_Mariapfarr.113480_TMYx.zip")</f>
        <v>https://climate.onebuilding.org/WMO_Region_6_Europe/AUT_Austria/SZ_Salzburg/AUT_SZ_Mariapfarr.113480_TMYx.zip</v>
      </c>
    </row>
    <row r="580" spans="1:10" x14ac:dyDescent="0.25">
      <c r="A580" t="s">
        <v>79</v>
      </c>
      <c r="B580" t="s">
        <v>246</v>
      </c>
      <c r="C580" t="s">
        <v>326</v>
      </c>
      <c r="D580">
        <v>113490</v>
      </c>
      <c r="E580" t="s">
        <v>14</v>
      </c>
      <c r="F580">
        <v>47.060600000000001</v>
      </c>
      <c r="G580">
        <v>13.614699999999999</v>
      </c>
      <c r="H580">
        <v>1</v>
      </c>
      <c r="I580">
        <v>1635</v>
      </c>
      <c r="J580" t="str">
        <f>HYPERLINK("https://climate.onebuilding.org/WMO_Region_6_Europe/AUT_Austria/KA_Carinthia/AUT_KA_Katschberg.Ski.Area.113490_TMYx.2007-2021.zip")</f>
        <v>https://climate.onebuilding.org/WMO_Region_6_Europe/AUT_Austria/KA_Carinthia/AUT_KA_Katschberg.Ski.Area.113490_TMYx.2007-2021.zip</v>
      </c>
    </row>
    <row r="581" spans="1:10" x14ac:dyDescent="0.25">
      <c r="A581" t="s">
        <v>79</v>
      </c>
      <c r="B581" t="s">
        <v>246</v>
      </c>
      <c r="C581" t="s">
        <v>326</v>
      </c>
      <c r="D581">
        <v>113490</v>
      </c>
      <c r="E581" t="s">
        <v>14</v>
      </c>
      <c r="F581">
        <v>47.060600000000001</v>
      </c>
      <c r="G581">
        <v>13.614699999999999</v>
      </c>
      <c r="H581">
        <v>1</v>
      </c>
      <c r="I581">
        <v>1635</v>
      </c>
      <c r="J581" t="str">
        <f>HYPERLINK("https://climate.onebuilding.org/WMO_Region_6_Europe/AUT_Austria/KA_Carinthia/AUT_KA_Katschberg.Ski.Area.113490_TMYx.2009-2023.zip")</f>
        <v>https://climate.onebuilding.org/WMO_Region_6_Europe/AUT_Austria/KA_Carinthia/AUT_KA_Katschberg.Ski.Area.113490_TMYx.2009-2023.zip</v>
      </c>
    </row>
    <row r="582" spans="1:10" x14ac:dyDescent="0.25">
      <c r="A582" t="s">
        <v>79</v>
      </c>
      <c r="B582" t="s">
        <v>246</v>
      </c>
      <c r="C582" t="s">
        <v>326</v>
      </c>
      <c r="D582">
        <v>113490</v>
      </c>
      <c r="E582" t="s">
        <v>14</v>
      </c>
      <c r="F582">
        <v>47.060600000000001</v>
      </c>
      <c r="G582">
        <v>13.614699999999999</v>
      </c>
      <c r="H582">
        <v>1</v>
      </c>
      <c r="I582">
        <v>1635</v>
      </c>
      <c r="J582" t="str">
        <f>HYPERLINK("https://climate.onebuilding.org/WMO_Region_6_Europe/AUT_Austria/KA_Carinthia/AUT_KA_Katschberg.Ski.Area.113490_TMYx.zip")</f>
        <v>https://climate.onebuilding.org/WMO_Region_6_Europe/AUT_Austria/KA_Carinthia/AUT_KA_Katschberg.Ski.Area.113490_TMYx.zip</v>
      </c>
    </row>
    <row r="583" spans="1:10" x14ac:dyDescent="0.25">
      <c r="A583" t="s">
        <v>79</v>
      </c>
      <c r="B583" t="s">
        <v>178</v>
      </c>
      <c r="C583" t="s">
        <v>327</v>
      </c>
      <c r="D583">
        <v>113500</v>
      </c>
      <c r="E583" t="s">
        <v>328</v>
      </c>
      <c r="F583">
        <v>47.790599999999998</v>
      </c>
      <c r="G583">
        <v>13.0533</v>
      </c>
      <c r="H583">
        <v>1</v>
      </c>
      <c r="I583">
        <v>418.4</v>
      </c>
      <c r="J583" t="str">
        <f>HYPERLINK("https://climate.onebuilding.org/WMO_Region_6_Europe/AUT_Austria/SZ_Salzburg/AUT_SZ_Salzburg-Freisaal.113500_TMYx.2004-2018.zip")</f>
        <v>https://climate.onebuilding.org/WMO_Region_6_Europe/AUT_Austria/SZ_Salzburg/AUT_SZ_Salzburg-Freisaal.113500_TMYx.2004-2018.zip</v>
      </c>
    </row>
    <row r="584" spans="1:10" x14ac:dyDescent="0.25">
      <c r="A584" t="s">
        <v>79</v>
      </c>
      <c r="B584" t="s">
        <v>178</v>
      </c>
      <c r="C584" t="s">
        <v>327</v>
      </c>
      <c r="D584">
        <v>113500</v>
      </c>
      <c r="E584" t="s">
        <v>14</v>
      </c>
      <c r="F584">
        <v>47.790599999999998</v>
      </c>
      <c r="G584">
        <v>13.0533</v>
      </c>
      <c r="H584">
        <v>1</v>
      </c>
      <c r="I584">
        <v>418.4</v>
      </c>
      <c r="J584" t="str">
        <f>HYPERLINK("https://climate.onebuilding.org/WMO_Region_6_Europe/AUT_Austria/SZ_Salzburg/AUT_SZ_Salzburg-Freisaal.113500_TMYx.2007-2021.zip")</f>
        <v>https://climate.onebuilding.org/WMO_Region_6_Europe/AUT_Austria/SZ_Salzburg/AUT_SZ_Salzburg-Freisaal.113500_TMYx.2007-2021.zip</v>
      </c>
    </row>
    <row r="585" spans="1:10" x14ac:dyDescent="0.25">
      <c r="A585" t="s">
        <v>79</v>
      </c>
      <c r="B585" t="s">
        <v>178</v>
      </c>
      <c r="C585" t="s">
        <v>327</v>
      </c>
      <c r="D585">
        <v>113500</v>
      </c>
      <c r="E585" t="s">
        <v>14</v>
      </c>
      <c r="F585">
        <v>47.790599999999998</v>
      </c>
      <c r="G585">
        <v>13.0533</v>
      </c>
      <c r="H585">
        <v>1</v>
      </c>
      <c r="I585">
        <v>418.4</v>
      </c>
      <c r="J585" t="str">
        <f>HYPERLINK("https://climate.onebuilding.org/WMO_Region_6_Europe/AUT_Austria/SZ_Salzburg/AUT_SZ_Salzburg-Freisaal.113500_TMYx.2009-2023.zip")</f>
        <v>https://climate.onebuilding.org/WMO_Region_6_Europe/AUT_Austria/SZ_Salzburg/AUT_SZ_Salzburg-Freisaal.113500_TMYx.2009-2023.zip</v>
      </c>
    </row>
    <row r="586" spans="1:10" x14ac:dyDescent="0.25">
      <c r="A586" t="s">
        <v>79</v>
      </c>
      <c r="B586" t="s">
        <v>178</v>
      </c>
      <c r="C586" t="s">
        <v>327</v>
      </c>
      <c r="D586">
        <v>113500</v>
      </c>
      <c r="E586" t="s">
        <v>14</v>
      </c>
      <c r="F586">
        <v>47.790599999999998</v>
      </c>
      <c r="G586">
        <v>13.0533</v>
      </c>
      <c r="H586">
        <v>1</v>
      </c>
      <c r="I586">
        <v>418.4</v>
      </c>
      <c r="J586" t="str">
        <f>HYPERLINK("https://climate.onebuilding.org/WMO_Region_6_Europe/AUT_Austria/SZ_Salzburg/AUT_SZ_Salzburg-Freisaal.113500_TMYx.zip")</f>
        <v>https://climate.onebuilding.org/WMO_Region_6_Europe/AUT_Austria/SZ_Salzburg/AUT_SZ_Salzburg-Freisaal.113500_TMYx.zip</v>
      </c>
    </row>
    <row r="587" spans="1:10" x14ac:dyDescent="0.25">
      <c r="A587" t="s">
        <v>79</v>
      </c>
      <c r="B587" t="s">
        <v>210</v>
      </c>
      <c r="C587" t="s">
        <v>329</v>
      </c>
      <c r="D587">
        <v>113510</v>
      </c>
      <c r="E587" t="s">
        <v>330</v>
      </c>
      <c r="F587">
        <v>47.4253</v>
      </c>
      <c r="G587">
        <v>13.6342</v>
      </c>
      <c r="H587">
        <v>1</v>
      </c>
      <c r="I587">
        <v>1209.7</v>
      </c>
      <c r="J587" t="str">
        <f>HYPERLINK("https://climate.onebuilding.org/WMO_Region_6_Europe/AUT_Austria/ST_Styria/AUT_ST_Ramsau.am.Dachstein.113510_TMYx.2004-2018.zip")</f>
        <v>https://climate.onebuilding.org/WMO_Region_6_Europe/AUT_Austria/ST_Styria/AUT_ST_Ramsau.am.Dachstein.113510_TMYx.2004-2018.zip</v>
      </c>
    </row>
    <row r="588" spans="1:10" x14ac:dyDescent="0.25">
      <c r="A588" t="s">
        <v>79</v>
      </c>
      <c r="B588" t="s">
        <v>210</v>
      </c>
      <c r="C588" t="s">
        <v>329</v>
      </c>
      <c r="D588">
        <v>113510</v>
      </c>
      <c r="E588" t="s">
        <v>14</v>
      </c>
      <c r="F588">
        <v>47.4253</v>
      </c>
      <c r="G588">
        <v>13.6342</v>
      </c>
      <c r="H588">
        <v>1</v>
      </c>
      <c r="I588">
        <v>1209.7</v>
      </c>
      <c r="J588" t="str">
        <f>HYPERLINK("https://climate.onebuilding.org/WMO_Region_6_Europe/AUT_Austria/ST_Styria/AUT_ST_Ramsau.am.Dachstein.113510_TMYx.2007-2021.zip")</f>
        <v>https://climate.onebuilding.org/WMO_Region_6_Europe/AUT_Austria/ST_Styria/AUT_ST_Ramsau.am.Dachstein.113510_TMYx.2007-2021.zip</v>
      </c>
    </row>
    <row r="589" spans="1:10" x14ac:dyDescent="0.25">
      <c r="A589" t="s">
        <v>79</v>
      </c>
      <c r="B589" t="s">
        <v>210</v>
      </c>
      <c r="C589" t="s">
        <v>329</v>
      </c>
      <c r="D589">
        <v>113510</v>
      </c>
      <c r="E589" t="s">
        <v>14</v>
      </c>
      <c r="F589">
        <v>47.4253</v>
      </c>
      <c r="G589">
        <v>13.6342</v>
      </c>
      <c r="H589">
        <v>1</v>
      </c>
      <c r="I589">
        <v>1209.7</v>
      </c>
      <c r="J589" t="str">
        <f>HYPERLINK("https://climate.onebuilding.org/WMO_Region_6_Europe/AUT_Austria/ST_Styria/AUT_ST_Ramsau.am.Dachstein.113510_TMYx.2009-2023.zip")</f>
        <v>https://climate.onebuilding.org/WMO_Region_6_Europe/AUT_Austria/ST_Styria/AUT_ST_Ramsau.am.Dachstein.113510_TMYx.2009-2023.zip</v>
      </c>
    </row>
    <row r="590" spans="1:10" x14ac:dyDescent="0.25">
      <c r="A590" t="s">
        <v>79</v>
      </c>
      <c r="B590" t="s">
        <v>210</v>
      </c>
      <c r="C590" t="s">
        <v>329</v>
      </c>
      <c r="D590">
        <v>113510</v>
      </c>
      <c r="E590" t="s">
        <v>14</v>
      </c>
      <c r="F590">
        <v>47.4253</v>
      </c>
      <c r="G590">
        <v>13.6342</v>
      </c>
      <c r="H590">
        <v>1</v>
      </c>
      <c r="I590">
        <v>1209.7</v>
      </c>
      <c r="J590" t="str">
        <f>HYPERLINK("https://climate.onebuilding.org/WMO_Region_6_Europe/AUT_Austria/ST_Styria/AUT_ST_Ramsau.am.Dachstein.113510_TMYx.zip")</f>
        <v>https://climate.onebuilding.org/WMO_Region_6_Europe/AUT_Austria/ST_Styria/AUT_ST_Ramsau.am.Dachstein.113510_TMYx.zip</v>
      </c>
    </row>
    <row r="591" spans="1:10" x14ac:dyDescent="0.25">
      <c r="A591" t="s">
        <v>79</v>
      </c>
      <c r="B591" t="s">
        <v>80</v>
      </c>
      <c r="C591" t="s">
        <v>331</v>
      </c>
      <c r="D591">
        <v>113540</v>
      </c>
      <c r="E591" t="s">
        <v>332</v>
      </c>
      <c r="F591">
        <v>47.632899999999999</v>
      </c>
      <c r="G591">
        <v>13.618399999999999</v>
      </c>
      <c r="H591">
        <v>1</v>
      </c>
      <c r="I591">
        <v>545</v>
      </c>
      <c r="J591" t="str">
        <f>HYPERLINK("https://climate.onebuilding.org/WMO_Region_6_Europe/AUT_Austria/OO_Upper_Austria/AUT_OO_Bad.Goisern.113540_TMYx.2004-2018.zip")</f>
        <v>https://climate.onebuilding.org/WMO_Region_6_Europe/AUT_Austria/OO_Upper_Austria/AUT_OO_Bad.Goisern.113540_TMYx.2004-2018.zip</v>
      </c>
    </row>
    <row r="592" spans="1:10" x14ac:dyDescent="0.25">
      <c r="A592" t="s">
        <v>79</v>
      </c>
      <c r="B592" t="s">
        <v>80</v>
      </c>
      <c r="C592" t="s">
        <v>331</v>
      </c>
      <c r="D592">
        <v>113540</v>
      </c>
      <c r="E592" t="s">
        <v>14</v>
      </c>
      <c r="F592">
        <v>47.632899999999999</v>
      </c>
      <c r="G592">
        <v>13.618399999999999</v>
      </c>
      <c r="H592">
        <v>1</v>
      </c>
      <c r="I592">
        <v>545</v>
      </c>
      <c r="J592" t="str">
        <f>HYPERLINK("https://climate.onebuilding.org/WMO_Region_6_Europe/AUT_Austria/OO_Upper_Austria/AUT_OO_Bad.Goisern.113540_TMYx.2007-2021.zip")</f>
        <v>https://climate.onebuilding.org/WMO_Region_6_Europe/AUT_Austria/OO_Upper_Austria/AUT_OO_Bad.Goisern.113540_TMYx.2007-2021.zip</v>
      </c>
    </row>
    <row r="593" spans="1:10" x14ac:dyDescent="0.25">
      <c r="A593" t="s">
        <v>79</v>
      </c>
      <c r="B593" t="s">
        <v>80</v>
      </c>
      <c r="C593" t="s">
        <v>331</v>
      </c>
      <c r="D593">
        <v>113540</v>
      </c>
      <c r="E593" t="s">
        <v>14</v>
      </c>
      <c r="F593">
        <v>47.632899999999999</v>
      </c>
      <c r="G593">
        <v>13.618399999999999</v>
      </c>
      <c r="H593">
        <v>1</v>
      </c>
      <c r="I593">
        <v>545</v>
      </c>
      <c r="J593" t="str">
        <f>HYPERLINK("https://climate.onebuilding.org/WMO_Region_6_Europe/AUT_Austria/OO_Upper_Austria/AUT_OO_Bad.Goisern.113540_TMYx.2009-2023.zip")</f>
        <v>https://climate.onebuilding.org/WMO_Region_6_Europe/AUT_Austria/OO_Upper_Austria/AUT_OO_Bad.Goisern.113540_TMYx.2009-2023.zip</v>
      </c>
    </row>
    <row r="594" spans="1:10" x14ac:dyDescent="0.25">
      <c r="A594" t="s">
        <v>79</v>
      </c>
      <c r="B594" t="s">
        <v>80</v>
      </c>
      <c r="C594" t="s">
        <v>331</v>
      </c>
      <c r="D594">
        <v>113540</v>
      </c>
      <c r="E594" t="s">
        <v>14</v>
      </c>
      <c r="F594">
        <v>47.632899999999999</v>
      </c>
      <c r="G594">
        <v>13.618399999999999</v>
      </c>
      <c r="H594">
        <v>1</v>
      </c>
      <c r="I594">
        <v>545</v>
      </c>
      <c r="J594" t="str">
        <f>HYPERLINK("https://climate.onebuilding.org/WMO_Region_6_Europe/AUT_Austria/OO_Upper_Austria/AUT_OO_Bad.Goisern.113540_TMYx.zip")</f>
        <v>https://climate.onebuilding.org/WMO_Region_6_Europe/AUT_Austria/OO_Upper_Austria/AUT_OO_Bad.Goisern.113540_TMYx.zip</v>
      </c>
    </row>
    <row r="595" spans="1:10" x14ac:dyDescent="0.25">
      <c r="A595" t="s">
        <v>79</v>
      </c>
      <c r="B595" t="s">
        <v>80</v>
      </c>
      <c r="C595" t="s">
        <v>333</v>
      </c>
      <c r="D595">
        <v>113550</v>
      </c>
      <c r="E595" t="s">
        <v>334</v>
      </c>
      <c r="F595">
        <v>47.720300000000002</v>
      </c>
      <c r="G595">
        <v>14.3261</v>
      </c>
      <c r="H595">
        <v>1</v>
      </c>
      <c r="I595">
        <v>600</v>
      </c>
      <c r="J595" t="str">
        <f>HYPERLINK("https://climate.onebuilding.org/WMO_Region_6_Europe/AUT_Austria/OO_Upper_Austria/AUT_OO_Windischgarsten.113550_TMYx.2004-2018.zip")</f>
        <v>https://climate.onebuilding.org/WMO_Region_6_Europe/AUT_Austria/OO_Upper_Austria/AUT_OO_Windischgarsten.113550_TMYx.2004-2018.zip</v>
      </c>
    </row>
    <row r="596" spans="1:10" x14ac:dyDescent="0.25">
      <c r="A596" t="s">
        <v>79</v>
      </c>
      <c r="B596" t="s">
        <v>80</v>
      </c>
      <c r="C596" t="s">
        <v>333</v>
      </c>
      <c r="D596">
        <v>113550</v>
      </c>
      <c r="E596" t="s">
        <v>14</v>
      </c>
      <c r="F596">
        <v>47.720300000000002</v>
      </c>
      <c r="G596">
        <v>14.3261</v>
      </c>
      <c r="H596">
        <v>1</v>
      </c>
      <c r="I596">
        <v>600</v>
      </c>
      <c r="J596" t="str">
        <f>HYPERLINK("https://climate.onebuilding.org/WMO_Region_6_Europe/AUT_Austria/OO_Upper_Austria/AUT_OO_Windischgarsten.113550_TMYx.2007-2021.zip")</f>
        <v>https://climate.onebuilding.org/WMO_Region_6_Europe/AUT_Austria/OO_Upper_Austria/AUT_OO_Windischgarsten.113550_TMYx.2007-2021.zip</v>
      </c>
    </row>
    <row r="597" spans="1:10" x14ac:dyDescent="0.25">
      <c r="A597" t="s">
        <v>79</v>
      </c>
      <c r="B597" t="s">
        <v>80</v>
      </c>
      <c r="C597" t="s">
        <v>333</v>
      </c>
      <c r="D597">
        <v>113550</v>
      </c>
      <c r="E597" t="s">
        <v>14</v>
      </c>
      <c r="F597">
        <v>47.720300000000002</v>
      </c>
      <c r="G597">
        <v>14.3261</v>
      </c>
      <c r="H597">
        <v>1</v>
      </c>
      <c r="I597">
        <v>600</v>
      </c>
      <c r="J597" t="str">
        <f>HYPERLINK("https://climate.onebuilding.org/WMO_Region_6_Europe/AUT_Austria/OO_Upper_Austria/AUT_OO_Windischgarsten.113550_TMYx.2009-2023.zip")</f>
        <v>https://climate.onebuilding.org/WMO_Region_6_Europe/AUT_Austria/OO_Upper_Austria/AUT_OO_Windischgarsten.113550_TMYx.2009-2023.zip</v>
      </c>
    </row>
    <row r="598" spans="1:10" x14ac:dyDescent="0.25">
      <c r="A598" t="s">
        <v>79</v>
      </c>
      <c r="B598" t="s">
        <v>80</v>
      </c>
      <c r="C598" t="s">
        <v>333</v>
      </c>
      <c r="D598">
        <v>113550</v>
      </c>
      <c r="E598" t="s">
        <v>14</v>
      </c>
      <c r="F598">
        <v>47.720300000000002</v>
      </c>
      <c r="G598">
        <v>14.3261</v>
      </c>
      <c r="H598">
        <v>1</v>
      </c>
      <c r="I598">
        <v>600</v>
      </c>
      <c r="J598" t="str">
        <f>HYPERLINK("https://climate.onebuilding.org/WMO_Region_6_Europe/AUT_Austria/OO_Upper_Austria/AUT_OO_Windischgarsten.113550_TMYx.zip")</f>
        <v>https://climate.onebuilding.org/WMO_Region_6_Europe/AUT_Austria/OO_Upper_Austria/AUT_OO_Windischgarsten.113550_TMYx.zip</v>
      </c>
    </row>
    <row r="599" spans="1:10" x14ac:dyDescent="0.25">
      <c r="A599" t="s">
        <v>79</v>
      </c>
      <c r="B599" t="s">
        <v>210</v>
      </c>
      <c r="C599" t="s">
        <v>335</v>
      </c>
      <c r="D599">
        <v>113560</v>
      </c>
      <c r="E599" t="s">
        <v>336</v>
      </c>
      <c r="F599">
        <v>47.610500000000002</v>
      </c>
      <c r="G599">
        <v>13.7583</v>
      </c>
      <c r="H599">
        <v>1</v>
      </c>
      <c r="I599">
        <v>742.3</v>
      </c>
      <c r="J599" t="str">
        <f>HYPERLINK("https://climate.onebuilding.org/WMO_Region_6_Europe/AUT_Austria/ST_Styria/AUT_ST_Bad.Aussee.113560_TMYx.2004-2018.zip")</f>
        <v>https://climate.onebuilding.org/WMO_Region_6_Europe/AUT_Austria/ST_Styria/AUT_ST_Bad.Aussee.113560_TMYx.2004-2018.zip</v>
      </c>
    </row>
    <row r="600" spans="1:10" x14ac:dyDescent="0.25">
      <c r="A600" t="s">
        <v>79</v>
      </c>
      <c r="B600" t="s">
        <v>210</v>
      </c>
      <c r="C600" t="s">
        <v>335</v>
      </c>
      <c r="D600">
        <v>113560</v>
      </c>
      <c r="E600" t="s">
        <v>14</v>
      </c>
      <c r="F600">
        <v>47.610500000000002</v>
      </c>
      <c r="G600">
        <v>13.7583</v>
      </c>
      <c r="H600">
        <v>1</v>
      </c>
      <c r="I600">
        <v>742.3</v>
      </c>
      <c r="J600" t="str">
        <f>HYPERLINK("https://climate.onebuilding.org/WMO_Region_6_Europe/AUT_Austria/ST_Styria/AUT_ST_Bad.Aussee.113560_TMYx.2007-2021.zip")</f>
        <v>https://climate.onebuilding.org/WMO_Region_6_Europe/AUT_Austria/ST_Styria/AUT_ST_Bad.Aussee.113560_TMYx.2007-2021.zip</v>
      </c>
    </row>
    <row r="601" spans="1:10" x14ac:dyDescent="0.25">
      <c r="A601" t="s">
        <v>79</v>
      </c>
      <c r="B601" t="s">
        <v>210</v>
      </c>
      <c r="C601" t="s">
        <v>335</v>
      </c>
      <c r="D601">
        <v>113560</v>
      </c>
      <c r="E601" t="s">
        <v>14</v>
      </c>
      <c r="F601">
        <v>47.610500000000002</v>
      </c>
      <c r="G601">
        <v>13.7583</v>
      </c>
      <c r="H601">
        <v>1</v>
      </c>
      <c r="I601">
        <v>742.3</v>
      </c>
      <c r="J601" t="str">
        <f>HYPERLINK("https://climate.onebuilding.org/WMO_Region_6_Europe/AUT_Austria/ST_Styria/AUT_ST_Bad.Aussee.113560_TMYx.2009-2023.zip")</f>
        <v>https://climate.onebuilding.org/WMO_Region_6_Europe/AUT_Austria/ST_Styria/AUT_ST_Bad.Aussee.113560_TMYx.2009-2023.zip</v>
      </c>
    </row>
    <row r="602" spans="1:10" x14ac:dyDescent="0.25">
      <c r="A602" t="s">
        <v>79</v>
      </c>
      <c r="B602" t="s">
        <v>210</v>
      </c>
      <c r="C602" t="s">
        <v>335</v>
      </c>
      <c r="D602">
        <v>113560</v>
      </c>
      <c r="E602" t="s">
        <v>14</v>
      </c>
      <c r="F602">
        <v>47.610500000000002</v>
      </c>
      <c r="G602">
        <v>13.7583</v>
      </c>
      <c r="H602">
        <v>1</v>
      </c>
      <c r="I602">
        <v>742.3</v>
      </c>
      <c r="J602" t="str">
        <f>HYPERLINK("https://climate.onebuilding.org/WMO_Region_6_Europe/AUT_Austria/ST_Styria/AUT_ST_Bad.Aussee.113560_TMYx.zip")</f>
        <v>https://climate.onebuilding.org/WMO_Region_6_Europe/AUT_Austria/ST_Styria/AUT_ST_Bad.Aussee.113560_TMYx.zip</v>
      </c>
    </row>
    <row r="603" spans="1:10" x14ac:dyDescent="0.25">
      <c r="A603" t="s">
        <v>79</v>
      </c>
      <c r="B603" t="s">
        <v>80</v>
      </c>
      <c r="C603" t="s">
        <v>337</v>
      </c>
      <c r="D603">
        <v>113570</v>
      </c>
      <c r="E603" t="s">
        <v>338</v>
      </c>
      <c r="F603">
        <v>47.740299999999998</v>
      </c>
      <c r="G603">
        <v>13.4419</v>
      </c>
      <c r="H603">
        <v>1</v>
      </c>
      <c r="I603">
        <v>543</v>
      </c>
      <c r="J603" t="str">
        <f>HYPERLINK("https://climate.onebuilding.org/WMO_Region_6_Europe/AUT_Austria/OO_Upper_Austria/AUT_OO_St.Wolfgang.113570_TMYx.2004-2018.zip")</f>
        <v>https://climate.onebuilding.org/WMO_Region_6_Europe/AUT_Austria/OO_Upper_Austria/AUT_OO_St.Wolfgang.113570_TMYx.2004-2018.zip</v>
      </c>
    </row>
    <row r="604" spans="1:10" x14ac:dyDescent="0.25">
      <c r="A604" t="s">
        <v>79</v>
      </c>
      <c r="B604" t="s">
        <v>80</v>
      </c>
      <c r="C604" t="s">
        <v>337</v>
      </c>
      <c r="D604">
        <v>113570</v>
      </c>
      <c r="E604" t="s">
        <v>14</v>
      </c>
      <c r="F604">
        <v>47.740299999999998</v>
      </c>
      <c r="G604">
        <v>13.4419</v>
      </c>
      <c r="H604">
        <v>1</v>
      </c>
      <c r="I604">
        <v>543</v>
      </c>
      <c r="J604" t="str">
        <f>HYPERLINK("https://climate.onebuilding.org/WMO_Region_6_Europe/AUT_Austria/OO_Upper_Austria/AUT_OO_St.Wolfgang.113570_TMYx.2007-2021.zip")</f>
        <v>https://climate.onebuilding.org/WMO_Region_6_Europe/AUT_Austria/OO_Upper_Austria/AUT_OO_St.Wolfgang.113570_TMYx.2007-2021.zip</v>
      </c>
    </row>
    <row r="605" spans="1:10" x14ac:dyDescent="0.25">
      <c r="A605" t="s">
        <v>79</v>
      </c>
      <c r="B605" t="s">
        <v>80</v>
      </c>
      <c r="C605" t="s">
        <v>337</v>
      </c>
      <c r="D605">
        <v>113570</v>
      </c>
      <c r="E605" t="s">
        <v>14</v>
      </c>
      <c r="F605">
        <v>47.740299999999998</v>
      </c>
      <c r="G605">
        <v>13.4419</v>
      </c>
      <c r="H605">
        <v>1</v>
      </c>
      <c r="I605">
        <v>543</v>
      </c>
      <c r="J605" t="str">
        <f>HYPERLINK("https://climate.onebuilding.org/WMO_Region_6_Europe/AUT_Austria/OO_Upper_Austria/AUT_OO_St.Wolfgang.113570_TMYx.2009-2023.zip")</f>
        <v>https://climate.onebuilding.org/WMO_Region_6_Europe/AUT_Austria/OO_Upper_Austria/AUT_OO_St.Wolfgang.113570_TMYx.2009-2023.zip</v>
      </c>
    </row>
    <row r="606" spans="1:10" x14ac:dyDescent="0.25">
      <c r="A606" t="s">
        <v>79</v>
      </c>
      <c r="B606" t="s">
        <v>80</v>
      </c>
      <c r="C606" t="s">
        <v>337</v>
      </c>
      <c r="D606">
        <v>113570</v>
      </c>
      <c r="E606" t="s">
        <v>14</v>
      </c>
      <c r="F606">
        <v>47.740299999999998</v>
      </c>
      <c r="G606">
        <v>13.4419</v>
      </c>
      <c r="H606">
        <v>1</v>
      </c>
      <c r="I606">
        <v>543</v>
      </c>
      <c r="J606" t="str">
        <f>HYPERLINK("https://climate.onebuilding.org/WMO_Region_6_Europe/AUT_Austria/OO_Upper_Austria/AUT_OO_St.Wolfgang.113570_TMYx.zip")</f>
        <v>https://climate.onebuilding.org/WMO_Region_6_Europe/AUT_Austria/OO_Upper_Austria/AUT_OO_St.Wolfgang.113570_TMYx.zip</v>
      </c>
    </row>
    <row r="607" spans="1:10" x14ac:dyDescent="0.25">
      <c r="A607" t="s">
        <v>79</v>
      </c>
      <c r="B607" t="s">
        <v>210</v>
      </c>
      <c r="C607" t="s">
        <v>339</v>
      </c>
      <c r="D607">
        <v>113580</v>
      </c>
      <c r="E607" t="s">
        <v>340</v>
      </c>
      <c r="F607">
        <v>47.5533</v>
      </c>
      <c r="G607">
        <v>13.934699999999999</v>
      </c>
      <c r="H607">
        <v>1</v>
      </c>
      <c r="I607">
        <v>801.7</v>
      </c>
      <c r="J607" t="str">
        <f>HYPERLINK("https://climate.onebuilding.org/WMO_Region_6_Europe/AUT_Austria/ST_Styria/AUT_ST_Bad.Mitterndorf.113580_TMYx.2004-2018.zip")</f>
        <v>https://climate.onebuilding.org/WMO_Region_6_Europe/AUT_Austria/ST_Styria/AUT_ST_Bad.Mitterndorf.113580_TMYx.2004-2018.zip</v>
      </c>
    </row>
    <row r="608" spans="1:10" x14ac:dyDescent="0.25">
      <c r="A608" t="s">
        <v>79</v>
      </c>
      <c r="B608" t="s">
        <v>210</v>
      </c>
      <c r="C608" t="s">
        <v>339</v>
      </c>
      <c r="D608">
        <v>113580</v>
      </c>
      <c r="E608" t="s">
        <v>14</v>
      </c>
      <c r="F608">
        <v>47.5533</v>
      </c>
      <c r="G608">
        <v>13.934699999999999</v>
      </c>
      <c r="H608">
        <v>1</v>
      </c>
      <c r="I608">
        <v>801.7</v>
      </c>
      <c r="J608" t="str">
        <f>HYPERLINK("https://climate.onebuilding.org/WMO_Region_6_Europe/AUT_Austria/ST_Styria/AUT_ST_Bad.Mitterndorf.113580_TMYx.2007-2021.zip")</f>
        <v>https://climate.onebuilding.org/WMO_Region_6_Europe/AUT_Austria/ST_Styria/AUT_ST_Bad.Mitterndorf.113580_TMYx.2007-2021.zip</v>
      </c>
    </row>
    <row r="609" spans="1:10" x14ac:dyDescent="0.25">
      <c r="A609" t="s">
        <v>79</v>
      </c>
      <c r="B609" t="s">
        <v>210</v>
      </c>
      <c r="C609" t="s">
        <v>339</v>
      </c>
      <c r="D609">
        <v>113580</v>
      </c>
      <c r="E609" t="s">
        <v>14</v>
      </c>
      <c r="F609">
        <v>47.5533</v>
      </c>
      <c r="G609">
        <v>13.934699999999999</v>
      </c>
      <c r="H609">
        <v>1</v>
      </c>
      <c r="I609">
        <v>801.7</v>
      </c>
      <c r="J609" t="str">
        <f>HYPERLINK("https://climate.onebuilding.org/WMO_Region_6_Europe/AUT_Austria/ST_Styria/AUT_ST_Bad.Mitterndorf.113580_TMYx.2009-2023.zip")</f>
        <v>https://climate.onebuilding.org/WMO_Region_6_Europe/AUT_Austria/ST_Styria/AUT_ST_Bad.Mitterndorf.113580_TMYx.2009-2023.zip</v>
      </c>
    </row>
    <row r="610" spans="1:10" x14ac:dyDescent="0.25">
      <c r="A610" t="s">
        <v>79</v>
      </c>
      <c r="B610" t="s">
        <v>210</v>
      </c>
      <c r="C610" t="s">
        <v>339</v>
      </c>
      <c r="D610">
        <v>113580</v>
      </c>
      <c r="E610" t="s">
        <v>14</v>
      </c>
      <c r="F610">
        <v>47.5533</v>
      </c>
      <c r="G610">
        <v>13.934699999999999</v>
      </c>
      <c r="H610">
        <v>1</v>
      </c>
      <c r="I610">
        <v>801.7</v>
      </c>
      <c r="J610" t="str">
        <f>HYPERLINK("https://climate.onebuilding.org/WMO_Region_6_Europe/AUT_Austria/ST_Styria/AUT_ST_Bad.Mitterndorf.113580_TMYx.zip")</f>
        <v>https://climate.onebuilding.org/WMO_Region_6_Europe/AUT_Austria/ST_Styria/AUT_ST_Bad.Mitterndorf.113580_TMYx.zip</v>
      </c>
    </row>
    <row r="611" spans="1:10" x14ac:dyDescent="0.25">
      <c r="A611" t="s">
        <v>79</v>
      </c>
      <c r="B611" t="s">
        <v>210</v>
      </c>
      <c r="C611" t="s">
        <v>341</v>
      </c>
      <c r="D611">
        <v>113590</v>
      </c>
      <c r="E611" t="s">
        <v>14</v>
      </c>
      <c r="F611">
        <v>47.4467</v>
      </c>
      <c r="G611">
        <v>13.904199999999999</v>
      </c>
      <c r="H611">
        <v>1</v>
      </c>
      <c r="I611">
        <v>770.5</v>
      </c>
      <c r="J611" t="str">
        <f>HYPERLINK("https://climate.onebuilding.org/WMO_Region_6_Europe/AUT_Austria/ST_Styria/AUT_ST_Groebming.113590_TMYx.2007-2021.zip")</f>
        <v>https://climate.onebuilding.org/WMO_Region_6_Europe/AUT_Austria/ST_Styria/AUT_ST_Groebming.113590_TMYx.2007-2021.zip</v>
      </c>
    </row>
    <row r="612" spans="1:10" x14ac:dyDescent="0.25">
      <c r="A612" t="s">
        <v>79</v>
      </c>
      <c r="B612" t="s">
        <v>210</v>
      </c>
      <c r="C612" t="s">
        <v>341</v>
      </c>
      <c r="D612">
        <v>113590</v>
      </c>
      <c r="E612" t="s">
        <v>14</v>
      </c>
      <c r="F612">
        <v>47.4467</v>
      </c>
      <c r="G612">
        <v>13.904199999999999</v>
      </c>
      <c r="H612">
        <v>1</v>
      </c>
      <c r="I612">
        <v>770.5</v>
      </c>
      <c r="J612" t="str">
        <f>HYPERLINK("https://climate.onebuilding.org/WMO_Region_6_Europe/AUT_Austria/ST_Styria/AUT_ST_Groebming.113590_TMYx.2009-2023.zip")</f>
        <v>https://climate.onebuilding.org/WMO_Region_6_Europe/AUT_Austria/ST_Styria/AUT_ST_Groebming.113590_TMYx.2009-2023.zip</v>
      </c>
    </row>
    <row r="613" spans="1:10" x14ac:dyDescent="0.25">
      <c r="A613" t="s">
        <v>79</v>
      </c>
      <c r="B613" t="s">
        <v>210</v>
      </c>
      <c r="C613" t="s">
        <v>341</v>
      </c>
      <c r="D613">
        <v>113590</v>
      </c>
      <c r="E613" t="s">
        <v>14</v>
      </c>
      <c r="F613">
        <v>47.4467</v>
      </c>
      <c r="G613">
        <v>13.904199999999999</v>
      </c>
      <c r="H613">
        <v>1</v>
      </c>
      <c r="I613">
        <v>770.5</v>
      </c>
      <c r="J613" t="str">
        <f>HYPERLINK("https://climate.onebuilding.org/WMO_Region_6_Europe/AUT_Austria/ST_Styria/AUT_ST_Groebming.113590_TMYx.zip")</f>
        <v>https://climate.onebuilding.org/WMO_Region_6_Europe/AUT_Austria/ST_Styria/AUT_ST_Groebming.113590_TMYx.zip</v>
      </c>
    </row>
    <row r="614" spans="1:10" x14ac:dyDescent="0.25">
      <c r="A614" t="s">
        <v>79</v>
      </c>
      <c r="B614" t="s">
        <v>210</v>
      </c>
      <c r="C614" t="s">
        <v>342</v>
      </c>
      <c r="D614">
        <v>113620</v>
      </c>
      <c r="E614" t="s">
        <v>14</v>
      </c>
      <c r="F614">
        <v>47.421399999999998</v>
      </c>
      <c r="G614">
        <v>14.7597</v>
      </c>
      <c r="H614">
        <v>1</v>
      </c>
      <c r="I614">
        <v>746.6</v>
      </c>
      <c r="J614" t="str">
        <f>HYPERLINK("https://climate.onebuilding.org/WMO_Region_6_Europe/AUT_Austria/ST_Styria/AUT_ST_Kalwang.113620_TMYx.2007-2021.zip")</f>
        <v>https://climate.onebuilding.org/WMO_Region_6_Europe/AUT_Austria/ST_Styria/AUT_ST_Kalwang.113620_TMYx.2007-2021.zip</v>
      </c>
    </row>
    <row r="615" spans="1:10" x14ac:dyDescent="0.25">
      <c r="A615" t="s">
        <v>79</v>
      </c>
      <c r="B615" t="s">
        <v>210</v>
      </c>
      <c r="C615" t="s">
        <v>342</v>
      </c>
      <c r="D615">
        <v>113620</v>
      </c>
      <c r="E615" t="s">
        <v>14</v>
      </c>
      <c r="F615">
        <v>47.421399999999998</v>
      </c>
      <c r="G615">
        <v>14.7597</v>
      </c>
      <c r="H615">
        <v>1</v>
      </c>
      <c r="I615">
        <v>746.6</v>
      </c>
      <c r="J615" t="str">
        <f>HYPERLINK("https://climate.onebuilding.org/WMO_Region_6_Europe/AUT_Austria/ST_Styria/AUT_ST_Kalwang.113620_TMYx.2009-2023.zip")</f>
        <v>https://climate.onebuilding.org/WMO_Region_6_Europe/AUT_Austria/ST_Styria/AUT_ST_Kalwang.113620_TMYx.2009-2023.zip</v>
      </c>
    </row>
    <row r="616" spans="1:10" x14ac:dyDescent="0.25">
      <c r="A616" t="s">
        <v>79</v>
      </c>
      <c r="B616" t="s">
        <v>210</v>
      </c>
      <c r="C616" t="s">
        <v>342</v>
      </c>
      <c r="D616">
        <v>113620</v>
      </c>
      <c r="E616" t="s">
        <v>14</v>
      </c>
      <c r="F616">
        <v>47.421399999999998</v>
      </c>
      <c r="G616">
        <v>14.7597</v>
      </c>
      <c r="H616">
        <v>1</v>
      </c>
      <c r="I616">
        <v>746.6</v>
      </c>
      <c r="J616" t="str">
        <f>HYPERLINK("https://climate.onebuilding.org/WMO_Region_6_Europe/AUT_Austria/ST_Styria/AUT_ST_Kalwang.113620_TMYx.zip")</f>
        <v>https://climate.onebuilding.org/WMO_Region_6_Europe/AUT_Austria/ST_Styria/AUT_ST_Kalwang.113620_TMYx.zip</v>
      </c>
    </row>
    <row r="617" spans="1:10" x14ac:dyDescent="0.25">
      <c r="A617" t="s">
        <v>79</v>
      </c>
      <c r="B617" t="s">
        <v>178</v>
      </c>
      <c r="C617" t="s">
        <v>343</v>
      </c>
      <c r="D617">
        <v>113660</v>
      </c>
      <c r="E617" t="s">
        <v>14</v>
      </c>
      <c r="F617">
        <v>47.387799999999999</v>
      </c>
      <c r="G617">
        <v>12.648300000000001</v>
      </c>
      <c r="H617">
        <v>1</v>
      </c>
      <c r="I617">
        <v>980.6</v>
      </c>
      <c r="J617" t="str">
        <f>HYPERLINK("https://climate.onebuilding.org/WMO_Region_6_Europe/AUT_Austria/SZ_Salzburg/AUT_SZ_Saalbach-Hinterglemm.113660_TMYx.2007-2021.zip")</f>
        <v>https://climate.onebuilding.org/WMO_Region_6_Europe/AUT_Austria/SZ_Salzburg/AUT_SZ_Saalbach-Hinterglemm.113660_TMYx.2007-2021.zip</v>
      </c>
    </row>
    <row r="618" spans="1:10" x14ac:dyDescent="0.25">
      <c r="A618" t="s">
        <v>79</v>
      </c>
      <c r="B618" t="s">
        <v>178</v>
      </c>
      <c r="C618" t="s">
        <v>343</v>
      </c>
      <c r="D618">
        <v>113660</v>
      </c>
      <c r="E618" t="s">
        <v>14</v>
      </c>
      <c r="F618">
        <v>47.387799999999999</v>
      </c>
      <c r="G618">
        <v>12.648300000000001</v>
      </c>
      <c r="H618">
        <v>1</v>
      </c>
      <c r="I618">
        <v>980.6</v>
      </c>
      <c r="J618" t="str">
        <f>HYPERLINK("https://climate.onebuilding.org/WMO_Region_6_Europe/AUT_Austria/SZ_Salzburg/AUT_SZ_Saalbach-Hinterglemm.113660_TMYx.2009-2023.zip")</f>
        <v>https://climate.onebuilding.org/WMO_Region_6_Europe/AUT_Austria/SZ_Salzburg/AUT_SZ_Saalbach-Hinterglemm.113660_TMYx.2009-2023.zip</v>
      </c>
    </row>
    <row r="619" spans="1:10" x14ac:dyDescent="0.25">
      <c r="A619" t="s">
        <v>79</v>
      </c>
      <c r="B619" t="s">
        <v>178</v>
      </c>
      <c r="C619" t="s">
        <v>343</v>
      </c>
      <c r="D619">
        <v>113660</v>
      </c>
      <c r="E619" t="s">
        <v>14</v>
      </c>
      <c r="F619">
        <v>47.387799999999999</v>
      </c>
      <c r="G619">
        <v>12.648300000000001</v>
      </c>
      <c r="H619">
        <v>1</v>
      </c>
      <c r="I619">
        <v>980.6</v>
      </c>
      <c r="J619" t="str">
        <f>HYPERLINK("https://climate.onebuilding.org/WMO_Region_6_Europe/AUT_Austria/SZ_Salzburg/AUT_SZ_Saalbach-Hinterglemm.113660_TMYx.zip")</f>
        <v>https://climate.onebuilding.org/WMO_Region_6_Europe/AUT_Austria/SZ_Salzburg/AUT_SZ_Saalbach-Hinterglemm.113660_TMYx.zip</v>
      </c>
    </row>
    <row r="620" spans="1:10" x14ac:dyDescent="0.25">
      <c r="A620" t="s">
        <v>79</v>
      </c>
      <c r="B620" t="s">
        <v>93</v>
      </c>
      <c r="C620" t="s">
        <v>344</v>
      </c>
      <c r="D620">
        <v>113670</v>
      </c>
      <c r="E620" t="s">
        <v>14</v>
      </c>
      <c r="F620">
        <v>48.391100000000002</v>
      </c>
      <c r="G620">
        <v>15.002800000000001</v>
      </c>
      <c r="H620">
        <v>1</v>
      </c>
      <c r="I620">
        <v>971</v>
      </c>
      <c r="J620" t="str">
        <f>HYPERLINK("https://climate.onebuilding.org/WMO_Region_6_Europe/AUT_Austria/NO_Lower_Austria/AUT_NO_Baernkopf.113670_TMYx.2007-2021.zip")</f>
        <v>https://climate.onebuilding.org/WMO_Region_6_Europe/AUT_Austria/NO_Lower_Austria/AUT_NO_Baernkopf.113670_TMYx.2007-2021.zip</v>
      </c>
    </row>
    <row r="621" spans="1:10" x14ac:dyDescent="0.25">
      <c r="A621" t="s">
        <v>79</v>
      </c>
      <c r="B621" t="s">
        <v>93</v>
      </c>
      <c r="C621" t="s">
        <v>344</v>
      </c>
      <c r="D621">
        <v>113670</v>
      </c>
      <c r="E621" t="s">
        <v>14</v>
      </c>
      <c r="F621">
        <v>48.391100000000002</v>
      </c>
      <c r="G621">
        <v>15.002800000000001</v>
      </c>
      <c r="H621">
        <v>1</v>
      </c>
      <c r="I621">
        <v>971</v>
      </c>
      <c r="J621" t="str">
        <f>HYPERLINK("https://climate.onebuilding.org/WMO_Region_6_Europe/AUT_Austria/NO_Lower_Austria/AUT_NO_Baernkopf.113670_TMYx.2009-2023.zip")</f>
        <v>https://climate.onebuilding.org/WMO_Region_6_Europe/AUT_Austria/NO_Lower_Austria/AUT_NO_Baernkopf.113670_TMYx.2009-2023.zip</v>
      </c>
    </row>
    <row r="622" spans="1:10" x14ac:dyDescent="0.25">
      <c r="A622" t="s">
        <v>79</v>
      </c>
      <c r="B622" t="s">
        <v>93</v>
      </c>
      <c r="C622" t="s">
        <v>344</v>
      </c>
      <c r="D622">
        <v>113670</v>
      </c>
      <c r="E622" t="s">
        <v>14</v>
      </c>
      <c r="F622">
        <v>48.391100000000002</v>
      </c>
      <c r="G622">
        <v>15.002800000000001</v>
      </c>
      <c r="H622">
        <v>1</v>
      </c>
      <c r="I622">
        <v>971</v>
      </c>
      <c r="J622" t="str">
        <f>HYPERLINK("https://climate.onebuilding.org/WMO_Region_6_Europe/AUT_Austria/NO_Lower_Austria/AUT_NO_Baernkopf.113670_TMYx.zip")</f>
        <v>https://climate.onebuilding.org/WMO_Region_6_Europe/AUT_Austria/NO_Lower_Austria/AUT_NO_Baernkopf.113670_TMYx.zip</v>
      </c>
    </row>
    <row r="623" spans="1:10" x14ac:dyDescent="0.25">
      <c r="A623" t="s">
        <v>79</v>
      </c>
      <c r="B623" t="s">
        <v>210</v>
      </c>
      <c r="C623" t="s">
        <v>345</v>
      </c>
      <c r="D623">
        <v>113700</v>
      </c>
      <c r="E623" t="s">
        <v>346</v>
      </c>
      <c r="F623">
        <v>47.45</v>
      </c>
      <c r="G623">
        <v>15.3</v>
      </c>
      <c r="H623">
        <v>1</v>
      </c>
      <c r="I623">
        <v>506.4</v>
      </c>
      <c r="J623" t="str">
        <f>HYPERLINK("https://climate.onebuilding.org/WMO_Region_6_Europe/AUT_Austria/ST_Styria/AUT_ST_Kapfenberg.113700_TMYx.2004-2018.zip")</f>
        <v>https://climate.onebuilding.org/WMO_Region_6_Europe/AUT_Austria/ST_Styria/AUT_ST_Kapfenberg.113700_TMYx.2004-2018.zip</v>
      </c>
    </row>
    <row r="624" spans="1:10" x14ac:dyDescent="0.25">
      <c r="A624" t="s">
        <v>79</v>
      </c>
      <c r="B624" t="s">
        <v>210</v>
      </c>
      <c r="C624" t="s">
        <v>345</v>
      </c>
      <c r="D624">
        <v>113700</v>
      </c>
      <c r="E624" t="s">
        <v>14</v>
      </c>
      <c r="F624">
        <v>47.45</v>
      </c>
      <c r="G624">
        <v>15.3</v>
      </c>
      <c r="H624">
        <v>1</v>
      </c>
      <c r="I624">
        <v>506.4</v>
      </c>
      <c r="J624" t="str">
        <f>HYPERLINK("https://climate.onebuilding.org/WMO_Region_6_Europe/AUT_Austria/ST_Styria/AUT_ST_Kapfenberg.113700_TMYx.2007-2021.zip")</f>
        <v>https://climate.onebuilding.org/WMO_Region_6_Europe/AUT_Austria/ST_Styria/AUT_ST_Kapfenberg.113700_TMYx.2007-2021.zip</v>
      </c>
    </row>
    <row r="625" spans="1:10" x14ac:dyDescent="0.25">
      <c r="A625" t="s">
        <v>79</v>
      </c>
      <c r="B625" t="s">
        <v>210</v>
      </c>
      <c r="C625" t="s">
        <v>345</v>
      </c>
      <c r="D625">
        <v>113700</v>
      </c>
      <c r="E625" t="s">
        <v>14</v>
      </c>
      <c r="F625">
        <v>47.45</v>
      </c>
      <c r="G625">
        <v>15.3</v>
      </c>
      <c r="H625">
        <v>1</v>
      </c>
      <c r="I625">
        <v>506.4</v>
      </c>
      <c r="J625" t="str">
        <f>HYPERLINK("https://climate.onebuilding.org/WMO_Region_6_Europe/AUT_Austria/ST_Styria/AUT_ST_Kapfenberg.113700_TMYx.2009-2023.zip")</f>
        <v>https://climate.onebuilding.org/WMO_Region_6_Europe/AUT_Austria/ST_Styria/AUT_ST_Kapfenberg.113700_TMYx.2009-2023.zip</v>
      </c>
    </row>
    <row r="626" spans="1:10" x14ac:dyDescent="0.25">
      <c r="A626" t="s">
        <v>79</v>
      </c>
      <c r="B626" t="s">
        <v>210</v>
      </c>
      <c r="C626" t="s">
        <v>345</v>
      </c>
      <c r="D626">
        <v>113700</v>
      </c>
      <c r="E626" t="s">
        <v>14</v>
      </c>
      <c r="F626">
        <v>47.45</v>
      </c>
      <c r="G626">
        <v>15.3</v>
      </c>
      <c r="H626">
        <v>1</v>
      </c>
      <c r="I626">
        <v>506.4</v>
      </c>
      <c r="J626" t="str">
        <f>HYPERLINK("https://climate.onebuilding.org/WMO_Region_6_Europe/AUT_Austria/ST_Styria/AUT_ST_Kapfenberg.113700_TMYx.zip")</f>
        <v>https://climate.onebuilding.org/WMO_Region_6_Europe/AUT_Austria/ST_Styria/AUT_ST_Kapfenberg.113700_TMYx.zip</v>
      </c>
    </row>
    <row r="627" spans="1:10" x14ac:dyDescent="0.25">
      <c r="A627" t="s">
        <v>79</v>
      </c>
      <c r="B627" t="s">
        <v>246</v>
      </c>
      <c r="C627" t="s">
        <v>347</v>
      </c>
      <c r="D627">
        <v>113720</v>
      </c>
      <c r="E627" t="s">
        <v>14</v>
      </c>
      <c r="F627">
        <v>47.110500000000002</v>
      </c>
      <c r="G627">
        <v>13.1333</v>
      </c>
      <c r="H627">
        <v>1</v>
      </c>
      <c r="I627">
        <v>1092</v>
      </c>
      <c r="J627" t="str">
        <f>HYPERLINK("https://climate.onebuilding.org/WMO_Region_6_Europe/AUT_Austria/KA_Carinthia/AUT_KA_Bad.Gastein.113720_TMYx.2007-2021.zip")</f>
        <v>https://climate.onebuilding.org/WMO_Region_6_Europe/AUT_Austria/KA_Carinthia/AUT_KA_Bad.Gastein.113720_TMYx.2007-2021.zip</v>
      </c>
    </row>
    <row r="628" spans="1:10" x14ac:dyDescent="0.25">
      <c r="A628" t="s">
        <v>79</v>
      </c>
      <c r="B628" t="s">
        <v>246</v>
      </c>
      <c r="C628" t="s">
        <v>347</v>
      </c>
      <c r="D628">
        <v>113720</v>
      </c>
      <c r="E628" t="s">
        <v>14</v>
      </c>
      <c r="F628">
        <v>47.110500000000002</v>
      </c>
      <c r="G628">
        <v>13.1333</v>
      </c>
      <c r="H628">
        <v>1</v>
      </c>
      <c r="I628">
        <v>1092</v>
      </c>
      <c r="J628" t="str">
        <f>HYPERLINK("https://climate.onebuilding.org/WMO_Region_6_Europe/AUT_Austria/KA_Carinthia/AUT_KA_Bad.Gastein.113720_TMYx.2009-2023.zip")</f>
        <v>https://climate.onebuilding.org/WMO_Region_6_Europe/AUT_Austria/KA_Carinthia/AUT_KA_Bad.Gastein.113720_TMYx.2009-2023.zip</v>
      </c>
    </row>
    <row r="629" spans="1:10" x14ac:dyDescent="0.25">
      <c r="A629" t="s">
        <v>79</v>
      </c>
      <c r="B629" t="s">
        <v>246</v>
      </c>
      <c r="C629" t="s">
        <v>347</v>
      </c>
      <c r="D629">
        <v>113720</v>
      </c>
      <c r="E629" t="s">
        <v>14</v>
      </c>
      <c r="F629">
        <v>47.110500000000002</v>
      </c>
      <c r="G629">
        <v>13.1333</v>
      </c>
      <c r="H629">
        <v>1</v>
      </c>
      <c r="I629">
        <v>1092</v>
      </c>
      <c r="J629" t="str">
        <f>HYPERLINK("https://climate.onebuilding.org/WMO_Region_6_Europe/AUT_Austria/KA_Carinthia/AUT_KA_Bad.Gastein.113720_TMYx.zip")</f>
        <v>https://climate.onebuilding.org/WMO_Region_6_Europe/AUT_Austria/KA_Carinthia/AUT_KA_Bad.Gastein.113720_TMYx.zip</v>
      </c>
    </row>
    <row r="630" spans="1:10" x14ac:dyDescent="0.25">
      <c r="A630" t="s">
        <v>79</v>
      </c>
      <c r="B630" t="s">
        <v>210</v>
      </c>
      <c r="C630" t="s">
        <v>348</v>
      </c>
      <c r="D630">
        <v>113750</v>
      </c>
      <c r="E630" t="s">
        <v>14</v>
      </c>
      <c r="F630">
        <v>47.5458</v>
      </c>
      <c r="G630">
        <v>15.2408</v>
      </c>
      <c r="H630">
        <v>1</v>
      </c>
      <c r="I630">
        <v>775.3</v>
      </c>
      <c r="J630" t="str">
        <f>HYPERLINK("https://climate.onebuilding.org/WMO_Region_6_Europe/AUT_Austria/ST_Styria/AUT_ST_Aflenz.Kurort.113750_TMYx.2007-2021.zip")</f>
        <v>https://climate.onebuilding.org/WMO_Region_6_Europe/AUT_Austria/ST_Styria/AUT_ST_Aflenz.Kurort.113750_TMYx.2007-2021.zip</v>
      </c>
    </row>
    <row r="631" spans="1:10" x14ac:dyDescent="0.25">
      <c r="A631" t="s">
        <v>79</v>
      </c>
      <c r="B631" t="s">
        <v>210</v>
      </c>
      <c r="C631" t="s">
        <v>348</v>
      </c>
      <c r="D631">
        <v>113750</v>
      </c>
      <c r="E631" t="s">
        <v>14</v>
      </c>
      <c r="F631">
        <v>47.5458</v>
      </c>
      <c r="G631">
        <v>15.2408</v>
      </c>
      <c r="H631">
        <v>1</v>
      </c>
      <c r="I631">
        <v>775.3</v>
      </c>
      <c r="J631" t="str">
        <f>HYPERLINK("https://climate.onebuilding.org/WMO_Region_6_Europe/AUT_Austria/ST_Styria/AUT_ST_Aflenz.Kurort.113750_TMYx.2009-2023.zip")</f>
        <v>https://climate.onebuilding.org/WMO_Region_6_Europe/AUT_Austria/ST_Styria/AUT_ST_Aflenz.Kurort.113750_TMYx.2009-2023.zip</v>
      </c>
    </row>
    <row r="632" spans="1:10" x14ac:dyDescent="0.25">
      <c r="A632" t="s">
        <v>79</v>
      </c>
      <c r="B632" t="s">
        <v>210</v>
      </c>
      <c r="C632" t="s">
        <v>348</v>
      </c>
      <c r="D632">
        <v>113750</v>
      </c>
      <c r="E632" t="s">
        <v>14</v>
      </c>
      <c r="F632">
        <v>47.5458</v>
      </c>
      <c r="G632">
        <v>15.2408</v>
      </c>
      <c r="H632">
        <v>1</v>
      </c>
      <c r="I632">
        <v>775.3</v>
      </c>
      <c r="J632" t="str">
        <f>HYPERLINK("https://climate.onebuilding.org/WMO_Region_6_Europe/AUT_Austria/ST_Styria/AUT_ST_Aflenz.Kurort.113750_TMYx.zip")</f>
        <v>https://climate.onebuilding.org/WMO_Region_6_Europe/AUT_Austria/ST_Styria/AUT_ST_Aflenz.Kurort.113750_TMYx.zip</v>
      </c>
    </row>
    <row r="633" spans="1:10" x14ac:dyDescent="0.25">
      <c r="A633" t="s">
        <v>79</v>
      </c>
      <c r="B633" t="s">
        <v>93</v>
      </c>
      <c r="C633" t="s">
        <v>349</v>
      </c>
      <c r="D633">
        <v>113780</v>
      </c>
      <c r="E633" t="s">
        <v>14</v>
      </c>
      <c r="F633">
        <v>47.871400000000001</v>
      </c>
      <c r="G633">
        <v>15.876099999999999</v>
      </c>
      <c r="H633">
        <v>1</v>
      </c>
      <c r="I633">
        <v>710.4</v>
      </c>
      <c r="J633" t="str">
        <f>HYPERLINK("https://climate.onebuilding.org/WMO_Region_6_Europe/AUT_Austria/NO_Lower_Austria/AUT_NO_Gutenstein-Mariahilfberg.113780_TMYx.2007-2021.zip")</f>
        <v>https://climate.onebuilding.org/WMO_Region_6_Europe/AUT_Austria/NO_Lower_Austria/AUT_NO_Gutenstein-Mariahilfberg.113780_TMYx.2007-2021.zip</v>
      </c>
    </row>
    <row r="634" spans="1:10" x14ac:dyDescent="0.25">
      <c r="A634" t="s">
        <v>79</v>
      </c>
      <c r="B634" t="s">
        <v>93</v>
      </c>
      <c r="C634" t="s">
        <v>349</v>
      </c>
      <c r="D634">
        <v>113780</v>
      </c>
      <c r="E634" t="s">
        <v>14</v>
      </c>
      <c r="F634">
        <v>47.871400000000001</v>
      </c>
      <c r="G634">
        <v>15.876099999999999</v>
      </c>
      <c r="H634">
        <v>1</v>
      </c>
      <c r="I634">
        <v>710.4</v>
      </c>
      <c r="J634" t="str">
        <f>HYPERLINK("https://climate.onebuilding.org/WMO_Region_6_Europe/AUT_Austria/NO_Lower_Austria/AUT_NO_Gutenstein-Mariahilfberg.113780_TMYx.2009-2023.zip")</f>
        <v>https://climate.onebuilding.org/WMO_Region_6_Europe/AUT_Austria/NO_Lower_Austria/AUT_NO_Gutenstein-Mariahilfberg.113780_TMYx.2009-2023.zip</v>
      </c>
    </row>
    <row r="635" spans="1:10" x14ac:dyDescent="0.25">
      <c r="A635" t="s">
        <v>79</v>
      </c>
      <c r="B635" t="s">
        <v>93</v>
      </c>
      <c r="C635" t="s">
        <v>349</v>
      </c>
      <c r="D635">
        <v>113780</v>
      </c>
      <c r="E635" t="s">
        <v>14</v>
      </c>
      <c r="F635">
        <v>47.871400000000001</v>
      </c>
      <c r="G635">
        <v>15.876099999999999</v>
      </c>
      <c r="H635">
        <v>1</v>
      </c>
      <c r="I635">
        <v>710.4</v>
      </c>
      <c r="J635" t="str">
        <f>HYPERLINK("https://climate.onebuilding.org/WMO_Region_6_Europe/AUT_Austria/NO_Lower_Austria/AUT_NO_Gutenstein-Mariahilfberg.113780_TMYx.zip")</f>
        <v>https://climate.onebuilding.org/WMO_Region_6_Europe/AUT_Austria/NO_Lower_Austria/AUT_NO_Gutenstein-Mariahilfberg.113780_TMYx.zip</v>
      </c>
    </row>
    <row r="636" spans="1:10" x14ac:dyDescent="0.25">
      <c r="A636" t="s">
        <v>79</v>
      </c>
      <c r="B636" t="s">
        <v>93</v>
      </c>
      <c r="C636" t="s">
        <v>350</v>
      </c>
      <c r="D636">
        <v>113800</v>
      </c>
      <c r="E636" t="s">
        <v>351</v>
      </c>
      <c r="F636">
        <v>47.6997</v>
      </c>
      <c r="G636">
        <v>15.8369</v>
      </c>
      <c r="H636">
        <v>1</v>
      </c>
      <c r="I636">
        <v>487.7</v>
      </c>
      <c r="J636" t="str">
        <f>HYPERLINK("https://climate.onebuilding.org/WMO_Region_6_Europe/AUT_Austria/NO_Lower_Austria/AUT_NO_Reichenau.an.der.Rax.113800_TMYx.2004-2018.zip")</f>
        <v>https://climate.onebuilding.org/WMO_Region_6_Europe/AUT_Austria/NO_Lower_Austria/AUT_NO_Reichenau.an.der.Rax.113800_TMYx.2004-2018.zip</v>
      </c>
    </row>
    <row r="637" spans="1:10" x14ac:dyDescent="0.25">
      <c r="A637" t="s">
        <v>79</v>
      </c>
      <c r="B637" t="s">
        <v>93</v>
      </c>
      <c r="C637" t="s">
        <v>350</v>
      </c>
      <c r="D637">
        <v>113800</v>
      </c>
      <c r="E637" t="s">
        <v>14</v>
      </c>
      <c r="F637">
        <v>47.6997</v>
      </c>
      <c r="G637">
        <v>15.8369</v>
      </c>
      <c r="H637">
        <v>1</v>
      </c>
      <c r="I637">
        <v>487.7</v>
      </c>
      <c r="J637" t="str">
        <f>HYPERLINK("https://climate.onebuilding.org/WMO_Region_6_Europe/AUT_Austria/NO_Lower_Austria/AUT_NO_Reichenau.an.der.Rax.113800_TMYx.2007-2021.zip")</f>
        <v>https://climate.onebuilding.org/WMO_Region_6_Europe/AUT_Austria/NO_Lower_Austria/AUT_NO_Reichenau.an.der.Rax.113800_TMYx.2007-2021.zip</v>
      </c>
    </row>
    <row r="638" spans="1:10" x14ac:dyDescent="0.25">
      <c r="A638" t="s">
        <v>79</v>
      </c>
      <c r="B638" t="s">
        <v>93</v>
      </c>
      <c r="C638" t="s">
        <v>350</v>
      </c>
      <c r="D638">
        <v>113800</v>
      </c>
      <c r="E638" t="s">
        <v>14</v>
      </c>
      <c r="F638">
        <v>47.6997</v>
      </c>
      <c r="G638">
        <v>15.8369</v>
      </c>
      <c r="H638">
        <v>1</v>
      </c>
      <c r="I638">
        <v>487.7</v>
      </c>
      <c r="J638" t="str">
        <f>HYPERLINK("https://climate.onebuilding.org/WMO_Region_6_Europe/AUT_Austria/NO_Lower_Austria/AUT_NO_Reichenau.an.der.Rax.113800_TMYx.2009-2023.zip")</f>
        <v>https://climate.onebuilding.org/WMO_Region_6_Europe/AUT_Austria/NO_Lower_Austria/AUT_NO_Reichenau.an.der.Rax.113800_TMYx.2009-2023.zip</v>
      </c>
    </row>
    <row r="639" spans="1:10" x14ac:dyDescent="0.25">
      <c r="A639" t="s">
        <v>79</v>
      </c>
      <c r="B639" t="s">
        <v>93</v>
      </c>
      <c r="C639" t="s">
        <v>350</v>
      </c>
      <c r="D639">
        <v>113800</v>
      </c>
      <c r="E639" t="s">
        <v>14</v>
      </c>
      <c r="F639">
        <v>47.6997</v>
      </c>
      <c r="G639">
        <v>15.8369</v>
      </c>
      <c r="H639">
        <v>1</v>
      </c>
      <c r="I639">
        <v>487.7</v>
      </c>
      <c r="J639" t="str">
        <f>HYPERLINK("https://climate.onebuilding.org/WMO_Region_6_Europe/AUT_Austria/NO_Lower_Austria/AUT_NO_Reichenau.an.der.Rax.113800_TMYx.zip")</f>
        <v>https://climate.onebuilding.org/WMO_Region_6_Europe/AUT_Austria/NO_Lower_Austria/AUT_NO_Reichenau.an.der.Rax.113800_TMYx.zip</v>
      </c>
    </row>
    <row r="640" spans="1:10" x14ac:dyDescent="0.25">
      <c r="A640" t="s">
        <v>79</v>
      </c>
      <c r="B640" t="s">
        <v>93</v>
      </c>
      <c r="C640" t="s">
        <v>352</v>
      </c>
      <c r="D640">
        <v>113820</v>
      </c>
      <c r="E640" t="s">
        <v>353</v>
      </c>
      <c r="F640">
        <v>47.790300000000002</v>
      </c>
      <c r="G640">
        <v>15.9069</v>
      </c>
      <c r="H640">
        <v>1</v>
      </c>
      <c r="I640">
        <v>585.6</v>
      </c>
      <c r="J640" t="str">
        <f>HYPERLINK("https://climate.onebuilding.org/WMO_Region_6_Europe/AUT_Austria/NO_Lower_Austria/AUT_NO_Puchberg.113820_TMYx.2004-2018.zip")</f>
        <v>https://climate.onebuilding.org/WMO_Region_6_Europe/AUT_Austria/NO_Lower_Austria/AUT_NO_Puchberg.113820_TMYx.2004-2018.zip</v>
      </c>
    </row>
    <row r="641" spans="1:10" x14ac:dyDescent="0.25">
      <c r="A641" t="s">
        <v>79</v>
      </c>
      <c r="B641" t="s">
        <v>93</v>
      </c>
      <c r="C641" t="s">
        <v>352</v>
      </c>
      <c r="D641">
        <v>113820</v>
      </c>
      <c r="E641" t="s">
        <v>14</v>
      </c>
      <c r="F641">
        <v>47.790300000000002</v>
      </c>
      <c r="G641">
        <v>15.9069</v>
      </c>
      <c r="H641">
        <v>1</v>
      </c>
      <c r="I641">
        <v>585.6</v>
      </c>
      <c r="J641" t="str">
        <f>HYPERLINK("https://climate.onebuilding.org/WMO_Region_6_Europe/AUT_Austria/NO_Lower_Austria/AUT_NO_Puchberg.113820_TMYx.2007-2021.zip")</f>
        <v>https://climate.onebuilding.org/WMO_Region_6_Europe/AUT_Austria/NO_Lower_Austria/AUT_NO_Puchberg.113820_TMYx.2007-2021.zip</v>
      </c>
    </row>
    <row r="642" spans="1:10" x14ac:dyDescent="0.25">
      <c r="A642" t="s">
        <v>79</v>
      </c>
      <c r="B642" t="s">
        <v>93</v>
      </c>
      <c r="C642" t="s">
        <v>352</v>
      </c>
      <c r="D642">
        <v>113820</v>
      </c>
      <c r="E642" t="s">
        <v>14</v>
      </c>
      <c r="F642">
        <v>47.790300000000002</v>
      </c>
      <c r="G642">
        <v>15.9069</v>
      </c>
      <c r="H642">
        <v>1</v>
      </c>
      <c r="I642">
        <v>585.6</v>
      </c>
      <c r="J642" t="str">
        <f>HYPERLINK("https://climate.onebuilding.org/WMO_Region_6_Europe/AUT_Austria/NO_Lower_Austria/AUT_NO_Puchberg.113820_TMYx.2009-2023.zip")</f>
        <v>https://climate.onebuilding.org/WMO_Region_6_Europe/AUT_Austria/NO_Lower_Austria/AUT_NO_Puchberg.113820_TMYx.2009-2023.zip</v>
      </c>
    </row>
    <row r="643" spans="1:10" x14ac:dyDescent="0.25">
      <c r="A643" t="s">
        <v>79</v>
      </c>
      <c r="B643" t="s">
        <v>93</v>
      </c>
      <c r="C643" t="s">
        <v>352</v>
      </c>
      <c r="D643">
        <v>113820</v>
      </c>
      <c r="E643" t="s">
        <v>14</v>
      </c>
      <c r="F643">
        <v>47.790300000000002</v>
      </c>
      <c r="G643">
        <v>15.9069</v>
      </c>
      <c r="H643">
        <v>1</v>
      </c>
      <c r="I643">
        <v>585.6</v>
      </c>
      <c r="J643" t="str">
        <f>HYPERLINK("https://climate.onebuilding.org/WMO_Region_6_Europe/AUT_Austria/NO_Lower_Austria/AUT_NO_Puchberg.113820_TMYx.zip")</f>
        <v>https://climate.onebuilding.org/WMO_Region_6_Europe/AUT_Austria/NO_Lower_Austria/AUT_NO_Puchberg.113820_TMYx.zip</v>
      </c>
    </row>
    <row r="644" spans="1:10" x14ac:dyDescent="0.25">
      <c r="A644" t="s">
        <v>79</v>
      </c>
      <c r="B644" t="s">
        <v>210</v>
      </c>
      <c r="C644" t="s">
        <v>354</v>
      </c>
      <c r="D644">
        <v>113830</v>
      </c>
      <c r="E644" t="s">
        <v>14</v>
      </c>
      <c r="F644">
        <v>47.616999999999997</v>
      </c>
      <c r="G644">
        <v>15.817</v>
      </c>
      <c r="H644">
        <v>1</v>
      </c>
      <c r="I644">
        <v>985</v>
      </c>
      <c r="J644" t="str">
        <f>HYPERLINK("https://climate.onebuilding.org/WMO_Region_6_Europe/AUT_Austria/ST_Styria/AUT_ST_Semmering.Pass.113830_TMYx.2007-2021.zip")</f>
        <v>https://climate.onebuilding.org/WMO_Region_6_Europe/AUT_Austria/ST_Styria/AUT_ST_Semmering.Pass.113830_TMYx.2007-2021.zip</v>
      </c>
    </row>
    <row r="645" spans="1:10" x14ac:dyDescent="0.25">
      <c r="A645" t="s">
        <v>79</v>
      </c>
      <c r="B645" t="s">
        <v>210</v>
      </c>
      <c r="C645" t="s">
        <v>354</v>
      </c>
      <c r="D645">
        <v>113830</v>
      </c>
      <c r="E645" t="s">
        <v>14</v>
      </c>
      <c r="F645">
        <v>47.616999999999997</v>
      </c>
      <c r="G645">
        <v>15.817</v>
      </c>
      <c r="H645">
        <v>1</v>
      </c>
      <c r="I645">
        <v>985</v>
      </c>
      <c r="J645" t="str">
        <f>HYPERLINK("https://climate.onebuilding.org/WMO_Region_6_Europe/AUT_Austria/ST_Styria/AUT_ST_Semmering.Pass.113830_TMYx.2009-2023.zip")</f>
        <v>https://climate.onebuilding.org/WMO_Region_6_Europe/AUT_Austria/ST_Styria/AUT_ST_Semmering.Pass.113830_TMYx.2009-2023.zip</v>
      </c>
    </row>
    <row r="646" spans="1:10" x14ac:dyDescent="0.25">
      <c r="A646" t="s">
        <v>79</v>
      </c>
      <c r="B646" t="s">
        <v>210</v>
      </c>
      <c r="C646" t="s">
        <v>354</v>
      </c>
      <c r="D646">
        <v>113830</v>
      </c>
      <c r="E646" t="s">
        <v>14</v>
      </c>
      <c r="F646">
        <v>47.616999999999997</v>
      </c>
      <c r="G646">
        <v>15.817</v>
      </c>
      <c r="H646">
        <v>1</v>
      </c>
      <c r="I646">
        <v>985</v>
      </c>
      <c r="J646" t="str">
        <f>HYPERLINK("https://climate.onebuilding.org/WMO_Region_6_Europe/AUT_Austria/ST_Styria/AUT_ST_Semmering.Pass.113830_TMYx.zip")</f>
        <v>https://climate.onebuilding.org/WMO_Region_6_Europe/AUT_Austria/ST_Styria/AUT_ST_Semmering.Pass.113830_TMYx.zip</v>
      </c>
    </row>
    <row r="647" spans="1:10" x14ac:dyDescent="0.25">
      <c r="A647" t="s">
        <v>79</v>
      </c>
      <c r="B647" t="s">
        <v>210</v>
      </c>
      <c r="C647" t="s">
        <v>355</v>
      </c>
      <c r="D647">
        <v>113840</v>
      </c>
      <c r="E647" t="s">
        <v>356</v>
      </c>
      <c r="F647">
        <v>47.6233</v>
      </c>
      <c r="G647">
        <v>15.833299999999999</v>
      </c>
      <c r="H647">
        <v>1</v>
      </c>
      <c r="I647">
        <v>1320.1</v>
      </c>
      <c r="J647" t="str">
        <f>HYPERLINK("https://climate.onebuilding.org/WMO_Region_6_Europe/AUT_Austria/ST_Styria/AUT_ST_Hirschenkogel.Mtn.Ski.Area.113840_TMYx.2004-2018.zip")</f>
        <v>https://climate.onebuilding.org/WMO_Region_6_Europe/AUT_Austria/ST_Styria/AUT_ST_Hirschenkogel.Mtn.Ski.Area.113840_TMYx.2004-2018.zip</v>
      </c>
    </row>
    <row r="648" spans="1:10" x14ac:dyDescent="0.25">
      <c r="A648" t="s">
        <v>79</v>
      </c>
      <c r="B648" t="s">
        <v>210</v>
      </c>
      <c r="C648" t="s">
        <v>355</v>
      </c>
      <c r="D648">
        <v>113840</v>
      </c>
      <c r="E648" t="s">
        <v>14</v>
      </c>
      <c r="F648">
        <v>47.6233</v>
      </c>
      <c r="G648">
        <v>15.833299999999999</v>
      </c>
      <c r="H648">
        <v>1</v>
      </c>
      <c r="I648">
        <v>1320.1</v>
      </c>
      <c r="J648" t="str">
        <f>HYPERLINK("https://climate.onebuilding.org/WMO_Region_6_Europe/AUT_Austria/ST_Styria/AUT_ST_Hirschenkogel.Mtn.Ski.Area.113840_TMYx.2007-2021.zip")</f>
        <v>https://climate.onebuilding.org/WMO_Region_6_Europe/AUT_Austria/ST_Styria/AUT_ST_Hirschenkogel.Mtn.Ski.Area.113840_TMYx.2007-2021.zip</v>
      </c>
    </row>
    <row r="649" spans="1:10" x14ac:dyDescent="0.25">
      <c r="A649" t="s">
        <v>79</v>
      </c>
      <c r="B649" t="s">
        <v>210</v>
      </c>
      <c r="C649" t="s">
        <v>355</v>
      </c>
      <c r="D649">
        <v>113840</v>
      </c>
      <c r="E649" t="s">
        <v>14</v>
      </c>
      <c r="F649">
        <v>47.6233</v>
      </c>
      <c r="G649">
        <v>15.833299999999999</v>
      </c>
      <c r="H649">
        <v>1</v>
      </c>
      <c r="I649">
        <v>1320.1</v>
      </c>
      <c r="J649" t="str">
        <f>HYPERLINK("https://climate.onebuilding.org/WMO_Region_6_Europe/AUT_Austria/ST_Styria/AUT_ST_Hirschenkogel.Mtn.Ski.Area.113840_TMYx.2009-2023.zip")</f>
        <v>https://climate.onebuilding.org/WMO_Region_6_Europe/AUT_Austria/ST_Styria/AUT_ST_Hirschenkogel.Mtn.Ski.Area.113840_TMYx.2009-2023.zip</v>
      </c>
    </row>
    <row r="650" spans="1:10" x14ac:dyDescent="0.25">
      <c r="A650" t="s">
        <v>79</v>
      </c>
      <c r="B650" t="s">
        <v>210</v>
      </c>
      <c r="C650" t="s">
        <v>355</v>
      </c>
      <c r="D650">
        <v>113840</v>
      </c>
      <c r="E650" t="s">
        <v>14</v>
      </c>
      <c r="F650">
        <v>47.6233</v>
      </c>
      <c r="G650">
        <v>15.833299999999999</v>
      </c>
      <c r="H650">
        <v>1</v>
      </c>
      <c r="I650">
        <v>1320.1</v>
      </c>
      <c r="J650" t="str">
        <f>HYPERLINK("https://climate.onebuilding.org/WMO_Region_6_Europe/AUT_Austria/ST_Styria/AUT_ST_Hirschenkogel.Mtn.Ski.Area.113840_TMYx.zip")</f>
        <v>https://climate.onebuilding.org/WMO_Region_6_Europe/AUT_Austria/ST_Styria/AUT_ST_Hirschenkogel.Mtn.Ski.Area.113840_TMYx.zip</v>
      </c>
    </row>
    <row r="651" spans="1:10" x14ac:dyDescent="0.25">
      <c r="A651" t="s">
        <v>79</v>
      </c>
      <c r="B651" t="s">
        <v>93</v>
      </c>
      <c r="C651" t="s">
        <v>357</v>
      </c>
      <c r="D651">
        <v>113850</v>
      </c>
      <c r="E651" t="s">
        <v>358</v>
      </c>
      <c r="F651">
        <v>47.822200000000002</v>
      </c>
      <c r="G651">
        <v>16.035</v>
      </c>
      <c r="H651">
        <v>1</v>
      </c>
      <c r="I651">
        <v>937.3</v>
      </c>
      <c r="J651" t="str">
        <f>HYPERLINK("https://climate.onebuilding.org/WMO_Region_6_Europe/AUT_Austria/NO_Lower_Austria/AUT_NO_Hohe.Wand-Hochkogelhaus.113850_TMYx.2004-2018.zip")</f>
        <v>https://climate.onebuilding.org/WMO_Region_6_Europe/AUT_Austria/NO_Lower_Austria/AUT_NO_Hohe.Wand-Hochkogelhaus.113850_TMYx.2004-2018.zip</v>
      </c>
    </row>
    <row r="652" spans="1:10" x14ac:dyDescent="0.25">
      <c r="A652" t="s">
        <v>79</v>
      </c>
      <c r="B652" t="s">
        <v>93</v>
      </c>
      <c r="C652" t="s">
        <v>357</v>
      </c>
      <c r="D652">
        <v>113850</v>
      </c>
      <c r="E652" t="s">
        <v>14</v>
      </c>
      <c r="F652">
        <v>47.822200000000002</v>
      </c>
      <c r="G652">
        <v>16.035</v>
      </c>
      <c r="H652">
        <v>1</v>
      </c>
      <c r="I652">
        <v>937.3</v>
      </c>
      <c r="J652" t="str">
        <f>HYPERLINK("https://climate.onebuilding.org/WMO_Region_6_Europe/AUT_Austria/NO_Lower_Austria/AUT_NO_Hohe.Wand-Hochkogelhaus.113850_TMYx.2007-2021.zip")</f>
        <v>https://climate.onebuilding.org/WMO_Region_6_Europe/AUT_Austria/NO_Lower_Austria/AUT_NO_Hohe.Wand-Hochkogelhaus.113850_TMYx.2007-2021.zip</v>
      </c>
    </row>
    <row r="653" spans="1:10" x14ac:dyDescent="0.25">
      <c r="A653" t="s">
        <v>79</v>
      </c>
      <c r="B653" t="s">
        <v>93</v>
      </c>
      <c r="C653" t="s">
        <v>357</v>
      </c>
      <c r="D653">
        <v>113850</v>
      </c>
      <c r="E653" t="s">
        <v>14</v>
      </c>
      <c r="F653">
        <v>47.822200000000002</v>
      </c>
      <c r="G653">
        <v>16.035</v>
      </c>
      <c r="H653">
        <v>1</v>
      </c>
      <c r="I653">
        <v>937.3</v>
      </c>
      <c r="J653" t="str">
        <f>HYPERLINK("https://climate.onebuilding.org/WMO_Region_6_Europe/AUT_Austria/NO_Lower_Austria/AUT_NO_Hohe.Wand-Hochkogelhaus.113850_TMYx.2009-2023.zip")</f>
        <v>https://climate.onebuilding.org/WMO_Region_6_Europe/AUT_Austria/NO_Lower_Austria/AUT_NO_Hohe.Wand-Hochkogelhaus.113850_TMYx.2009-2023.zip</v>
      </c>
    </row>
    <row r="654" spans="1:10" x14ac:dyDescent="0.25">
      <c r="A654" t="s">
        <v>79</v>
      </c>
      <c r="B654" t="s">
        <v>93</v>
      </c>
      <c r="C654" t="s">
        <v>357</v>
      </c>
      <c r="D654">
        <v>113850</v>
      </c>
      <c r="E654" t="s">
        <v>14</v>
      </c>
      <c r="F654">
        <v>47.822200000000002</v>
      </c>
      <c r="G654">
        <v>16.035</v>
      </c>
      <c r="H654">
        <v>1</v>
      </c>
      <c r="I654">
        <v>937.3</v>
      </c>
      <c r="J654" t="str">
        <f>HYPERLINK("https://climate.onebuilding.org/WMO_Region_6_Europe/AUT_Austria/NO_Lower_Austria/AUT_NO_Hohe.Wand-Hochkogelhaus.113850_TMYx.zip")</f>
        <v>https://climate.onebuilding.org/WMO_Region_6_Europe/AUT_Austria/NO_Lower_Austria/AUT_NO_Hohe.Wand-Hochkogelhaus.113850_TMYx.zip</v>
      </c>
    </row>
    <row r="655" spans="1:10" x14ac:dyDescent="0.25">
      <c r="A655" t="s">
        <v>79</v>
      </c>
      <c r="B655" t="s">
        <v>93</v>
      </c>
      <c r="C655" t="s">
        <v>359</v>
      </c>
      <c r="D655">
        <v>113860</v>
      </c>
      <c r="E655" t="s">
        <v>14</v>
      </c>
      <c r="F655">
        <v>47.528100000000002</v>
      </c>
      <c r="G655">
        <v>16.186699999999998</v>
      </c>
      <c r="H655">
        <v>1</v>
      </c>
      <c r="I655">
        <v>545</v>
      </c>
      <c r="J655" t="str">
        <f>HYPERLINK("https://climate.onebuilding.org/WMO_Region_6_Europe/AUT_Austria/NO_Lower_Austria/AUT_NO_Krumbach.113860_TMYx.2007-2021.zip")</f>
        <v>https://climate.onebuilding.org/WMO_Region_6_Europe/AUT_Austria/NO_Lower_Austria/AUT_NO_Krumbach.113860_TMYx.2007-2021.zip</v>
      </c>
    </row>
    <row r="656" spans="1:10" x14ac:dyDescent="0.25">
      <c r="A656" t="s">
        <v>79</v>
      </c>
      <c r="B656" t="s">
        <v>93</v>
      </c>
      <c r="C656" t="s">
        <v>359</v>
      </c>
      <c r="D656">
        <v>113860</v>
      </c>
      <c r="E656" t="s">
        <v>14</v>
      </c>
      <c r="F656">
        <v>47.528100000000002</v>
      </c>
      <c r="G656">
        <v>16.186699999999998</v>
      </c>
      <c r="H656">
        <v>1</v>
      </c>
      <c r="I656">
        <v>545</v>
      </c>
      <c r="J656" t="str">
        <f>HYPERLINK("https://climate.onebuilding.org/WMO_Region_6_Europe/AUT_Austria/NO_Lower_Austria/AUT_NO_Krumbach.113860_TMYx.2009-2023.zip")</f>
        <v>https://climate.onebuilding.org/WMO_Region_6_Europe/AUT_Austria/NO_Lower_Austria/AUT_NO_Krumbach.113860_TMYx.2009-2023.zip</v>
      </c>
    </row>
    <row r="657" spans="1:10" x14ac:dyDescent="0.25">
      <c r="A657" t="s">
        <v>79</v>
      </c>
      <c r="B657" t="s">
        <v>93</v>
      </c>
      <c r="C657" t="s">
        <v>359</v>
      </c>
      <c r="D657">
        <v>113860</v>
      </c>
      <c r="E657" t="s">
        <v>14</v>
      </c>
      <c r="F657">
        <v>47.528100000000002</v>
      </c>
      <c r="G657">
        <v>16.186699999999998</v>
      </c>
      <c r="H657">
        <v>1</v>
      </c>
      <c r="I657">
        <v>545</v>
      </c>
      <c r="J657" t="str">
        <f>HYPERLINK("https://climate.onebuilding.org/WMO_Region_6_Europe/AUT_Austria/NO_Lower_Austria/AUT_NO_Krumbach.113860_TMYx.zip")</f>
        <v>https://climate.onebuilding.org/WMO_Region_6_Europe/AUT_Austria/NO_Lower_Austria/AUT_NO_Krumbach.113860_TMYx.zip</v>
      </c>
    </row>
    <row r="658" spans="1:10" x14ac:dyDescent="0.25">
      <c r="A658" t="s">
        <v>79</v>
      </c>
      <c r="B658" t="s">
        <v>93</v>
      </c>
      <c r="C658" t="s">
        <v>360</v>
      </c>
      <c r="D658">
        <v>113870</v>
      </c>
      <c r="E658" t="s">
        <v>361</v>
      </c>
      <c r="F658">
        <v>47.976399999999998</v>
      </c>
      <c r="G658">
        <v>16.504999999999999</v>
      </c>
      <c r="H658">
        <v>1</v>
      </c>
      <c r="I658">
        <v>185</v>
      </c>
      <c r="J658" t="str">
        <f>HYPERLINK("https://climate.onebuilding.org/WMO_Region_6_Europe/AUT_Austria/NO_Lower_Austria/AUT_NO_Seibersdorf.113870_TMYx.2004-2018.zip")</f>
        <v>https://climate.onebuilding.org/WMO_Region_6_Europe/AUT_Austria/NO_Lower_Austria/AUT_NO_Seibersdorf.113870_TMYx.2004-2018.zip</v>
      </c>
    </row>
    <row r="659" spans="1:10" x14ac:dyDescent="0.25">
      <c r="A659" t="s">
        <v>79</v>
      </c>
      <c r="B659" t="s">
        <v>93</v>
      </c>
      <c r="C659" t="s">
        <v>360</v>
      </c>
      <c r="D659">
        <v>113870</v>
      </c>
      <c r="E659" t="s">
        <v>14</v>
      </c>
      <c r="F659">
        <v>47.976399999999998</v>
      </c>
      <c r="G659">
        <v>16.504999999999999</v>
      </c>
      <c r="H659">
        <v>1</v>
      </c>
      <c r="I659">
        <v>185</v>
      </c>
      <c r="J659" t="str">
        <f>HYPERLINK("https://climate.onebuilding.org/WMO_Region_6_Europe/AUT_Austria/NO_Lower_Austria/AUT_NO_Seibersdorf.113870_TMYx.2007-2021.zip")</f>
        <v>https://climate.onebuilding.org/WMO_Region_6_Europe/AUT_Austria/NO_Lower_Austria/AUT_NO_Seibersdorf.113870_TMYx.2007-2021.zip</v>
      </c>
    </row>
    <row r="660" spans="1:10" x14ac:dyDescent="0.25">
      <c r="A660" t="s">
        <v>79</v>
      </c>
      <c r="B660" t="s">
        <v>93</v>
      </c>
      <c r="C660" t="s">
        <v>360</v>
      </c>
      <c r="D660">
        <v>113870</v>
      </c>
      <c r="E660" t="s">
        <v>14</v>
      </c>
      <c r="F660">
        <v>47.976399999999998</v>
      </c>
      <c r="G660">
        <v>16.504999999999999</v>
      </c>
      <c r="H660">
        <v>1</v>
      </c>
      <c r="I660">
        <v>185</v>
      </c>
      <c r="J660" t="str">
        <f>HYPERLINK("https://climate.onebuilding.org/WMO_Region_6_Europe/AUT_Austria/NO_Lower_Austria/AUT_NO_Seibersdorf.113870_TMYx.2009-2023.zip")</f>
        <v>https://climate.onebuilding.org/WMO_Region_6_Europe/AUT_Austria/NO_Lower_Austria/AUT_NO_Seibersdorf.113870_TMYx.2009-2023.zip</v>
      </c>
    </row>
    <row r="661" spans="1:10" x14ac:dyDescent="0.25">
      <c r="A661" t="s">
        <v>79</v>
      </c>
      <c r="B661" t="s">
        <v>93</v>
      </c>
      <c r="C661" t="s">
        <v>360</v>
      </c>
      <c r="D661">
        <v>113870</v>
      </c>
      <c r="E661" t="s">
        <v>14</v>
      </c>
      <c r="F661">
        <v>47.976399999999998</v>
      </c>
      <c r="G661">
        <v>16.504999999999999</v>
      </c>
      <c r="H661">
        <v>1</v>
      </c>
      <c r="I661">
        <v>185</v>
      </c>
      <c r="J661" t="str">
        <f>HYPERLINK("https://climate.onebuilding.org/WMO_Region_6_Europe/AUT_Austria/NO_Lower_Austria/AUT_NO_Seibersdorf.113870_TMYx.zip")</f>
        <v>https://climate.onebuilding.org/WMO_Region_6_Europe/AUT_Austria/NO_Lower_Austria/AUT_NO_Seibersdorf.113870_TMYx.zip</v>
      </c>
    </row>
    <row r="662" spans="1:10" x14ac:dyDescent="0.25">
      <c r="A662" t="s">
        <v>79</v>
      </c>
      <c r="B662" t="s">
        <v>93</v>
      </c>
      <c r="C662" t="s">
        <v>362</v>
      </c>
      <c r="D662">
        <v>113890</v>
      </c>
      <c r="E662" t="s">
        <v>363</v>
      </c>
      <c r="F662">
        <v>48.183</v>
      </c>
      <c r="G662">
        <v>15.617000000000001</v>
      </c>
      <c r="H662">
        <v>1</v>
      </c>
      <c r="I662">
        <v>273</v>
      </c>
      <c r="J662" t="str">
        <f>HYPERLINK("https://climate.onebuilding.org/WMO_Region_6_Europe/AUT_Austria/NO_Lower_Austria/AUT_NO_St.Polten.113890_TMYx.2004-2018.zip")</f>
        <v>https://climate.onebuilding.org/WMO_Region_6_Europe/AUT_Austria/NO_Lower_Austria/AUT_NO_St.Polten.113890_TMYx.2004-2018.zip</v>
      </c>
    </row>
    <row r="663" spans="1:10" x14ac:dyDescent="0.25">
      <c r="A663" t="s">
        <v>79</v>
      </c>
      <c r="B663" t="s">
        <v>93</v>
      </c>
      <c r="C663" t="s">
        <v>362</v>
      </c>
      <c r="D663">
        <v>113890</v>
      </c>
      <c r="E663" t="s">
        <v>14</v>
      </c>
      <c r="F663">
        <v>48.183</v>
      </c>
      <c r="G663">
        <v>15.617000000000001</v>
      </c>
      <c r="H663">
        <v>1</v>
      </c>
      <c r="I663">
        <v>273</v>
      </c>
      <c r="J663" t="str">
        <f>HYPERLINK("https://climate.onebuilding.org/WMO_Region_6_Europe/AUT_Austria/NO_Lower_Austria/AUT_NO_St.Polten.113890_TMYx.2007-2021.zip")</f>
        <v>https://climate.onebuilding.org/WMO_Region_6_Europe/AUT_Austria/NO_Lower_Austria/AUT_NO_St.Polten.113890_TMYx.2007-2021.zip</v>
      </c>
    </row>
    <row r="664" spans="1:10" x14ac:dyDescent="0.25">
      <c r="A664" t="s">
        <v>79</v>
      </c>
      <c r="B664" t="s">
        <v>93</v>
      </c>
      <c r="C664" t="s">
        <v>362</v>
      </c>
      <c r="D664">
        <v>113890</v>
      </c>
      <c r="E664" t="s">
        <v>14</v>
      </c>
      <c r="F664">
        <v>48.183</v>
      </c>
      <c r="G664">
        <v>15.617000000000001</v>
      </c>
      <c r="H664">
        <v>1</v>
      </c>
      <c r="I664">
        <v>273</v>
      </c>
      <c r="J664" t="str">
        <f>HYPERLINK("https://climate.onebuilding.org/WMO_Region_6_Europe/AUT_Austria/NO_Lower_Austria/AUT_NO_St.Polten.113890_TMYx.2009-2023.zip")</f>
        <v>https://climate.onebuilding.org/WMO_Region_6_Europe/AUT_Austria/NO_Lower_Austria/AUT_NO_St.Polten.113890_TMYx.2009-2023.zip</v>
      </c>
    </row>
    <row r="665" spans="1:10" x14ac:dyDescent="0.25">
      <c r="A665" t="s">
        <v>79</v>
      </c>
      <c r="B665" t="s">
        <v>93</v>
      </c>
      <c r="C665" t="s">
        <v>362</v>
      </c>
      <c r="D665">
        <v>113890</v>
      </c>
      <c r="E665" t="s">
        <v>14</v>
      </c>
      <c r="F665">
        <v>48.183</v>
      </c>
      <c r="G665">
        <v>15.617000000000001</v>
      </c>
      <c r="H665">
        <v>1</v>
      </c>
      <c r="I665">
        <v>273</v>
      </c>
      <c r="J665" t="str">
        <f>HYPERLINK("https://climate.onebuilding.org/WMO_Region_6_Europe/AUT_Austria/NO_Lower_Austria/AUT_NO_St.Polten.113890_TMYx.zip")</f>
        <v>https://climate.onebuilding.org/WMO_Region_6_Europe/AUT_Austria/NO_Lower_Austria/AUT_NO_St.Polten.113890_TMYx.zip</v>
      </c>
    </row>
    <row r="666" spans="1:10" x14ac:dyDescent="0.25">
      <c r="A666" t="s">
        <v>79</v>
      </c>
      <c r="B666" t="s">
        <v>210</v>
      </c>
      <c r="C666" t="s">
        <v>364</v>
      </c>
      <c r="D666">
        <v>113900</v>
      </c>
      <c r="E666" t="s">
        <v>14</v>
      </c>
      <c r="F666">
        <v>47.2806</v>
      </c>
      <c r="G666">
        <v>15.9786</v>
      </c>
      <c r="H666">
        <v>1</v>
      </c>
      <c r="I666">
        <v>336.5</v>
      </c>
      <c r="J666" t="str">
        <f>HYPERLINK("https://climate.onebuilding.org/WMO_Region_6_Europe/AUT_Austria/ST_Styria/AUT_ST_Hartberg.113900_TMYx.2007-2021.zip")</f>
        <v>https://climate.onebuilding.org/WMO_Region_6_Europe/AUT_Austria/ST_Styria/AUT_ST_Hartberg.113900_TMYx.2007-2021.zip</v>
      </c>
    </row>
    <row r="667" spans="1:10" x14ac:dyDescent="0.25">
      <c r="A667" t="s">
        <v>79</v>
      </c>
      <c r="B667" t="s">
        <v>210</v>
      </c>
      <c r="C667" t="s">
        <v>364</v>
      </c>
      <c r="D667">
        <v>113900</v>
      </c>
      <c r="E667" t="s">
        <v>14</v>
      </c>
      <c r="F667">
        <v>47.2806</v>
      </c>
      <c r="G667">
        <v>15.9786</v>
      </c>
      <c r="H667">
        <v>1</v>
      </c>
      <c r="I667">
        <v>336.5</v>
      </c>
      <c r="J667" t="str">
        <f>HYPERLINK("https://climate.onebuilding.org/WMO_Region_6_Europe/AUT_Austria/ST_Styria/AUT_ST_Hartberg.113900_TMYx.2009-2023.zip")</f>
        <v>https://climate.onebuilding.org/WMO_Region_6_Europe/AUT_Austria/ST_Styria/AUT_ST_Hartberg.113900_TMYx.2009-2023.zip</v>
      </c>
    </row>
    <row r="668" spans="1:10" x14ac:dyDescent="0.25">
      <c r="A668" t="s">
        <v>79</v>
      </c>
      <c r="B668" t="s">
        <v>210</v>
      </c>
      <c r="C668" t="s">
        <v>364</v>
      </c>
      <c r="D668">
        <v>113900</v>
      </c>
      <c r="E668" t="s">
        <v>14</v>
      </c>
      <c r="F668">
        <v>47.2806</v>
      </c>
      <c r="G668">
        <v>15.9786</v>
      </c>
      <c r="H668">
        <v>1</v>
      </c>
      <c r="I668">
        <v>336.5</v>
      </c>
      <c r="J668" t="str">
        <f>HYPERLINK("https://climate.onebuilding.org/WMO_Region_6_Europe/AUT_Austria/ST_Styria/AUT_ST_Hartberg.113900_TMYx.zip")</f>
        <v>https://climate.onebuilding.org/WMO_Region_6_Europe/AUT_Austria/ST_Styria/AUT_ST_Hartberg.113900_TMYx.zip</v>
      </c>
    </row>
    <row r="669" spans="1:10" x14ac:dyDescent="0.25">
      <c r="A669" t="s">
        <v>79</v>
      </c>
      <c r="B669" t="s">
        <v>233</v>
      </c>
      <c r="C669" t="s">
        <v>365</v>
      </c>
      <c r="D669">
        <v>113930</v>
      </c>
      <c r="E669" t="s">
        <v>14</v>
      </c>
      <c r="F669">
        <v>47.465299999999999</v>
      </c>
      <c r="G669">
        <v>16.645600000000002</v>
      </c>
      <c r="H669">
        <v>1</v>
      </c>
      <c r="I669">
        <v>200.1</v>
      </c>
      <c r="J669" t="str">
        <f>HYPERLINK("https://climate.onebuilding.org/WMO_Region_6_Europe/AUT_Austria/BU_Burgenland/AUT_BU_Lutzmannsburg.113930_TMYx.2007-2021.zip")</f>
        <v>https://climate.onebuilding.org/WMO_Region_6_Europe/AUT_Austria/BU_Burgenland/AUT_BU_Lutzmannsburg.113930_TMYx.2007-2021.zip</v>
      </c>
    </row>
    <row r="670" spans="1:10" x14ac:dyDescent="0.25">
      <c r="A670" t="s">
        <v>79</v>
      </c>
      <c r="B670" t="s">
        <v>233</v>
      </c>
      <c r="C670" t="s">
        <v>365</v>
      </c>
      <c r="D670">
        <v>113930</v>
      </c>
      <c r="E670" t="s">
        <v>14</v>
      </c>
      <c r="F670">
        <v>47.465299999999999</v>
      </c>
      <c r="G670">
        <v>16.645600000000002</v>
      </c>
      <c r="H670">
        <v>1</v>
      </c>
      <c r="I670">
        <v>200.1</v>
      </c>
      <c r="J670" t="str">
        <f>HYPERLINK("https://climate.onebuilding.org/WMO_Region_6_Europe/AUT_Austria/BU_Burgenland/AUT_BU_Lutzmannsburg.113930_TMYx.2009-2023.zip")</f>
        <v>https://climate.onebuilding.org/WMO_Region_6_Europe/AUT_Austria/BU_Burgenland/AUT_BU_Lutzmannsburg.113930_TMYx.2009-2023.zip</v>
      </c>
    </row>
    <row r="671" spans="1:10" x14ac:dyDescent="0.25">
      <c r="A671" t="s">
        <v>79</v>
      </c>
      <c r="B671" t="s">
        <v>233</v>
      </c>
      <c r="C671" t="s">
        <v>365</v>
      </c>
      <c r="D671">
        <v>113930</v>
      </c>
      <c r="E671" t="s">
        <v>14</v>
      </c>
      <c r="F671">
        <v>47.465299999999999</v>
      </c>
      <c r="G671">
        <v>16.645600000000002</v>
      </c>
      <c r="H671">
        <v>1</v>
      </c>
      <c r="I671">
        <v>200.1</v>
      </c>
      <c r="J671" t="str">
        <f>HYPERLINK("https://climate.onebuilding.org/WMO_Region_6_Europe/AUT_Austria/BU_Burgenland/AUT_BU_Lutzmannsburg.113930_TMYx.zip")</f>
        <v>https://climate.onebuilding.org/WMO_Region_6_Europe/AUT_Austria/BU_Burgenland/AUT_BU_Lutzmannsburg.113930_TMYx.zip</v>
      </c>
    </row>
    <row r="672" spans="1:10" x14ac:dyDescent="0.25">
      <c r="A672" t="s">
        <v>79</v>
      </c>
      <c r="B672" t="s">
        <v>233</v>
      </c>
      <c r="C672" t="s">
        <v>366</v>
      </c>
      <c r="D672">
        <v>113950</v>
      </c>
      <c r="E672" t="s">
        <v>14</v>
      </c>
      <c r="F672">
        <v>47.772500000000001</v>
      </c>
      <c r="G672">
        <v>17.033300000000001</v>
      </c>
      <c r="H672">
        <v>1</v>
      </c>
      <c r="I672">
        <v>121.2</v>
      </c>
      <c r="J672" t="str">
        <f>HYPERLINK("https://climate.onebuilding.org/WMO_Region_6_Europe/AUT_Austria/BU_Burgenland/AUT_BU_Andau.113950_TMYx.2007-2021.zip")</f>
        <v>https://climate.onebuilding.org/WMO_Region_6_Europe/AUT_Austria/BU_Burgenland/AUT_BU_Andau.113950_TMYx.2007-2021.zip</v>
      </c>
    </row>
    <row r="673" spans="1:10" x14ac:dyDescent="0.25">
      <c r="A673" t="s">
        <v>79</v>
      </c>
      <c r="B673" t="s">
        <v>233</v>
      </c>
      <c r="C673" t="s">
        <v>366</v>
      </c>
      <c r="D673">
        <v>113950</v>
      </c>
      <c r="E673" t="s">
        <v>14</v>
      </c>
      <c r="F673">
        <v>47.772500000000001</v>
      </c>
      <c r="G673">
        <v>17.033300000000001</v>
      </c>
      <c r="H673">
        <v>1</v>
      </c>
      <c r="I673">
        <v>121.2</v>
      </c>
      <c r="J673" t="str">
        <f>HYPERLINK("https://climate.onebuilding.org/WMO_Region_6_Europe/AUT_Austria/BU_Burgenland/AUT_BU_Andau.113950_TMYx.2009-2023.zip")</f>
        <v>https://climate.onebuilding.org/WMO_Region_6_Europe/AUT_Austria/BU_Burgenland/AUT_BU_Andau.113950_TMYx.2009-2023.zip</v>
      </c>
    </row>
    <row r="674" spans="1:10" x14ac:dyDescent="0.25">
      <c r="A674" t="s">
        <v>79</v>
      </c>
      <c r="B674" t="s">
        <v>233</v>
      </c>
      <c r="C674" t="s">
        <v>366</v>
      </c>
      <c r="D674">
        <v>113950</v>
      </c>
      <c r="E674" t="s">
        <v>14</v>
      </c>
      <c r="F674">
        <v>47.772500000000001</v>
      </c>
      <c r="G674">
        <v>17.033300000000001</v>
      </c>
      <c r="H674">
        <v>1</v>
      </c>
      <c r="I674">
        <v>121.2</v>
      </c>
      <c r="J674" t="str">
        <f>HYPERLINK("https://climate.onebuilding.org/WMO_Region_6_Europe/AUT_Austria/BU_Burgenland/AUT_BU_Andau.113950_TMYx.zip")</f>
        <v>https://climate.onebuilding.org/WMO_Region_6_Europe/AUT_Austria/BU_Burgenland/AUT_BU_Andau.113950_TMYx.zip</v>
      </c>
    </row>
    <row r="675" spans="1:10" x14ac:dyDescent="0.25">
      <c r="A675" t="s">
        <v>367</v>
      </c>
      <c r="B675" t="s">
        <v>368</v>
      </c>
      <c r="C675" t="s">
        <v>369</v>
      </c>
      <c r="D675" s="1" t="s">
        <v>370</v>
      </c>
      <c r="E675" t="s">
        <v>371</v>
      </c>
      <c r="F675">
        <v>51.088099999999997</v>
      </c>
      <c r="G675">
        <v>2.6524999999999999</v>
      </c>
      <c r="H675">
        <v>1</v>
      </c>
      <c r="I675">
        <v>6.7</v>
      </c>
      <c r="J675" t="str">
        <f>HYPERLINK("https://climate.onebuilding.org/WMO_Region_6_Europe/BEL_Belgium/VLG_Flanders_Region/BEL_VLG_Koksijde.AP.064000_TMYx.2004-2018.zip")</f>
        <v>https://climate.onebuilding.org/WMO_Region_6_Europe/BEL_Belgium/VLG_Flanders_Region/BEL_VLG_Koksijde.AP.064000_TMYx.2004-2018.zip</v>
      </c>
    </row>
    <row r="676" spans="1:10" x14ac:dyDescent="0.25">
      <c r="A676" t="s">
        <v>367</v>
      </c>
      <c r="B676" t="s">
        <v>368</v>
      </c>
      <c r="C676" t="s">
        <v>369</v>
      </c>
      <c r="D676" s="1" t="s">
        <v>370</v>
      </c>
      <c r="E676" t="s">
        <v>14</v>
      </c>
      <c r="F676">
        <v>51.088099999999997</v>
      </c>
      <c r="G676">
        <v>2.6524999999999999</v>
      </c>
      <c r="H676">
        <v>1</v>
      </c>
      <c r="I676">
        <v>6.7</v>
      </c>
      <c r="J676" t="str">
        <f>HYPERLINK("https://climate.onebuilding.org/WMO_Region_6_Europe/BEL_Belgium/VLG_Flanders_Region/BEL_VLG_Koksijde.AP.064000_TMYx.2007-2021.zip")</f>
        <v>https://climate.onebuilding.org/WMO_Region_6_Europe/BEL_Belgium/VLG_Flanders_Region/BEL_VLG_Koksijde.AP.064000_TMYx.2007-2021.zip</v>
      </c>
    </row>
    <row r="677" spans="1:10" x14ac:dyDescent="0.25">
      <c r="A677" t="s">
        <v>367</v>
      </c>
      <c r="B677" t="s">
        <v>368</v>
      </c>
      <c r="C677" t="s">
        <v>369</v>
      </c>
      <c r="D677" s="1" t="s">
        <v>370</v>
      </c>
      <c r="E677" t="s">
        <v>14</v>
      </c>
      <c r="F677">
        <v>51.088099999999997</v>
      </c>
      <c r="G677">
        <v>2.6524999999999999</v>
      </c>
      <c r="H677">
        <v>1</v>
      </c>
      <c r="I677">
        <v>6.7</v>
      </c>
      <c r="J677" t="str">
        <f>HYPERLINK("https://climate.onebuilding.org/WMO_Region_6_Europe/BEL_Belgium/VLG_Flanders_Region/BEL_VLG_Koksijde.AP.064000_TMYx.2009-2023.zip")</f>
        <v>https://climate.onebuilding.org/WMO_Region_6_Europe/BEL_Belgium/VLG_Flanders_Region/BEL_VLG_Koksijde.AP.064000_TMYx.2009-2023.zip</v>
      </c>
    </row>
    <row r="678" spans="1:10" x14ac:dyDescent="0.25">
      <c r="A678" t="s">
        <v>367</v>
      </c>
      <c r="B678" t="s">
        <v>368</v>
      </c>
      <c r="C678" t="s">
        <v>369</v>
      </c>
      <c r="D678" s="1" t="s">
        <v>370</v>
      </c>
      <c r="E678" t="s">
        <v>14</v>
      </c>
      <c r="F678">
        <v>51.088099999999997</v>
      </c>
      <c r="G678">
        <v>2.6524999999999999</v>
      </c>
      <c r="H678">
        <v>1</v>
      </c>
      <c r="I678">
        <v>6.7</v>
      </c>
      <c r="J678" t="str">
        <f>HYPERLINK("https://climate.onebuilding.org/WMO_Region_6_Europe/BEL_Belgium/VLG_Flanders_Region/BEL_VLG_Koksijde.AP.064000_TMYx.zip")</f>
        <v>https://climate.onebuilding.org/WMO_Region_6_Europe/BEL_Belgium/VLG_Flanders_Region/BEL_VLG_Koksijde.AP.064000_TMYx.zip</v>
      </c>
    </row>
    <row r="679" spans="1:10" x14ac:dyDescent="0.25">
      <c r="A679" t="s">
        <v>367</v>
      </c>
      <c r="B679" t="s">
        <v>368</v>
      </c>
      <c r="C679" t="s">
        <v>372</v>
      </c>
      <c r="D679" s="1" t="s">
        <v>373</v>
      </c>
      <c r="E679" t="s">
        <v>374</v>
      </c>
      <c r="F679">
        <v>51.200299999999999</v>
      </c>
      <c r="G679">
        <v>2.8872</v>
      </c>
      <c r="H679">
        <v>1</v>
      </c>
      <c r="I679">
        <v>4.9000000000000004</v>
      </c>
      <c r="J679" t="str">
        <f>HYPERLINK("https://climate.onebuilding.org/WMO_Region_6_Europe/BEL_Belgium/VLG_Flanders_Region/BEL_VLG_Oostende-Bruges.Intl.AP.064070_TMYx.2004-2018.zip")</f>
        <v>https://climate.onebuilding.org/WMO_Region_6_Europe/BEL_Belgium/VLG_Flanders_Region/BEL_VLG_Oostende-Bruges.Intl.AP.064070_TMYx.2004-2018.zip</v>
      </c>
    </row>
    <row r="680" spans="1:10" x14ac:dyDescent="0.25">
      <c r="A680" t="s">
        <v>367</v>
      </c>
      <c r="B680" t="s">
        <v>368</v>
      </c>
      <c r="C680" t="s">
        <v>372</v>
      </c>
      <c r="D680" s="1" t="s">
        <v>373</v>
      </c>
      <c r="E680" t="s">
        <v>14</v>
      </c>
      <c r="F680">
        <v>51.200299999999999</v>
      </c>
      <c r="G680">
        <v>2.8872</v>
      </c>
      <c r="H680">
        <v>1</v>
      </c>
      <c r="I680">
        <v>4.9000000000000004</v>
      </c>
      <c r="J680" t="str">
        <f>HYPERLINK("https://climate.onebuilding.org/WMO_Region_6_Europe/BEL_Belgium/VLG_Flanders_Region/BEL_VLG_Oostende-Bruges.Intl.AP.064070_TMYx.2007-2021.zip")</f>
        <v>https://climate.onebuilding.org/WMO_Region_6_Europe/BEL_Belgium/VLG_Flanders_Region/BEL_VLG_Oostende-Bruges.Intl.AP.064070_TMYx.2007-2021.zip</v>
      </c>
    </row>
    <row r="681" spans="1:10" x14ac:dyDescent="0.25">
      <c r="A681" t="s">
        <v>367</v>
      </c>
      <c r="B681" t="s">
        <v>368</v>
      </c>
      <c r="C681" t="s">
        <v>372</v>
      </c>
      <c r="D681" s="1" t="s">
        <v>373</v>
      </c>
      <c r="E681" t="s">
        <v>14</v>
      </c>
      <c r="F681">
        <v>51.200299999999999</v>
      </c>
      <c r="G681">
        <v>2.8872</v>
      </c>
      <c r="H681">
        <v>1</v>
      </c>
      <c r="I681">
        <v>4.9000000000000004</v>
      </c>
      <c r="J681" t="str">
        <f>HYPERLINK("https://climate.onebuilding.org/WMO_Region_6_Europe/BEL_Belgium/VLG_Flanders_Region/BEL_VLG_Oostende-Bruges.Intl.AP.064070_TMYx.2009-2023.zip")</f>
        <v>https://climate.onebuilding.org/WMO_Region_6_Europe/BEL_Belgium/VLG_Flanders_Region/BEL_VLG_Oostende-Bruges.Intl.AP.064070_TMYx.2009-2023.zip</v>
      </c>
    </row>
    <row r="682" spans="1:10" x14ac:dyDescent="0.25">
      <c r="A682" t="s">
        <v>367</v>
      </c>
      <c r="B682" t="s">
        <v>368</v>
      </c>
      <c r="C682" t="s">
        <v>372</v>
      </c>
      <c r="D682" s="1" t="s">
        <v>373</v>
      </c>
      <c r="E682" t="s">
        <v>14</v>
      </c>
      <c r="F682">
        <v>51.200299999999999</v>
      </c>
      <c r="G682">
        <v>2.8872</v>
      </c>
      <c r="H682">
        <v>1</v>
      </c>
      <c r="I682">
        <v>4.9000000000000004</v>
      </c>
      <c r="J682" t="str">
        <f>HYPERLINK("https://climate.onebuilding.org/WMO_Region_6_Europe/BEL_Belgium/VLG_Flanders_Region/BEL_VLG_Oostende-Bruges.Intl.AP.064070_TMYx.zip")</f>
        <v>https://climate.onebuilding.org/WMO_Region_6_Europe/BEL_Belgium/VLG_Flanders_Region/BEL_VLG_Oostende-Bruges.Intl.AP.064070_TMYx.zip</v>
      </c>
    </row>
    <row r="683" spans="1:10" x14ac:dyDescent="0.25">
      <c r="A683" t="s">
        <v>367</v>
      </c>
      <c r="B683" t="s">
        <v>368</v>
      </c>
      <c r="C683" t="s">
        <v>375</v>
      </c>
      <c r="D683" s="1" t="s">
        <v>376</v>
      </c>
      <c r="E683" t="s">
        <v>14</v>
      </c>
      <c r="F683">
        <v>51.2333</v>
      </c>
      <c r="G683">
        <v>2.9167000000000001</v>
      </c>
      <c r="H683">
        <v>1</v>
      </c>
      <c r="I683">
        <v>9</v>
      </c>
      <c r="J683" t="str">
        <f>HYPERLINK("https://climate.onebuilding.org/WMO_Region_6_Europe/BEL_Belgium/VLG_Flanders_Region/BEL_VLG_Oostende.Pier.064080_TMYx.zip")</f>
        <v>https://climate.onebuilding.org/WMO_Region_6_Europe/BEL_Belgium/VLG_Flanders_Region/BEL_VLG_Oostende.Pier.064080_TMYx.zip</v>
      </c>
    </row>
    <row r="684" spans="1:10" x14ac:dyDescent="0.25">
      <c r="A684" t="s">
        <v>367</v>
      </c>
      <c r="B684" t="s">
        <v>368</v>
      </c>
      <c r="C684" t="s">
        <v>377</v>
      </c>
      <c r="D684" s="1" t="s">
        <v>378</v>
      </c>
      <c r="E684" t="s">
        <v>379</v>
      </c>
      <c r="F684">
        <v>50.9039</v>
      </c>
      <c r="G684">
        <v>3.1217000000000001</v>
      </c>
      <c r="H684">
        <v>1</v>
      </c>
      <c r="I684">
        <v>25</v>
      </c>
      <c r="J684" t="str">
        <f>HYPERLINK("https://climate.onebuilding.org/WMO_Region_6_Europe/BEL_Belgium/VLG_Flanders_Region/BEL_VLG_Beitem.064140_TMYx.2004-2018.zip")</f>
        <v>https://climate.onebuilding.org/WMO_Region_6_Europe/BEL_Belgium/VLG_Flanders_Region/BEL_VLG_Beitem.064140_TMYx.2004-2018.zip</v>
      </c>
    </row>
    <row r="685" spans="1:10" x14ac:dyDescent="0.25">
      <c r="A685" t="s">
        <v>367</v>
      </c>
      <c r="B685" t="s">
        <v>368</v>
      </c>
      <c r="C685" t="s">
        <v>377</v>
      </c>
      <c r="D685" s="1" t="s">
        <v>378</v>
      </c>
      <c r="E685" t="s">
        <v>14</v>
      </c>
      <c r="F685">
        <v>50.9039</v>
      </c>
      <c r="G685">
        <v>3.1217000000000001</v>
      </c>
      <c r="H685">
        <v>1</v>
      </c>
      <c r="I685">
        <v>25</v>
      </c>
      <c r="J685" t="str">
        <f>HYPERLINK("https://climate.onebuilding.org/WMO_Region_6_Europe/BEL_Belgium/VLG_Flanders_Region/BEL_VLG_Beitem.064140_TMYx.2007-2021.zip")</f>
        <v>https://climate.onebuilding.org/WMO_Region_6_Europe/BEL_Belgium/VLG_Flanders_Region/BEL_VLG_Beitem.064140_TMYx.2007-2021.zip</v>
      </c>
    </row>
    <row r="686" spans="1:10" x14ac:dyDescent="0.25">
      <c r="A686" t="s">
        <v>367</v>
      </c>
      <c r="B686" t="s">
        <v>368</v>
      </c>
      <c r="C686" t="s">
        <v>377</v>
      </c>
      <c r="D686" s="1" t="s">
        <v>378</v>
      </c>
      <c r="E686" t="s">
        <v>14</v>
      </c>
      <c r="F686">
        <v>50.9039</v>
      </c>
      <c r="G686">
        <v>3.1217000000000001</v>
      </c>
      <c r="H686">
        <v>1</v>
      </c>
      <c r="I686">
        <v>25</v>
      </c>
      <c r="J686" t="str">
        <f>HYPERLINK("https://climate.onebuilding.org/WMO_Region_6_Europe/BEL_Belgium/VLG_Flanders_Region/BEL_VLG_Beitem.064140_TMYx.2009-2023.zip")</f>
        <v>https://climate.onebuilding.org/WMO_Region_6_Europe/BEL_Belgium/VLG_Flanders_Region/BEL_VLG_Beitem.064140_TMYx.2009-2023.zip</v>
      </c>
    </row>
    <row r="687" spans="1:10" x14ac:dyDescent="0.25">
      <c r="A687" t="s">
        <v>367</v>
      </c>
      <c r="B687" t="s">
        <v>368</v>
      </c>
      <c r="C687" t="s">
        <v>377</v>
      </c>
      <c r="D687" s="1" t="s">
        <v>378</v>
      </c>
      <c r="E687" t="s">
        <v>14</v>
      </c>
      <c r="F687">
        <v>50.9039</v>
      </c>
      <c r="G687">
        <v>3.1217000000000001</v>
      </c>
      <c r="H687">
        <v>1</v>
      </c>
      <c r="I687">
        <v>25</v>
      </c>
      <c r="J687" t="str">
        <f>HYPERLINK("https://climate.onebuilding.org/WMO_Region_6_Europe/BEL_Belgium/VLG_Flanders_Region/BEL_VLG_Beitem.064140_TMYx.zip")</f>
        <v>https://climate.onebuilding.org/WMO_Region_6_Europe/BEL_Belgium/VLG_Flanders_Region/BEL_VLG_Beitem.064140_TMYx.zip</v>
      </c>
    </row>
    <row r="688" spans="1:10" x14ac:dyDescent="0.25">
      <c r="A688" t="s">
        <v>367</v>
      </c>
      <c r="B688" t="s">
        <v>368</v>
      </c>
      <c r="C688" t="s">
        <v>380</v>
      </c>
      <c r="D688" s="1" t="s">
        <v>381</v>
      </c>
      <c r="E688" t="s">
        <v>14</v>
      </c>
      <c r="F688">
        <v>50.817</v>
      </c>
      <c r="G688">
        <v>3.2</v>
      </c>
      <c r="H688">
        <v>1</v>
      </c>
      <c r="I688">
        <v>25</v>
      </c>
      <c r="J688" t="str">
        <f>HYPERLINK("https://climate.onebuilding.org/WMO_Region_6_Europe/BEL_Belgium/VLG_Flanders_Region/BEL_VLG_Flanders.Intl.AP.064160_TMYx.zip")</f>
        <v>https://climate.onebuilding.org/WMO_Region_6_Europe/BEL_Belgium/VLG_Flanders_Region/BEL_VLG_Flanders.Intl.AP.064160_TMYx.zip</v>
      </c>
    </row>
    <row r="689" spans="1:10" x14ac:dyDescent="0.25">
      <c r="A689" t="s">
        <v>367</v>
      </c>
      <c r="B689" t="s">
        <v>368</v>
      </c>
      <c r="C689" t="s">
        <v>382</v>
      </c>
      <c r="D689" s="1" t="s">
        <v>383</v>
      </c>
      <c r="E689" t="s">
        <v>384</v>
      </c>
      <c r="F689">
        <v>51.347200000000001</v>
      </c>
      <c r="G689">
        <v>3.2017000000000002</v>
      </c>
      <c r="H689">
        <v>1</v>
      </c>
      <c r="I689">
        <v>9</v>
      </c>
      <c r="J689" t="str">
        <f>HYPERLINK("https://climate.onebuilding.org/WMO_Region_6_Europe/BEL_Belgium/VLG_Flanders_Region/BEL_VLG_Zeebrugge.064180_TMYx.2004-2018.zip")</f>
        <v>https://climate.onebuilding.org/WMO_Region_6_Europe/BEL_Belgium/VLG_Flanders_Region/BEL_VLG_Zeebrugge.064180_TMYx.2004-2018.zip</v>
      </c>
    </row>
    <row r="690" spans="1:10" x14ac:dyDescent="0.25">
      <c r="A690" t="s">
        <v>367</v>
      </c>
      <c r="B690" t="s">
        <v>368</v>
      </c>
      <c r="C690" t="s">
        <v>382</v>
      </c>
      <c r="D690" s="1" t="s">
        <v>383</v>
      </c>
      <c r="E690" t="s">
        <v>14</v>
      </c>
      <c r="F690">
        <v>51.347200000000001</v>
      </c>
      <c r="G690">
        <v>3.2017000000000002</v>
      </c>
      <c r="H690">
        <v>1</v>
      </c>
      <c r="I690">
        <v>9</v>
      </c>
      <c r="J690" t="str">
        <f>HYPERLINK("https://climate.onebuilding.org/WMO_Region_6_Europe/BEL_Belgium/VLG_Flanders_Region/BEL_VLG_Zeebrugge.064180_TMYx.2007-2021.zip")</f>
        <v>https://climate.onebuilding.org/WMO_Region_6_Europe/BEL_Belgium/VLG_Flanders_Region/BEL_VLG_Zeebrugge.064180_TMYx.2007-2021.zip</v>
      </c>
    </row>
    <row r="691" spans="1:10" x14ac:dyDescent="0.25">
      <c r="A691" t="s">
        <v>367</v>
      </c>
      <c r="B691" t="s">
        <v>368</v>
      </c>
      <c r="C691" t="s">
        <v>382</v>
      </c>
      <c r="D691" s="1" t="s">
        <v>383</v>
      </c>
      <c r="E691" t="s">
        <v>14</v>
      </c>
      <c r="F691">
        <v>51.347200000000001</v>
      </c>
      <c r="G691">
        <v>3.2017000000000002</v>
      </c>
      <c r="H691">
        <v>1</v>
      </c>
      <c r="I691">
        <v>9</v>
      </c>
      <c r="J691" t="str">
        <f>HYPERLINK("https://climate.onebuilding.org/WMO_Region_6_Europe/BEL_Belgium/VLG_Flanders_Region/BEL_VLG_Zeebrugge.064180_TMYx.2009-2023.zip")</f>
        <v>https://climate.onebuilding.org/WMO_Region_6_Europe/BEL_Belgium/VLG_Flanders_Region/BEL_VLG_Zeebrugge.064180_TMYx.2009-2023.zip</v>
      </c>
    </row>
    <row r="692" spans="1:10" x14ac:dyDescent="0.25">
      <c r="A692" t="s">
        <v>367</v>
      </c>
      <c r="B692" t="s">
        <v>368</v>
      </c>
      <c r="C692" t="s">
        <v>382</v>
      </c>
      <c r="D692" s="1" t="s">
        <v>383</v>
      </c>
      <c r="E692" t="s">
        <v>14</v>
      </c>
      <c r="F692">
        <v>51.347200000000001</v>
      </c>
      <c r="G692">
        <v>3.2017000000000002</v>
      </c>
      <c r="H692">
        <v>1</v>
      </c>
      <c r="I692">
        <v>9</v>
      </c>
      <c r="J692" t="str">
        <f>HYPERLINK("https://climate.onebuilding.org/WMO_Region_6_Europe/BEL_Belgium/VLG_Flanders_Region/BEL_VLG_Zeebrugge.064180_TMYx.zip")</f>
        <v>https://climate.onebuilding.org/WMO_Region_6_Europe/BEL_Belgium/VLG_Flanders_Region/BEL_VLG_Zeebrugge.064180_TMYx.zip</v>
      </c>
    </row>
    <row r="693" spans="1:10" x14ac:dyDescent="0.25">
      <c r="A693" t="s">
        <v>367</v>
      </c>
      <c r="B693" t="s">
        <v>368</v>
      </c>
      <c r="C693" t="s">
        <v>385</v>
      </c>
      <c r="D693" s="1" t="s">
        <v>386</v>
      </c>
      <c r="E693" t="s">
        <v>387</v>
      </c>
      <c r="F693">
        <v>50.940600000000003</v>
      </c>
      <c r="G693">
        <v>3.6697000000000002</v>
      </c>
      <c r="H693">
        <v>1</v>
      </c>
      <c r="I693">
        <v>37.5</v>
      </c>
      <c r="J693" t="str">
        <f>HYPERLINK("https://climate.onebuilding.org/WMO_Region_6_Europe/BEL_Belgium/VLG_Flanders_Region/BEL_VLG_Semmerzake.064280_TMYx.2004-2018.zip")</f>
        <v>https://climate.onebuilding.org/WMO_Region_6_Europe/BEL_Belgium/VLG_Flanders_Region/BEL_VLG_Semmerzake.064280_TMYx.2004-2018.zip</v>
      </c>
    </row>
    <row r="694" spans="1:10" x14ac:dyDescent="0.25">
      <c r="A694" t="s">
        <v>367</v>
      </c>
      <c r="B694" t="s">
        <v>368</v>
      </c>
      <c r="C694" t="s">
        <v>385</v>
      </c>
      <c r="D694" s="1" t="s">
        <v>386</v>
      </c>
      <c r="E694" t="s">
        <v>14</v>
      </c>
      <c r="F694">
        <v>50.940600000000003</v>
      </c>
      <c r="G694">
        <v>3.6697000000000002</v>
      </c>
      <c r="H694">
        <v>1</v>
      </c>
      <c r="I694">
        <v>37.5</v>
      </c>
      <c r="J694" t="str">
        <f>HYPERLINK("https://climate.onebuilding.org/WMO_Region_6_Europe/BEL_Belgium/VLG_Flanders_Region/BEL_VLG_Semmerzake.064280_TMYx.2007-2021.zip")</f>
        <v>https://climate.onebuilding.org/WMO_Region_6_Europe/BEL_Belgium/VLG_Flanders_Region/BEL_VLG_Semmerzake.064280_TMYx.2007-2021.zip</v>
      </c>
    </row>
    <row r="695" spans="1:10" x14ac:dyDescent="0.25">
      <c r="A695" t="s">
        <v>367</v>
      </c>
      <c r="B695" t="s">
        <v>368</v>
      </c>
      <c r="C695" t="s">
        <v>385</v>
      </c>
      <c r="D695" s="1" t="s">
        <v>386</v>
      </c>
      <c r="E695" t="s">
        <v>14</v>
      </c>
      <c r="F695">
        <v>50.940600000000003</v>
      </c>
      <c r="G695">
        <v>3.6697000000000002</v>
      </c>
      <c r="H695">
        <v>1</v>
      </c>
      <c r="I695">
        <v>37.5</v>
      </c>
      <c r="J695" t="str">
        <f>HYPERLINK("https://climate.onebuilding.org/WMO_Region_6_Europe/BEL_Belgium/VLG_Flanders_Region/BEL_VLG_Semmerzake.064280_TMYx.2009-2023.zip")</f>
        <v>https://climate.onebuilding.org/WMO_Region_6_Europe/BEL_Belgium/VLG_Flanders_Region/BEL_VLG_Semmerzake.064280_TMYx.2009-2023.zip</v>
      </c>
    </row>
    <row r="696" spans="1:10" x14ac:dyDescent="0.25">
      <c r="A696" t="s">
        <v>367</v>
      </c>
      <c r="B696" t="s">
        <v>368</v>
      </c>
      <c r="C696" t="s">
        <v>385</v>
      </c>
      <c r="D696" s="1" t="s">
        <v>386</v>
      </c>
      <c r="E696" t="s">
        <v>14</v>
      </c>
      <c r="F696">
        <v>50.940600000000003</v>
      </c>
      <c r="G696">
        <v>3.6697000000000002</v>
      </c>
      <c r="H696">
        <v>1</v>
      </c>
      <c r="I696">
        <v>37.5</v>
      </c>
      <c r="J696" t="str">
        <f>HYPERLINK("https://climate.onebuilding.org/WMO_Region_6_Europe/BEL_Belgium/VLG_Flanders_Region/BEL_VLG_Semmerzake.064280_TMYx.zip")</f>
        <v>https://climate.onebuilding.org/WMO_Region_6_Europe/BEL_Belgium/VLG_Flanders_Region/BEL_VLG_Semmerzake.064280_TMYx.zip</v>
      </c>
    </row>
    <row r="697" spans="1:10" x14ac:dyDescent="0.25">
      <c r="A697" t="s">
        <v>367</v>
      </c>
      <c r="B697" t="s">
        <v>368</v>
      </c>
      <c r="C697" t="s">
        <v>388</v>
      </c>
      <c r="D697" s="1" t="s">
        <v>389</v>
      </c>
      <c r="E697" t="s">
        <v>390</v>
      </c>
      <c r="F697">
        <v>51.180599999999998</v>
      </c>
      <c r="G697">
        <v>3.8041999999999998</v>
      </c>
      <c r="H697">
        <v>1</v>
      </c>
      <c r="I697">
        <v>8</v>
      </c>
      <c r="J697" t="str">
        <f>HYPERLINK("https://climate.onebuilding.org/WMO_Region_6_Europe/BEL_Belgium/VLG_Flanders_Region/BEL_VLG_Ghent.Industrie.Zone.064310_TMYx.2004-2018.zip")</f>
        <v>https://climate.onebuilding.org/WMO_Region_6_Europe/BEL_Belgium/VLG_Flanders_Region/BEL_VLG_Ghent.Industrie.Zone.064310_TMYx.2004-2018.zip</v>
      </c>
    </row>
    <row r="698" spans="1:10" x14ac:dyDescent="0.25">
      <c r="A698" t="s">
        <v>367</v>
      </c>
      <c r="B698" t="s">
        <v>368</v>
      </c>
      <c r="C698" t="s">
        <v>388</v>
      </c>
      <c r="D698" s="1" t="s">
        <v>389</v>
      </c>
      <c r="E698" t="s">
        <v>14</v>
      </c>
      <c r="F698">
        <v>51.180599999999998</v>
      </c>
      <c r="G698">
        <v>3.8041999999999998</v>
      </c>
      <c r="H698">
        <v>1</v>
      </c>
      <c r="I698">
        <v>8</v>
      </c>
      <c r="J698" t="str">
        <f>HYPERLINK("https://climate.onebuilding.org/WMO_Region_6_Europe/BEL_Belgium/VLG_Flanders_Region/BEL_VLG_Ghent.Industrie.Zone.064310_TMYx.2007-2021.zip")</f>
        <v>https://climate.onebuilding.org/WMO_Region_6_Europe/BEL_Belgium/VLG_Flanders_Region/BEL_VLG_Ghent.Industrie.Zone.064310_TMYx.2007-2021.zip</v>
      </c>
    </row>
    <row r="699" spans="1:10" x14ac:dyDescent="0.25">
      <c r="A699" t="s">
        <v>367</v>
      </c>
      <c r="B699" t="s">
        <v>368</v>
      </c>
      <c r="C699" t="s">
        <v>388</v>
      </c>
      <c r="D699" s="1" t="s">
        <v>389</v>
      </c>
      <c r="E699" t="s">
        <v>14</v>
      </c>
      <c r="F699">
        <v>51.180599999999998</v>
      </c>
      <c r="G699">
        <v>3.8041999999999998</v>
      </c>
      <c r="H699">
        <v>1</v>
      </c>
      <c r="I699">
        <v>8</v>
      </c>
      <c r="J699" t="str">
        <f>HYPERLINK("https://climate.onebuilding.org/WMO_Region_6_Europe/BEL_Belgium/VLG_Flanders_Region/BEL_VLG_Ghent.Industrie.Zone.064310_TMYx.2009-2023.zip")</f>
        <v>https://climate.onebuilding.org/WMO_Region_6_Europe/BEL_Belgium/VLG_Flanders_Region/BEL_VLG_Ghent.Industrie.Zone.064310_TMYx.2009-2023.zip</v>
      </c>
    </row>
    <row r="700" spans="1:10" x14ac:dyDescent="0.25">
      <c r="A700" t="s">
        <v>367</v>
      </c>
      <c r="B700" t="s">
        <v>368</v>
      </c>
      <c r="C700" t="s">
        <v>388</v>
      </c>
      <c r="D700" s="1" t="s">
        <v>389</v>
      </c>
      <c r="E700" t="s">
        <v>14</v>
      </c>
      <c r="F700">
        <v>51.180599999999998</v>
      </c>
      <c r="G700">
        <v>3.8041999999999998</v>
      </c>
      <c r="H700">
        <v>1</v>
      </c>
      <c r="I700">
        <v>8</v>
      </c>
      <c r="J700" t="str">
        <f>HYPERLINK("https://climate.onebuilding.org/WMO_Region_6_Europe/BEL_Belgium/VLG_Flanders_Region/BEL_VLG_Ghent.Industrie.Zone.064310_TMYx.zip")</f>
        <v>https://climate.onebuilding.org/WMO_Region_6_Europe/BEL_Belgium/VLG_Flanders_Region/BEL_VLG_Ghent.Industrie.Zone.064310_TMYx.zip</v>
      </c>
    </row>
    <row r="701" spans="1:10" x14ac:dyDescent="0.25">
      <c r="A701" t="s">
        <v>367</v>
      </c>
      <c r="B701" t="s">
        <v>391</v>
      </c>
      <c r="C701" t="s">
        <v>392</v>
      </c>
      <c r="D701" s="1" t="s">
        <v>393</v>
      </c>
      <c r="E701" t="s">
        <v>394</v>
      </c>
      <c r="F701">
        <v>50.572200000000002</v>
      </c>
      <c r="G701">
        <v>3.8313999999999999</v>
      </c>
      <c r="H701">
        <v>1</v>
      </c>
      <c r="I701">
        <v>62.5</v>
      </c>
      <c r="J701" t="str">
        <f>HYPERLINK("https://climate.onebuilding.org/WMO_Region_6_Europe/BEL_Belgium/WAL_Walloon_Region/BEL_WAL_Chievres.AFB.064320_TMYx.2004-2018.zip")</f>
        <v>https://climate.onebuilding.org/WMO_Region_6_Europe/BEL_Belgium/WAL_Walloon_Region/BEL_WAL_Chievres.AFB.064320_TMYx.2004-2018.zip</v>
      </c>
    </row>
    <row r="702" spans="1:10" x14ac:dyDescent="0.25">
      <c r="A702" t="s">
        <v>367</v>
      </c>
      <c r="B702" t="s">
        <v>391</v>
      </c>
      <c r="C702" t="s">
        <v>392</v>
      </c>
      <c r="D702" s="1" t="s">
        <v>393</v>
      </c>
      <c r="E702" t="s">
        <v>14</v>
      </c>
      <c r="F702">
        <v>50.572200000000002</v>
      </c>
      <c r="G702">
        <v>3.8313999999999999</v>
      </c>
      <c r="H702">
        <v>1</v>
      </c>
      <c r="I702">
        <v>62.5</v>
      </c>
      <c r="J702" t="str">
        <f>HYPERLINK("https://climate.onebuilding.org/WMO_Region_6_Europe/BEL_Belgium/WAL_Walloon_Region/BEL_WAL_Chievres.AFB.064320_TMYx.2007-2021.zip")</f>
        <v>https://climate.onebuilding.org/WMO_Region_6_Europe/BEL_Belgium/WAL_Walloon_Region/BEL_WAL_Chievres.AFB.064320_TMYx.2007-2021.zip</v>
      </c>
    </row>
    <row r="703" spans="1:10" x14ac:dyDescent="0.25">
      <c r="A703" t="s">
        <v>367</v>
      </c>
      <c r="B703" t="s">
        <v>391</v>
      </c>
      <c r="C703" t="s">
        <v>392</v>
      </c>
      <c r="D703" s="1" t="s">
        <v>393</v>
      </c>
      <c r="E703" t="s">
        <v>14</v>
      </c>
      <c r="F703">
        <v>50.572200000000002</v>
      </c>
      <c r="G703">
        <v>3.8313999999999999</v>
      </c>
      <c r="H703">
        <v>1</v>
      </c>
      <c r="I703">
        <v>62.5</v>
      </c>
      <c r="J703" t="str">
        <f>HYPERLINK("https://climate.onebuilding.org/WMO_Region_6_Europe/BEL_Belgium/WAL_Walloon_Region/BEL_WAL_Chievres.AFB.064320_TMYx.2009-2023.zip")</f>
        <v>https://climate.onebuilding.org/WMO_Region_6_Europe/BEL_Belgium/WAL_Walloon_Region/BEL_WAL_Chievres.AFB.064320_TMYx.2009-2023.zip</v>
      </c>
    </row>
    <row r="704" spans="1:10" x14ac:dyDescent="0.25">
      <c r="A704" t="s">
        <v>367</v>
      </c>
      <c r="B704" t="s">
        <v>391</v>
      </c>
      <c r="C704" t="s">
        <v>392</v>
      </c>
      <c r="D704" s="1" t="s">
        <v>393</v>
      </c>
      <c r="E704" t="s">
        <v>14</v>
      </c>
      <c r="F704">
        <v>50.572200000000002</v>
      </c>
      <c r="G704">
        <v>3.8313999999999999</v>
      </c>
      <c r="H704">
        <v>1</v>
      </c>
      <c r="I704">
        <v>62.5</v>
      </c>
      <c r="J704" t="str">
        <f>HYPERLINK("https://climate.onebuilding.org/WMO_Region_6_Europe/BEL_Belgium/WAL_Walloon_Region/BEL_WAL_Chievres.AFB.064320_TMYx.zip")</f>
        <v>https://climate.onebuilding.org/WMO_Region_6_Europe/BEL_Belgium/WAL_Walloon_Region/BEL_WAL_Chievres.AFB.064320_TMYx.zip</v>
      </c>
    </row>
    <row r="705" spans="1:10" x14ac:dyDescent="0.25">
      <c r="A705" t="s">
        <v>367</v>
      </c>
      <c r="B705" t="s">
        <v>391</v>
      </c>
      <c r="C705" t="s">
        <v>395</v>
      </c>
      <c r="D705" s="1" t="s">
        <v>396</v>
      </c>
      <c r="E705" t="s">
        <v>397</v>
      </c>
      <c r="F705">
        <v>50.5</v>
      </c>
      <c r="G705">
        <v>3.98</v>
      </c>
      <c r="H705">
        <v>1</v>
      </c>
      <c r="I705">
        <v>78</v>
      </c>
      <c r="J705" t="str">
        <f>HYPERLINK("https://climate.onebuilding.org/WMO_Region_6_Europe/BEL_Belgium/WAL_Walloon_Region/BEL_WAL_Casteau.MS.064325_TMYx.2004-2018.zip")</f>
        <v>https://climate.onebuilding.org/WMO_Region_6_Europe/BEL_Belgium/WAL_Walloon_Region/BEL_WAL_Casteau.MS.064325_TMYx.2004-2018.zip</v>
      </c>
    </row>
    <row r="706" spans="1:10" x14ac:dyDescent="0.25">
      <c r="A706" t="s">
        <v>367</v>
      </c>
      <c r="B706" t="s">
        <v>391</v>
      </c>
      <c r="C706" t="s">
        <v>395</v>
      </c>
      <c r="D706" s="1" t="s">
        <v>396</v>
      </c>
      <c r="E706" t="s">
        <v>14</v>
      </c>
      <c r="F706">
        <v>50.5</v>
      </c>
      <c r="G706">
        <v>3.98</v>
      </c>
      <c r="H706">
        <v>1</v>
      </c>
      <c r="I706">
        <v>78</v>
      </c>
      <c r="J706" t="str">
        <f>HYPERLINK("https://climate.onebuilding.org/WMO_Region_6_Europe/BEL_Belgium/WAL_Walloon_Region/BEL_WAL_Casteau.MS.064325_TMYx.2007-2021.zip")</f>
        <v>https://climate.onebuilding.org/WMO_Region_6_Europe/BEL_Belgium/WAL_Walloon_Region/BEL_WAL_Casteau.MS.064325_TMYx.2007-2021.zip</v>
      </c>
    </row>
    <row r="707" spans="1:10" x14ac:dyDescent="0.25">
      <c r="A707" t="s">
        <v>367</v>
      </c>
      <c r="B707" t="s">
        <v>391</v>
      </c>
      <c r="C707" t="s">
        <v>395</v>
      </c>
      <c r="D707" s="1" t="s">
        <v>396</v>
      </c>
      <c r="E707" t="s">
        <v>14</v>
      </c>
      <c r="F707">
        <v>50.5</v>
      </c>
      <c r="G707">
        <v>3.98</v>
      </c>
      <c r="H707">
        <v>1</v>
      </c>
      <c r="I707">
        <v>78</v>
      </c>
      <c r="J707" t="str">
        <f>HYPERLINK("https://climate.onebuilding.org/WMO_Region_6_Europe/BEL_Belgium/WAL_Walloon_Region/BEL_WAL_Casteau.MS.064325_TMYx.2009-2023.zip")</f>
        <v>https://climate.onebuilding.org/WMO_Region_6_Europe/BEL_Belgium/WAL_Walloon_Region/BEL_WAL_Casteau.MS.064325_TMYx.2009-2023.zip</v>
      </c>
    </row>
    <row r="708" spans="1:10" x14ac:dyDescent="0.25">
      <c r="A708" t="s">
        <v>367</v>
      </c>
      <c r="B708" t="s">
        <v>391</v>
      </c>
      <c r="C708" t="s">
        <v>395</v>
      </c>
      <c r="D708" s="1" t="s">
        <v>396</v>
      </c>
      <c r="E708" t="s">
        <v>14</v>
      </c>
      <c r="F708">
        <v>50.5</v>
      </c>
      <c r="G708">
        <v>3.98</v>
      </c>
      <c r="H708">
        <v>1</v>
      </c>
      <c r="I708">
        <v>78</v>
      </c>
      <c r="J708" t="str">
        <f>HYPERLINK("https://climate.onebuilding.org/WMO_Region_6_Europe/BEL_Belgium/WAL_Walloon_Region/BEL_WAL_Casteau.MS.064325_TMYx.zip")</f>
        <v>https://climate.onebuilding.org/WMO_Region_6_Europe/BEL_Belgium/WAL_Walloon_Region/BEL_WAL_Casteau.MS.064325_TMYx.zip</v>
      </c>
    </row>
    <row r="709" spans="1:10" x14ac:dyDescent="0.25">
      <c r="A709" t="s">
        <v>367</v>
      </c>
      <c r="B709" t="s">
        <v>368</v>
      </c>
      <c r="C709" t="s">
        <v>398</v>
      </c>
      <c r="D709" s="1" t="s">
        <v>399</v>
      </c>
      <c r="E709" t="s">
        <v>400</v>
      </c>
      <c r="F709">
        <v>50.9803</v>
      </c>
      <c r="G709">
        <v>3.8157999999999999</v>
      </c>
      <c r="H709">
        <v>1</v>
      </c>
      <c r="I709">
        <v>15</v>
      </c>
      <c r="J709" t="str">
        <f>HYPERLINK("https://climate.onebuilding.org/WMO_Region_6_Europe/BEL_Belgium/VLG_Flanders_Region/BEL_VLG_Melle.064340_TMYx.2004-2018.zip")</f>
        <v>https://climate.onebuilding.org/WMO_Region_6_Europe/BEL_Belgium/VLG_Flanders_Region/BEL_VLG_Melle.064340_TMYx.2004-2018.zip</v>
      </c>
    </row>
    <row r="710" spans="1:10" x14ac:dyDescent="0.25">
      <c r="A710" t="s">
        <v>367</v>
      </c>
      <c r="B710" t="s">
        <v>368</v>
      </c>
      <c r="C710" t="s">
        <v>398</v>
      </c>
      <c r="D710" s="1" t="s">
        <v>399</v>
      </c>
      <c r="E710" t="s">
        <v>14</v>
      </c>
      <c r="F710">
        <v>50.9803</v>
      </c>
      <c r="G710">
        <v>3.8157999999999999</v>
      </c>
      <c r="H710">
        <v>1</v>
      </c>
      <c r="I710">
        <v>15</v>
      </c>
      <c r="J710" t="str">
        <f>HYPERLINK("https://climate.onebuilding.org/WMO_Region_6_Europe/BEL_Belgium/VLG_Flanders_Region/BEL_VLG_Melle.064340_TMYx.2007-2021.zip")</f>
        <v>https://climate.onebuilding.org/WMO_Region_6_Europe/BEL_Belgium/VLG_Flanders_Region/BEL_VLG_Melle.064340_TMYx.2007-2021.zip</v>
      </c>
    </row>
    <row r="711" spans="1:10" x14ac:dyDescent="0.25">
      <c r="A711" t="s">
        <v>367</v>
      </c>
      <c r="B711" t="s">
        <v>368</v>
      </c>
      <c r="C711" t="s">
        <v>398</v>
      </c>
      <c r="D711" s="1" t="s">
        <v>399</v>
      </c>
      <c r="E711" t="s">
        <v>14</v>
      </c>
      <c r="F711">
        <v>50.9803</v>
      </c>
      <c r="G711">
        <v>3.8157999999999999</v>
      </c>
      <c r="H711">
        <v>1</v>
      </c>
      <c r="I711">
        <v>15</v>
      </c>
      <c r="J711" t="str">
        <f>HYPERLINK("https://climate.onebuilding.org/WMO_Region_6_Europe/BEL_Belgium/VLG_Flanders_Region/BEL_VLG_Melle.064340_TMYx.2009-2023.zip")</f>
        <v>https://climate.onebuilding.org/WMO_Region_6_Europe/BEL_Belgium/VLG_Flanders_Region/BEL_VLG_Melle.064340_TMYx.2009-2023.zip</v>
      </c>
    </row>
    <row r="712" spans="1:10" x14ac:dyDescent="0.25">
      <c r="A712" t="s">
        <v>367</v>
      </c>
      <c r="B712" t="s">
        <v>368</v>
      </c>
      <c r="C712" t="s">
        <v>398</v>
      </c>
      <c r="D712" s="1" t="s">
        <v>399</v>
      </c>
      <c r="E712" t="s">
        <v>14</v>
      </c>
      <c r="F712">
        <v>50.9803</v>
      </c>
      <c r="G712">
        <v>3.8157999999999999</v>
      </c>
      <c r="H712">
        <v>1</v>
      </c>
      <c r="I712">
        <v>15</v>
      </c>
      <c r="J712" t="str">
        <f>HYPERLINK("https://climate.onebuilding.org/WMO_Region_6_Europe/BEL_Belgium/VLG_Flanders_Region/BEL_VLG_Melle.064340_TMYx.zip")</f>
        <v>https://climate.onebuilding.org/WMO_Region_6_Europe/BEL_Belgium/VLG_Flanders_Region/BEL_VLG_Melle.064340_TMYx.zip</v>
      </c>
    </row>
    <row r="713" spans="1:10" x14ac:dyDescent="0.25">
      <c r="A713" t="s">
        <v>367</v>
      </c>
      <c r="B713" t="s">
        <v>368</v>
      </c>
      <c r="C713" t="s">
        <v>401</v>
      </c>
      <c r="D713" s="1" t="s">
        <v>402</v>
      </c>
      <c r="E713" t="s">
        <v>403</v>
      </c>
      <c r="F713">
        <v>51.075000000000003</v>
      </c>
      <c r="G713">
        <v>4.5247000000000002</v>
      </c>
      <c r="H713">
        <v>1</v>
      </c>
      <c r="I713">
        <v>11</v>
      </c>
      <c r="J713" t="str">
        <f>HYPERLINK("https://climate.onebuilding.org/WMO_Region_6_Europe/BEL_Belgium/VLG_Flanders_Region/BEL_VLG_St.Katelijne.Waver.064390_TMYx.2004-2018.zip")</f>
        <v>https://climate.onebuilding.org/WMO_Region_6_Europe/BEL_Belgium/VLG_Flanders_Region/BEL_VLG_St.Katelijne.Waver.064390_TMYx.2004-2018.zip</v>
      </c>
    </row>
    <row r="714" spans="1:10" x14ac:dyDescent="0.25">
      <c r="A714" t="s">
        <v>367</v>
      </c>
      <c r="B714" t="s">
        <v>368</v>
      </c>
      <c r="C714" t="s">
        <v>401</v>
      </c>
      <c r="D714" s="1" t="s">
        <v>402</v>
      </c>
      <c r="E714" t="s">
        <v>14</v>
      </c>
      <c r="F714">
        <v>51.075000000000003</v>
      </c>
      <c r="G714">
        <v>4.5247000000000002</v>
      </c>
      <c r="H714">
        <v>1</v>
      </c>
      <c r="I714">
        <v>11</v>
      </c>
      <c r="J714" t="str">
        <f>HYPERLINK("https://climate.onebuilding.org/WMO_Region_6_Europe/BEL_Belgium/VLG_Flanders_Region/BEL_VLG_St.Katelijne.Waver.064390_TMYx.2007-2021.zip")</f>
        <v>https://climate.onebuilding.org/WMO_Region_6_Europe/BEL_Belgium/VLG_Flanders_Region/BEL_VLG_St.Katelijne.Waver.064390_TMYx.2007-2021.zip</v>
      </c>
    </row>
    <row r="715" spans="1:10" x14ac:dyDescent="0.25">
      <c r="A715" t="s">
        <v>367</v>
      </c>
      <c r="B715" t="s">
        <v>368</v>
      </c>
      <c r="C715" t="s">
        <v>401</v>
      </c>
      <c r="D715" s="1" t="s">
        <v>402</v>
      </c>
      <c r="E715" t="s">
        <v>14</v>
      </c>
      <c r="F715">
        <v>51.075000000000003</v>
      </c>
      <c r="G715">
        <v>4.5247000000000002</v>
      </c>
      <c r="H715">
        <v>1</v>
      </c>
      <c r="I715">
        <v>11</v>
      </c>
      <c r="J715" t="str">
        <f>HYPERLINK("https://climate.onebuilding.org/WMO_Region_6_Europe/BEL_Belgium/VLG_Flanders_Region/BEL_VLG_St.Katelijne.Waver.064390_TMYx.2009-2023.zip")</f>
        <v>https://climate.onebuilding.org/WMO_Region_6_Europe/BEL_Belgium/VLG_Flanders_Region/BEL_VLG_St.Katelijne.Waver.064390_TMYx.2009-2023.zip</v>
      </c>
    </row>
    <row r="716" spans="1:10" x14ac:dyDescent="0.25">
      <c r="A716" t="s">
        <v>367</v>
      </c>
      <c r="B716" t="s">
        <v>368</v>
      </c>
      <c r="C716" t="s">
        <v>401</v>
      </c>
      <c r="D716" s="1" t="s">
        <v>402</v>
      </c>
      <c r="E716" t="s">
        <v>14</v>
      </c>
      <c r="F716">
        <v>51.075000000000003</v>
      </c>
      <c r="G716">
        <v>4.5247000000000002</v>
      </c>
      <c r="H716">
        <v>1</v>
      </c>
      <c r="I716">
        <v>11</v>
      </c>
      <c r="J716" t="str">
        <f>HYPERLINK("https://climate.onebuilding.org/WMO_Region_6_Europe/BEL_Belgium/VLG_Flanders_Region/BEL_VLG_St.Katelijne.Waver.064390_TMYx.zip")</f>
        <v>https://climate.onebuilding.org/WMO_Region_6_Europe/BEL_Belgium/VLG_Flanders_Region/BEL_VLG_St.Katelijne.Waver.064390_TMYx.zip</v>
      </c>
    </row>
    <row r="717" spans="1:10" x14ac:dyDescent="0.25">
      <c r="A717" t="s">
        <v>367</v>
      </c>
      <c r="B717" t="s">
        <v>368</v>
      </c>
      <c r="C717" t="s">
        <v>404</v>
      </c>
      <c r="D717" s="1" t="s">
        <v>405</v>
      </c>
      <c r="E717" t="s">
        <v>406</v>
      </c>
      <c r="F717">
        <v>50.796900000000001</v>
      </c>
      <c r="G717">
        <v>4.3581000000000003</v>
      </c>
      <c r="H717">
        <v>1</v>
      </c>
      <c r="I717">
        <v>101</v>
      </c>
      <c r="J717" t="str">
        <f>HYPERLINK("https://climate.onebuilding.org/WMO_Region_6_Europe/BEL_Belgium/VLG_Flanders_Region/BEL_VLG_Uccle.064470_TMYx.2004-2018.zip")</f>
        <v>https://climate.onebuilding.org/WMO_Region_6_Europe/BEL_Belgium/VLG_Flanders_Region/BEL_VLG_Uccle.064470_TMYx.2004-2018.zip</v>
      </c>
    </row>
    <row r="718" spans="1:10" x14ac:dyDescent="0.25">
      <c r="A718" t="s">
        <v>367</v>
      </c>
      <c r="B718" t="s">
        <v>368</v>
      </c>
      <c r="C718" t="s">
        <v>404</v>
      </c>
      <c r="D718" s="1" t="s">
        <v>405</v>
      </c>
      <c r="E718" t="s">
        <v>14</v>
      </c>
      <c r="F718">
        <v>50.796900000000001</v>
      </c>
      <c r="G718">
        <v>4.3581000000000003</v>
      </c>
      <c r="H718">
        <v>1</v>
      </c>
      <c r="I718">
        <v>101</v>
      </c>
      <c r="J718" t="str">
        <f>HYPERLINK("https://climate.onebuilding.org/WMO_Region_6_Europe/BEL_Belgium/VLG_Flanders_Region/BEL_VLG_Uccle.064470_TMYx.2007-2021.zip")</f>
        <v>https://climate.onebuilding.org/WMO_Region_6_Europe/BEL_Belgium/VLG_Flanders_Region/BEL_VLG_Uccle.064470_TMYx.2007-2021.zip</v>
      </c>
    </row>
    <row r="719" spans="1:10" x14ac:dyDescent="0.25">
      <c r="A719" t="s">
        <v>367</v>
      </c>
      <c r="B719" t="s">
        <v>368</v>
      </c>
      <c r="C719" t="s">
        <v>404</v>
      </c>
      <c r="D719" s="1" t="s">
        <v>405</v>
      </c>
      <c r="E719" t="s">
        <v>14</v>
      </c>
      <c r="F719">
        <v>50.796900000000001</v>
      </c>
      <c r="G719">
        <v>4.3581000000000003</v>
      </c>
      <c r="H719">
        <v>1</v>
      </c>
      <c r="I719">
        <v>101</v>
      </c>
      <c r="J719" t="str">
        <f>HYPERLINK("https://climate.onebuilding.org/WMO_Region_6_Europe/BEL_Belgium/VLG_Flanders_Region/BEL_VLG_Uccle.064470_TMYx.2009-2023.zip")</f>
        <v>https://climate.onebuilding.org/WMO_Region_6_Europe/BEL_Belgium/VLG_Flanders_Region/BEL_VLG_Uccle.064470_TMYx.2009-2023.zip</v>
      </c>
    </row>
    <row r="720" spans="1:10" x14ac:dyDescent="0.25">
      <c r="A720" t="s">
        <v>367</v>
      </c>
      <c r="B720" t="s">
        <v>368</v>
      </c>
      <c r="C720" t="s">
        <v>404</v>
      </c>
      <c r="D720" s="1" t="s">
        <v>405</v>
      </c>
      <c r="E720" t="s">
        <v>14</v>
      </c>
      <c r="F720">
        <v>50.796900000000001</v>
      </c>
      <c r="G720">
        <v>4.3581000000000003</v>
      </c>
      <c r="H720">
        <v>1</v>
      </c>
      <c r="I720">
        <v>101</v>
      </c>
      <c r="J720" t="str">
        <f>HYPERLINK("https://climate.onebuilding.org/WMO_Region_6_Europe/BEL_Belgium/VLG_Flanders_Region/BEL_VLG_Uccle.064470_TMYx.zip")</f>
        <v>https://climate.onebuilding.org/WMO_Region_6_Europe/BEL_Belgium/VLG_Flanders_Region/BEL_VLG_Uccle.064470_TMYx.zip</v>
      </c>
    </row>
    <row r="721" spans="1:10" x14ac:dyDescent="0.25">
      <c r="A721" t="s">
        <v>367</v>
      </c>
      <c r="B721" t="s">
        <v>391</v>
      </c>
      <c r="C721" t="s">
        <v>407</v>
      </c>
      <c r="D721" s="1" t="s">
        <v>408</v>
      </c>
      <c r="E721" t="s">
        <v>409</v>
      </c>
      <c r="F721">
        <v>50.4542</v>
      </c>
      <c r="G721">
        <v>4.4400000000000004</v>
      </c>
      <c r="H721">
        <v>1</v>
      </c>
      <c r="I721">
        <v>188.1</v>
      </c>
      <c r="J721" t="str">
        <f>HYPERLINK("https://climate.onebuilding.org/WMO_Region_6_Europe/BEL_Belgium/WAL_Walloon_Region/BEL_WAL_Brussels.South.Charleroi.AP.064490_TMYx.2004-2018.zip")</f>
        <v>https://climate.onebuilding.org/WMO_Region_6_Europe/BEL_Belgium/WAL_Walloon_Region/BEL_WAL_Brussels.South.Charleroi.AP.064490_TMYx.2004-2018.zip</v>
      </c>
    </row>
    <row r="722" spans="1:10" x14ac:dyDescent="0.25">
      <c r="A722" t="s">
        <v>367</v>
      </c>
      <c r="B722" t="s">
        <v>391</v>
      </c>
      <c r="C722" t="s">
        <v>407</v>
      </c>
      <c r="D722" s="1" t="s">
        <v>408</v>
      </c>
      <c r="E722" t="s">
        <v>14</v>
      </c>
      <c r="F722">
        <v>50.4542</v>
      </c>
      <c r="G722">
        <v>4.4400000000000004</v>
      </c>
      <c r="H722">
        <v>1</v>
      </c>
      <c r="I722">
        <v>188.1</v>
      </c>
      <c r="J722" t="str">
        <f>HYPERLINK("https://climate.onebuilding.org/WMO_Region_6_Europe/BEL_Belgium/WAL_Walloon_Region/BEL_WAL_Brussels.South.Charleroi.AP.064490_TMYx.2007-2021.zip")</f>
        <v>https://climate.onebuilding.org/WMO_Region_6_Europe/BEL_Belgium/WAL_Walloon_Region/BEL_WAL_Brussels.South.Charleroi.AP.064490_TMYx.2007-2021.zip</v>
      </c>
    </row>
    <row r="723" spans="1:10" x14ac:dyDescent="0.25">
      <c r="A723" t="s">
        <v>367</v>
      </c>
      <c r="B723" t="s">
        <v>391</v>
      </c>
      <c r="C723" t="s">
        <v>407</v>
      </c>
      <c r="D723" s="1" t="s">
        <v>408</v>
      </c>
      <c r="E723" t="s">
        <v>14</v>
      </c>
      <c r="F723">
        <v>50.4542</v>
      </c>
      <c r="G723">
        <v>4.4400000000000004</v>
      </c>
      <c r="H723">
        <v>1</v>
      </c>
      <c r="I723">
        <v>188.1</v>
      </c>
      <c r="J723" t="str">
        <f>HYPERLINK("https://climate.onebuilding.org/WMO_Region_6_Europe/BEL_Belgium/WAL_Walloon_Region/BEL_WAL_Brussels.South.Charleroi.AP.064490_TMYx.2009-2023.zip")</f>
        <v>https://climate.onebuilding.org/WMO_Region_6_Europe/BEL_Belgium/WAL_Walloon_Region/BEL_WAL_Brussels.South.Charleroi.AP.064490_TMYx.2009-2023.zip</v>
      </c>
    </row>
    <row r="724" spans="1:10" x14ac:dyDescent="0.25">
      <c r="A724" t="s">
        <v>367</v>
      </c>
      <c r="B724" t="s">
        <v>391</v>
      </c>
      <c r="C724" t="s">
        <v>407</v>
      </c>
      <c r="D724" s="1" t="s">
        <v>408</v>
      </c>
      <c r="E724" t="s">
        <v>14</v>
      </c>
      <c r="F724">
        <v>50.4542</v>
      </c>
      <c r="G724">
        <v>4.4400000000000004</v>
      </c>
      <c r="H724">
        <v>1</v>
      </c>
      <c r="I724">
        <v>188.1</v>
      </c>
      <c r="J724" t="str">
        <f>HYPERLINK("https://climate.onebuilding.org/WMO_Region_6_Europe/BEL_Belgium/WAL_Walloon_Region/BEL_WAL_Brussels.South.Charleroi.AP.064490_TMYx.zip")</f>
        <v>https://climate.onebuilding.org/WMO_Region_6_Europe/BEL_Belgium/WAL_Walloon_Region/BEL_WAL_Brussels.South.Charleroi.AP.064490_TMYx.zip</v>
      </c>
    </row>
    <row r="725" spans="1:10" x14ac:dyDescent="0.25">
      <c r="A725" t="s">
        <v>367</v>
      </c>
      <c r="B725" t="s">
        <v>368</v>
      </c>
      <c r="C725" t="s">
        <v>410</v>
      </c>
      <c r="D725" s="1" t="s">
        <v>411</v>
      </c>
      <c r="E725" t="s">
        <v>412</v>
      </c>
      <c r="F725">
        <v>51.190300000000001</v>
      </c>
      <c r="G725">
        <v>4.4577999999999998</v>
      </c>
      <c r="H725">
        <v>1</v>
      </c>
      <c r="I725">
        <v>13.2</v>
      </c>
      <c r="J725" t="str">
        <f>HYPERLINK("https://climate.onebuilding.org/WMO_Region_6_Europe/BEL_Belgium/VLG_Flanders_Region/BEL_VLG_Antwerp.Intl.AP.064500_TMYx.2004-2018.zip")</f>
        <v>https://climate.onebuilding.org/WMO_Region_6_Europe/BEL_Belgium/VLG_Flanders_Region/BEL_VLG_Antwerp.Intl.AP.064500_TMYx.2004-2018.zip</v>
      </c>
    </row>
    <row r="726" spans="1:10" x14ac:dyDescent="0.25">
      <c r="A726" t="s">
        <v>367</v>
      </c>
      <c r="B726" t="s">
        <v>368</v>
      </c>
      <c r="C726" t="s">
        <v>410</v>
      </c>
      <c r="D726" s="1" t="s">
        <v>411</v>
      </c>
      <c r="E726" t="s">
        <v>14</v>
      </c>
      <c r="F726">
        <v>51.190300000000001</v>
      </c>
      <c r="G726">
        <v>4.4577999999999998</v>
      </c>
      <c r="H726">
        <v>1</v>
      </c>
      <c r="I726">
        <v>13.2</v>
      </c>
      <c r="J726" t="str">
        <f>HYPERLINK("https://climate.onebuilding.org/WMO_Region_6_Europe/BEL_Belgium/VLG_Flanders_Region/BEL_VLG_Antwerp.Intl.AP.064500_TMYx.2007-2021.zip")</f>
        <v>https://climate.onebuilding.org/WMO_Region_6_Europe/BEL_Belgium/VLG_Flanders_Region/BEL_VLG_Antwerp.Intl.AP.064500_TMYx.2007-2021.zip</v>
      </c>
    </row>
    <row r="727" spans="1:10" x14ac:dyDescent="0.25">
      <c r="A727" t="s">
        <v>367</v>
      </c>
      <c r="B727" t="s">
        <v>368</v>
      </c>
      <c r="C727" t="s">
        <v>410</v>
      </c>
      <c r="D727" s="1" t="s">
        <v>411</v>
      </c>
      <c r="E727" t="s">
        <v>14</v>
      </c>
      <c r="F727">
        <v>51.190300000000001</v>
      </c>
      <c r="G727">
        <v>4.4577999999999998</v>
      </c>
      <c r="H727">
        <v>1</v>
      </c>
      <c r="I727">
        <v>13.2</v>
      </c>
      <c r="J727" t="str">
        <f>HYPERLINK("https://climate.onebuilding.org/WMO_Region_6_Europe/BEL_Belgium/VLG_Flanders_Region/BEL_VLG_Antwerp.Intl.AP.064500_TMYx.2009-2023.zip")</f>
        <v>https://climate.onebuilding.org/WMO_Region_6_Europe/BEL_Belgium/VLG_Flanders_Region/BEL_VLG_Antwerp.Intl.AP.064500_TMYx.2009-2023.zip</v>
      </c>
    </row>
    <row r="728" spans="1:10" x14ac:dyDescent="0.25">
      <c r="A728" t="s">
        <v>367</v>
      </c>
      <c r="B728" t="s">
        <v>368</v>
      </c>
      <c r="C728" t="s">
        <v>410</v>
      </c>
      <c r="D728" s="1" t="s">
        <v>411</v>
      </c>
      <c r="E728" t="s">
        <v>14</v>
      </c>
      <c r="F728">
        <v>51.190300000000001</v>
      </c>
      <c r="G728">
        <v>4.4577999999999998</v>
      </c>
      <c r="H728">
        <v>1</v>
      </c>
      <c r="I728">
        <v>13.2</v>
      </c>
      <c r="J728" t="str">
        <f>HYPERLINK("https://climate.onebuilding.org/WMO_Region_6_Europe/BEL_Belgium/VLG_Flanders_Region/BEL_VLG_Antwerp.Intl.AP.064500_TMYx.zip")</f>
        <v>https://climate.onebuilding.org/WMO_Region_6_Europe/BEL_Belgium/VLG_Flanders_Region/BEL_VLG_Antwerp.Intl.AP.064500_TMYx.zip</v>
      </c>
    </row>
    <row r="729" spans="1:10" x14ac:dyDescent="0.25">
      <c r="A729" t="s">
        <v>367</v>
      </c>
      <c r="B729" t="s">
        <v>413</v>
      </c>
      <c r="C729" t="s">
        <v>414</v>
      </c>
      <c r="D729" s="1" t="s">
        <v>415</v>
      </c>
      <c r="E729" t="s">
        <v>416</v>
      </c>
      <c r="F729">
        <v>50.901000000000003</v>
      </c>
      <c r="G729">
        <v>4.484</v>
      </c>
      <c r="H729">
        <v>1</v>
      </c>
      <c r="I729">
        <v>56.1</v>
      </c>
      <c r="J729" t="str">
        <f>HYPERLINK("https://climate.onebuilding.org/WMO_Region_6_Europe/BEL_Belgium/BRU_Brussels_Region/BEL_BRU_Brussels.Natl.AP.064510_TMYx.2004-2018.zip")</f>
        <v>https://climate.onebuilding.org/WMO_Region_6_Europe/BEL_Belgium/BRU_Brussels_Region/BEL_BRU_Brussels.Natl.AP.064510_TMYx.2004-2018.zip</v>
      </c>
    </row>
    <row r="730" spans="1:10" x14ac:dyDescent="0.25">
      <c r="A730" t="s">
        <v>367</v>
      </c>
      <c r="B730" t="s">
        <v>413</v>
      </c>
      <c r="C730" t="s">
        <v>414</v>
      </c>
      <c r="D730" s="1" t="s">
        <v>415</v>
      </c>
      <c r="E730" t="s">
        <v>14</v>
      </c>
      <c r="F730">
        <v>50.901000000000003</v>
      </c>
      <c r="G730">
        <v>4.484</v>
      </c>
      <c r="H730">
        <v>1</v>
      </c>
      <c r="I730">
        <v>56.1</v>
      </c>
      <c r="J730" t="str">
        <f>HYPERLINK("https://climate.onebuilding.org/WMO_Region_6_Europe/BEL_Belgium/BRU_Brussels_Region/BEL_BRU_Brussels.Natl.AP.064510_TMYx.2007-2021.zip")</f>
        <v>https://climate.onebuilding.org/WMO_Region_6_Europe/BEL_Belgium/BRU_Brussels_Region/BEL_BRU_Brussels.Natl.AP.064510_TMYx.2007-2021.zip</v>
      </c>
    </row>
    <row r="731" spans="1:10" x14ac:dyDescent="0.25">
      <c r="A731" t="s">
        <v>367</v>
      </c>
      <c r="B731" t="s">
        <v>413</v>
      </c>
      <c r="C731" t="s">
        <v>414</v>
      </c>
      <c r="D731" s="1" t="s">
        <v>415</v>
      </c>
      <c r="E731" t="s">
        <v>14</v>
      </c>
      <c r="F731">
        <v>50.901000000000003</v>
      </c>
      <c r="G731">
        <v>4.484</v>
      </c>
      <c r="H731">
        <v>1</v>
      </c>
      <c r="I731">
        <v>56.1</v>
      </c>
      <c r="J731" t="str">
        <f>HYPERLINK("https://climate.onebuilding.org/WMO_Region_6_Europe/BEL_Belgium/BRU_Brussels_Region/BEL_BRU_Brussels.Natl.AP.064510_TMYx.2009-2023.zip")</f>
        <v>https://climate.onebuilding.org/WMO_Region_6_Europe/BEL_Belgium/BRU_Brussels_Region/BEL_BRU_Brussels.Natl.AP.064510_TMYx.2009-2023.zip</v>
      </c>
    </row>
    <row r="732" spans="1:10" x14ac:dyDescent="0.25">
      <c r="A732" t="s">
        <v>367</v>
      </c>
      <c r="B732" t="s">
        <v>413</v>
      </c>
      <c r="C732" t="s">
        <v>414</v>
      </c>
      <c r="D732" s="1" t="s">
        <v>415</v>
      </c>
      <c r="E732" t="s">
        <v>14</v>
      </c>
      <c r="F732">
        <v>50.901000000000003</v>
      </c>
      <c r="G732">
        <v>4.484</v>
      </c>
      <c r="H732">
        <v>1</v>
      </c>
      <c r="I732">
        <v>56.1</v>
      </c>
      <c r="J732" t="str">
        <f>HYPERLINK("https://climate.onebuilding.org/WMO_Region_6_Europe/BEL_Belgium/BRU_Brussels_Region/BEL_BRU_Brussels.Natl.AP.064510_TMYx.zip")</f>
        <v>https://climate.onebuilding.org/WMO_Region_6_Europe/BEL_Belgium/BRU_Brussels_Region/BEL_BRU_Brussels.Natl.AP.064510_TMYx.zip</v>
      </c>
    </row>
    <row r="733" spans="1:10" x14ac:dyDescent="0.25">
      <c r="A733" t="s">
        <v>367</v>
      </c>
      <c r="B733" t="s">
        <v>368</v>
      </c>
      <c r="C733" t="s">
        <v>417</v>
      </c>
      <c r="D733" s="1" t="s">
        <v>418</v>
      </c>
      <c r="E733" t="s">
        <v>14</v>
      </c>
      <c r="F733">
        <v>51.332999999999998</v>
      </c>
      <c r="G733">
        <v>4.5</v>
      </c>
      <c r="H733">
        <v>1</v>
      </c>
      <c r="I733">
        <v>23</v>
      </c>
      <c r="J733" t="str">
        <f>HYPERLINK("https://climate.onebuilding.org/WMO_Region_6_Europe/BEL_Belgium/VLG_Flanders_Region/BEL_VLG_Brasschaat.AB.064520_TMYx.zip")</f>
        <v>https://climate.onebuilding.org/WMO_Region_6_Europe/BEL_Belgium/VLG_Flanders_Region/BEL_VLG_Brasschaat.AB.064520_TMYx.zip</v>
      </c>
    </row>
    <row r="734" spans="1:10" x14ac:dyDescent="0.25">
      <c r="A734" t="s">
        <v>367</v>
      </c>
      <c r="B734" t="s">
        <v>391</v>
      </c>
      <c r="C734" t="s">
        <v>419</v>
      </c>
      <c r="D734" s="1" t="s">
        <v>420</v>
      </c>
      <c r="E734" t="s">
        <v>421</v>
      </c>
      <c r="F734">
        <v>50.095599999999997</v>
      </c>
      <c r="G734">
        <v>4.5944000000000003</v>
      </c>
      <c r="H734">
        <v>1</v>
      </c>
      <c r="I734">
        <v>233</v>
      </c>
      <c r="J734" t="str">
        <f>HYPERLINK("https://climate.onebuilding.org/WMO_Region_6_Europe/BEL_Belgium/WAL_Walloon_Region/BEL_WAL_Dourbes.064550_TMYx.2004-2018.zip")</f>
        <v>https://climate.onebuilding.org/WMO_Region_6_Europe/BEL_Belgium/WAL_Walloon_Region/BEL_WAL_Dourbes.064550_TMYx.2004-2018.zip</v>
      </c>
    </row>
    <row r="735" spans="1:10" x14ac:dyDescent="0.25">
      <c r="A735" t="s">
        <v>367</v>
      </c>
      <c r="B735" t="s">
        <v>391</v>
      </c>
      <c r="C735" t="s">
        <v>419</v>
      </c>
      <c r="D735" s="1" t="s">
        <v>420</v>
      </c>
      <c r="E735" t="s">
        <v>14</v>
      </c>
      <c r="F735">
        <v>50.095599999999997</v>
      </c>
      <c r="G735">
        <v>4.5944000000000003</v>
      </c>
      <c r="H735">
        <v>1</v>
      </c>
      <c r="I735">
        <v>233</v>
      </c>
      <c r="J735" t="str">
        <f>HYPERLINK("https://climate.onebuilding.org/WMO_Region_6_Europe/BEL_Belgium/WAL_Walloon_Region/BEL_WAL_Dourbes.064550_TMYx.2007-2021.zip")</f>
        <v>https://climate.onebuilding.org/WMO_Region_6_Europe/BEL_Belgium/WAL_Walloon_Region/BEL_WAL_Dourbes.064550_TMYx.2007-2021.zip</v>
      </c>
    </row>
    <row r="736" spans="1:10" x14ac:dyDescent="0.25">
      <c r="A736" t="s">
        <v>367</v>
      </c>
      <c r="B736" t="s">
        <v>391</v>
      </c>
      <c r="C736" t="s">
        <v>419</v>
      </c>
      <c r="D736" s="1" t="s">
        <v>420</v>
      </c>
      <c r="E736" t="s">
        <v>14</v>
      </c>
      <c r="F736">
        <v>50.095599999999997</v>
      </c>
      <c r="G736">
        <v>4.5944000000000003</v>
      </c>
      <c r="H736">
        <v>1</v>
      </c>
      <c r="I736">
        <v>233</v>
      </c>
      <c r="J736" t="str">
        <f>HYPERLINK("https://climate.onebuilding.org/WMO_Region_6_Europe/BEL_Belgium/WAL_Walloon_Region/BEL_WAL_Dourbes.064550_TMYx.2009-2023.zip")</f>
        <v>https://climate.onebuilding.org/WMO_Region_6_Europe/BEL_Belgium/WAL_Walloon_Region/BEL_WAL_Dourbes.064550_TMYx.2009-2023.zip</v>
      </c>
    </row>
    <row r="737" spans="1:10" x14ac:dyDescent="0.25">
      <c r="A737" t="s">
        <v>367</v>
      </c>
      <c r="B737" t="s">
        <v>391</v>
      </c>
      <c r="C737" t="s">
        <v>419</v>
      </c>
      <c r="D737" s="1" t="s">
        <v>420</v>
      </c>
      <c r="E737" t="s">
        <v>14</v>
      </c>
      <c r="F737">
        <v>50.095599999999997</v>
      </c>
      <c r="G737">
        <v>4.5944000000000003</v>
      </c>
      <c r="H737">
        <v>1</v>
      </c>
      <c r="I737">
        <v>233</v>
      </c>
      <c r="J737" t="str">
        <f>HYPERLINK("https://climate.onebuilding.org/WMO_Region_6_Europe/BEL_Belgium/WAL_Walloon_Region/BEL_WAL_Dourbes.064550_TMYx.zip")</f>
        <v>https://climate.onebuilding.org/WMO_Region_6_Europe/BEL_Belgium/WAL_Walloon_Region/BEL_WAL_Dourbes.064550_TMYx.zip</v>
      </c>
    </row>
    <row r="738" spans="1:10" x14ac:dyDescent="0.25">
      <c r="A738" t="s">
        <v>367</v>
      </c>
      <c r="B738" t="s">
        <v>391</v>
      </c>
      <c r="C738" t="s">
        <v>422</v>
      </c>
      <c r="D738" s="1" t="s">
        <v>423</v>
      </c>
      <c r="E738" t="s">
        <v>424</v>
      </c>
      <c r="F738">
        <v>50.234400000000001</v>
      </c>
      <c r="G738">
        <v>4.6531000000000002</v>
      </c>
      <c r="H738">
        <v>1</v>
      </c>
      <c r="I738">
        <v>290</v>
      </c>
      <c r="J738" t="str">
        <f>HYPERLINK("https://climate.onebuilding.org/WMO_Region_6_Europe/BEL_Belgium/WAL_Walloon_Region/BEL_WAL_Florennes.AFB.064560_TMYx.2004-2018.zip")</f>
        <v>https://climate.onebuilding.org/WMO_Region_6_Europe/BEL_Belgium/WAL_Walloon_Region/BEL_WAL_Florennes.AFB.064560_TMYx.2004-2018.zip</v>
      </c>
    </row>
    <row r="739" spans="1:10" x14ac:dyDescent="0.25">
      <c r="A739" t="s">
        <v>367</v>
      </c>
      <c r="B739" t="s">
        <v>391</v>
      </c>
      <c r="C739" t="s">
        <v>422</v>
      </c>
      <c r="D739" s="1" t="s">
        <v>423</v>
      </c>
      <c r="E739" t="s">
        <v>14</v>
      </c>
      <c r="F739">
        <v>50.234400000000001</v>
      </c>
      <c r="G739">
        <v>4.6531000000000002</v>
      </c>
      <c r="H739">
        <v>1</v>
      </c>
      <c r="I739">
        <v>290</v>
      </c>
      <c r="J739" t="str">
        <f>HYPERLINK("https://climate.onebuilding.org/WMO_Region_6_Europe/BEL_Belgium/WAL_Walloon_Region/BEL_WAL_Florennes.AFB.064560_TMYx.2007-2021.zip")</f>
        <v>https://climate.onebuilding.org/WMO_Region_6_Europe/BEL_Belgium/WAL_Walloon_Region/BEL_WAL_Florennes.AFB.064560_TMYx.2007-2021.zip</v>
      </c>
    </row>
    <row r="740" spans="1:10" x14ac:dyDescent="0.25">
      <c r="A740" t="s">
        <v>367</v>
      </c>
      <c r="B740" t="s">
        <v>391</v>
      </c>
      <c r="C740" t="s">
        <v>422</v>
      </c>
      <c r="D740" s="1" t="s">
        <v>423</v>
      </c>
      <c r="E740" t="s">
        <v>14</v>
      </c>
      <c r="F740">
        <v>50.234400000000001</v>
      </c>
      <c r="G740">
        <v>4.6531000000000002</v>
      </c>
      <c r="H740">
        <v>1</v>
      </c>
      <c r="I740">
        <v>290</v>
      </c>
      <c r="J740" t="str">
        <f>HYPERLINK("https://climate.onebuilding.org/WMO_Region_6_Europe/BEL_Belgium/WAL_Walloon_Region/BEL_WAL_Florennes.AFB.064560_TMYx.2009-2023.zip")</f>
        <v>https://climate.onebuilding.org/WMO_Region_6_Europe/BEL_Belgium/WAL_Walloon_Region/BEL_WAL_Florennes.AFB.064560_TMYx.2009-2023.zip</v>
      </c>
    </row>
    <row r="741" spans="1:10" x14ac:dyDescent="0.25">
      <c r="A741" t="s">
        <v>367</v>
      </c>
      <c r="B741" t="s">
        <v>391</v>
      </c>
      <c r="C741" t="s">
        <v>422</v>
      </c>
      <c r="D741" s="1" t="s">
        <v>423</v>
      </c>
      <c r="E741" t="s">
        <v>14</v>
      </c>
      <c r="F741">
        <v>50.234400000000001</v>
      </c>
      <c r="G741">
        <v>4.6531000000000002</v>
      </c>
      <c r="H741">
        <v>1</v>
      </c>
      <c r="I741">
        <v>290</v>
      </c>
      <c r="J741" t="str">
        <f>HYPERLINK("https://climate.onebuilding.org/WMO_Region_6_Europe/BEL_Belgium/WAL_Walloon_Region/BEL_WAL_Florennes.AFB.064560_TMYx.zip")</f>
        <v>https://climate.onebuilding.org/WMO_Region_6_Europe/BEL_Belgium/WAL_Walloon_Region/BEL_WAL_Florennes.AFB.064560_TMYx.zip</v>
      </c>
    </row>
    <row r="742" spans="1:10" x14ac:dyDescent="0.25">
      <c r="A742" t="s">
        <v>367</v>
      </c>
      <c r="B742" t="s">
        <v>368</v>
      </c>
      <c r="C742" t="s">
        <v>425</v>
      </c>
      <c r="D742" s="1" t="s">
        <v>426</v>
      </c>
      <c r="E742" t="s">
        <v>427</v>
      </c>
      <c r="F742">
        <v>50.745600000000003</v>
      </c>
      <c r="G742">
        <v>4.7633000000000001</v>
      </c>
      <c r="H742">
        <v>1</v>
      </c>
      <c r="I742">
        <v>123</v>
      </c>
      <c r="J742" t="str">
        <f>HYPERLINK("https://climate.onebuilding.org/WMO_Region_6_Europe/BEL_Belgium/VLG_Flanders_Region/BEL_VLG_Beauvechain.AP.064580_TMYx.2004-2018.zip")</f>
        <v>https://climate.onebuilding.org/WMO_Region_6_Europe/BEL_Belgium/VLG_Flanders_Region/BEL_VLG_Beauvechain.AP.064580_TMYx.2004-2018.zip</v>
      </c>
    </row>
    <row r="743" spans="1:10" x14ac:dyDescent="0.25">
      <c r="A743" t="s">
        <v>367</v>
      </c>
      <c r="B743" t="s">
        <v>368</v>
      </c>
      <c r="C743" t="s">
        <v>425</v>
      </c>
      <c r="D743" s="1" t="s">
        <v>426</v>
      </c>
      <c r="E743" t="s">
        <v>14</v>
      </c>
      <c r="F743">
        <v>50.745600000000003</v>
      </c>
      <c r="G743">
        <v>4.7633000000000001</v>
      </c>
      <c r="H743">
        <v>1</v>
      </c>
      <c r="I743">
        <v>123</v>
      </c>
      <c r="J743" t="str">
        <f>HYPERLINK("https://climate.onebuilding.org/WMO_Region_6_Europe/BEL_Belgium/VLG_Flanders_Region/BEL_VLG_Beauvechain.AP.064580_TMYx.2007-2021.zip")</f>
        <v>https://climate.onebuilding.org/WMO_Region_6_Europe/BEL_Belgium/VLG_Flanders_Region/BEL_VLG_Beauvechain.AP.064580_TMYx.2007-2021.zip</v>
      </c>
    </row>
    <row r="744" spans="1:10" x14ac:dyDescent="0.25">
      <c r="A744" t="s">
        <v>367</v>
      </c>
      <c r="B744" t="s">
        <v>368</v>
      </c>
      <c r="C744" t="s">
        <v>425</v>
      </c>
      <c r="D744" s="1" t="s">
        <v>426</v>
      </c>
      <c r="E744" t="s">
        <v>14</v>
      </c>
      <c r="F744">
        <v>50.745600000000003</v>
      </c>
      <c r="G744">
        <v>4.7633000000000001</v>
      </c>
      <c r="H744">
        <v>1</v>
      </c>
      <c r="I744">
        <v>123</v>
      </c>
      <c r="J744" t="str">
        <f>HYPERLINK("https://climate.onebuilding.org/WMO_Region_6_Europe/BEL_Belgium/VLG_Flanders_Region/BEL_VLG_Beauvechain.AP.064580_TMYx.2009-2023.zip")</f>
        <v>https://climate.onebuilding.org/WMO_Region_6_Europe/BEL_Belgium/VLG_Flanders_Region/BEL_VLG_Beauvechain.AP.064580_TMYx.2009-2023.zip</v>
      </c>
    </row>
    <row r="745" spans="1:10" x14ac:dyDescent="0.25">
      <c r="A745" t="s">
        <v>367</v>
      </c>
      <c r="B745" t="s">
        <v>368</v>
      </c>
      <c r="C745" t="s">
        <v>425</v>
      </c>
      <c r="D745" s="1" t="s">
        <v>426</v>
      </c>
      <c r="E745" t="s">
        <v>14</v>
      </c>
      <c r="F745">
        <v>50.745600000000003</v>
      </c>
      <c r="G745">
        <v>4.7633000000000001</v>
      </c>
      <c r="H745">
        <v>1</v>
      </c>
      <c r="I745">
        <v>123</v>
      </c>
      <c r="J745" t="str">
        <f>HYPERLINK("https://climate.onebuilding.org/WMO_Region_6_Europe/BEL_Belgium/VLG_Flanders_Region/BEL_VLG_Beauvechain.AP.064580_TMYx.zip")</f>
        <v>https://climate.onebuilding.org/WMO_Region_6_Europe/BEL_Belgium/VLG_Flanders_Region/BEL_VLG_Beauvechain.AP.064580_TMYx.zip</v>
      </c>
    </row>
    <row r="746" spans="1:10" x14ac:dyDescent="0.25">
      <c r="A746" t="s">
        <v>367</v>
      </c>
      <c r="B746" t="s">
        <v>391</v>
      </c>
      <c r="C746" t="s">
        <v>428</v>
      </c>
      <c r="D746" s="1" t="s">
        <v>429</v>
      </c>
      <c r="E746" t="s">
        <v>430</v>
      </c>
      <c r="F746">
        <v>50.581899999999997</v>
      </c>
      <c r="G746">
        <v>4.6891999999999996</v>
      </c>
      <c r="H746">
        <v>1</v>
      </c>
      <c r="I746">
        <v>157</v>
      </c>
      <c r="J746" t="str">
        <f>HYPERLINK("https://climate.onebuilding.org/WMO_Region_6_Europe/BEL_Belgium/WAL_Walloon_Region/BEL_WAL_Ernage.064590_TMYx.2004-2018.zip")</f>
        <v>https://climate.onebuilding.org/WMO_Region_6_Europe/BEL_Belgium/WAL_Walloon_Region/BEL_WAL_Ernage.064590_TMYx.2004-2018.zip</v>
      </c>
    </row>
    <row r="747" spans="1:10" x14ac:dyDescent="0.25">
      <c r="A747" t="s">
        <v>367</v>
      </c>
      <c r="B747" t="s">
        <v>391</v>
      </c>
      <c r="C747" t="s">
        <v>428</v>
      </c>
      <c r="D747" s="1" t="s">
        <v>429</v>
      </c>
      <c r="E747" t="s">
        <v>14</v>
      </c>
      <c r="F747">
        <v>50.581899999999997</v>
      </c>
      <c r="G747">
        <v>4.6891999999999996</v>
      </c>
      <c r="H747">
        <v>1</v>
      </c>
      <c r="I747">
        <v>157</v>
      </c>
      <c r="J747" t="str">
        <f>HYPERLINK("https://climate.onebuilding.org/WMO_Region_6_Europe/BEL_Belgium/WAL_Walloon_Region/BEL_WAL_Ernage.064590_TMYx.2007-2021.zip")</f>
        <v>https://climate.onebuilding.org/WMO_Region_6_Europe/BEL_Belgium/WAL_Walloon_Region/BEL_WAL_Ernage.064590_TMYx.2007-2021.zip</v>
      </c>
    </row>
    <row r="748" spans="1:10" x14ac:dyDescent="0.25">
      <c r="A748" t="s">
        <v>367</v>
      </c>
      <c r="B748" t="s">
        <v>391</v>
      </c>
      <c r="C748" t="s">
        <v>428</v>
      </c>
      <c r="D748" s="1" t="s">
        <v>429</v>
      </c>
      <c r="E748" t="s">
        <v>14</v>
      </c>
      <c r="F748">
        <v>50.581899999999997</v>
      </c>
      <c r="G748">
        <v>4.6891999999999996</v>
      </c>
      <c r="H748">
        <v>1</v>
      </c>
      <c r="I748">
        <v>157</v>
      </c>
      <c r="J748" t="str">
        <f>HYPERLINK("https://climate.onebuilding.org/WMO_Region_6_Europe/BEL_Belgium/WAL_Walloon_Region/BEL_WAL_Ernage.064590_TMYx.2009-2023.zip")</f>
        <v>https://climate.onebuilding.org/WMO_Region_6_Europe/BEL_Belgium/WAL_Walloon_Region/BEL_WAL_Ernage.064590_TMYx.2009-2023.zip</v>
      </c>
    </row>
    <row r="749" spans="1:10" x14ac:dyDescent="0.25">
      <c r="A749" t="s">
        <v>367</v>
      </c>
      <c r="B749" t="s">
        <v>391</v>
      </c>
      <c r="C749" t="s">
        <v>428</v>
      </c>
      <c r="D749" s="1" t="s">
        <v>429</v>
      </c>
      <c r="E749" t="s">
        <v>14</v>
      </c>
      <c r="F749">
        <v>50.581899999999997</v>
      </c>
      <c r="G749">
        <v>4.6891999999999996</v>
      </c>
      <c r="H749">
        <v>1</v>
      </c>
      <c r="I749">
        <v>157</v>
      </c>
      <c r="J749" t="str">
        <f>HYPERLINK("https://climate.onebuilding.org/WMO_Region_6_Europe/BEL_Belgium/WAL_Walloon_Region/BEL_WAL_Ernage.064590_TMYx.zip")</f>
        <v>https://climate.onebuilding.org/WMO_Region_6_Europe/BEL_Belgium/WAL_Walloon_Region/BEL_WAL_Ernage.064590_TMYx.zip</v>
      </c>
    </row>
    <row r="750" spans="1:10" x14ac:dyDescent="0.25">
      <c r="A750" t="s">
        <v>367</v>
      </c>
      <c r="B750" t="s">
        <v>368</v>
      </c>
      <c r="C750" t="s">
        <v>431</v>
      </c>
      <c r="D750" s="1" t="s">
        <v>432</v>
      </c>
      <c r="E750" t="s">
        <v>14</v>
      </c>
      <c r="F750">
        <v>50.783000000000001</v>
      </c>
      <c r="G750">
        <v>4.95</v>
      </c>
      <c r="H750">
        <v>1</v>
      </c>
      <c r="I750">
        <v>81</v>
      </c>
      <c r="J750" t="str">
        <f>HYPERLINK("https://climate.onebuilding.org/WMO_Region_6_Europe/BEL_Belgium/VLG_Flanders_Region/BEL_VLG_Goetsenhoven.Mil.AP.064630_TMYx.zip")</f>
        <v>https://climate.onebuilding.org/WMO_Region_6_Europe/BEL_Belgium/VLG_Flanders_Region/BEL_VLG_Goetsenhoven.Mil.AP.064630_TMYx.zip</v>
      </c>
    </row>
    <row r="751" spans="1:10" x14ac:dyDescent="0.25">
      <c r="A751" t="s">
        <v>367</v>
      </c>
      <c r="B751" t="s">
        <v>368</v>
      </c>
      <c r="C751" t="s">
        <v>433</v>
      </c>
      <c r="D751" s="1" t="s">
        <v>434</v>
      </c>
      <c r="E751" t="s">
        <v>435</v>
      </c>
      <c r="F751">
        <v>51.221400000000003</v>
      </c>
      <c r="G751">
        <v>5.0271999999999997</v>
      </c>
      <c r="H751">
        <v>1</v>
      </c>
      <c r="I751">
        <v>21</v>
      </c>
      <c r="J751" t="str">
        <f>HYPERLINK("https://climate.onebuilding.org/WMO_Region_6_Europe/BEL_Belgium/VLG_Flanders_Region/BEL_VLG_Retie.064640_TMYx.2004-2018.zip")</f>
        <v>https://climate.onebuilding.org/WMO_Region_6_Europe/BEL_Belgium/VLG_Flanders_Region/BEL_VLG_Retie.064640_TMYx.2004-2018.zip</v>
      </c>
    </row>
    <row r="752" spans="1:10" x14ac:dyDescent="0.25">
      <c r="A752" t="s">
        <v>367</v>
      </c>
      <c r="B752" t="s">
        <v>368</v>
      </c>
      <c r="C752" t="s">
        <v>433</v>
      </c>
      <c r="D752" s="1" t="s">
        <v>434</v>
      </c>
      <c r="E752" t="s">
        <v>14</v>
      </c>
      <c r="F752">
        <v>51.221400000000003</v>
      </c>
      <c r="G752">
        <v>5.0271999999999997</v>
      </c>
      <c r="H752">
        <v>1</v>
      </c>
      <c r="I752">
        <v>21</v>
      </c>
      <c r="J752" t="str">
        <f>HYPERLINK("https://climate.onebuilding.org/WMO_Region_6_Europe/BEL_Belgium/VLG_Flanders_Region/BEL_VLG_Retie.064640_TMYx.2007-2021.zip")</f>
        <v>https://climate.onebuilding.org/WMO_Region_6_Europe/BEL_Belgium/VLG_Flanders_Region/BEL_VLG_Retie.064640_TMYx.2007-2021.zip</v>
      </c>
    </row>
    <row r="753" spans="1:10" x14ac:dyDescent="0.25">
      <c r="A753" t="s">
        <v>367</v>
      </c>
      <c r="B753" t="s">
        <v>368</v>
      </c>
      <c r="C753" t="s">
        <v>433</v>
      </c>
      <c r="D753" s="1" t="s">
        <v>434</v>
      </c>
      <c r="E753" t="s">
        <v>14</v>
      </c>
      <c r="F753">
        <v>51.221400000000003</v>
      </c>
      <c r="G753">
        <v>5.0271999999999997</v>
      </c>
      <c r="H753">
        <v>1</v>
      </c>
      <c r="I753">
        <v>21</v>
      </c>
      <c r="J753" t="str">
        <f>HYPERLINK("https://climate.onebuilding.org/WMO_Region_6_Europe/BEL_Belgium/VLG_Flanders_Region/BEL_VLG_Retie.064640_TMYx.2009-2023.zip")</f>
        <v>https://climate.onebuilding.org/WMO_Region_6_Europe/BEL_Belgium/VLG_Flanders_Region/BEL_VLG_Retie.064640_TMYx.2009-2023.zip</v>
      </c>
    </row>
    <row r="754" spans="1:10" x14ac:dyDescent="0.25">
      <c r="A754" t="s">
        <v>367</v>
      </c>
      <c r="B754" t="s">
        <v>368</v>
      </c>
      <c r="C754" t="s">
        <v>433</v>
      </c>
      <c r="D754" s="1" t="s">
        <v>434</v>
      </c>
      <c r="E754" t="s">
        <v>14</v>
      </c>
      <c r="F754">
        <v>51.221400000000003</v>
      </c>
      <c r="G754">
        <v>5.0271999999999997</v>
      </c>
      <c r="H754">
        <v>1</v>
      </c>
      <c r="I754">
        <v>21</v>
      </c>
      <c r="J754" t="str">
        <f>HYPERLINK("https://climate.onebuilding.org/WMO_Region_6_Europe/BEL_Belgium/VLG_Flanders_Region/BEL_VLG_Retie.064640_TMYx.zip")</f>
        <v>https://climate.onebuilding.org/WMO_Region_6_Europe/BEL_Belgium/VLG_Flanders_Region/BEL_VLG_Retie.064640_TMYx.zip</v>
      </c>
    </row>
    <row r="755" spans="1:10" x14ac:dyDescent="0.25">
      <c r="A755" t="s">
        <v>367</v>
      </c>
      <c r="B755" t="s">
        <v>368</v>
      </c>
      <c r="C755" t="s">
        <v>436</v>
      </c>
      <c r="D755" s="1" t="s">
        <v>437</v>
      </c>
      <c r="E755" t="s">
        <v>438</v>
      </c>
      <c r="F755">
        <v>50.996899999999997</v>
      </c>
      <c r="G755">
        <v>5.0618999999999996</v>
      </c>
      <c r="H755">
        <v>1</v>
      </c>
      <c r="I755">
        <v>54.2</v>
      </c>
      <c r="J755" t="str">
        <f>HYPERLINK("https://climate.onebuilding.org/WMO_Region_6_Europe/BEL_Belgium/VLG_Flanders_Region/BEL_VLG_Schaffen.064650_TMYx.2004-2018.zip")</f>
        <v>https://climate.onebuilding.org/WMO_Region_6_Europe/BEL_Belgium/VLG_Flanders_Region/BEL_VLG_Schaffen.064650_TMYx.2004-2018.zip</v>
      </c>
    </row>
    <row r="756" spans="1:10" x14ac:dyDescent="0.25">
      <c r="A756" t="s">
        <v>367</v>
      </c>
      <c r="B756" t="s">
        <v>368</v>
      </c>
      <c r="C756" t="s">
        <v>436</v>
      </c>
      <c r="D756" s="1" t="s">
        <v>437</v>
      </c>
      <c r="E756" t="s">
        <v>14</v>
      </c>
      <c r="F756">
        <v>50.996899999999997</v>
      </c>
      <c r="G756">
        <v>5.0618999999999996</v>
      </c>
      <c r="H756">
        <v>1</v>
      </c>
      <c r="I756">
        <v>54.2</v>
      </c>
      <c r="J756" t="str">
        <f>HYPERLINK("https://climate.onebuilding.org/WMO_Region_6_Europe/BEL_Belgium/VLG_Flanders_Region/BEL_VLG_Schaffen.064650_TMYx.2007-2021.zip")</f>
        <v>https://climate.onebuilding.org/WMO_Region_6_Europe/BEL_Belgium/VLG_Flanders_Region/BEL_VLG_Schaffen.064650_TMYx.2007-2021.zip</v>
      </c>
    </row>
    <row r="757" spans="1:10" x14ac:dyDescent="0.25">
      <c r="A757" t="s">
        <v>367</v>
      </c>
      <c r="B757" t="s">
        <v>368</v>
      </c>
      <c r="C757" t="s">
        <v>436</v>
      </c>
      <c r="D757" s="1" t="s">
        <v>437</v>
      </c>
      <c r="E757" t="s">
        <v>14</v>
      </c>
      <c r="F757">
        <v>50.996899999999997</v>
      </c>
      <c r="G757">
        <v>5.0618999999999996</v>
      </c>
      <c r="H757">
        <v>1</v>
      </c>
      <c r="I757">
        <v>54.2</v>
      </c>
      <c r="J757" t="str">
        <f>HYPERLINK("https://climate.onebuilding.org/WMO_Region_6_Europe/BEL_Belgium/VLG_Flanders_Region/BEL_VLG_Schaffen.064650_TMYx.2009-2023.zip")</f>
        <v>https://climate.onebuilding.org/WMO_Region_6_Europe/BEL_Belgium/VLG_Flanders_Region/BEL_VLG_Schaffen.064650_TMYx.2009-2023.zip</v>
      </c>
    </row>
    <row r="758" spans="1:10" x14ac:dyDescent="0.25">
      <c r="A758" t="s">
        <v>367</v>
      </c>
      <c r="B758" t="s">
        <v>368</v>
      </c>
      <c r="C758" t="s">
        <v>436</v>
      </c>
      <c r="D758" s="1" t="s">
        <v>437</v>
      </c>
      <c r="E758" t="s">
        <v>14</v>
      </c>
      <c r="F758">
        <v>50.996899999999997</v>
      </c>
      <c r="G758">
        <v>5.0618999999999996</v>
      </c>
      <c r="H758">
        <v>1</v>
      </c>
      <c r="I758">
        <v>54.2</v>
      </c>
      <c r="J758" t="str">
        <f>HYPERLINK("https://climate.onebuilding.org/WMO_Region_6_Europe/BEL_Belgium/VLG_Flanders_Region/BEL_VLG_Schaffen.064650_TMYx.zip")</f>
        <v>https://climate.onebuilding.org/WMO_Region_6_Europe/BEL_Belgium/VLG_Flanders_Region/BEL_VLG_Schaffen.064650_TMYx.zip</v>
      </c>
    </row>
    <row r="759" spans="1:10" x14ac:dyDescent="0.25">
      <c r="A759" t="s">
        <v>367</v>
      </c>
      <c r="B759" t="s">
        <v>368</v>
      </c>
      <c r="C759" t="s">
        <v>439</v>
      </c>
      <c r="D759" s="1" t="s">
        <v>440</v>
      </c>
      <c r="E759" t="s">
        <v>14</v>
      </c>
      <c r="F759">
        <v>50.792000000000002</v>
      </c>
      <c r="G759">
        <v>5.202</v>
      </c>
      <c r="H759">
        <v>1</v>
      </c>
      <c r="I759">
        <v>75</v>
      </c>
      <c r="J759" t="str">
        <f>HYPERLINK("https://climate.onebuilding.org/WMO_Region_6_Europe/BEL_Belgium/VLG_Flanders_Region/BEL_VLG_Limburg.Rgnl.AP.064700_TMYx.zip")</f>
        <v>https://climate.onebuilding.org/WMO_Region_6_Europe/BEL_Belgium/VLG_Flanders_Region/BEL_VLG_Limburg.Rgnl.AP.064700_TMYx.zip</v>
      </c>
    </row>
    <row r="760" spans="1:10" x14ac:dyDescent="0.25">
      <c r="A760" t="s">
        <v>367</v>
      </c>
      <c r="B760" t="s">
        <v>391</v>
      </c>
      <c r="C760" t="s">
        <v>441</v>
      </c>
      <c r="D760" s="1" t="s">
        <v>442</v>
      </c>
      <c r="E760" t="s">
        <v>443</v>
      </c>
      <c r="F760">
        <v>50.193600000000004</v>
      </c>
      <c r="G760">
        <v>5.2556000000000003</v>
      </c>
      <c r="H760">
        <v>1</v>
      </c>
      <c r="I760">
        <v>296</v>
      </c>
      <c r="J760" t="str">
        <f>HYPERLINK("https://climate.onebuilding.org/WMO_Region_6_Europe/BEL_Belgium/WAL_Walloon_Region/BEL_WAL_Humain.064720_TMYx.2004-2018.zip")</f>
        <v>https://climate.onebuilding.org/WMO_Region_6_Europe/BEL_Belgium/WAL_Walloon_Region/BEL_WAL_Humain.064720_TMYx.2004-2018.zip</v>
      </c>
    </row>
    <row r="761" spans="1:10" x14ac:dyDescent="0.25">
      <c r="A761" t="s">
        <v>367</v>
      </c>
      <c r="B761" t="s">
        <v>391</v>
      </c>
      <c r="C761" t="s">
        <v>441</v>
      </c>
      <c r="D761" s="1" t="s">
        <v>442</v>
      </c>
      <c r="E761" t="s">
        <v>14</v>
      </c>
      <c r="F761">
        <v>50.193600000000004</v>
      </c>
      <c r="G761">
        <v>5.2556000000000003</v>
      </c>
      <c r="H761">
        <v>1</v>
      </c>
      <c r="I761">
        <v>296</v>
      </c>
      <c r="J761" t="str">
        <f>HYPERLINK("https://climate.onebuilding.org/WMO_Region_6_Europe/BEL_Belgium/WAL_Walloon_Region/BEL_WAL_Humain.064720_TMYx.2007-2021.zip")</f>
        <v>https://climate.onebuilding.org/WMO_Region_6_Europe/BEL_Belgium/WAL_Walloon_Region/BEL_WAL_Humain.064720_TMYx.2007-2021.zip</v>
      </c>
    </row>
    <row r="762" spans="1:10" x14ac:dyDescent="0.25">
      <c r="A762" t="s">
        <v>367</v>
      </c>
      <c r="B762" t="s">
        <v>391</v>
      </c>
      <c r="C762" t="s">
        <v>441</v>
      </c>
      <c r="D762" s="1" t="s">
        <v>442</v>
      </c>
      <c r="E762" t="s">
        <v>14</v>
      </c>
      <c r="F762">
        <v>50.193600000000004</v>
      </c>
      <c r="G762">
        <v>5.2556000000000003</v>
      </c>
      <c r="H762">
        <v>1</v>
      </c>
      <c r="I762">
        <v>296</v>
      </c>
      <c r="J762" t="str">
        <f>HYPERLINK("https://climate.onebuilding.org/WMO_Region_6_Europe/BEL_Belgium/WAL_Walloon_Region/BEL_WAL_Humain.064720_TMYx.2009-2023.zip")</f>
        <v>https://climate.onebuilding.org/WMO_Region_6_Europe/BEL_Belgium/WAL_Walloon_Region/BEL_WAL_Humain.064720_TMYx.2009-2023.zip</v>
      </c>
    </row>
    <row r="763" spans="1:10" x14ac:dyDescent="0.25">
      <c r="A763" t="s">
        <v>367</v>
      </c>
      <c r="B763" t="s">
        <v>391</v>
      </c>
      <c r="C763" t="s">
        <v>441</v>
      </c>
      <c r="D763" s="1" t="s">
        <v>442</v>
      </c>
      <c r="E763" t="s">
        <v>14</v>
      </c>
      <c r="F763">
        <v>50.193600000000004</v>
      </c>
      <c r="G763">
        <v>5.2556000000000003</v>
      </c>
      <c r="H763">
        <v>1</v>
      </c>
      <c r="I763">
        <v>296</v>
      </c>
      <c r="J763" t="str">
        <f>HYPERLINK("https://climate.onebuilding.org/WMO_Region_6_Europe/BEL_Belgium/WAL_Walloon_Region/BEL_WAL_Humain.064720_TMYx.zip")</f>
        <v>https://climate.onebuilding.org/WMO_Region_6_Europe/BEL_Belgium/WAL_Walloon_Region/BEL_WAL_Humain.064720_TMYx.zip</v>
      </c>
    </row>
    <row r="764" spans="1:10" x14ac:dyDescent="0.25">
      <c r="A764" t="s">
        <v>367</v>
      </c>
      <c r="B764" t="s">
        <v>391</v>
      </c>
      <c r="C764" t="s">
        <v>444</v>
      </c>
      <c r="D764" s="1" t="s">
        <v>445</v>
      </c>
      <c r="E764" t="s">
        <v>14</v>
      </c>
      <c r="F764">
        <v>50.267000000000003</v>
      </c>
      <c r="G764">
        <v>5.25</v>
      </c>
      <c r="H764">
        <v>1</v>
      </c>
      <c r="I764">
        <v>244</v>
      </c>
      <c r="J764" t="str">
        <f>HYPERLINK("https://climate.onebuilding.org/WMO_Region_6_Europe/BEL_Belgium/WAL_Walloon_Region/BEL_WAL_Sinsin.064730_TMYx.zip")</f>
        <v>https://climate.onebuilding.org/WMO_Region_6_Europe/BEL_Belgium/WAL_Walloon_Region/BEL_WAL_Sinsin.064730_TMYx.zip</v>
      </c>
    </row>
    <row r="765" spans="1:10" x14ac:dyDescent="0.25">
      <c r="A765" t="s">
        <v>367</v>
      </c>
      <c r="B765" t="s">
        <v>391</v>
      </c>
      <c r="C765" t="s">
        <v>446</v>
      </c>
      <c r="D765" s="1" t="s">
        <v>447</v>
      </c>
      <c r="E765" t="s">
        <v>448</v>
      </c>
      <c r="F765">
        <v>50.038899999999998</v>
      </c>
      <c r="G765">
        <v>5.4039000000000001</v>
      </c>
      <c r="H765">
        <v>1</v>
      </c>
      <c r="I765">
        <v>557</v>
      </c>
      <c r="J765" t="str">
        <f>HYPERLINK("https://climate.onebuilding.org/WMO_Region_6_Europe/BEL_Belgium/WAL_Walloon_Region/BEL_WAL_St.Hubert.AFB.064760_TMYx.2004-2018.zip")</f>
        <v>https://climate.onebuilding.org/WMO_Region_6_Europe/BEL_Belgium/WAL_Walloon_Region/BEL_WAL_St.Hubert.AFB.064760_TMYx.2004-2018.zip</v>
      </c>
    </row>
    <row r="766" spans="1:10" x14ac:dyDescent="0.25">
      <c r="A766" t="s">
        <v>367</v>
      </c>
      <c r="B766" t="s">
        <v>391</v>
      </c>
      <c r="C766" t="s">
        <v>446</v>
      </c>
      <c r="D766" s="1" t="s">
        <v>447</v>
      </c>
      <c r="E766" t="s">
        <v>14</v>
      </c>
      <c r="F766">
        <v>50.038899999999998</v>
      </c>
      <c r="G766">
        <v>5.4039000000000001</v>
      </c>
      <c r="H766">
        <v>1</v>
      </c>
      <c r="I766">
        <v>557</v>
      </c>
      <c r="J766" t="str">
        <f>HYPERLINK("https://climate.onebuilding.org/WMO_Region_6_Europe/BEL_Belgium/WAL_Walloon_Region/BEL_WAL_St.Hubert.AFB.064760_TMYx.2007-2021.zip")</f>
        <v>https://climate.onebuilding.org/WMO_Region_6_Europe/BEL_Belgium/WAL_Walloon_Region/BEL_WAL_St.Hubert.AFB.064760_TMYx.2007-2021.zip</v>
      </c>
    </row>
    <row r="767" spans="1:10" x14ac:dyDescent="0.25">
      <c r="A767" t="s">
        <v>367</v>
      </c>
      <c r="B767" t="s">
        <v>391</v>
      </c>
      <c r="C767" t="s">
        <v>446</v>
      </c>
      <c r="D767" s="1" t="s">
        <v>447</v>
      </c>
      <c r="E767" t="s">
        <v>14</v>
      </c>
      <c r="F767">
        <v>50.038899999999998</v>
      </c>
      <c r="G767">
        <v>5.4039000000000001</v>
      </c>
      <c r="H767">
        <v>1</v>
      </c>
      <c r="I767">
        <v>557</v>
      </c>
      <c r="J767" t="str">
        <f>HYPERLINK("https://climate.onebuilding.org/WMO_Region_6_Europe/BEL_Belgium/WAL_Walloon_Region/BEL_WAL_St.Hubert.AFB.064760_TMYx.2009-2023.zip")</f>
        <v>https://climate.onebuilding.org/WMO_Region_6_Europe/BEL_Belgium/WAL_Walloon_Region/BEL_WAL_St.Hubert.AFB.064760_TMYx.2009-2023.zip</v>
      </c>
    </row>
    <row r="768" spans="1:10" x14ac:dyDescent="0.25">
      <c r="A768" t="s">
        <v>367</v>
      </c>
      <c r="B768" t="s">
        <v>391</v>
      </c>
      <c r="C768" t="s">
        <v>446</v>
      </c>
      <c r="D768" s="1" t="s">
        <v>447</v>
      </c>
      <c r="E768" t="s">
        <v>14</v>
      </c>
      <c r="F768">
        <v>50.038899999999998</v>
      </c>
      <c r="G768">
        <v>5.4039000000000001</v>
      </c>
      <c r="H768">
        <v>1</v>
      </c>
      <c r="I768">
        <v>557</v>
      </c>
      <c r="J768" t="str">
        <f>HYPERLINK("https://climate.onebuilding.org/WMO_Region_6_Europe/BEL_Belgium/WAL_Walloon_Region/BEL_WAL_St.Hubert.AFB.064760_TMYx.zip")</f>
        <v>https://climate.onebuilding.org/WMO_Region_6_Europe/BEL_Belgium/WAL_Walloon_Region/BEL_WAL_St.Hubert.AFB.064760_TMYx.zip</v>
      </c>
    </row>
    <row r="769" spans="1:10" x14ac:dyDescent="0.25">
      <c r="A769" t="s">
        <v>367</v>
      </c>
      <c r="B769" t="s">
        <v>368</v>
      </c>
      <c r="C769" t="s">
        <v>449</v>
      </c>
      <c r="D769" s="1" t="s">
        <v>450</v>
      </c>
      <c r="E769" t="s">
        <v>451</v>
      </c>
      <c r="F769">
        <v>50.915599999999998</v>
      </c>
      <c r="G769">
        <v>5.4503000000000004</v>
      </c>
      <c r="H769">
        <v>1</v>
      </c>
      <c r="I769">
        <v>39</v>
      </c>
      <c r="J769" t="str">
        <f>HYPERLINK("https://climate.onebuilding.org/WMO_Region_6_Europe/BEL_Belgium/VLG_Flanders_Region/BEL_VLG_Diepenbeek.064770_TMYx.2004-2018.zip")</f>
        <v>https://climate.onebuilding.org/WMO_Region_6_Europe/BEL_Belgium/VLG_Flanders_Region/BEL_VLG_Diepenbeek.064770_TMYx.2004-2018.zip</v>
      </c>
    </row>
    <row r="770" spans="1:10" x14ac:dyDescent="0.25">
      <c r="A770" t="s">
        <v>367</v>
      </c>
      <c r="B770" t="s">
        <v>368</v>
      </c>
      <c r="C770" t="s">
        <v>449</v>
      </c>
      <c r="D770" s="1" t="s">
        <v>450</v>
      </c>
      <c r="E770" t="s">
        <v>14</v>
      </c>
      <c r="F770">
        <v>50.915599999999998</v>
      </c>
      <c r="G770">
        <v>5.4503000000000004</v>
      </c>
      <c r="H770">
        <v>1</v>
      </c>
      <c r="I770">
        <v>39</v>
      </c>
      <c r="J770" t="str">
        <f>HYPERLINK("https://climate.onebuilding.org/WMO_Region_6_Europe/BEL_Belgium/VLG_Flanders_Region/BEL_VLG_Diepenbeek.064770_TMYx.2007-2021.zip")</f>
        <v>https://climate.onebuilding.org/WMO_Region_6_Europe/BEL_Belgium/VLG_Flanders_Region/BEL_VLG_Diepenbeek.064770_TMYx.2007-2021.zip</v>
      </c>
    </row>
    <row r="771" spans="1:10" x14ac:dyDescent="0.25">
      <c r="A771" t="s">
        <v>367</v>
      </c>
      <c r="B771" t="s">
        <v>368</v>
      </c>
      <c r="C771" t="s">
        <v>449</v>
      </c>
      <c r="D771" s="1" t="s">
        <v>450</v>
      </c>
      <c r="E771" t="s">
        <v>14</v>
      </c>
      <c r="F771">
        <v>50.915599999999998</v>
      </c>
      <c r="G771">
        <v>5.4503000000000004</v>
      </c>
      <c r="H771">
        <v>1</v>
      </c>
      <c r="I771">
        <v>39</v>
      </c>
      <c r="J771" t="str">
        <f>HYPERLINK("https://climate.onebuilding.org/WMO_Region_6_Europe/BEL_Belgium/VLG_Flanders_Region/BEL_VLG_Diepenbeek.064770_TMYx.2009-2023.zip")</f>
        <v>https://climate.onebuilding.org/WMO_Region_6_Europe/BEL_Belgium/VLG_Flanders_Region/BEL_VLG_Diepenbeek.064770_TMYx.2009-2023.zip</v>
      </c>
    </row>
    <row r="772" spans="1:10" x14ac:dyDescent="0.25">
      <c r="A772" t="s">
        <v>367</v>
      </c>
      <c r="B772" t="s">
        <v>368</v>
      </c>
      <c r="C772" t="s">
        <v>449</v>
      </c>
      <c r="D772" s="1" t="s">
        <v>450</v>
      </c>
      <c r="E772" t="s">
        <v>14</v>
      </c>
      <c r="F772">
        <v>50.915599999999998</v>
      </c>
      <c r="G772">
        <v>5.4503000000000004</v>
      </c>
      <c r="H772">
        <v>1</v>
      </c>
      <c r="I772">
        <v>39</v>
      </c>
      <c r="J772" t="str">
        <f>HYPERLINK("https://climate.onebuilding.org/WMO_Region_6_Europe/BEL_Belgium/VLG_Flanders_Region/BEL_VLG_Diepenbeek.064770_TMYx.zip")</f>
        <v>https://climate.onebuilding.org/WMO_Region_6_Europe/BEL_Belgium/VLG_Flanders_Region/BEL_VLG_Diepenbeek.064770_TMYx.zip</v>
      </c>
    </row>
    <row r="773" spans="1:10" x14ac:dyDescent="0.25">
      <c r="A773" t="s">
        <v>367</v>
      </c>
      <c r="B773" t="s">
        <v>391</v>
      </c>
      <c r="C773" t="s">
        <v>452</v>
      </c>
      <c r="D773" s="1" t="s">
        <v>453</v>
      </c>
      <c r="E773" t="s">
        <v>454</v>
      </c>
      <c r="F773">
        <v>50.645800000000001</v>
      </c>
      <c r="G773">
        <v>5.4555999999999996</v>
      </c>
      <c r="H773">
        <v>1</v>
      </c>
      <c r="I773">
        <v>181</v>
      </c>
      <c r="J773" t="str">
        <f>HYPERLINK("https://climate.onebuilding.org/WMO_Region_6_Europe/BEL_Belgium/WAL_Walloon_Region/BEL_WAL_Liege.AP.064780_TMYx.2004-2018.zip")</f>
        <v>https://climate.onebuilding.org/WMO_Region_6_Europe/BEL_Belgium/WAL_Walloon_Region/BEL_WAL_Liege.AP.064780_TMYx.2004-2018.zip</v>
      </c>
    </row>
    <row r="774" spans="1:10" x14ac:dyDescent="0.25">
      <c r="A774" t="s">
        <v>367</v>
      </c>
      <c r="B774" t="s">
        <v>391</v>
      </c>
      <c r="C774" t="s">
        <v>452</v>
      </c>
      <c r="D774" s="1" t="s">
        <v>453</v>
      </c>
      <c r="E774" t="s">
        <v>14</v>
      </c>
      <c r="F774">
        <v>50.64584</v>
      </c>
      <c r="G774">
        <v>5.4555600000000002</v>
      </c>
      <c r="H774">
        <v>1</v>
      </c>
      <c r="I774">
        <v>181</v>
      </c>
      <c r="J774" t="str">
        <f>HYPERLINK("https://climate.onebuilding.org/WMO_Region_6_Europe/BEL_Belgium/WAL_Walloon_Region/BEL_WAL_Liege.AP.064780_TMYx.2007-2021.zip")</f>
        <v>https://climate.onebuilding.org/WMO_Region_6_Europe/BEL_Belgium/WAL_Walloon_Region/BEL_WAL_Liege.AP.064780_TMYx.2007-2021.zip</v>
      </c>
    </row>
    <row r="775" spans="1:10" x14ac:dyDescent="0.25">
      <c r="A775" t="s">
        <v>367</v>
      </c>
      <c r="B775" t="s">
        <v>391</v>
      </c>
      <c r="C775" t="s">
        <v>452</v>
      </c>
      <c r="D775" s="1" t="s">
        <v>453</v>
      </c>
      <c r="E775" t="s">
        <v>14</v>
      </c>
      <c r="F775">
        <v>50.64584</v>
      </c>
      <c r="G775">
        <v>5.4555600000000002</v>
      </c>
      <c r="H775">
        <v>1</v>
      </c>
      <c r="I775">
        <v>181</v>
      </c>
      <c r="J775" t="str">
        <f>HYPERLINK("https://climate.onebuilding.org/WMO_Region_6_Europe/BEL_Belgium/WAL_Walloon_Region/BEL_WAL_Liege.AP.064780_TMYx.2009-2023.zip")</f>
        <v>https://climate.onebuilding.org/WMO_Region_6_Europe/BEL_Belgium/WAL_Walloon_Region/BEL_WAL_Liege.AP.064780_TMYx.2009-2023.zip</v>
      </c>
    </row>
    <row r="776" spans="1:10" x14ac:dyDescent="0.25">
      <c r="A776" t="s">
        <v>367</v>
      </c>
      <c r="B776" t="s">
        <v>391</v>
      </c>
      <c r="C776" t="s">
        <v>452</v>
      </c>
      <c r="D776" s="1" t="s">
        <v>453</v>
      </c>
      <c r="E776" t="s">
        <v>14</v>
      </c>
      <c r="F776">
        <v>50.64584</v>
      </c>
      <c r="G776">
        <v>5.4555600000000002</v>
      </c>
      <c r="H776">
        <v>1</v>
      </c>
      <c r="I776">
        <v>181</v>
      </c>
      <c r="J776" t="str">
        <f>HYPERLINK("https://climate.onebuilding.org/WMO_Region_6_Europe/BEL_Belgium/WAL_Walloon_Region/BEL_WAL_Liege.AP.064780_TMYx.zip")</f>
        <v>https://climate.onebuilding.org/WMO_Region_6_Europe/BEL_Belgium/WAL_Walloon_Region/BEL_WAL_Liege.AP.064780_TMYx.zip</v>
      </c>
    </row>
    <row r="777" spans="1:10" x14ac:dyDescent="0.25">
      <c r="A777" t="s">
        <v>367</v>
      </c>
      <c r="B777" t="s">
        <v>368</v>
      </c>
      <c r="C777" t="s">
        <v>455</v>
      </c>
      <c r="D777" s="1" t="s">
        <v>456</v>
      </c>
      <c r="E777" t="s">
        <v>457</v>
      </c>
      <c r="F777">
        <v>51.168900000000001</v>
      </c>
      <c r="G777">
        <v>5.4627999999999997</v>
      </c>
      <c r="H777">
        <v>1</v>
      </c>
      <c r="I777">
        <v>57.2</v>
      </c>
      <c r="J777" t="str">
        <f>HYPERLINK("https://climate.onebuilding.org/WMO_Region_6_Europe/BEL_Belgium/VLG_Flanders_Region/BEL_VLG_Kleine.Brogel.AFB.064790_TMYx.2004-2018.zip")</f>
        <v>https://climate.onebuilding.org/WMO_Region_6_Europe/BEL_Belgium/VLG_Flanders_Region/BEL_VLG_Kleine.Brogel.AFB.064790_TMYx.2004-2018.zip</v>
      </c>
    </row>
    <row r="778" spans="1:10" x14ac:dyDescent="0.25">
      <c r="A778" t="s">
        <v>367</v>
      </c>
      <c r="B778" t="s">
        <v>368</v>
      </c>
      <c r="C778" t="s">
        <v>455</v>
      </c>
      <c r="D778" s="1" t="s">
        <v>456</v>
      </c>
      <c r="E778" t="s">
        <v>14</v>
      </c>
      <c r="F778">
        <v>51.168900000000001</v>
      </c>
      <c r="G778">
        <v>5.4627999999999997</v>
      </c>
      <c r="H778">
        <v>1</v>
      </c>
      <c r="I778">
        <v>57.2</v>
      </c>
      <c r="J778" t="str">
        <f>HYPERLINK("https://climate.onebuilding.org/WMO_Region_6_Europe/BEL_Belgium/VLG_Flanders_Region/BEL_VLG_Kleine.Brogel.AFB.064790_TMYx.2007-2021.zip")</f>
        <v>https://climate.onebuilding.org/WMO_Region_6_Europe/BEL_Belgium/VLG_Flanders_Region/BEL_VLG_Kleine.Brogel.AFB.064790_TMYx.2007-2021.zip</v>
      </c>
    </row>
    <row r="779" spans="1:10" x14ac:dyDescent="0.25">
      <c r="A779" t="s">
        <v>367</v>
      </c>
      <c r="B779" t="s">
        <v>368</v>
      </c>
      <c r="C779" t="s">
        <v>455</v>
      </c>
      <c r="D779" s="1" t="s">
        <v>456</v>
      </c>
      <c r="E779" t="s">
        <v>14</v>
      </c>
      <c r="F779">
        <v>51.168900000000001</v>
      </c>
      <c r="G779">
        <v>5.4627999999999997</v>
      </c>
      <c r="H779">
        <v>1</v>
      </c>
      <c r="I779">
        <v>57.2</v>
      </c>
      <c r="J779" t="str">
        <f>HYPERLINK("https://climate.onebuilding.org/WMO_Region_6_Europe/BEL_Belgium/VLG_Flanders_Region/BEL_VLG_Kleine.Brogel.AFB.064790_TMYx.2009-2023.zip")</f>
        <v>https://climate.onebuilding.org/WMO_Region_6_Europe/BEL_Belgium/VLG_Flanders_Region/BEL_VLG_Kleine.Brogel.AFB.064790_TMYx.2009-2023.zip</v>
      </c>
    </row>
    <row r="780" spans="1:10" x14ac:dyDescent="0.25">
      <c r="A780" t="s">
        <v>367</v>
      </c>
      <c r="B780" t="s">
        <v>368</v>
      </c>
      <c r="C780" t="s">
        <v>455</v>
      </c>
      <c r="D780" s="1" t="s">
        <v>456</v>
      </c>
      <c r="E780" t="s">
        <v>14</v>
      </c>
      <c r="F780">
        <v>51.168900000000001</v>
      </c>
      <c r="G780">
        <v>5.4627999999999997</v>
      </c>
      <c r="H780">
        <v>1</v>
      </c>
      <c r="I780">
        <v>57.2</v>
      </c>
      <c r="J780" t="str">
        <f>HYPERLINK("https://climate.onebuilding.org/WMO_Region_6_Europe/BEL_Belgium/VLG_Flanders_Region/BEL_VLG_Kleine.Brogel.AFB.064790_TMYx.zip")</f>
        <v>https://climate.onebuilding.org/WMO_Region_6_Europe/BEL_Belgium/VLG_Flanders_Region/BEL_VLG_Kleine.Brogel.AFB.064790_TMYx.zip</v>
      </c>
    </row>
    <row r="781" spans="1:10" x14ac:dyDescent="0.25">
      <c r="A781" t="s">
        <v>367</v>
      </c>
      <c r="B781" t="s">
        <v>391</v>
      </c>
      <c r="C781" t="s">
        <v>458</v>
      </c>
      <c r="D781" s="1" t="s">
        <v>459</v>
      </c>
      <c r="E781" t="s">
        <v>14</v>
      </c>
      <c r="F781">
        <v>49.6</v>
      </c>
      <c r="G781">
        <v>5.4829999999999997</v>
      </c>
      <c r="H781">
        <v>1</v>
      </c>
      <c r="I781">
        <v>252</v>
      </c>
      <c r="J781" t="str">
        <f>HYPERLINK("https://climate.onebuilding.org/WMO_Region_6_Europe/BEL_Belgium/WAL_Walloon_Region/BEL_WAL_Meix.devant.Virton.064800_TMYx.zip")</f>
        <v>https://climate.onebuilding.org/WMO_Region_6_Europe/BEL_Belgium/WAL_Walloon_Region/BEL_WAL_Meix.devant.Virton.064800_TMYx.zip</v>
      </c>
    </row>
    <row r="782" spans="1:10" x14ac:dyDescent="0.25">
      <c r="A782" t="s">
        <v>367</v>
      </c>
      <c r="B782" t="s">
        <v>368</v>
      </c>
      <c r="C782" t="s">
        <v>460</v>
      </c>
      <c r="D782" s="1" t="s">
        <v>461</v>
      </c>
      <c r="E782" t="s">
        <v>14</v>
      </c>
      <c r="F782">
        <v>50.933300000000003</v>
      </c>
      <c r="G782">
        <v>5.5</v>
      </c>
      <c r="H782">
        <v>1</v>
      </c>
      <c r="I782">
        <v>63</v>
      </c>
      <c r="J782" t="str">
        <f>HYPERLINK("https://climate.onebuilding.org/WMO_Region_6_Europe/BEL_Belgium/VLG_Flanders_Region/BEL_VLG_Genk.064810_TMYx.zip")</f>
        <v>https://climate.onebuilding.org/WMO_Region_6_Europe/BEL_Belgium/VLG_Flanders_Region/BEL_VLG_Genk.064810_TMYx.zip</v>
      </c>
    </row>
    <row r="783" spans="1:10" x14ac:dyDescent="0.25">
      <c r="A783" t="s">
        <v>367</v>
      </c>
      <c r="B783" t="s">
        <v>391</v>
      </c>
      <c r="C783" t="s">
        <v>462</v>
      </c>
      <c r="D783" s="1" t="s">
        <v>463</v>
      </c>
      <c r="E783" t="s">
        <v>464</v>
      </c>
      <c r="F783">
        <v>49.6203</v>
      </c>
      <c r="G783">
        <v>5.5875000000000004</v>
      </c>
      <c r="H783">
        <v>1</v>
      </c>
      <c r="I783">
        <v>324</v>
      </c>
      <c r="J783" t="str">
        <f>HYPERLINK("https://climate.onebuilding.org/WMO_Region_6_Europe/BEL_Belgium/WAL_Walloon_Region/BEL_WAL_Buzenol.064840_TMYx.2004-2018.zip")</f>
        <v>https://climate.onebuilding.org/WMO_Region_6_Europe/BEL_Belgium/WAL_Walloon_Region/BEL_WAL_Buzenol.064840_TMYx.2004-2018.zip</v>
      </c>
    </row>
    <row r="784" spans="1:10" x14ac:dyDescent="0.25">
      <c r="A784" t="s">
        <v>367</v>
      </c>
      <c r="B784" t="s">
        <v>391</v>
      </c>
      <c r="C784" t="s">
        <v>462</v>
      </c>
      <c r="D784" s="1" t="s">
        <v>463</v>
      </c>
      <c r="E784" t="s">
        <v>14</v>
      </c>
      <c r="F784">
        <v>49.6203</v>
      </c>
      <c r="G784">
        <v>5.5875000000000004</v>
      </c>
      <c r="H784">
        <v>1</v>
      </c>
      <c r="I784">
        <v>324</v>
      </c>
      <c r="J784" t="str">
        <f>HYPERLINK("https://climate.onebuilding.org/WMO_Region_6_Europe/BEL_Belgium/WAL_Walloon_Region/BEL_WAL_Buzenol.064840_TMYx.2007-2021.zip")</f>
        <v>https://climate.onebuilding.org/WMO_Region_6_Europe/BEL_Belgium/WAL_Walloon_Region/BEL_WAL_Buzenol.064840_TMYx.2007-2021.zip</v>
      </c>
    </row>
    <row r="785" spans="1:10" x14ac:dyDescent="0.25">
      <c r="A785" t="s">
        <v>367</v>
      </c>
      <c r="B785" t="s">
        <v>391</v>
      </c>
      <c r="C785" t="s">
        <v>462</v>
      </c>
      <c r="D785" s="1" t="s">
        <v>463</v>
      </c>
      <c r="E785" t="s">
        <v>14</v>
      </c>
      <c r="F785">
        <v>49.6203</v>
      </c>
      <c r="G785">
        <v>5.5875000000000004</v>
      </c>
      <c r="H785">
        <v>1</v>
      </c>
      <c r="I785">
        <v>324</v>
      </c>
      <c r="J785" t="str">
        <f>HYPERLINK("https://climate.onebuilding.org/WMO_Region_6_Europe/BEL_Belgium/WAL_Walloon_Region/BEL_WAL_Buzenol.064840_TMYx.2009-2023.zip")</f>
        <v>https://climate.onebuilding.org/WMO_Region_6_Europe/BEL_Belgium/WAL_Walloon_Region/BEL_WAL_Buzenol.064840_TMYx.2009-2023.zip</v>
      </c>
    </row>
    <row r="786" spans="1:10" x14ac:dyDescent="0.25">
      <c r="A786" t="s">
        <v>367</v>
      </c>
      <c r="B786" t="s">
        <v>391</v>
      </c>
      <c r="C786" t="s">
        <v>462</v>
      </c>
      <c r="D786" s="1" t="s">
        <v>463</v>
      </c>
      <c r="E786" t="s">
        <v>14</v>
      </c>
      <c r="F786">
        <v>49.6203</v>
      </c>
      <c r="G786">
        <v>5.5875000000000004</v>
      </c>
      <c r="H786">
        <v>1</v>
      </c>
      <c r="I786">
        <v>324</v>
      </c>
      <c r="J786" t="str">
        <f>HYPERLINK("https://climate.onebuilding.org/WMO_Region_6_Europe/BEL_Belgium/WAL_Walloon_Region/BEL_WAL_Buzenol.064840_TMYx.zip")</f>
        <v>https://climate.onebuilding.org/WMO_Region_6_Europe/BEL_Belgium/WAL_Walloon_Region/BEL_WAL_Buzenol.064840_TMYx.zip</v>
      </c>
    </row>
    <row r="787" spans="1:10" x14ac:dyDescent="0.25">
      <c r="A787" t="s">
        <v>367</v>
      </c>
      <c r="B787" t="s">
        <v>391</v>
      </c>
      <c r="C787" t="s">
        <v>465</v>
      </c>
      <c r="D787" s="1" t="s">
        <v>466</v>
      </c>
      <c r="E787" t="s">
        <v>467</v>
      </c>
      <c r="F787">
        <v>50.4786</v>
      </c>
      <c r="G787">
        <v>5.91</v>
      </c>
      <c r="H787">
        <v>1</v>
      </c>
      <c r="I787">
        <v>477.4</v>
      </c>
      <c r="J787" t="str">
        <f>HYPERLINK("https://climate.onebuilding.org/WMO_Region_6_Europe/BEL_Belgium/WAL_Walloon_Region/BEL_WAL_Spa.La.Sauveniere.AF.064900_TMYx.2004-2018.zip")</f>
        <v>https://climate.onebuilding.org/WMO_Region_6_Europe/BEL_Belgium/WAL_Walloon_Region/BEL_WAL_Spa.La.Sauveniere.AF.064900_TMYx.2004-2018.zip</v>
      </c>
    </row>
    <row r="788" spans="1:10" x14ac:dyDescent="0.25">
      <c r="A788" t="s">
        <v>367</v>
      </c>
      <c r="B788" t="s">
        <v>391</v>
      </c>
      <c r="C788" t="s">
        <v>465</v>
      </c>
      <c r="D788" s="1" t="s">
        <v>466</v>
      </c>
      <c r="E788" t="s">
        <v>14</v>
      </c>
      <c r="F788">
        <v>50.4786</v>
      </c>
      <c r="G788">
        <v>5.91</v>
      </c>
      <c r="H788">
        <v>1</v>
      </c>
      <c r="I788">
        <v>477.4</v>
      </c>
      <c r="J788" t="str">
        <f>HYPERLINK("https://climate.onebuilding.org/WMO_Region_6_Europe/BEL_Belgium/WAL_Walloon_Region/BEL_WAL_Spa.La.Sauveniere.AF.064900_TMYx.2007-2021.zip")</f>
        <v>https://climate.onebuilding.org/WMO_Region_6_Europe/BEL_Belgium/WAL_Walloon_Region/BEL_WAL_Spa.La.Sauveniere.AF.064900_TMYx.2007-2021.zip</v>
      </c>
    </row>
    <row r="789" spans="1:10" x14ac:dyDescent="0.25">
      <c r="A789" t="s">
        <v>367</v>
      </c>
      <c r="B789" t="s">
        <v>391</v>
      </c>
      <c r="C789" t="s">
        <v>465</v>
      </c>
      <c r="D789" s="1" t="s">
        <v>466</v>
      </c>
      <c r="E789" t="s">
        <v>14</v>
      </c>
      <c r="F789">
        <v>50.4786</v>
      </c>
      <c r="G789">
        <v>5.91</v>
      </c>
      <c r="H789">
        <v>1</v>
      </c>
      <c r="I789">
        <v>477.4</v>
      </c>
      <c r="J789" t="str">
        <f>HYPERLINK("https://climate.onebuilding.org/WMO_Region_6_Europe/BEL_Belgium/WAL_Walloon_Region/BEL_WAL_Spa.La.Sauveniere.AF.064900_TMYx.2009-2023.zip")</f>
        <v>https://climate.onebuilding.org/WMO_Region_6_Europe/BEL_Belgium/WAL_Walloon_Region/BEL_WAL_Spa.La.Sauveniere.AF.064900_TMYx.2009-2023.zip</v>
      </c>
    </row>
    <row r="790" spans="1:10" x14ac:dyDescent="0.25">
      <c r="A790" t="s">
        <v>367</v>
      </c>
      <c r="B790" t="s">
        <v>391</v>
      </c>
      <c r="C790" t="s">
        <v>465</v>
      </c>
      <c r="D790" s="1" t="s">
        <v>466</v>
      </c>
      <c r="E790" t="s">
        <v>14</v>
      </c>
      <c r="F790">
        <v>50.4786</v>
      </c>
      <c r="G790">
        <v>5.91</v>
      </c>
      <c r="H790">
        <v>1</v>
      </c>
      <c r="I790">
        <v>477.4</v>
      </c>
      <c r="J790" t="str">
        <f>HYPERLINK("https://climate.onebuilding.org/WMO_Region_6_Europe/BEL_Belgium/WAL_Walloon_Region/BEL_WAL_Spa.La.Sauveniere.AF.064900_TMYx.zip")</f>
        <v>https://climate.onebuilding.org/WMO_Region_6_Europe/BEL_Belgium/WAL_Walloon_Region/BEL_WAL_Spa.La.Sauveniere.AF.064900_TMYx.zip</v>
      </c>
    </row>
    <row r="791" spans="1:10" x14ac:dyDescent="0.25">
      <c r="A791" t="s">
        <v>367</v>
      </c>
      <c r="B791" t="s">
        <v>391</v>
      </c>
      <c r="C791" t="s">
        <v>468</v>
      </c>
      <c r="D791" s="1" t="s">
        <v>469</v>
      </c>
      <c r="E791" t="s">
        <v>470</v>
      </c>
      <c r="F791">
        <v>50.510800000000003</v>
      </c>
      <c r="G791">
        <v>6.0732999999999997</v>
      </c>
      <c r="H791">
        <v>1</v>
      </c>
      <c r="I791">
        <v>673</v>
      </c>
      <c r="J791" t="str">
        <f>HYPERLINK("https://climate.onebuilding.org/WMO_Region_6_Europe/BEL_Belgium/WAL_Walloon_Region/BEL_WAL_Mont.Rigi.064940_TMYx.2004-2018.zip")</f>
        <v>https://climate.onebuilding.org/WMO_Region_6_Europe/BEL_Belgium/WAL_Walloon_Region/BEL_WAL_Mont.Rigi.064940_TMYx.2004-2018.zip</v>
      </c>
    </row>
    <row r="792" spans="1:10" x14ac:dyDescent="0.25">
      <c r="A792" t="s">
        <v>367</v>
      </c>
      <c r="B792" t="s">
        <v>391</v>
      </c>
      <c r="C792" t="s">
        <v>468</v>
      </c>
      <c r="D792" s="1" t="s">
        <v>469</v>
      </c>
      <c r="E792" t="s">
        <v>14</v>
      </c>
      <c r="F792">
        <v>50.510800000000003</v>
      </c>
      <c r="G792">
        <v>6.0732999999999997</v>
      </c>
      <c r="H792">
        <v>1</v>
      </c>
      <c r="I792">
        <v>673</v>
      </c>
      <c r="J792" t="str">
        <f>HYPERLINK("https://climate.onebuilding.org/WMO_Region_6_Europe/BEL_Belgium/WAL_Walloon_Region/BEL_WAL_Mont.Rigi.064940_TMYx.2007-2021.zip")</f>
        <v>https://climate.onebuilding.org/WMO_Region_6_Europe/BEL_Belgium/WAL_Walloon_Region/BEL_WAL_Mont.Rigi.064940_TMYx.2007-2021.zip</v>
      </c>
    </row>
    <row r="793" spans="1:10" x14ac:dyDescent="0.25">
      <c r="A793" t="s">
        <v>367</v>
      </c>
      <c r="B793" t="s">
        <v>391</v>
      </c>
      <c r="C793" t="s">
        <v>468</v>
      </c>
      <c r="D793" s="1" t="s">
        <v>469</v>
      </c>
      <c r="E793" t="s">
        <v>14</v>
      </c>
      <c r="F793">
        <v>50.510800000000003</v>
      </c>
      <c r="G793">
        <v>6.0732999999999997</v>
      </c>
      <c r="H793">
        <v>1</v>
      </c>
      <c r="I793">
        <v>673</v>
      </c>
      <c r="J793" t="str">
        <f>HYPERLINK("https://climate.onebuilding.org/WMO_Region_6_Europe/BEL_Belgium/WAL_Walloon_Region/BEL_WAL_Mont.Rigi.064940_TMYx.2009-2023.zip")</f>
        <v>https://climate.onebuilding.org/WMO_Region_6_Europe/BEL_Belgium/WAL_Walloon_Region/BEL_WAL_Mont.Rigi.064940_TMYx.2009-2023.zip</v>
      </c>
    </row>
    <row r="794" spans="1:10" x14ac:dyDescent="0.25">
      <c r="A794" t="s">
        <v>367</v>
      </c>
      <c r="B794" t="s">
        <v>391</v>
      </c>
      <c r="C794" t="s">
        <v>468</v>
      </c>
      <c r="D794" s="1" t="s">
        <v>469</v>
      </c>
      <c r="E794" t="s">
        <v>14</v>
      </c>
      <c r="F794">
        <v>50.510800000000003</v>
      </c>
      <c r="G794">
        <v>6.0732999999999997</v>
      </c>
      <c r="H794">
        <v>1</v>
      </c>
      <c r="I794">
        <v>673</v>
      </c>
      <c r="J794" t="str">
        <f>HYPERLINK("https://climate.onebuilding.org/WMO_Region_6_Europe/BEL_Belgium/WAL_Walloon_Region/BEL_WAL_Mont.Rigi.064940_TMYx.zip")</f>
        <v>https://climate.onebuilding.org/WMO_Region_6_Europe/BEL_Belgium/WAL_Walloon_Region/BEL_WAL_Mont.Rigi.064940_TMYx.zip</v>
      </c>
    </row>
    <row r="795" spans="1:10" x14ac:dyDescent="0.25">
      <c r="A795" t="s">
        <v>367</v>
      </c>
      <c r="B795" t="s">
        <v>391</v>
      </c>
      <c r="C795" t="s">
        <v>471</v>
      </c>
      <c r="D795" s="1" t="s">
        <v>472</v>
      </c>
      <c r="E795" t="s">
        <v>473</v>
      </c>
      <c r="F795">
        <v>50.482199999999999</v>
      </c>
      <c r="G795">
        <v>6.1814</v>
      </c>
      <c r="H795">
        <v>1</v>
      </c>
      <c r="I795">
        <v>570</v>
      </c>
      <c r="J795" t="str">
        <f>HYPERLINK("https://climate.onebuilding.org/WMO_Region_6_Europe/BEL_Belgium/WAL_Walloon_Region/BEL_WAL_Elsenborn.AB.064960_TMYx.2004-2018.zip")</f>
        <v>https://climate.onebuilding.org/WMO_Region_6_Europe/BEL_Belgium/WAL_Walloon_Region/BEL_WAL_Elsenborn.AB.064960_TMYx.2004-2018.zip</v>
      </c>
    </row>
    <row r="796" spans="1:10" x14ac:dyDescent="0.25">
      <c r="A796" t="s">
        <v>367</v>
      </c>
      <c r="B796" t="s">
        <v>391</v>
      </c>
      <c r="C796" t="s">
        <v>471</v>
      </c>
      <c r="D796" s="1" t="s">
        <v>472</v>
      </c>
      <c r="E796" t="s">
        <v>14</v>
      </c>
      <c r="F796">
        <v>50.482199999999999</v>
      </c>
      <c r="G796">
        <v>6.1814</v>
      </c>
      <c r="H796">
        <v>1</v>
      </c>
      <c r="I796">
        <v>570</v>
      </c>
      <c r="J796" t="str">
        <f>HYPERLINK("https://climate.onebuilding.org/WMO_Region_6_Europe/BEL_Belgium/WAL_Walloon_Region/BEL_WAL_Elsenborn.AB.064960_TMYx.2007-2021.zip")</f>
        <v>https://climate.onebuilding.org/WMO_Region_6_Europe/BEL_Belgium/WAL_Walloon_Region/BEL_WAL_Elsenborn.AB.064960_TMYx.2007-2021.zip</v>
      </c>
    </row>
    <row r="797" spans="1:10" x14ac:dyDescent="0.25">
      <c r="A797" t="s">
        <v>367</v>
      </c>
      <c r="B797" t="s">
        <v>391</v>
      </c>
      <c r="C797" t="s">
        <v>471</v>
      </c>
      <c r="D797" s="1" t="s">
        <v>472</v>
      </c>
      <c r="E797" t="s">
        <v>14</v>
      </c>
      <c r="F797">
        <v>50.482199999999999</v>
      </c>
      <c r="G797">
        <v>6.1814</v>
      </c>
      <c r="H797">
        <v>1</v>
      </c>
      <c r="I797">
        <v>570</v>
      </c>
      <c r="J797" t="str">
        <f>HYPERLINK("https://climate.onebuilding.org/WMO_Region_6_Europe/BEL_Belgium/WAL_Walloon_Region/BEL_WAL_Elsenborn.AB.064960_TMYx.2009-2023.zip")</f>
        <v>https://climate.onebuilding.org/WMO_Region_6_Europe/BEL_Belgium/WAL_Walloon_Region/BEL_WAL_Elsenborn.AB.064960_TMYx.2009-2023.zip</v>
      </c>
    </row>
    <row r="798" spans="1:10" x14ac:dyDescent="0.25">
      <c r="A798" t="s">
        <v>367</v>
      </c>
      <c r="B798" t="s">
        <v>391</v>
      </c>
      <c r="C798" t="s">
        <v>471</v>
      </c>
      <c r="D798" s="1" t="s">
        <v>472</v>
      </c>
      <c r="E798" t="s">
        <v>14</v>
      </c>
      <c r="F798">
        <v>50.482199999999999</v>
      </c>
      <c r="G798">
        <v>6.1814</v>
      </c>
      <c r="H798">
        <v>1</v>
      </c>
      <c r="I798">
        <v>570</v>
      </c>
      <c r="J798" t="str">
        <f>HYPERLINK("https://climate.onebuilding.org/WMO_Region_6_Europe/BEL_Belgium/WAL_Walloon_Region/BEL_WAL_Elsenborn.AB.064960_TMYx.zip")</f>
        <v>https://climate.onebuilding.org/WMO_Region_6_Europe/BEL_Belgium/WAL_Walloon_Region/BEL_WAL_Elsenborn.AB.064960_TMYx.zip</v>
      </c>
    </row>
    <row r="799" spans="1:10" x14ac:dyDescent="0.25">
      <c r="A799" t="s">
        <v>474</v>
      </c>
      <c r="B799" t="s">
        <v>475</v>
      </c>
      <c r="C799" t="s">
        <v>476</v>
      </c>
      <c r="D799">
        <v>155010</v>
      </c>
      <c r="E799" t="s">
        <v>477</v>
      </c>
      <c r="F799">
        <v>44.158099999999997</v>
      </c>
      <c r="G799">
        <v>22.7822</v>
      </c>
      <c r="H799">
        <v>2</v>
      </c>
      <c r="I799">
        <v>50</v>
      </c>
      <c r="J799" t="str">
        <f>HYPERLINK("https://climate.onebuilding.org/WMO_Region_6_Europe/BGR_Bulgaria/SL_Sliven/BGR_SL_Novo.Selo.Trng.Range.155010_TMYx.2004-2018.zip")</f>
        <v>https://climate.onebuilding.org/WMO_Region_6_Europe/BGR_Bulgaria/SL_Sliven/BGR_SL_Novo.Selo.Trng.Range.155010_TMYx.2004-2018.zip</v>
      </c>
    </row>
    <row r="800" spans="1:10" x14ac:dyDescent="0.25">
      <c r="A800" t="s">
        <v>474</v>
      </c>
      <c r="B800" t="s">
        <v>475</v>
      </c>
      <c r="C800" t="s">
        <v>476</v>
      </c>
      <c r="D800">
        <v>155010</v>
      </c>
      <c r="E800" t="s">
        <v>14</v>
      </c>
      <c r="F800">
        <v>44.158099999999997</v>
      </c>
      <c r="G800">
        <v>22.7822</v>
      </c>
      <c r="H800">
        <v>2</v>
      </c>
      <c r="I800">
        <v>50</v>
      </c>
      <c r="J800" t="str">
        <f>HYPERLINK("https://climate.onebuilding.org/WMO_Region_6_Europe/BGR_Bulgaria/SL_Sliven/BGR_SL_Novo.Selo.Trng.Range.155010_TMYx.2007-2021.zip")</f>
        <v>https://climate.onebuilding.org/WMO_Region_6_Europe/BGR_Bulgaria/SL_Sliven/BGR_SL_Novo.Selo.Trng.Range.155010_TMYx.2007-2021.zip</v>
      </c>
    </row>
    <row r="801" spans="1:10" x14ac:dyDescent="0.25">
      <c r="A801" t="s">
        <v>474</v>
      </c>
      <c r="B801" t="s">
        <v>475</v>
      </c>
      <c r="C801" t="s">
        <v>476</v>
      </c>
      <c r="D801">
        <v>155010</v>
      </c>
      <c r="E801" t="s">
        <v>14</v>
      </c>
      <c r="F801">
        <v>44.158099999999997</v>
      </c>
      <c r="G801">
        <v>22.7822</v>
      </c>
      <c r="H801">
        <v>2</v>
      </c>
      <c r="I801">
        <v>50</v>
      </c>
      <c r="J801" t="str">
        <f>HYPERLINK("https://climate.onebuilding.org/WMO_Region_6_Europe/BGR_Bulgaria/SL_Sliven/BGR_SL_Novo.Selo.Trng.Range.155010_TMYx.2009-2023.zip")</f>
        <v>https://climate.onebuilding.org/WMO_Region_6_Europe/BGR_Bulgaria/SL_Sliven/BGR_SL_Novo.Selo.Trng.Range.155010_TMYx.2009-2023.zip</v>
      </c>
    </row>
    <row r="802" spans="1:10" x14ac:dyDescent="0.25">
      <c r="A802" t="s">
        <v>474</v>
      </c>
      <c r="B802" t="s">
        <v>475</v>
      </c>
      <c r="C802" t="s">
        <v>476</v>
      </c>
      <c r="D802">
        <v>155010</v>
      </c>
      <c r="E802" t="s">
        <v>14</v>
      </c>
      <c r="F802">
        <v>44.158099999999997</v>
      </c>
      <c r="G802">
        <v>22.7822</v>
      </c>
      <c r="H802">
        <v>2</v>
      </c>
      <c r="I802">
        <v>50</v>
      </c>
      <c r="J802" t="str">
        <f>HYPERLINK("https://climate.onebuilding.org/WMO_Region_6_Europe/BGR_Bulgaria/SL_Sliven/BGR_SL_Novo.Selo.Trng.Range.155010_TMYx.zip")</f>
        <v>https://climate.onebuilding.org/WMO_Region_6_Europe/BGR_Bulgaria/SL_Sliven/BGR_SL_Novo.Selo.Trng.Range.155010_TMYx.zip</v>
      </c>
    </row>
    <row r="803" spans="1:10" x14ac:dyDescent="0.25">
      <c r="A803" t="s">
        <v>474</v>
      </c>
      <c r="B803" t="s">
        <v>478</v>
      </c>
      <c r="C803" t="s">
        <v>479</v>
      </c>
      <c r="D803">
        <v>155020</v>
      </c>
      <c r="E803" t="s">
        <v>480</v>
      </c>
      <c r="F803">
        <v>43.9833</v>
      </c>
      <c r="G803">
        <v>22.85</v>
      </c>
      <c r="H803">
        <v>2</v>
      </c>
      <c r="I803">
        <v>34</v>
      </c>
      <c r="J803" t="str">
        <f>HYPERLINK("https://climate.onebuilding.org/WMO_Region_6_Europe/BGR_Bulgaria/VD_Vidin/BGR_VD_Vidin.155020_TMYx.2004-2018.zip")</f>
        <v>https://climate.onebuilding.org/WMO_Region_6_Europe/BGR_Bulgaria/VD_Vidin/BGR_VD_Vidin.155020_TMYx.2004-2018.zip</v>
      </c>
    </row>
    <row r="804" spans="1:10" x14ac:dyDescent="0.25">
      <c r="A804" t="s">
        <v>474</v>
      </c>
      <c r="B804" t="s">
        <v>478</v>
      </c>
      <c r="C804" t="s">
        <v>479</v>
      </c>
      <c r="D804">
        <v>155020</v>
      </c>
      <c r="E804" t="s">
        <v>14</v>
      </c>
      <c r="F804">
        <v>43.9833</v>
      </c>
      <c r="G804">
        <v>22.85</v>
      </c>
      <c r="H804">
        <v>2</v>
      </c>
      <c r="I804">
        <v>34</v>
      </c>
      <c r="J804" t="str">
        <f>HYPERLINK("https://climate.onebuilding.org/WMO_Region_6_Europe/BGR_Bulgaria/VD_Vidin/BGR_VD_Vidin.155020_TMYx.2007-2021.zip")</f>
        <v>https://climate.onebuilding.org/WMO_Region_6_Europe/BGR_Bulgaria/VD_Vidin/BGR_VD_Vidin.155020_TMYx.2007-2021.zip</v>
      </c>
    </row>
    <row r="805" spans="1:10" x14ac:dyDescent="0.25">
      <c r="A805" t="s">
        <v>474</v>
      </c>
      <c r="B805" t="s">
        <v>478</v>
      </c>
      <c r="C805" t="s">
        <v>479</v>
      </c>
      <c r="D805">
        <v>155020</v>
      </c>
      <c r="E805" t="s">
        <v>14</v>
      </c>
      <c r="F805">
        <v>43.9833</v>
      </c>
      <c r="G805">
        <v>22.85</v>
      </c>
      <c r="H805">
        <v>2</v>
      </c>
      <c r="I805">
        <v>34</v>
      </c>
      <c r="J805" t="str">
        <f>HYPERLINK("https://climate.onebuilding.org/WMO_Region_6_Europe/BGR_Bulgaria/VD_Vidin/BGR_VD_Vidin.155020_TMYx.2009-2023.zip")</f>
        <v>https://climate.onebuilding.org/WMO_Region_6_Europe/BGR_Bulgaria/VD_Vidin/BGR_VD_Vidin.155020_TMYx.2009-2023.zip</v>
      </c>
    </row>
    <row r="806" spans="1:10" x14ac:dyDescent="0.25">
      <c r="A806" t="s">
        <v>474</v>
      </c>
      <c r="B806" t="s">
        <v>478</v>
      </c>
      <c r="C806" t="s">
        <v>479</v>
      </c>
      <c r="D806">
        <v>155020</v>
      </c>
      <c r="E806" t="s">
        <v>14</v>
      </c>
      <c r="F806">
        <v>43.9833</v>
      </c>
      <c r="G806">
        <v>22.85</v>
      </c>
      <c r="H806">
        <v>2</v>
      </c>
      <c r="I806">
        <v>34</v>
      </c>
      <c r="J806" t="str">
        <f>HYPERLINK("https://climate.onebuilding.org/WMO_Region_6_Europe/BGR_Bulgaria/VD_Vidin/BGR_VD_Vidin.155020_TMYx.zip")</f>
        <v>https://climate.onebuilding.org/WMO_Region_6_Europe/BGR_Bulgaria/VD_Vidin/BGR_VD_Vidin.155020_TMYx.zip</v>
      </c>
    </row>
    <row r="807" spans="1:10" x14ac:dyDescent="0.25">
      <c r="A807" t="s">
        <v>474</v>
      </c>
      <c r="B807" t="s">
        <v>478</v>
      </c>
      <c r="C807" t="s">
        <v>481</v>
      </c>
      <c r="D807">
        <v>155030</v>
      </c>
      <c r="E807" t="s">
        <v>14</v>
      </c>
      <c r="F807">
        <v>43.832999999999998</v>
      </c>
      <c r="G807">
        <v>22.667000000000002</v>
      </c>
      <c r="H807">
        <v>2</v>
      </c>
      <c r="I807">
        <v>253</v>
      </c>
      <c r="J807" t="str">
        <f>HYPERLINK("https://climate.onebuilding.org/WMO_Region_6_Europe/BGR_Bulgaria/VD_Vidin/BGR_VD_Gramada.155030_TMYx.zip")</f>
        <v>https://climate.onebuilding.org/WMO_Region_6_Europe/BGR_Bulgaria/VD_Vidin/BGR_VD_Gramada.155030_TMYx.zip</v>
      </c>
    </row>
    <row r="808" spans="1:10" x14ac:dyDescent="0.25">
      <c r="A808" t="s">
        <v>474</v>
      </c>
      <c r="B808" t="s">
        <v>60</v>
      </c>
      <c r="C808" t="s">
        <v>482</v>
      </c>
      <c r="D808">
        <v>155050</v>
      </c>
      <c r="E808" t="s">
        <v>483</v>
      </c>
      <c r="F808">
        <v>43.251100000000001</v>
      </c>
      <c r="G808">
        <v>23.533799999999999</v>
      </c>
      <c r="H808">
        <v>2</v>
      </c>
      <c r="I808">
        <v>285</v>
      </c>
      <c r="J808" t="str">
        <f>HYPERLINK("https://climate.onebuilding.org/WMO_Region_6_Europe/BGR_Bulgaria/VR_Vratsa/BGR_VR_Vratza.AP.155050_TMYx.2004-2018.zip")</f>
        <v>https://climate.onebuilding.org/WMO_Region_6_Europe/BGR_Bulgaria/VR_Vratsa/BGR_VR_Vratza.AP.155050_TMYx.2004-2018.zip</v>
      </c>
    </row>
    <row r="809" spans="1:10" x14ac:dyDescent="0.25">
      <c r="A809" t="s">
        <v>474</v>
      </c>
      <c r="B809" t="s">
        <v>60</v>
      </c>
      <c r="C809" t="s">
        <v>482</v>
      </c>
      <c r="D809">
        <v>155050</v>
      </c>
      <c r="E809" t="s">
        <v>14</v>
      </c>
      <c r="F809">
        <v>43.251100000000001</v>
      </c>
      <c r="G809">
        <v>23.533799999999999</v>
      </c>
      <c r="H809">
        <v>2</v>
      </c>
      <c r="I809">
        <v>285</v>
      </c>
      <c r="J809" t="str">
        <f>HYPERLINK("https://climate.onebuilding.org/WMO_Region_6_Europe/BGR_Bulgaria/VR_Vratsa/BGR_VR_Vratza.AP.155050_TMYx.2007-2021.zip")</f>
        <v>https://climate.onebuilding.org/WMO_Region_6_Europe/BGR_Bulgaria/VR_Vratsa/BGR_VR_Vratza.AP.155050_TMYx.2007-2021.zip</v>
      </c>
    </row>
    <row r="810" spans="1:10" x14ac:dyDescent="0.25">
      <c r="A810" t="s">
        <v>474</v>
      </c>
      <c r="B810" t="s">
        <v>60</v>
      </c>
      <c r="C810" t="s">
        <v>482</v>
      </c>
      <c r="D810">
        <v>155050</v>
      </c>
      <c r="E810" t="s">
        <v>14</v>
      </c>
      <c r="F810">
        <v>43.251100000000001</v>
      </c>
      <c r="G810">
        <v>23.533799999999999</v>
      </c>
      <c r="H810">
        <v>2</v>
      </c>
      <c r="I810">
        <v>285</v>
      </c>
      <c r="J810" t="str">
        <f>HYPERLINK("https://climate.onebuilding.org/WMO_Region_6_Europe/BGR_Bulgaria/VR_Vratsa/BGR_VR_Vratza.AP.155050_TMYx.2009-2023.zip")</f>
        <v>https://climate.onebuilding.org/WMO_Region_6_Europe/BGR_Bulgaria/VR_Vratsa/BGR_VR_Vratza.AP.155050_TMYx.2009-2023.zip</v>
      </c>
    </row>
    <row r="811" spans="1:10" x14ac:dyDescent="0.25">
      <c r="A811" t="s">
        <v>474</v>
      </c>
      <c r="B811" t="s">
        <v>60</v>
      </c>
      <c r="C811" t="s">
        <v>482</v>
      </c>
      <c r="D811">
        <v>155050</v>
      </c>
      <c r="E811" t="s">
        <v>14</v>
      </c>
      <c r="F811">
        <v>43.251100000000001</v>
      </c>
      <c r="G811">
        <v>23.533799999999999</v>
      </c>
      <c r="H811">
        <v>2</v>
      </c>
      <c r="I811">
        <v>285</v>
      </c>
      <c r="J811" t="str">
        <f>HYPERLINK("https://climate.onebuilding.org/WMO_Region_6_Europe/BGR_Bulgaria/VR_Vratsa/BGR_VR_Vratza.AP.155050_TMYx.zip")</f>
        <v>https://climate.onebuilding.org/WMO_Region_6_Europe/BGR_Bulgaria/VR_Vratsa/BGR_VR_Vratza.AP.155050_TMYx.zip</v>
      </c>
    </row>
    <row r="812" spans="1:10" x14ac:dyDescent="0.25">
      <c r="A812" t="s">
        <v>474</v>
      </c>
      <c r="B812" t="s">
        <v>484</v>
      </c>
      <c r="C812" t="s">
        <v>485</v>
      </c>
      <c r="D812">
        <v>155110</v>
      </c>
      <c r="E812" t="s">
        <v>486</v>
      </c>
      <c r="F812">
        <v>43.816699999999997</v>
      </c>
      <c r="G812">
        <v>23.25</v>
      </c>
      <c r="H812">
        <v>2</v>
      </c>
      <c r="I812">
        <v>33</v>
      </c>
      <c r="J812" t="str">
        <f>HYPERLINK("https://climate.onebuilding.org/WMO_Region_6_Europe/BGR_Bulgaria/MT_Montana/BGR_MT_Lom.155110_TMYx.2004-2018.zip")</f>
        <v>https://climate.onebuilding.org/WMO_Region_6_Europe/BGR_Bulgaria/MT_Montana/BGR_MT_Lom.155110_TMYx.2004-2018.zip</v>
      </c>
    </row>
    <row r="813" spans="1:10" x14ac:dyDescent="0.25">
      <c r="A813" t="s">
        <v>474</v>
      </c>
      <c r="B813" t="s">
        <v>484</v>
      </c>
      <c r="C813" t="s">
        <v>485</v>
      </c>
      <c r="D813">
        <v>155110</v>
      </c>
      <c r="E813" t="s">
        <v>14</v>
      </c>
      <c r="F813">
        <v>43.816699999999997</v>
      </c>
      <c r="G813">
        <v>23.25</v>
      </c>
      <c r="H813">
        <v>2</v>
      </c>
      <c r="I813">
        <v>33</v>
      </c>
      <c r="J813" t="str">
        <f>HYPERLINK("https://climate.onebuilding.org/WMO_Region_6_Europe/BGR_Bulgaria/MT_Montana/BGR_MT_Lom.155110_TMYx.2007-2021.zip")</f>
        <v>https://climate.onebuilding.org/WMO_Region_6_Europe/BGR_Bulgaria/MT_Montana/BGR_MT_Lom.155110_TMYx.2007-2021.zip</v>
      </c>
    </row>
    <row r="814" spans="1:10" x14ac:dyDescent="0.25">
      <c r="A814" t="s">
        <v>474</v>
      </c>
      <c r="B814" t="s">
        <v>484</v>
      </c>
      <c r="C814" t="s">
        <v>485</v>
      </c>
      <c r="D814">
        <v>155110</v>
      </c>
      <c r="E814" t="s">
        <v>14</v>
      </c>
      <c r="F814">
        <v>43.816699999999997</v>
      </c>
      <c r="G814">
        <v>23.25</v>
      </c>
      <c r="H814">
        <v>2</v>
      </c>
      <c r="I814">
        <v>33</v>
      </c>
      <c r="J814" t="str">
        <f>HYPERLINK("https://climate.onebuilding.org/WMO_Region_6_Europe/BGR_Bulgaria/MT_Montana/BGR_MT_Lom.155110_TMYx.2009-2023.zip")</f>
        <v>https://climate.onebuilding.org/WMO_Region_6_Europe/BGR_Bulgaria/MT_Montana/BGR_MT_Lom.155110_TMYx.2009-2023.zip</v>
      </c>
    </row>
    <row r="815" spans="1:10" x14ac:dyDescent="0.25">
      <c r="A815" t="s">
        <v>474</v>
      </c>
      <c r="B815" t="s">
        <v>484</v>
      </c>
      <c r="C815" t="s">
        <v>485</v>
      </c>
      <c r="D815">
        <v>155110</v>
      </c>
      <c r="E815" t="s">
        <v>14</v>
      </c>
      <c r="F815">
        <v>43.816699999999997</v>
      </c>
      <c r="G815">
        <v>23.25</v>
      </c>
      <c r="H815">
        <v>2</v>
      </c>
      <c r="I815">
        <v>33</v>
      </c>
      <c r="J815" t="str">
        <f>HYPERLINK("https://climate.onebuilding.org/WMO_Region_6_Europe/BGR_Bulgaria/MT_Montana/BGR_MT_Lom.155110_TMYx.zip")</f>
        <v>https://climate.onebuilding.org/WMO_Region_6_Europe/BGR_Bulgaria/MT_Montana/BGR_MT_Lom.155110_TMYx.zip</v>
      </c>
    </row>
    <row r="816" spans="1:10" x14ac:dyDescent="0.25">
      <c r="A816" t="s">
        <v>474</v>
      </c>
      <c r="B816" t="s">
        <v>60</v>
      </c>
      <c r="C816" t="s">
        <v>487</v>
      </c>
      <c r="D816">
        <v>155140</v>
      </c>
      <c r="E816" t="s">
        <v>488</v>
      </c>
      <c r="F816">
        <v>43.739199999999997</v>
      </c>
      <c r="G816">
        <v>23.967700000000001</v>
      </c>
      <c r="H816">
        <v>2</v>
      </c>
      <c r="I816">
        <v>36</v>
      </c>
      <c r="J816" t="str">
        <f>HYPERLINK("https://climate.onebuilding.org/WMO_Region_6_Europe/BGR_Bulgaria/VR_Vratsa/BGR_VR_Oryahovo.155140_TMYx.2004-2018.zip")</f>
        <v>https://climate.onebuilding.org/WMO_Region_6_Europe/BGR_Bulgaria/VR_Vratsa/BGR_VR_Oryahovo.155140_TMYx.2004-2018.zip</v>
      </c>
    </row>
    <row r="817" spans="1:10" x14ac:dyDescent="0.25">
      <c r="A817" t="s">
        <v>474</v>
      </c>
      <c r="B817" t="s">
        <v>60</v>
      </c>
      <c r="C817" t="s">
        <v>487</v>
      </c>
      <c r="D817">
        <v>155140</v>
      </c>
      <c r="E817" t="s">
        <v>14</v>
      </c>
      <c r="F817">
        <v>43.739199999999997</v>
      </c>
      <c r="G817">
        <v>23.967700000000001</v>
      </c>
      <c r="H817">
        <v>2</v>
      </c>
      <c r="I817">
        <v>36</v>
      </c>
      <c r="J817" t="str">
        <f>HYPERLINK("https://climate.onebuilding.org/WMO_Region_6_Europe/BGR_Bulgaria/VR_Vratsa/BGR_VR_Oryahovo.155140_TMYx.2007-2021.zip")</f>
        <v>https://climate.onebuilding.org/WMO_Region_6_Europe/BGR_Bulgaria/VR_Vratsa/BGR_VR_Oryahovo.155140_TMYx.2007-2021.zip</v>
      </c>
    </row>
    <row r="818" spans="1:10" x14ac:dyDescent="0.25">
      <c r="A818" t="s">
        <v>474</v>
      </c>
      <c r="B818" t="s">
        <v>60</v>
      </c>
      <c r="C818" t="s">
        <v>487</v>
      </c>
      <c r="D818">
        <v>155140</v>
      </c>
      <c r="E818" t="s">
        <v>14</v>
      </c>
      <c r="F818">
        <v>43.739199999999997</v>
      </c>
      <c r="G818">
        <v>23.967700000000001</v>
      </c>
      <c r="H818">
        <v>2</v>
      </c>
      <c r="I818">
        <v>36</v>
      </c>
      <c r="J818" t="str">
        <f>HYPERLINK("https://climate.onebuilding.org/WMO_Region_6_Europe/BGR_Bulgaria/VR_Vratsa/BGR_VR_Oryahovo.155140_TMYx.2009-2023.zip")</f>
        <v>https://climate.onebuilding.org/WMO_Region_6_Europe/BGR_Bulgaria/VR_Vratsa/BGR_VR_Oryahovo.155140_TMYx.2009-2023.zip</v>
      </c>
    </row>
    <row r="819" spans="1:10" x14ac:dyDescent="0.25">
      <c r="A819" t="s">
        <v>474</v>
      </c>
      <c r="B819" t="s">
        <v>60</v>
      </c>
      <c r="C819" t="s">
        <v>487</v>
      </c>
      <c r="D819">
        <v>155140</v>
      </c>
      <c r="E819" t="s">
        <v>14</v>
      </c>
      <c r="F819">
        <v>43.739199999999997</v>
      </c>
      <c r="G819">
        <v>23.967700000000001</v>
      </c>
      <c r="H819">
        <v>2</v>
      </c>
      <c r="I819">
        <v>36</v>
      </c>
      <c r="J819" t="str">
        <f>HYPERLINK("https://climate.onebuilding.org/WMO_Region_6_Europe/BGR_Bulgaria/VR_Vratsa/BGR_VR_Oryahovo.155140_TMYx.zip")</f>
        <v>https://climate.onebuilding.org/WMO_Region_6_Europe/BGR_Bulgaria/VR_Vratsa/BGR_VR_Oryahovo.155140_TMYx.zip</v>
      </c>
    </row>
    <row r="820" spans="1:10" x14ac:dyDescent="0.25">
      <c r="A820" t="s">
        <v>474</v>
      </c>
      <c r="B820" t="s">
        <v>489</v>
      </c>
      <c r="C820" t="s">
        <v>490</v>
      </c>
      <c r="D820">
        <v>155250</v>
      </c>
      <c r="E820" t="s">
        <v>491</v>
      </c>
      <c r="F820">
        <v>43.15</v>
      </c>
      <c r="G820">
        <v>24.7</v>
      </c>
      <c r="H820">
        <v>2</v>
      </c>
      <c r="I820">
        <v>221</v>
      </c>
      <c r="J820" t="str">
        <f>HYPERLINK("https://climate.onebuilding.org/WMO_Region_6_Europe/BGR_Bulgaria/LV_Lovech/BGR_LV_Lovech.155250_TMYx.2004-2018.zip")</f>
        <v>https://climate.onebuilding.org/WMO_Region_6_Europe/BGR_Bulgaria/LV_Lovech/BGR_LV_Lovech.155250_TMYx.2004-2018.zip</v>
      </c>
    </row>
    <row r="821" spans="1:10" x14ac:dyDescent="0.25">
      <c r="A821" t="s">
        <v>474</v>
      </c>
      <c r="B821" t="s">
        <v>489</v>
      </c>
      <c r="C821" t="s">
        <v>490</v>
      </c>
      <c r="D821">
        <v>155250</v>
      </c>
      <c r="E821" t="s">
        <v>14</v>
      </c>
      <c r="F821">
        <v>43.15</v>
      </c>
      <c r="G821">
        <v>24.7</v>
      </c>
      <c r="H821">
        <v>2</v>
      </c>
      <c r="I821">
        <v>221</v>
      </c>
      <c r="J821" t="str">
        <f>HYPERLINK("https://climate.onebuilding.org/WMO_Region_6_Europe/BGR_Bulgaria/LV_Lovech/BGR_LV_Lovech.155250_TMYx.2007-2021.zip")</f>
        <v>https://climate.onebuilding.org/WMO_Region_6_Europe/BGR_Bulgaria/LV_Lovech/BGR_LV_Lovech.155250_TMYx.2007-2021.zip</v>
      </c>
    </row>
    <row r="822" spans="1:10" x14ac:dyDescent="0.25">
      <c r="A822" t="s">
        <v>474</v>
      </c>
      <c r="B822" t="s">
        <v>489</v>
      </c>
      <c r="C822" t="s">
        <v>490</v>
      </c>
      <c r="D822">
        <v>155250</v>
      </c>
      <c r="E822" t="s">
        <v>14</v>
      </c>
      <c r="F822">
        <v>43.15</v>
      </c>
      <c r="G822">
        <v>24.7</v>
      </c>
      <c r="H822">
        <v>2</v>
      </c>
      <c r="I822">
        <v>221</v>
      </c>
      <c r="J822" t="str">
        <f>HYPERLINK("https://climate.onebuilding.org/WMO_Region_6_Europe/BGR_Bulgaria/LV_Lovech/BGR_LV_Lovech.155250_TMYx.2009-2023.zip")</f>
        <v>https://climate.onebuilding.org/WMO_Region_6_Europe/BGR_Bulgaria/LV_Lovech/BGR_LV_Lovech.155250_TMYx.2009-2023.zip</v>
      </c>
    </row>
    <row r="823" spans="1:10" x14ac:dyDescent="0.25">
      <c r="A823" t="s">
        <v>474</v>
      </c>
      <c r="B823" t="s">
        <v>489</v>
      </c>
      <c r="C823" t="s">
        <v>490</v>
      </c>
      <c r="D823">
        <v>155250</v>
      </c>
      <c r="E823" t="s">
        <v>14</v>
      </c>
      <c r="F823">
        <v>43.15</v>
      </c>
      <c r="G823">
        <v>24.7</v>
      </c>
      <c r="H823">
        <v>2</v>
      </c>
      <c r="I823">
        <v>221</v>
      </c>
      <c r="J823" t="str">
        <f>HYPERLINK("https://climate.onebuilding.org/WMO_Region_6_Europe/BGR_Bulgaria/LV_Lovech/BGR_LV_Lovech.155250_TMYx.zip")</f>
        <v>https://climate.onebuilding.org/WMO_Region_6_Europe/BGR_Bulgaria/LV_Lovech/BGR_LV_Lovech.155250_TMYx.zip</v>
      </c>
    </row>
    <row r="824" spans="1:10" x14ac:dyDescent="0.25">
      <c r="A824" t="s">
        <v>474</v>
      </c>
      <c r="B824" t="s">
        <v>492</v>
      </c>
      <c r="C824" t="s">
        <v>493</v>
      </c>
      <c r="D824">
        <v>155253</v>
      </c>
      <c r="E824" t="s">
        <v>494</v>
      </c>
      <c r="F824">
        <v>43.151000000000003</v>
      </c>
      <c r="G824">
        <v>25.713000000000001</v>
      </c>
      <c r="H824">
        <v>2</v>
      </c>
      <c r="I824">
        <v>86.9</v>
      </c>
      <c r="J824" t="str">
        <f>HYPERLINK("https://climate.onebuilding.org/WMO_Region_6_Europe/BGR_Bulgaria/VT_Veliko_Turnovo/BGR_VT_Gorna.Oryahovitsa.AP.155253_TMYx.2004-2018.zip")</f>
        <v>https://climate.onebuilding.org/WMO_Region_6_Europe/BGR_Bulgaria/VT_Veliko_Turnovo/BGR_VT_Gorna.Oryahovitsa.AP.155253_TMYx.2004-2018.zip</v>
      </c>
    </row>
    <row r="825" spans="1:10" x14ac:dyDescent="0.25">
      <c r="A825" t="s">
        <v>474</v>
      </c>
      <c r="B825" t="s">
        <v>492</v>
      </c>
      <c r="C825" t="s">
        <v>493</v>
      </c>
      <c r="D825">
        <v>155253</v>
      </c>
      <c r="E825" t="s">
        <v>14</v>
      </c>
      <c r="F825">
        <v>43.151000000000003</v>
      </c>
      <c r="G825">
        <v>25.713000000000001</v>
      </c>
      <c r="H825">
        <v>2</v>
      </c>
      <c r="I825">
        <v>86.9</v>
      </c>
      <c r="J825" t="str">
        <f>HYPERLINK("https://climate.onebuilding.org/WMO_Region_6_Europe/BGR_Bulgaria/VT_Veliko_Turnovo/BGR_VT_Gorna.Oryahovitsa.AP.155253_TMYx.2007-2021.zip")</f>
        <v>https://climate.onebuilding.org/WMO_Region_6_Europe/BGR_Bulgaria/VT_Veliko_Turnovo/BGR_VT_Gorna.Oryahovitsa.AP.155253_TMYx.2007-2021.zip</v>
      </c>
    </row>
    <row r="826" spans="1:10" x14ac:dyDescent="0.25">
      <c r="A826" t="s">
        <v>474</v>
      </c>
      <c r="B826" t="s">
        <v>492</v>
      </c>
      <c r="C826" t="s">
        <v>493</v>
      </c>
      <c r="D826">
        <v>155253</v>
      </c>
      <c r="E826" t="s">
        <v>14</v>
      </c>
      <c r="F826">
        <v>43.151000000000003</v>
      </c>
      <c r="G826">
        <v>25.713000000000001</v>
      </c>
      <c r="H826">
        <v>2</v>
      </c>
      <c r="I826">
        <v>86.9</v>
      </c>
      <c r="J826" t="str">
        <f>HYPERLINK("https://climate.onebuilding.org/WMO_Region_6_Europe/BGR_Bulgaria/VT_Veliko_Turnovo/BGR_VT_Gorna.Oryahovitsa.AP.155253_TMYx.2009-2023.zip")</f>
        <v>https://climate.onebuilding.org/WMO_Region_6_Europe/BGR_Bulgaria/VT_Veliko_Turnovo/BGR_VT_Gorna.Oryahovitsa.AP.155253_TMYx.2009-2023.zip</v>
      </c>
    </row>
    <row r="827" spans="1:10" x14ac:dyDescent="0.25">
      <c r="A827" t="s">
        <v>474</v>
      </c>
      <c r="B827" t="s">
        <v>492</v>
      </c>
      <c r="C827" t="s">
        <v>493</v>
      </c>
      <c r="D827">
        <v>155253</v>
      </c>
      <c r="E827" t="s">
        <v>14</v>
      </c>
      <c r="F827">
        <v>43.151000000000003</v>
      </c>
      <c r="G827">
        <v>25.713000000000001</v>
      </c>
      <c r="H827">
        <v>2</v>
      </c>
      <c r="I827">
        <v>86.9</v>
      </c>
      <c r="J827" t="str">
        <f>HYPERLINK("https://climate.onebuilding.org/WMO_Region_6_Europe/BGR_Bulgaria/VT_Veliko_Turnovo/BGR_VT_Gorna.Oryahovitsa.AP.155253_TMYx.zip")</f>
        <v>https://climate.onebuilding.org/WMO_Region_6_Europe/BGR_Bulgaria/VT_Veliko_Turnovo/BGR_VT_Gorna.Oryahovitsa.AP.155253_TMYx.zip</v>
      </c>
    </row>
    <row r="828" spans="1:10" x14ac:dyDescent="0.25">
      <c r="A828" t="s">
        <v>474</v>
      </c>
      <c r="B828" t="s">
        <v>495</v>
      </c>
      <c r="C828" t="s">
        <v>496</v>
      </c>
      <c r="D828">
        <v>155255</v>
      </c>
      <c r="E828" t="s">
        <v>497</v>
      </c>
      <c r="F828">
        <v>42.29</v>
      </c>
      <c r="G828">
        <v>24.73</v>
      </c>
      <c r="H828">
        <v>2</v>
      </c>
      <c r="I828">
        <v>198</v>
      </c>
      <c r="J828" t="str">
        <f>HYPERLINK("https://climate.onebuilding.org/WMO_Region_6_Europe/BGR_Bulgaria/PD_Plovdiv/BGR_PD_Graf.Ignatievo.AB.155255_TMYx.2004-2018.zip")</f>
        <v>https://climate.onebuilding.org/WMO_Region_6_Europe/BGR_Bulgaria/PD_Plovdiv/BGR_PD_Graf.Ignatievo.AB.155255_TMYx.2004-2018.zip</v>
      </c>
    </row>
    <row r="829" spans="1:10" x14ac:dyDescent="0.25">
      <c r="A829" t="s">
        <v>474</v>
      </c>
      <c r="B829" t="s">
        <v>495</v>
      </c>
      <c r="C829" t="s">
        <v>496</v>
      </c>
      <c r="D829">
        <v>155255</v>
      </c>
      <c r="E829" t="s">
        <v>14</v>
      </c>
      <c r="F829">
        <v>42.29</v>
      </c>
      <c r="G829">
        <v>24.73</v>
      </c>
      <c r="H829">
        <v>2</v>
      </c>
      <c r="I829">
        <v>198</v>
      </c>
      <c r="J829" t="str">
        <f>HYPERLINK("https://climate.onebuilding.org/WMO_Region_6_Europe/BGR_Bulgaria/PD_Plovdiv/BGR_PD_Graf.Ignatievo.AB.155255_TMYx.2007-2021.zip")</f>
        <v>https://climate.onebuilding.org/WMO_Region_6_Europe/BGR_Bulgaria/PD_Plovdiv/BGR_PD_Graf.Ignatievo.AB.155255_TMYx.2007-2021.zip</v>
      </c>
    </row>
    <row r="830" spans="1:10" x14ac:dyDescent="0.25">
      <c r="A830" t="s">
        <v>474</v>
      </c>
      <c r="B830" t="s">
        <v>495</v>
      </c>
      <c r="C830" t="s">
        <v>496</v>
      </c>
      <c r="D830">
        <v>155255</v>
      </c>
      <c r="E830" t="s">
        <v>14</v>
      </c>
      <c r="F830">
        <v>42.29</v>
      </c>
      <c r="G830">
        <v>24.73</v>
      </c>
      <c r="H830">
        <v>2</v>
      </c>
      <c r="I830">
        <v>198</v>
      </c>
      <c r="J830" t="str">
        <f>HYPERLINK("https://climate.onebuilding.org/WMO_Region_6_Europe/BGR_Bulgaria/PD_Plovdiv/BGR_PD_Graf.Ignatievo.AB.155255_TMYx.2009-2023.zip")</f>
        <v>https://climate.onebuilding.org/WMO_Region_6_Europe/BGR_Bulgaria/PD_Plovdiv/BGR_PD_Graf.Ignatievo.AB.155255_TMYx.2009-2023.zip</v>
      </c>
    </row>
    <row r="831" spans="1:10" x14ac:dyDescent="0.25">
      <c r="A831" t="s">
        <v>474</v>
      </c>
      <c r="B831" t="s">
        <v>495</v>
      </c>
      <c r="C831" t="s">
        <v>496</v>
      </c>
      <c r="D831">
        <v>155255</v>
      </c>
      <c r="E831" t="s">
        <v>14</v>
      </c>
      <c r="F831">
        <v>42.29</v>
      </c>
      <c r="G831">
        <v>24.73</v>
      </c>
      <c r="H831">
        <v>2</v>
      </c>
      <c r="I831">
        <v>198</v>
      </c>
      <c r="J831" t="str">
        <f>HYPERLINK("https://climate.onebuilding.org/WMO_Region_6_Europe/BGR_Bulgaria/PD_Plovdiv/BGR_PD_Graf.Ignatievo.AB.155255_TMYx.zip")</f>
        <v>https://climate.onebuilding.org/WMO_Region_6_Europe/BGR_Bulgaria/PD_Plovdiv/BGR_PD_Graf.Ignatievo.AB.155255_TMYx.zip</v>
      </c>
    </row>
    <row r="832" spans="1:10" x14ac:dyDescent="0.25">
      <c r="A832" t="s">
        <v>474</v>
      </c>
      <c r="B832" t="s">
        <v>498</v>
      </c>
      <c r="C832" t="s">
        <v>499</v>
      </c>
      <c r="D832">
        <v>155280</v>
      </c>
      <c r="E832" t="s">
        <v>500</v>
      </c>
      <c r="F832">
        <v>43.4</v>
      </c>
      <c r="G832">
        <v>24.6</v>
      </c>
      <c r="H832">
        <v>2</v>
      </c>
      <c r="I832">
        <v>160</v>
      </c>
      <c r="J832" t="str">
        <f>HYPERLINK("https://climate.onebuilding.org/WMO_Region_6_Europe/BGR_Bulgaria/PV_Pleven/BGR_PV_Pleven.155280_TMYx.2004-2018.zip")</f>
        <v>https://climate.onebuilding.org/WMO_Region_6_Europe/BGR_Bulgaria/PV_Pleven/BGR_PV_Pleven.155280_TMYx.2004-2018.zip</v>
      </c>
    </row>
    <row r="833" spans="1:10" x14ac:dyDescent="0.25">
      <c r="A833" t="s">
        <v>474</v>
      </c>
      <c r="B833" t="s">
        <v>498</v>
      </c>
      <c r="C833" t="s">
        <v>499</v>
      </c>
      <c r="D833">
        <v>155280</v>
      </c>
      <c r="E833" t="s">
        <v>14</v>
      </c>
      <c r="F833">
        <v>43.4</v>
      </c>
      <c r="G833">
        <v>24.6</v>
      </c>
      <c r="H833">
        <v>2</v>
      </c>
      <c r="I833">
        <v>160</v>
      </c>
      <c r="J833" t="str">
        <f>HYPERLINK("https://climate.onebuilding.org/WMO_Region_6_Europe/BGR_Bulgaria/PV_Pleven/BGR_PV_Pleven.155280_TMYx.2007-2021.zip")</f>
        <v>https://climate.onebuilding.org/WMO_Region_6_Europe/BGR_Bulgaria/PV_Pleven/BGR_PV_Pleven.155280_TMYx.2007-2021.zip</v>
      </c>
    </row>
    <row r="834" spans="1:10" x14ac:dyDescent="0.25">
      <c r="A834" t="s">
        <v>474</v>
      </c>
      <c r="B834" t="s">
        <v>498</v>
      </c>
      <c r="C834" t="s">
        <v>499</v>
      </c>
      <c r="D834">
        <v>155280</v>
      </c>
      <c r="E834" t="s">
        <v>14</v>
      </c>
      <c r="F834">
        <v>43.4</v>
      </c>
      <c r="G834">
        <v>24.6</v>
      </c>
      <c r="H834">
        <v>2</v>
      </c>
      <c r="I834">
        <v>160</v>
      </c>
      <c r="J834" t="str">
        <f>HYPERLINK("https://climate.onebuilding.org/WMO_Region_6_Europe/BGR_Bulgaria/PV_Pleven/BGR_PV_Pleven.155280_TMYx.2009-2023.zip")</f>
        <v>https://climate.onebuilding.org/WMO_Region_6_Europe/BGR_Bulgaria/PV_Pleven/BGR_PV_Pleven.155280_TMYx.2009-2023.zip</v>
      </c>
    </row>
    <row r="835" spans="1:10" x14ac:dyDescent="0.25">
      <c r="A835" t="s">
        <v>474</v>
      </c>
      <c r="B835" t="s">
        <v>498</v>
      </c>
      <c r="C835" t="s">
        <v>499</v>
      </c>
      <c r="D835">
        <v>155280</v>
      </c>
      <c r="E835" t="s">
        <v>14</v>
      </c>
      <c r="F835">
        <v>43.4</v>
      </c>
      <c r="G835">
        <v>24.6</v>
      </c>
      <c r="H835">
        <v>2</v>
      </c>
      <c r="I835">
        <v>160</v>
      </c>
      <c r="J835" t="str">
        <f>HYPERLINK("https://climate.onebuilding.org/WMO_Region_6_Europe/BGR_Bulgaria/PV_Pleven/BGR_PV_Pleven.155280_TMYx.zip")</f>
        <v>https://climate.onebuilding.org/WMO_Region_6_Europe/BGR_Bulgaria/PV_Pleven/BGR_PV_Pleven.155280_TMYx.zip</v>
      </c>
    </row>
    <row r="836" spans="1:10" x14ac:dyDescent="0.25">
      <c r="A836" t="s">
        <v>474</v>
      </c>
      <c r="B836" t="s">
        <v>492</v>
      </c>
      <c r="C836" t="s">
        <v>501</v>
      </c>
      <c r="D836">
        <v>155300</v>
      </c>
      <c r="E836" t="s">
        <v>502</v>
      </c>
      <c r="F836">
        <v>43.083599999999997</v>
      </c>
      <c r="G836">
        <v>25.645600000000002</v>
      </c>
      <c r="H836">
        <v>2</v>
      </c>
      <c r="I836">
        <v>157</v>
      </c>
      <c r="J836" t="str">
        <f>HYPERLINK("https://climate.onebuilding.org/WMO_Region_6_Europe/BGR_Bulgaria/VT_Veliko_Turnovo/BGR_VT_Veliko.Tarnovo.155300_TMYx.2004-2018.zip")</f>
        <v>https://climate.onebuilding.org/WMO_Region_6_Europe/BGR_Bulgaria/VT_Veliko_Turnovo/BGR_VT_Veliko.Tarnovo.155300_TMYx.2004-2018.zip</v>
      </c>
    </row>
    <row r="837" spans="1:10" x14ac:dyDescent="0.25">
      <c r="A837" t="s">
        <v>474</v>
      </c>
      <c r="B837" t="s">
        <v>492</v>
      </c>
      <c r="C837" t="s">
        <v>501</v>
      </c>
      <c r="D837">
        <v>155300</v>
      </c>
      <c r="E837" t="s">
        <v>14</v>
      </c>
      <c r="F837">
        <v>43.083599999999997</v>
      </c>
      <c r="G837">
        <v>25.645600000000002</v>
      </c>
      <c r="H837">
        <v>2</v>
      </c>
      <c r="I837">
        <v>157</v>
      </c>
      <c r="J837" t="str">
        <f>HYPERLINK("https://climate.onebuilding.org/WMO_Region_6_Europe/BGR_Bulgaria/VT_Veliko_Turnovo/BGR_VT_Veliko.Tarnovo.155300_TMYx.2007-2021.zip")</f>
        <v>https://climate.onebuilding.org/WMO_Region_6_Europe/BGR_Bulgaria/VT_Veliko_Turnovo/BGR_VT_Veliko.Tarnovo.155300_TMYx.2007-2021.zip</v>
      </c>
    </row>
    <row r="838" spans="1:10" x14ac:dyDescent="0.25">
      <c r="A838" t="s">
        <v>474</v>
      </c>
      <c r="B838" t="s">
        <v>492</v>
      </c>
      <c r="C838" t="s">
        <v>501</v>
      </c>
      <c r="D838">
        <v>155300</v>
      </c>
      <c r="E838" t="s">
        <v>14</v>
      </c>
      <c r="F838">
        <v>43.083599999999997</v>
      </c>
      <c r="G838">
        <v>25.645600000000002</v>
      </c>
      <c r="H838">
        <v>2</v>
      </c>
      <c r="I838">
        <v>157</v>
      </c>
      <c r="J838" t="str">
        <f>HYPERLINK("https://climate.onebuilding.org/WMO_Region_6_Europe/BGR_Bulgaria/VT_Veliko_Turnovo/BGR_VT_Veliko.Tarnovo.155300_TMYx.2009-2023.zip")</f>
        <v>https://climate.onebuilding.org/WMO_Region_6_Europe/BGR_Bulgaria/VT_Veliko_Turnovo/BGR_VT_Veliko.Tarnovo.155300_TMYx.2009-2023.zip</v>
      </c>
    </row>
    <row r="839" spans="1:10" x14ac:dyDescent="0.25">
      <c r="A839" t="s">
        <v>474</v>
      </c>
      <c r="B839" t="s">
        <v>492</v>
      </c>
      <c r="C839" t="s">
        <v>501</v>
      </c>
      <c r="D839">
        <v>155300</v>
      </c>
      <c r="E839" t="s">
        <v>14</v>
      </c>
      <c r="F839">
        <v>43.083599999999997</v>
      </c>
      <c r="G839">
        <v>25.645600000000002</v>
      </c>
      <c r="H839">
        <v>2</v>
      </c>
      <c r="I839">
        <v>157</v>
      </c>
      <c r="J839" t="str">
        <f>HYPERLINK("https://climate.onebuilding.org/WMO_Region_6_Europe/BGR_Bulgaria/VT_Veliko_Turnovo/BGR_VT_Veliko.Tarnovo.155300_TMYx.zip")</f>
        <v>https://climate.onebuilding.org/WMO_Region_6_Europe/BGR_Bulgaria/VT_Veliko_Turnovo/BGR_VT_Veliko.Tarnovo.155300_TMYx.zip</v>
      </c>
    </row>
    <row r="840" spans="1:10" x14ac:dyDescent="0.25">
      <c r="A840" t="s">
        <v>474</v>
      </c>
      <c r="B840" t="s">
        <v>492</v>
      </c>
      <c r="C840" t="s">
        <v>503</v>
      </c>
      <c r="D840">
        <v>155330</v>
      </c>
      <c r="E840" t="s">
        <v>504</v>
      </c>
      <c r="F840">
        <v>43.616700000000002</v>
      </c>
      <c r="G840">
        <v>25.35</v>
      </c>
      <c r="H840">
        <v>2</v>
      </c>
      <c r="I840">
        <v>26</v>
      </c>
      <c r="J840" t="str">
        <f>HYPERLINK("https://climate.onebuilding.org/WMO_Region_6_Europe/BGR_Bulgaria/VT_Veliko_Turnovo/BGR_VT_Svichtov.155330_TMYx.2004-2018.zip")</f>
        <v>https://climate.onebuilding.org/WMO_Region_6_Europe/BGR_Bulgaria/VT_Veliko_Turnovo/BGR_VT_Svichtov.155330_TMYx.2004-2018.zip</v>
      </c>
    </row>
    <row r="841" spans="1:10" x14ac:dyDescent="0.25">
      <c r="A841" t="s">
        <v>474</v>
      </c>
      <c r="B841" t="s">
        <v>492</v>
      </c>
      <c r="C841" t="s">
        <v>503</v>
      </c>
      <c r="D841">
        <v>155330</v>
      </c>
      <c r="E841" t="s">
        <v>14</v>
      </c>
      <c r="F841">
        <v>43.616700000000002</v>
      </c>
      <c r="G841">
        <v>25.35</v>
      </c>
      <c r="H841">
        <v>2</v>
      </c>
      <c r="I841">
        <v>26</v>
      </c>
      <c r="J841" t="str">
        <f>HYPERLINK("https://climate.onebuilding.org/WMO_Region_6_Europe/BGR_Bulgaria/VT_Veliko_Turnovo/BGR_VT_Svichtov.155330_TMYx.2007-2021.zip")</f>
        <v>https://climate.onebuilding.org/WMO_Region_6_Europe/BGR_Bulgaria/VT_Veliko_Turnovo/BGR_VT_Svichtov.155330_TMYx.2007-2021.zip</v>
      </c>
    </row>
    <row r="842" spans="1:10" x14ac:dyDescent="0.25">
      <c r="A842" t="s">
        <v>474</v>
      </c>
      <c r="B842" t="s">
        <v>492</v>
      </c>
      <c r="C842" t="s">
        <v>503</v>
      </c>
      <c r="D842">
        <v>155330</v>
      </c>
      <c r="E842" t="s">
        <v>14</v>
      </c>
      <c r="F842">
        <v>43.616700000000002</v>
      </c>
      <c r="G842">
        <v>25.35</v>
      </c>
      <c r="H842">
        <v>2</v>
      </c>
      <c r="I842">
        <v>26</v>
      </c>
      <c r="J842" t="str">
        <f>HYPERLINK("https://climate.onebuilding.org/WMO_Region_6_Europe/BGR_Bulgaria/VT_Veliko_Turnovo/BGR_VT_Svichtov.155330_TMYx.2009-2023.zip")</f>
        <v>https://climate.onebuilding.org/WMO_Region_6_Europe/BGR_Bulgaria/VT_Veliko_Turnovo/BGR_VT_Svichtov.155330_TMYx.2009-2023.zip</v>
      </c>
    </row>
    <row r="843" spans="1:10" x14ac:dyDescent="0.25">
      <c r="A843" t="s">
        <v>474</v>
      </c>
      <c r="B843" t="s">
        <v>492</v>
      </c>
      <c r="C843" t="s">
        <v>503</v>
      </c>
      <c r="D843">
        <v>155330</v>
      </c>
      <c r="E843" t="s">
        <v>14</v>
      </c>
      <c r="F843">
        <v>43.616700000000002</v>
      </c>
      <c r="G843">
        <v>25.35</v>
      </c>
      <c r="H843">
        <v>2</v>
      </c>
      <c r="I843">
        <v>26</v>
      </c>
      <c r="J843" t="str">
        <f>HYPERLINK("https://climate.onebuilding.org/WMO_Region_6_Europe/BGR_Bulgaria/VT_Veliko_Turnovo/BGR_VT_Svichtov.155330_TMYx.zip")</f>
        <v>https://climate.onebuilding.org/WMO_Region_6_Europe/BGR_Bulgaria/VT_Veliko_Turnovo/BGR_VT_Svichtov.155330_TMYx.zip</v>
      </c>
    </row>
    <row r="844" spans="1:10" x14ac:dyDescent="0.25">
      <c r="A844" t="s">
        <v>474</v>
      </c>
      <c r="B844" t="s">
        <v>505</v>
      </c>
      <c r="C844" t="s">
        <v>506</v>
      </c>
      <c r="D844">
        <v>155350</v>
      </c>
      <c r="E844" t="s">
        <v>507</v>
      </c>
      <c r="F844">
        <v>43.85</v>
      </c>
      <c r="G844">
        <v>25.95</v>
      </c>
      <c r="H844">
        <v>2</v>
      </c>
      <c r="I844">
        <v>45</v>
      </c>
      <c r="J844" t="str">
        <f>HYPERLINK("https://climate.onebuilding.org/WMO_Region_6_Europe/BGR_Bulgaria/RS_Ruse/BGR_RS_Ruse.155350_TMYx.2004-2018.zip")</f>
        <v>https://climate.onebuilding.org/WMO_Region_6_Europe/BGR_Bulgaria/RS_Ruse/BGR_RS_Ruse.155350_TMYx.2004-2018.zip</v>
      </c>
    </row>
    <row r="845" spans="1:10" x14ac:dyDescent="0.25">
      <c r="A845" t="s">
        <v>474</v>
      </c>
      <c r="B845" t="s">
        <v>505</v>
      </c>
      <c r="C845" t="s">
        <v>506</v>
      </c>
      <c r="D845">
        <v>155350</v>
      </c>
      <c r="E845" t="s">
        <v>14</v>
      </c>
      <c r="F845">
        <v>43.85</v>
      </c>
      <c r="G845">
        <v>25.95</v>
      </c>
      <c r="H845">
        <v>2</v>
      </c>
      <c r="I845">
        <v>45</v>
      </c>
      <c r="J845" t="str">
        <f>HYPERLINK("https://climate.onebuilding.org/WMO_Region_6_Europe/BGR_Bulgaria/RS_Ruse/BGR_RS_Ruse.155350_TMYx.2007-2021.zip")</f>
        <v>https://climate.onebuilding.org/WMO_Region_6_Europe/BGR_Bulgaria/RS_Ruse/BGR_RS_Ruse.155350_TMYx.2007-2021.zip</v>
      </c>
    </row>
    <row r="846" spans="1:10" x14ac:dyDescent="0.25">
      <c r="A846" t="s">
        <v>474</v>
      </c>
      <c r="B846" t="s">
        <v>505</v>
      </c>
      <c r="C846" t="s">
        <v>506</v>
      </c>
      <c r="D846">
        <v>155350</v>
      </c>
      <c r="E846" t="s">
        <v>14</v>
      </c>
      <c r="F846">
        <v>43.85</v>
      </c>
      <c r="G846">
        <v>25.95</v>
      </c>
      <c r="H846">
        <v>2</v>
      </c>
      <c r="I846">
        <v>45</v>
      </c>
      <c r="J846" t="str">
        <f>HYPERLINK("https://climate.onebuilding.org/WMO_Region_6_Europe/BGR_Bulgaria/RS_Ruse/BGR_RS_Ruse.155350_TMYx.2009-2023.zip")</f>
        <v>https://climate.onebuilding.org/WMO_Region_6_Europe/BGR_Bulgaria/RS_Ruse/BGR_RS_Ruse.155350_TMYx.2009-2023.zip</v>
      </c>
    </row>
    <row r="847" spans="1:10" x14ac:dyDescent="0.25">
      <c r="A847" t="s">
        <v>474</v>
      </c>
      <c r="B847" t="s">
        <v>505</v>
      </c>
      <c r="C847" t="s">
        <v>506</v>
      </c>
      <c r="D847">
        <v>155350</v>
      </c>
      <c r="E847" t="s">
        <v>14</v>
      </c>
      <c r="F847">
        <v>43.85</v>
      </c>
      <c r="G847">
        <v>25.95</v>
      </c>
      <c r="H847">
        <v>2</v>
      </c>
      <c r="I847">
        <v>45</v>
      </c>
      <c r="J847" t="str">
        <f>HYPERLINK("https://climate.onebuilding.org/WMO_Region_6_Europe/BGR_Bulgaria/RS_Ruse/BGR_RS_Ruse.155350_TMYx.zip")</f>
        <v>https://climate.onebuilding.org/WMO_Region_6_Europe/BGR_Bulgaria/RS_Ruse/BGR_RS_Ruse.155350_TMYx.zip</v>
      </c>
    </row>
    <row r="848" spans="1:10" x14ac:dyDescent="0.25">
      <c r="A848" t="s">
        <v>474</v>
      </c>
      <c r="B848" t="s">
        <v>508</v>
      </c>
      <c r="C848" t="s">
        <v>509</v>
      </c>
      <c r="D848">
        <v>155440</v>
      </c>
      <c r="E848" t="s">
        <v>14</v>
      </c>
      <c r="F848">
        <v>43.267000000000003</v>
      </c>
      <c r="G848">
        <v>26.933</v>
      </c>
      <c r="H848">
        <v>2</v>
      </c>
      <c r="I848">
        <v>220</v>
      </c>
      <c r="J848" t="str">
        <f>HYPERLINK("https://climate.onebuilding.org/WMO_Region_6_Europe/BGR_Bulgaria/SH_Shumen/BGR_SH_Shumen.155440_TMYx.zip")</f>
        <v>https://climate.onebuilding.org/WMO_Region_6_Europe/BGR_Bulgaria/SH_Shumen/BGR_SH_Shumen.155440_TMYx.zip</v>
      </c>
    </row>
    <row r="849" spans="1:10" x14ac:dyDescent="0.25">
      <c r="A849" t="s">
        <v>474</v>
      </c>
      <c r="B849" t="s">
        <v>510</v>
      </c>
      <c r="C849" t="s">
        <v>511</v>
      </c>
      <c r="D849">
        <v>155460</v>
      </c>
      <c r="E849" t="s">
        <v>14</v>
      </c>
      <c r="F849">
        <v>43.517000000000003</v>
      </c>
      <c r="G849">
        <v>26.75</v>
      </c>
      <c r="H849">
        <v>2</v>
      </c>
      <c r="I849">
        <v>475</v>
      </c>
      <c r="J849" t="str">
        <f>HYPERLINK("https://climate.onebuilding.org/WMO_Region_6_Europe/BGR_Bulgaria/RG_Razgrad/BGR_RG_Samuil.155460_TMYx.zip")</f>
        <v>https://climate.onebuilding.org/WMO_Region_6_Europe/BGR_Bulgaria/RG_Razgrad/BGR_RG_Samuil.155460_TMYx.zip</v>
      </c>
    </row>
    <row r="850" spans="1:10" x14ac:dyDescent="0.25">
      <c r="A850" t="s">
        <v>474</v>
      </c>
      <c r="B850" t="s">
        <v>512</v>
      </c>
      <c r="C850" t="s">
        <v>513</v>
      </c>
      <c r="D850">
        <v>155490</v>
      </c>
      <c r="E850" t="s">
        <v>514</v>
      </c>
      <c r="F850">
        <v>43.566699999999997</v>
      </c>
      <c r="G850">
        <v>26.5</v>
      </c>
      <c r="H850">
        <v>2</v>
      </c>
      <c r="I850">
        <v>347</v>
      </c>
      <c r="J850" t="str">
        <f>HYPERLINK("https://climate.onebuilding.org/WMO_Region_6_Europe/BGR_Bulgaria/KZ_Kurdzhali/BGR_KZ_Razgrad.155490_TMYx.2004-2018.zip")</f>
        <v>https://climate.onebuilding.org/WMO_Region_6_Europe/BGR_Bulgaria/KZ_Kurdzhali/BGR_KZ_Razgrad.155490_TMYx.2004-2018.zip</v>
      </c>
    </row>
    <row r="851" spans="1:10" x14ac:dyDescent="0.25">
      <c r="A851" t="s">
        <v>474</v>
      </c>
      <c r="B851" t="s">
        <v>512</v>
      </c>
      <c r="C851" t="s">
        <v>513</v>
      </c>
      <c r="D851">
        <v>155490</v>
      </c>
      <c r="E851" t="s">
        <v>14</v>
      </c>
      <c r="F851">
        <v>43.566699999999997</v>
      </c>
      <c r="G851">
        <v>26.5</v>
      </c>
      <c r="H851">
        <v>2</v>
      </c>
      <c r="I851">
        <v>347</v>
      </c>
      <c r="J851" t="str">
        <f>HYPERLINK("https://climate.onebuilding.org/WMO_Region_6_Europe/BGR_Bulgaria/KZ_Kurdzhali/BGR_KZ_Razgrad.155490_TMYx.2007-2021.zip")</f>
        <v>https://climate.onebuilding.org/WMO_Region_6_Europe/BGR_Bulgaria/KZ_Kurdzhali/BGR_KZ_Razgrad.155490_TMYx.2007-2021.zip</v>
      </c>
    </row>
    <row r="852" spans="1:10" x14ac:dyDescent="0.25">
      <c r="A852" t="s">
        <v>474</v>
      </c>
      <c r="B852" t="s">
        <v>512</v>
      </c>
      <c r="C852" t="s">
        <v>513</v>
      </c>
      <c r="D852">
        <v>155490</v>
      </c>
      <c r="E852" t="s">
        <v>14</v>
      </c>
      <c r="F852">
        <v>43.566699999999997</v>
      </c>
      <c r="G852">
        <v>26.5</v>
      </c>
      <c r="H852">
        <v>2</v>
      </c>
      <c r="I852">
        <v>347</v>
      </c>
      <c r="J852" t="str">
        <f>HYPERLINK("https://climate.onebuilding.org/WMO_Region_6_Europe/BGR_Bulgaria/KZ_Kurdzhali/BGR_KZ_Razgrad.155490_TMYx.2009-2023.zip")</f>
        <v>https://climate.onebuilding.org/WMO_Region_6_Europe/BGR_Bulgaria/KZ_Kurdzhali/BGR_KZ_Razgrad.155490_TMYx.2009-2023.zip</v>
      </c>
    </row>
    <row r="853" spans="1:10" x14ac:dyDescent="0.25">
      <c r="A853" t="s">
        <v>474</v>
      </c>
      <c r="B853" t="s">
        <v>512</v>
      </c>
      <c r="C853" t="s">
        <v>513</v>
      </c>
      <c r="D853">
        <v>155490</v>
      </c>
      <c r="E853" t="s">
        <v>14</v>
      </c>
      <c r="F853">
        <v>43.566699999999997</v>
      </c>
      <c r="G853">
        <v>26.5</v>
      </c>
      <c r="H853">
        <v>2</v>
      </c>
      <c r="I853">
        <v>347</v>
      </c>
      <c r="J853" t="str">
        <f>HYPERLINK("https://climate.onebuilding.org/WMO_Region_6_Europe/BGR_Bulgaria/KZ_Kurdzhali/BGR_KZ_Razgrad.155490_TMYx.zip")</f>
        <v>https://climate.onebuilding.org/WMO_Region_6_Europe/BGR_Bulgaria/KZ_Kurdzhali/BGR_KZ_Razgrad.155490_TMYx.zip</v>
      </c>
    </row>
    <row r="854" spans="1:10" x14ac:dyDescent="0.25">
      <c r="A854" t="s">
        <v>474</v>
      </c>
      <c r="B854" t="s">
        <v>515</v>
      </c>
      <c r="C854" t="s">
        <v>516</v>
      </c>
      <c r="D854">
        <v>155500</v>
      </c>
      <c r="E854" t="s">
        <v>517</v>
      </c>
      <c r="F854">
        <v>44.116700000000002</v>
      </c>
      <c r="G854">
        <v>27.2667</v>
      </c>
      <c r="H854">
        <v>2</v>
      </c>
      <c r="I854">
        <v>16</v>
      </c>
      <c r="J854" t="str">
        <f>HYPERLINK("https://climate.onebuilding.org/WMO_Region_6_Europe/BGR_Bulgaria/SI_Silistra/BGR_SI_Silistra.155500_TMYx.2004-2018.zip")</f>
        <v>https://climate.onebuilding.org/WMO_Region_6_Europe/BGR_Bulgaria/SI_Silistra/BGR_SI_Silistra.155500_TMYx.2004-2018.zip</v>
      </c>
    </row>
    <row r="855" spans="1:10" x14ac:dyDescent="0.25">
      <c r="A855" t="s">
        <v>474</v>
      </c>
      <c r="B855" t="s">
        <v>515</v>
      </c>
      <c r="C855" t="s">
        <v>516</v>
      </c>
      <c r="D855">
        <v>155500</v>
      </c>
      <c r="E855" t="s">
        <v>14</v>
      </c>
      <c r="F855">
        <v>44.116700000000002</v>
      </c>
      <c r="G855">
        <v>27.2667</v>
      </c>
      <c r="H855">
        <v>2</v>
      </c>
      <c r="I855">
        <v>16</v>
      </c>
      <c r="J855" t="str">
        <f>HYPERLINK("https://climate.onebuilding.org/WMO_Region_6_Europe/BGR_Bulgaria/SI_Silistra/BGR_SI_Silistra.155500_TMYx.2007-2021.zip")</f>
        <v>https://climate.onebuilding.org/WMO_Region_6_Europe/BGR_Bulgaria/SI_Silistra/BGR_SI_Silistra.155500_TMYx.2007-2021.zip</v>
      </c>
    </row>
    <row r="856" spans="1:10" x14ac:dyDescent="0.25">
      <c r="A856" t="s">
        <v>474</v>
      </c>
      <c r="B856" t="s">
        <v>515</v>
      </c>
      <c r="C856" t="s">
        <v>516</v>
      </c>
      <c r="D856">
        <v>155500</v>
      </c>
      <c r="E856" t="s">
        <v>14</v>
      </c>
      <c r="F856">
        <v>44.116700000000002</v>
      </c>
      <c r="G856">
        <v>27.2667</v>
      </c>
      <c r="H856">
        <v>2</v>
      </c>
      <c r="I856">
        <v>16</v>
      </c>
      <c r="J856" t="str">
        <f>HYPERLINK("https://climate.onebuilding.org/WMO_Region_6_Europe/BGR_Bulgaria/SI_Silistra/BGR_SI_Silistra.155500_TMYx.2009-2023.zip")</f>
        <v>https://climate.onebuilding.org/WMO_Region_6_Europe/BGR_Bulgaria/SI_Silistra/BGR_SI_Silistra.155500_TMYx.2009-2023.zip</v>
      </c>
    </row>
    <row r="857" spans="1:10" x14ac:dyDescent="0.25">
      <c r="A857" t="s">
        <v>474</v>
      </c>
      <c r="B857" t="s">
        <v>515</v>
      </c>
      <c r="C857" t="s">
        <v>516</v>
      </c>
      <c r="D857">
        <v>155500</v>
      </c>
      <c r="E857" t="s">
        <v>14</v>
      </c>
      <c r="F857">
        <v>44.116700000000002</v>
      </c>
      <c r="G857">
        <v>27.2667</v>
      </c>
      <c r="H857">
        <v>2</v>
      </c>
      <c r="I857">
        <v>16</v>
      </c>
      <c r="J857" t="str">
        <f>HYPERLINK("https://climate.onebuilding.org/WMO_Region_6_Europe/BGR_Bulgaria/SI_Silistra/BGR_SI_Silistra.155500_TMYx.zip")</f>
        <v>https://climate.onebuilding.org/WMO_Region_6_Europe/BGR_Bulgaria/SI_Silistra/BGR_SI_Silistra.155500_TMYx.zip</v>
      </c>
    </row>
    <row r="858" spans="1:10" x14ac:dyDescent="0.25">
      <c r="A858" t="s">
        <v>474</v>
      </c>
      <c r="B858" t="s">
        <v>518</v>
      </c>
      <c r="C858" t="s">
        <v>519</v>
      </c>
      <c r="D858">
        <v>155520</v>
      </c>
      <c r="E858" t="s">
        <v>520</v>
      </c>
      <c r="F858">
        <v>43.231999999999999</v>
      </c>
      <c r="G858">
        <v>27.824999999999999</v>
      </c>
      <c r="H858">
        <v>2</v>
      </c>
      <c r="I858">
        <v>70.099999999999994</v>
      </c>
      <c r="J858" t="str">
        <f>HYPERLINK("https://climate.onebuilding.org/WMO_Region_6_Europe/BGR_Bulgaria/VN_Varna/BGR_VN_Varna.AP.155520_TMYx.2004-2018.zip")</f>
        <v>https://climate.onebuilding.org/WMO_Region_6_Europe/BGR_Bulgaria/VN_Varna/BGR_VN_Varna.AP.155520_TMYx.2004-2018.zip</v>
      </c>
    </row>
    <row r="859" spans="1:10" x14ac:dyDescent="0.25">
      <c r="A859" t="s">
        <v>474</v>
      </c>
      <c r="B859" t="s">
        <v>518</v>
      </c>
      <c r="C859" t="s">
        <v>519</v>
      </c>
      <c r="D859">
        <v>155520</v>
      </c>
      <c r="E859" t="s">
        <v>14</v>
      </c>
      <c r="F859">
        <v>43.231999999999999</v>
      </c>
      <c r="G859">
        <v>27.824999999999999</v>
      </c>
      <c r="H859">
        <v>2</v>
      </c>
      <c r="I859">
        <v>70.099999999999994</v>
      </c>
      <c r="J859" t="str">
        <f>HYPERLINK("https://climate.onebuilding.org/WMO_Region_6_Europe/BGR_Bulgaria/VN_Varna/BGR_VN_Varna.AP.155520_TMYx.2007-2021.zip")</f>
        <v>https://climate.onebuilding.org/WMO_Region_6_Europe/BGR_Bulgaria/VN_Varna/BGR_VN_Varna.AP.155520_TMYx.2007-2021.zip</v>
      </c>
    </row>
    <row r="860" spans="1:10" x14ac:dyDescent="0.25">
      <c r="A860" t="s">
        <v>474</v>
      </c>
      <c r="B860" t="s">
        <v>518</v>
      </c>
      <c r="C860" t="s">
        <v>519</v>
      </c>
      <c r="D860">
        <v>155520</v>
      </c>
      <c r="E860" t="s">
        <v>14</v>
      </c>
      <c r="F860">
        <v>43.231999999999999</v>
      </c>
      <c r="G860">
        <v>27.824999999999999</v>
      </c>
      <c r="H860">
        <v>2</v>
      </c>
      <c r="I860">
        <v>70.099999999999994</v>
      </c>
      <c r="J860" t="str">
        <f>HYPERLINK("https://climate.onebuilding.org/WMO_Region_6_Europe/BGR_Bulgaria/VN_Varna/BGR_VN_Varna.AP.155520_TMYx.2009-2023.zip")</f>
        <v>https://climate.onebuilding.org/WMO_Region_6_Europe/BGR_Bulgaria/VN_Varna/BGR_VN_Varna.AP.155520_TMYx.2009-2023.zip</v>
      </c>
    </row>
    <row r="861" spans="1:10" x14ac:dyDescent="0.25">
      <c r="A861" t="s">
        <v>474</v>
      </c>
      <c r="B861" t="s">
        <v>518</v>
      </c>
      <c r="C861" t="s">
        <v>519</v>
      </c>
      <c r="D861">
        <v>155520</v>
      </c>
      <c r="E861" t="s">
        <v>14</v>
      </c>
      <c r="F861">
        <v>43.231999999999999</v>
      </c>
      <c r="G861">
        <v>27.824999999999999</v>
      </c>
      <c r="H861">
        <v>2</v>
      </c>
      <c r="I861">
        <v>70.099999999999994</v>
      </c>
      <c r="J861" t="str">
        <f>HYPERLINK("https://climate.onebuilding.org/WMO_Region_6_Europe/BGR_Bulgaria/VN_Varna/BGR_VN_Varna.AP.155520_TMYx.zip")</f>
        <v>https://climate.onebuilding.org/WMO_Region_6_Europe/BGR_Bulgaria/VN_Varna/BGR_VN_Varna.AP.155520_TMYx.zip</v>
      </c>
    </row>
    <row r="862" spans="1:10" x14ac:dyDescent="0.25">
      <c r="A862" t="s">
        <v>474</v>
      </c>
      <c r="B862" t="s">
        <v>521</v>
      </c>
      <c r="C862" t="s">
        <v>522</v>
      </c>
      <c r="D862">
        <v>155561</v>
      </c>
      <c r="E862" t="s">
        <v>14</v>
      </c>
      <c r="F862">
        <v>43.3964</v>
      </c>
      <c r="G862">
        <v>28.414000000000001</v>
      </c>
      <c r="H862">
        <v>2</v>
      </c>
      <c r="I862">
        <v>83</v>
      </c>
      <c r="J862" t="str">
        <f>HYPERLINK("https://climate.onebuilding.org/WMO_Region_6_Europe/BGR_Bulgaria/DO_Dobrich/BGR_DO_Balgarevo.155561_TMYx.zip")</f>
        <v>https://climate.onebuilding.org/WMO_Region_6_Europe/BGR_Bulgaria/DO_Dobrich/BGR_DO_Balgarevo.155561_TMYx.zip</v>
      </c>
    </row>
    <row r="863" spans="1:10" x14ac:dyDescent="0.25">
      <c r="A863" t="s">
        <v>474</v>
      </c>
      <c r="B863" t="s">
        <v>521</v>
      </c>
      <c r="C863" t="s">
        <v>523</v>
      </c>
      <c r="D863">
        <v>155610</v>
      </c>
      <c r="E863" t="s">
        <v>524</v>
      </c>
      <c r="F863">
        <v>43.533299999999997</v>
      </c>
      <c r="G863">
        <v>28.533300000000001</v>
      </c>
      <c r="H863">
        <v>2</v>
      </c>
      <c r="I863">
        <v>28</v>
      </c>
      <c r="J863" t="str">
        <f>HYPERLINK("https://climate.onebuilding.org/WMO_Region_6_Europe/BGR_Bulgaria/DO_Dobrich/BGR_DO_Shabla.155610_TMYx.2004-2018.zip")</f>
        <v>https://climate.onebuilding.org/WMO_Region_6_Europe/BGR_Bulgaria/DO_Dobrich/BGR_DO_Shabla.155610_TMYx.2004-2018.zip</v>
      </c>
    </row>
    <row r="864" spans="1:10" x14ac:dyDescent="0.25">
      <c r="A864" t="s">
        <v>474</v>
      </c>
      <c r="B864" t="s">
        <v>521</v>
      </c>
      <c r="C864" t="s">
        <v>523</v>
      </c>
      <c r="D864">
        <v>155610</v>
      </c>
      <c r="E864" t="s">
        <v>14</v>
      </c>
      <c r="F864">
        <v>43.533299999999997</v>
      </c>
      <c r="G864">
        <v>28.533300000000001</v>
      </c>
      <c r="H864">
        <v>2</v>
      </c>
      <c r="I864">
        <v>28</v>
      </c>
      <c r="J864" t="str">
        <f>HYPERLINK("https://climate.onebuilding.org/WMO_Region_6_Europe/BGR_Bulgaria/DO_Dobrich/BGR_DO_Shabla.155610_TMYx.2007-2021.zip")</f>
        <v>https://climate.onebuilding.org/WMO_Region_6_Europe/BGR_Bulgaria/DO_Dobrich/BGR_DO_Shabla.155610_TMYx.2007-2021.zip</v>
      </c>
    </row>
    <row r="865" spans="1:10" x14ac:dyDescent="0.25">
      <c r="A865" t="s">
        <v>474</v>
      </c>
      <c r="B865" t="s">
        <v>521</v>
      </c>
      <c r="C865" t="s">
        <v>523</v>
      </c>
      <c r="D865">
        <v>155610</v>
      </c>
      <c r="E865" t="s">
        <v>14</v>
      </c>
      <c r="F865">
        <v>43.533299999999997</v>
      </c>
      <c r="G865">
        <v>28.533300000000001</v>
      </c>
      <c r="H865">
        <v>2</v>
      </c>
      <c r="I865">
        <v>28</v>
      </c>
      <c r="J865" t="str">
        <f>HYPERLINK("https://climate.onebuilding.org/WMO_Region_6_Europe/BGR_Bulgaria/DO_Dobrich/BGR_DO_Shabla.155610_TMYx.2009-2023.zip")</f>
        <v>https://climate.onebuilding.org/WMO_Region_6_Europe/BGR_Bulgaria/DO_Dobrich/BGR_DO_Shabla.155610_TMYx.2009-2023.zip</v>
      </c>
    </row>
    <row r="866" spans="1:10" x14ac:dyDescent="0.25">
      <c r="A866" t="s">
        <v>474</v>
      </c>
      <c r="B866" t="s">
        <v>521</v>
      </c>
      <c r="C866" t="s">
        <v>523</v>
      </c>
      <c r="D866">
        <v>155610</v>
      </c>
      <c r="E866" t="s">
        <v>14</v>
      </c>
      <c r="F866">
        <v>43.533299999999997</v>
      </c>
      <c r="G866">
        <v>28.533300000000001</v>
      </c>
      <c r="H866">
        <v>2</v>
      </c>
      <c r="I866">
        <v>28</v>
      </c>
      <c r="J866" t="str">
        <f>HYPERLINK("https://climate.onebuilding.org/WMO_Region_6_Europe/BGR_Bulgaria/DO_Dobrich/BGR_DO_Shabla.155610_TMYx.zip")</f>
        <v>https://climate.onebuilding.org/WMO_Region_6_Europe/BGR_Bulgaria/DO_Dobrich/BGR_DO_Shabla.155610_TMYx.zip</v>
      </c>
    </row>
    <row r="867" spans="1:10" x14ac:dyDescent="0.25">
      <c r="A867" t="s">
        <v>474</v>
      </c>
      <c r="B867" t="s">
        <v>521</v>
      </c>
      <c r="C867" t="s">
        <v>525</v>
      </c>
      <c r="D867">
        <v>155620</v>
      </c>
      <c r="E867" t="s">
        <v>526</v>
      </c>
      <c r="F867">
        <v>43.361899999999999</v>
      </c>
      <c r="G867">
        <v>28.465499999999999</v>
      </c>
      <c r="H867">
        <v>2</v>
      </c>
      <c r="I867">
        <v>13</v>
      </c>
      <c r="J867" t="str">
        <f>HYPERLINK("https://climate.onebuilding.org/WMO_Region_6_Europe/BGR_Bulgaria/DO_Dobrich/BGR_DO_Kaliakra.Lighthouse.155620_TMYx.2004-2018.zip")</f>
        <v>https://climate.onebuilding.org/WMO_Region_6_Europe/BGR_Bulgaria/DO_Dobrich/BGR_DO_Kaliakra.Lighthouse.155620_TMYx.2004-2018.zip</v>
      </c>
    </row>
    <row r="868" spans="1:10" x14ac:dyDescent="0.25">
      <c r="A868" t="s">
        <v>474</v>
      </c>
      <c r="B868" t="s">
        <v>521</v>
      </c>
      <c r="C868" t="s">
        <v>525</v>
      </c>
      <c r="D868">
        <v>155620</v>
      </c>
      <c r="E868" t="s">
        <v>14</v>
      </c>
      <c r="F868">
        <v>43.361899999999999</v>
      </c>
      <c r="G868">
        <v>28.465499999999999</v>
      </c>
      <c r="H868">
        <v>2</v>
      </c>
      <c r="I868">
        <v>13</v>
      </c>
      <c r="J868" t="str">
        <f>HYPERLINK("https://climate.onebuilding.org/WMO_Region_6_Europe/BGR_Bulgaria/DO_Dobrich/BGR_DO_Kaliakra.Lighthouse.155620_TMYx.2007-2021.zip")</f>
        <v>https://climate.onebuilding.org/WMO_Region_6_Europe/BGR_Bulgaria/DO_Dobrich/BGR_DO_Kaliakra.Lighthouse.155620_TMYx.2007-2021.zip</v>
      </c>
    </row>
    <row r="869" spans="1:10" x14ac:dyDescent="0.25">
      <c r="A869" t="s">
        <v>474</v>
      </c>
      <c r="B869" t="s">
        <v>521</v>
      </c>
      <c r="C869" t="s">
        <v>525</v>
      </c>
      <c r="D869">
        <v>155620</v>
      </c>
      <c r="E869" t="s">
        <v>14</v>
      </c>
      <c r="F869">
        <v>43.361899999999999</v>
      </c>
      <c r="G869">
        <v>28.465499999999999</v>
      </c>
      <c r="H869">
        <v>2</v>
      </c>
      <c r="I869">
        <v>13</v>
      </c>
      <c r="J869" t="str">
        <f>HYPERLINK("https://climate.onebuilding.org/WMO_Region_6_Europe/BGR_Bulgaria/DO_Dobrich/BGR_DO_Kaliakra.Lighthouse.155620_TMYx.2009-2023.zip")</f>
        <v>https://climate.onebuilding.org/WMO_Region_6_Europe/BGR_Bulgaria/DO_Dobrich/BGR_DO_Kaliakra.Lighthouse.155620_TMYx.2009-2023.zip</v>
      </c>
    </row>
    <row r="870" spans="1:10" x14ac:dyDescent="0.25">
      <c r="A870" t="s">
        <v>474</v>
      </c>
      <c r="B870" t="s">
        <v>521</v>
      </c>
      <c r="C870" t="s">
        <v>525</v>
      </c>
      <c r="D870">
        <v>155620</v>
      </c>
      <c r="E870" t="s">
        <v>14</v>
      </c>
      <c r="F870">
        <v>43.361899999999999</v>
      </c>
      <c r="G870">
        <v>28.465499999999999</v>
      </c>
      <c r="H870">
        <v>2</v>
      </c>
      <c r="I870">
        <v>13</v>
      </c>
      <c r="J870" t="str">
        <f>HYPERLINK("https://climate.onebuilding.org/WMO_Region_6_Europe/BGR_Bulgaria/DO_Dobrich/BGR_DO_Kaliakra.Lighthouse.155620_TMYx.zip")</f>
        <v>https://climate.onebuilding.org/WMO_Region_6_Europe/BGR_Bulgaria/DO_Dobrich/BGR_DO_Kaliakra.Lighthouse.155620_TMYx.zip</v>
      </c>
    </row>
    <row r="871" spans="1:10" x14ac:dyDescent="0.25">
      <c r="A871" t="s">
        <v>474</v>
      </c>
      <c r="B871" t="s">
        <v>527</v>
      </c>
      <c r="C871" t="s">
        <v>528</v>
      </c>
      <c r="D871">
        <v>156000</v>
      </c>
      <c r="E871" t="s">
        <v>529</v>
      </c>
      <c r="F871">
        <v>42.833300000000001</v>
      </c>
      <c r="G871">
        <v>23.666699999999999</v>
      </c>
      <c r="H871">
        <v>2</v>
      </c>
      <c r="I871">
        <v>1692</v>
      </c>
      <c r="J871" t="str">
        <f>HYPERLINK("https://climate.onebuilding.org/WMO_Region_6_Europe/BGR_Bulgaria/SF_Sofiya/BGR_SF_Mourgash.Mtn.156000_TMYx.2004-2018.zip")</f>
        <v>https://climate.onebuilding.org/WMO_Region_6_Europe/BGR_Bulgaria/SF_Sofiya/BGR_SF_Mourgash.Mtn.156000_TMYx.2004-2018.zip</v>
      </c>
    </row>
    <row r="872" spans="1:10" x14ac:dyDescent="0.25">
      <c r="A872" t="s">
        <v>474</v>
      </c>
      <c r="B872" t="s">
        <v>527</v>
      </c>
      <c r="C872" t="s">
        <v>528</v>
      </c>
      <c r="D872">
        <v>156000</v>
      </c>
      <c r="E872" t="s">
        <v>14</v>
      </c>
      <c r="F872">
        <v>42.833300000000001</v>
      </c>
      <c r="G872">
        <v>23.666699999999999</v>
      </c>
      <c r="H872">
        <v>2</v>
      </c>
      <c r="I872">
        <v>1692</v>
      </c>
      <c r="J872" t="str">
        <f>HYPERLINK("https://climate.onebuilding.org/WMO_Region_6_Europe/BGR_Bulgaria/SF_Sofiya/BGR_SF_Mourgash.Mtn.156000_TMYx.2007-2021.zip")</f>
        <v>https://climate.onebuilding.org/WMO_Region_6_Europe/BGR_Bulgaria/SF_Sofiya/BGR_SF_Mourgash.Mtn.156000_TMYx.2007-2021.zip</v>
      </c>
    </row>
    <row r="873" spans="1:10" x14ac:dyDescent="0.25">
      <c r="A873" t="s">
        <v>474</v>
      </c>
      <c r="B873" t="s">
        <v>527</v>
      </c>
      <c r="C873" t="s">
        <v>528</v>
      </c>
      <c r="D873">
        <v>156000</v>
      </c>
      <c r="E873" t="s">
        <v>14</v>
      </c>
      <c r="F873">
        <v>42.833300000000001</v>
      </c>
      <c r="G873">
        <v>23.666699999999999</v>
      </c>
      <c r="H873">
        <v>2</v>
      </c>
      <c r="I873">
        <v>1692</v>
      </c>
      <c r="J873" t="str">
        <f>HYPERLINK("https://climate.onebuilding.org/WMO_Region_6_Europe/BGR_Bulgaria/SF_Sofiya/BGR_SF_Mourgash.Mtn.156000_TMYx.2009-2023.zip")</f>
        <v>https://climate.onebuilding.org/WMO_Region_6_Europe/BGR_Bulgaria/SF_Sofiya/BGR_SF_Mourgash.Mtn.156000_TMYx.2009-2023.zip</v>
      </c>
    </row>
    <row r="874" spans="1:10" x14ac:dyDescent="0.25">
      <c r="A874" t="s">
        <v>474</v>
      </c>
      <c r="B874" t="s">
        <v>527</v>
      </c>
      <c r="C874" t="s">
        <v>528</v>
      </c>
      <c r="D874">
        <v>156000</v>
      </c>
      <c r="E874" t="s">
        <v>14</v>
      </c>
      <c r="F874">
        <v>42.833300000000001</v>
      </c>
      <c r="G874">
        <v>23.666699999999999</v>
      </c>
      <c r="H874">
        <v>2</v>
      </c>
      <c r="I874">
        <v>1692</v>
      </c>
      <c r="J874" t="str">
        <f>HYPERLINK("https://climate.onebuilding.org/WMO_Region_6_Europe/BGR_Bulgaria/SF_Sofiya/BGR_SF_Mourgash.Mtn.156000_TMYx.zip")</f>
        <v>https://climate.onebuilding.org/WMO_Region_6_Europe/BGR_Bulgaria/SF_Sofiya/BGR_SF_Mourgash.Mtn.156000_TMYx.zip</v>
      </c>
    </row>
    <row r="875" spans="1:10" x14ac:dyDescent="0.25">
      <c r="A875" t="s">
        <v>474</v>
      </c>
      <c r="B875" t="s">
        <v>530</v>
      </c>
      <c r="C875" t="s">
        <v>531</v>
      </c>
      <c r="D875">
        <v>156010</v>
      </c>
      <c r="E875" t="s">
        <v>532</v>
      </c>
      <c r="F875">
        <v>42.2667</v>
      </c>
      <c r="G875">
        <v>22.7667</v>
      </c>
      <c r="H875">
        <v>2</v>
      </c>
      <c r="I875">
        <v>527</v>
      </c>
      <c r="J875" t="str">
        <f>HYPERLINK("https://climate.onebuilding.org/WMO_Region_6_Europe/BGR_Bulgaria/KY_Kyustendil/BGR_KY_Kustendil.156010_TMYx.2004-2018.zip")</f>
        <v>https://climate.onebuilding.org/WMO_Region_6_Europe/BGR_Bulgaria/KY_Kyustendil/BGR_KY_Kustendil.156010_TMYx.2004-2018.zip</v>
      </c>
    </row>
    <row r="876" spans="1:10" x14ac:dyDescent="0.25">
      <c r="A876" t="s">
        <v>474</v>
      </c>
      <c r="B876" t="s">
        <v>530</v>
      </c>
      <c r="C876" t="s">
        <v>531</v>
      </c>
      <c r="D876">
        <v>156010</v>
      </c>
      <c r="E876" t="s">
        <v>14</v>
      </c>
      <c r="F876">
        <v>42.2667</v>
      </c>
      <c r="G876">
        <v>22.7667</v>
      </c>
      <c r="H876">
        <v>2</v>
      </c>
      <c r="I876">
        <v>527</v>
      </c>
      <c r="J876" t="str">
        <f>HYPERLINK("https://climate.onebuilding.org/WMO_Region_6_Europe/BGR_Bulgaria/KY_Kyustendil/BGR_KY_Kustendil.156010_TMYx.2007-2021.zip")</f>
        <v>https://climate.onebuilding.org/WMO_Region_6_Europe/BGR_Bulgaria/KY_Kyustendil/BGR_KY_Kustendil.156010_TMYx.2007-2021.zip</v>
      </c>
    </row>
    <row r="877" spans="1:10" x14ac:dyDescent="0.25">
      <c r="A877" t="s">
        <v>474</v>
      </c>
      <c r="B877" t="s">
        <v>530</v>
      </c>
      <c r="C877" t="s">
        <v>531</v>
      </c>
      <c r="D877">
        <v>156010</v>
      </c>
      <c r="E877" t="s">
        <v>14</v>
      </c>
      <c r="F877">
        <v>42.2667</v>
      </c>
      <c r="G877">
        <v>22.7667</v>
      </c>
      <c r="H877">
        <v>2</v>
      </c>
      <c r="I877">
        <v>527</v>
      </c>
      <c r="J877" t="str">
        <f>HYPERLINK("https://climate.onebuilding.org/WMO_Region_6_Europe/BGR_Bulgaria/KY_Kyustendil/BGR_KY_Kustendil.156010_TMYx.2009-2023.zip")</f>
        <v>https://climate.onebuilding.org/WMO_Region_6_Europe/BGR_Bulgaria/KY_Kyustendil/BGR_KY_Kustendil.156010_TMYx.2009-2023.zip</v>
      </c>
    </row>
    <row r="878" spans="1:10" x14ac:dyDescent="0.25">
      <c r="A878" t="s">
        <v>474</v>
      </c>
      <c r="B878" t="s">
        <v>530</v>
      </c>
      <c r="C878" t="s">
        <v>531</v>
      </c>
      <c r="D878">
        <v>156010</v>
      </c>
      <c r="E878" t="s">
        <v>14</v>
      </c>
      <c r="F878">
        <v>42.2667</v>
      </c>
      <c r="G878">
        <v>22.7667</v>
      </c>
      <c r="H878">
        <v>2</v>
      </c>
      <c r="I878">
        <v>527</v>
      </c>
      <c r="J878" t="str">
        <f>HYPERLINK("https://climate.onebuilding.org/WMO_Region_6_Europe/BGR_Bulgaria/KY_Kyustendil/BGR_KY_Kustendil.156010_TMYx.zip")</f>
        <v>https://climate.onebuilding.org/WMO_Region_6_Europe/BGR_Bulgaria/KY_Kyustendil/BGR_KY_Kustendil.156010_TMYx.zip</v>
      </c>
    </row>
    <row r="879" spans="1:10" x14ac:dyDescent="0.25">
      <c r="A879" t="s">
        <v>474</v>
      </c>
      <c r="B879" t="s">
        <v>484</v>
      </c>
      <c r="C879" t="s">
        <v>533</v>
      </c>
      <c r="D879">
        <v>156050</v>
      </c>
      <c r="E879" t="s">
        <v>534</v>
      </c>
      <c r="F879">
        <v>42.933300000000003</v>
      </c>
      <c r="G879">
        <v>22.933299999999999</v>
      </c>
      <c r="H879">
        <v>2</v>
      </c>
      <c r="I879">
        <v>716</v>
      </c>
      <c r="J879" t="str">
        <f>HYPERLINK("https://climate.onebuilding.org/WMO_Region_6_Europe/BGR_Bulgaria/MT_Montana/BGR_MT_Dragoman.156050_TMYx.2004-2018.zip")</f>
        <v>https://climate.onebuilding.org/WMO_Region_6_Europe/BGR_Bulgaria/MT_Montana/BGR_MT_Dragoman.156050_TMYx.2004-2018.zip</v>
      </c>
    </row>
    <row r="880" spans="1:10" x14ac:dyDescent="0.25">
      <c r="A880" t="s">
        <v>474</v>
      </c>
      <c r="B880" t="s">
        <v>484</v>
      </c>
      <c r="C880" t="s">
        <v>533</v>
      </c>
      <c r="D880">
        <v>156050</v>
      </c>
      <c r="E880" t="s">
        <v>14</v>
      </c>
      <c r="F880">
        <v>42.933300000000003</v>
      </c>
      <c r="G880">
        <v>22.933299999999999</v>
      </c>
      <c r="H880">
        <v>2</v>
      </c>
      <c r="I880">
        <v>716</v>
      </c>
      <c r="J880" t="str">
        <f>HYPERLINK("https://climate.onebuilding.org/WMO_Region_6_Europe/BGR_Bulgaria/MT_Montana/BGR_MT_Dragoman.156050_TMYx.2007-2021.zip")</f>
        <v>https://climate.onebuilding.org/WMO_Region_6_Europe/BGR_Bulgaria/MT_Montana/BGR_MT_Dragoman.156050_TMYx.2007-2021.zip</v>
      </c>
    </row>
    <row r="881" spans="1:10" x14ac:dyDescent="0.25">
      <c r="A881" t="s">
        <v>474</v>
      </c>
      <c r="B881" t="s">
        <v>484</v>
      </c>
      <c r="C881" t="s">
        <v>533</v>
      </c>
      <c r="D881">
        <v>156050</v>
      </c>
      <c r="E881" t="s">
        <v>14</v>
      </c>
      <c r="F881">
        <v>42.933300000000003</v>
      </c>
      <c r="G881">
        <v>22.933299999999999</v>
      </c>
      <c r="H881">
        <v>2</v>
      </c>
      <c r="I881">
        <v>716</v>
      </c>
      <c r="J881" t="str">
        <f>HYPERLINK("https://climate.onebuilding.org/WMO_Region_6_Europe/BGR_Bulgaria/MT_Montana/BGR_MT_Dragoman.156050_TMYx.2009-2023.zip")</f>
        <v>https://climate.onebuilding.org/WMO_Region_6_Europe/BGR_Bulgaria/MT_Montana/BGR_MT_Dragoman.156050_TMYx.2009-2023.zip</v>
      </c>
    </row>
    <row r="882" spans="1:10" x14ac:dyDescent="0.25">
      <c r="A882" t="s">
        <v>474</v>
      </c>
      <c r="B882" t="s">
        <v>484</v>
      </c>
      <c r="C882" t="s">
        <v>533</v>
      </c>
      <c r="D882">
        <v>156050</v>
      </c>
      <c r="E882" t="s">
        <v>14</v>
      </c>
      <c r="F882">
        <v>42.933300000000003</v>
      </c>
      <c r="G882">
        <v>22.933299999999999</v>
      </c>
      <c r="H882">
        <v>2</v>
      </c>
      <c r="I882">
        <v>716</v>
      </c>
      <c r="J882" t="str">
        <f>HYPERLINK("https://climate.onebuilding.org/WMO_Region_6_Europe/BGR_Bulgaria/MT_Montana/BGR_MT_Dragoman.156050_TMYx.zip")</f>
        <v>https://climate.onebuilding.org/WMO_Region_6_Europe/BGR_Bulgaria/MT_Montana/BGR_MT_Dragoman.156050_TMYx.zip</v>
      </c>
    </row>
    <row r="883" spans="1:10" x14ac:dyDescent="0.25">
      <c r="A883" t="s">
        <v>474</v>
      </c>
      <c r="B883" t="s">
        <v>527</v>
      </c>
      <c r="C883" t="s">
        <v>535</v>
      </c>
      <c r="D883">
        <v>156091</v>
      </c>
      <c r="E883" t="s">
        <v>14</v>
      </c>
      <c r="F883">
        <v>42.817</v>
      </c>
      <c r="G883">
        <v>23.382999999999999</v>
      </c>
      <c r="H883">
        <v>2</v>
      </c>
      <c r="I883">
        <v>595</v>
      </c>
      <c r="J883" t="str">
        <f>HYPERLINK("https://climate.onebuilding.org/WMO_Region_6_Europe/BGR_Bulgaria/SF_Sofiya/BGR_SF_Sofia.Obs.156091_TMYx.zip")</f>
        <v>https://climate.onebuilding.org/WMO_Region_6_Europe/BGR_Bulgaria/SF_Sofiya/BGR_SF_Sofia.Obs.156091_TMYx.zip</v>
      </c>
    </row>
    <row r="884" spans="1:10" x14ac:dyDescent="0.25">
      <c r="A884" t="s">
        <v>474</v>
      </c>
      <c r="B884" t="s">
        <v>536</v>
      </c>
      <c r="C884" t="s">
        <v>537</v>
      </c>
      <c r="D884">
        <v>156130</v>
      </c>
      <c r="E884" t="s">
        <v>538</v>
      </c>
      <c r="F884">
        <v>42.583300000000001</v>
      </c>
      <c r="G884">
        <v>23.2667</v>
      </c>
      <c r="H884">
        <v>2</v>
      </c>
      <c r="I884">
        <v>2292</v>
      </c>
      <c r="J884" t="str">
        <f>HYPERLINK("https://climate.onebuilding.org/WMO_Region_6_Europe/BGR_Bulgaria/BR_Burgas/BGR_BR_Cherni.Peak-Vitosha.Mtn.156130_TMYx.2004-2018.zip")</f>
        <v>https://climate.onebuilding.org/WMO_Region_6_Europe/BGR_Bulgaria/BR_Burgas/BGR_BR_Cherni.Peak-Vitosha.Mtn.156130_TMYx.2004-2018.zip</v>
      </c>
    </row>
    <row r="885" spans="1:10" x14ac:dyDescent="0.25">
      <c r="A885" t="s">
        <v>474</v>
      </c>
      <c r="B885" t="s">
        <v>536</v>
      </c>
      <c r="C885" t="s">
        <v>537</v>
      </c>
      <c r="D885">
        <v>156130</v>
      </c>
      <c r="E885" t="s">
        <v>14</v>
      </c>
      <c r="F885">
        <v>42.583300000000001</v>
      </c>
      <c r="G885">
        <v>23.2667</v>
      </c>
      <c r="H885">
        <v>2</v>
      </c>
      <c r="I885">
        <v>2292</v>
      </c>
      <c r="J885" t="str">
        <f>HYPERLINK("https://climate.onebuilding.org/WMO_Region_6_Europe/BGR_Bulgaria/BR_Burgas/BGR_BR_Cherni.Peak-Vitosha.Mtn.156130_TMYx.2007-2021.zip")</f>
        <v>https://climate.onebuilding.org/WMO_Region_6_Europe/BGR_Bulgaria/BR_Burgas/BGR_BR_Cherni.Peak-Vitosha.Mtn.156130_TMYx.2007-2021.zip</v>
      </c>
    </row>
    <row r="886" spans="1:10" x14ac:dyDescent="0.25">
      <c r="A886" t="s">
        <v>474</v>
      </c>
      <c r="B886" t="s">
        <v>536</v>
      </c>
      <c r="C886" t="s">
        <v>537</v>
      </c>
      <c r="D886">
        <v>156130</v>
      </c>
      <c r="E886" t="s">
        <v>14</v>
      </c>
      <c r="F886">
        <v>42.583300000000001</v>
      </c>
      <c r="G886">
        <v>23.2667</v>
      </c>
      <c r="H886">
        <v>2</v>
      </c>
      <c r="I886">
        <v>2292</v>
      </c>
      <c r="J886" t="str">
        <f>HYPERLINK("https://climate.onebuilding.org/WMO_Region_6_Europe/BGR_Bulgaria/BR_Burgas/BGR_BR_Cherni.Peak-Vitosha.Mtn.156130_TMYx.2009-2023.zip")</f>
        <v>https://climate.onebuilding.org/WMO_Region_6_Europe/BGR_Bulgaria/BR_Burgas/BGR_BR_Cherni.Peak-Vitosha.Mtn.156130_TMYx.2009-2023.zip</v>
      </c>
    </row>
    <row r="887" spans="1:10" x14ac:dyDescent="0.25">
      <c r="A887" t="s">
        <v>474</v>
      </c>
      <c r="B887" t="s">
        <v>536</v>
      </c>
      <c r="C887" t="s">
        <v>537</v>
      </c>
      <c r="D887">
        <v>156130</v>
      </c>
      <c r="E887" t="s">
        <v>14</v>
      </c>
      <c r="F887">
        <v>42.583300000000001</v>
      </c>
      <c r="G887">
        <v>23.2667</v>
      </c>
      <c r="H887">
        <v>2</v>
      </c>
      <c r="I887">
        <v>2292</v>
      </c>
      <c r="J887" t="str">
        <f>HYPERLINK("https://climate.onebuilding.org/WMO_Region_6_Europe/BGR_Bulgaria/BR_Burgas/BGR_BR_Cherni.Peak-Vitosha.Mtn.156130_TMYx.zip")</f>
        <v>https://climate.onebuilding.org/WMO_Region_6_Europe/BGR_Bulgaria/BR_Burgas/BGR_BR_Cherni.Peak-Vitosha.Mtn.156130_TMYx.zip</v>
      </c>
    </row>
    <row r="888" spans="1:10" x14ac:dyDescent="0.25">
      <c r="A888" t="s">
        <v>474</v>
      </c>
      <c r="B888" t="s">
        <v>527</v>
      </c>
      <c r="C888" t="s">
        <v>539</v>
      </c>
      <c r="D888">
        <v>156140</v>
      </c>
      <c r="E888" t="s">
        <v>540</v>
      </c>
      <c r="F888">
        <v>42.695</v>
      </c>
      <c r="G888">
        <v>23.405999999999999</v>
      </c>
      <c r="H888">
        <v>2</v>
      </c>
      <c r="I888">
        <v>531</v>
      </c>
      <c r="J888" t="str">
        <f>HYPERLINK("https://climate.onebuilding.org/WMO_Region_6_Europe/BGR_Bulgaria/SF_Sofiya/BGR_SF_Sofia.Intl.AP.156140_TMYx.2004-2018.zip")</f>
        <v>https://climate.onebuilding.org/WMO_Region_6_Europe/BGR_Bulgaria/SF_Sofiya/BGR_SF_Sofia.Intl.AP.156140_TMYx.2004-2018.zip</v>
      </c>
    </row>
    <row r="889" spans="1:10" x14ac:dyDescent="0.25">
      <c r="A889" t="s">
        <v>474</v>
      </c>
      <c r="B889" t="s">
        <v>527</v>
      </c>
      <c r="C889" t="s">
        <v>539</v>
      </c>
      <c r="D889">
        <v>156140</v>
      </c>
      <c r="E889" t="s">
        <v>14</v>
      </c>
      <c r="F889">
        <v>42.695</v>
      </c>
      <c r="G889">
        <v>23.405999999999999</v>
      </c>
      <c r="H889">
        <v>2</v>
      </c>
      <c r="I889">
        <v>531</v>
      </c>
      <c r="J889" t="str">
        <f>HYPERLINK("https://climate.onebuilding.org/WMO_Region_6_Europe/BGR_Bulgaria/SF_Sofiya/BGR_SF_Sofia.Intl.AP.156140_TMYx.2007-2021.zip")</f>
        <v>https://climate.onebuilding.org/WMO_Region_6_Europe/BGR_Bulgaria/SF_Sofiya/BGR_SF_Sofia.Intl.AP.156140_TMYx.2007-2021.zip</v>
      </c>
    </row>
    <row r="890" spans="1:10" x14ac:dyDescent="0.25">
      <c r="A890" t="s">
        <v>474</v>
      </c>
      <c r="B890" t="s">
        <v>527</v>
      </c>
      <c r="C890" t="s">
        <v>539</v>
      </c>
      <c r="D890">
        <v>156140</v>
      </c>
      <c r="E890" t="s">
        <v>14</v>
      </c>
      <c r="F890">
        <v>42.695</v>
      </c>
      <c r="G890">
        <v>23.405999999999999</v>
      </c>
      <c r="H890">
        <v>2</v>
      </c>
      <c r="I890">
        <v>531</v>
      </c>
      <c r="J890" t="str">
        <f>HYPERLINK("https://climate.onebuilding.org/WMO_Region_6_Europe/BGR_Bulgaria/SF_Sofiya/BGR_SF_Sofia.Intl.AP.156140_TMYx.2009-2023.zip")</f>
        <v>https://climate.onebuilding.org/WMO_Region_6_Europe/BGR_Bulgaria/SF_Sofiya/BGR_SF_Sofia.Intl.AP.156140_TMYx.2009-2023.zip</v>
      </c>
    </row>
    <row r="891" spans="1:10" x14ac:dyDescent="0.25">
      <c r="A891" t="s">
        <v>474</v>
      </c>
      <c r="B891" t="s">
        <v>527</v>
      </c>
      <c r="C891" t="s">
        <v>539</v>
      </c>
      <c r="D891">
        <v>156140</v>
      </c>
      <c r="E891" t="s">
        <v>14</v>
      </c>
      <c r="F891">
        <v>42.695</v>
      </c>
      <c r="G891">
        <v>23.405999999999999</v>
      </c>
      <c r="H891">
        <v>2</v>
      </c>
      <c r="I891">
        <v>531</v>
      </c>
      <c r="J891" t="str">
        <f>HYPERLINK("https://climate.onebuilding.org/WMO_Region_6_Europe/BGR_Bulgaria/SF_Sofiya/BGR_SF_Sofia.Intl.AP.156140_TMYx.zip")</f>
        <v>https://climate.onebuilding.org/WMO_Region_6_Europe/BGR_Bulgaria/SF_Sofiya/BGR_SF_Sofia.Intl.AP.156140_TMYx.zip</v>
      </c>
    </row>
    <row r="892" spans="1:10" x14ac:dyDescent="0.25">
      <c r="A892" t="s">
        <v>474</v>
      </c>
      <c r="B892" t="s">
        <v>26</v>
      </c>
      <c r="C892" t="s">
        <v>541</v>
      </c>
      <c r="D892">
        <v>156150</v>
      </c>
      <c r="E892" t="s">
        <v>542</v>
      </c>
      <c r="F892">
        <v>42.179699999999997</v>
      </c>
      <c r="G892">
        <v>23.5867</v>
      </c>
      <c r="H892">
        <v>2</v>
      </c>
      <c r="I892">
        <v>2473</v>
      </c>
      <c r="J892" t="str">
        <f>HYPERLINK("https://climate.onebuilding.org/WMO_Region_6_Europe/BGR_Bulgaria/KK_Khaskovo/BGR_KK_Mussala.Mtn.Peak-Rila.Natl.Park.156150_TMYx.2004-2018.zip")</f>
        <v>https://climate.onebuilding.org/WMO_Region_6_Europe/BGR_Bulgaria/KK_Khaskovo/BGR_KK_Mussala.Mtn.Peak-Rila.Natl.Park.156150_TMYx.2004-2018.zip</v>
      </c>
    </row>
    <row r="893" spans="1:10" x14ac:dyDescent="0.25">
      <c r="A893" t="s">
        <v>474</v>
      </c>
      <c r="B893" t="s">
        <v>26</v>
      </c>
      <c r="C893" t="s">
        <v>541</v>
      </c>
      <c r="D893">
        <v>156150</v>
      </c>
      <c r="E893" t="s">
        <v>14</v>
      </c>
      <c r="F893">
        <v>42.179699999999997</v>
      </c>
      <c r="G893">
        <v>23.5867</v>
      </c>
      <c r="H893">
        <v>2</v>
      </c>
      <c r="I893">
        <v>2473</v>
      </c>
      <c r="J893" t="str">
        <f>HYPERLINK("https://climate.onebuilding.org/WMO_Region_6_Europe/BGR_Bulgaria/KK_Khaskovo/BGR_KK_Mussala.Mtn.Peak-Rila.Natl.Park.156150_TMYx.2007-2021.zip")</f>
        <v>https://climate.onebuilding.org/WMO_Region_6_Europe/BGR_Bulgaria/KK_Khaskovo/BGR_KK_Mussala.Mtn.Peak-Rila.Natl.Park.156150_TMYx.2007-2021.zip</v>
      </c>
    </row>
    <row r="894" spans="1:10" x14ac:dyDescent="0.25">
      <c r="A894" t="s">
        <v>474</v>
      </c>
      <c r="B894" t="s">
        <v>26</v>
      </c>
      <c r="C894" t="s">
        <v>541</v>
      </c>
      <c r="D894">
        <v>156150</v>
      </c>
      <c r="E894" t="s">
        <v>14</v>
      </c>
      <c r="F894">
        <v>42.179699999999997</v>
      </c>
      <c r="G894">
        <v>23.5867</v>
      </c>
      <c r="H894">
        <v>2</v>
      </c>
      <c r="I894">
        <v>2473</v>
      </c>
      <c r="J894" t="str">
        <f>HYPERLINK("https://climate.onebuilding.org/WMO_Region_6_Europe/BGR_Bulgaria/KK_Khaskovo/BGR_KK_Mussala.Mtn.Peak-Rila.Natl.Park.156150_TMYx.2009-2023.zip")</f>
        <v>https://climate.onebuilding.org/WMO_Region_6_Europe/BGR_Bulgaria/KK_Khaskovo/BGR_KK_Mussala.Mtn.Peak-Rila.Natl.Park.156150_TMYx.2009-2023.zip</v>
      </c>
    </row>
    <row r="895" spans="1:10" x14ac:dyDescent="0.25">
      <c r="A895" t="s">
        <v>474</v>
      </c>
      <c r="B895" t="s">
        <v>26</v>
      </c>
      <c r="C895" t="s">
        <v>541</v>
      </c>
      <c r="D895">
        <v>156150</v>
      </c>
      <c r="E895" t="s">
        <v>14</v>
      </c>
      <c r="F895">
        <v>42.179699999999997</v>
      </c>
      <c r="G895">
        <v>23.5867</v>
      </c>
      <c r="H895">
        <v>2</v>
      </c>
      <c r="I895">
        <v>2473</v>
      </c>
      <c r="J895" t="str">
        <f>HYPERLINK("https://climate.onebuilding.org/WMO_Region_6_Europe/BGR_Bulgaria/KK_Khaskovo/BGR_KK_Mussala.Mtn.Peak-Rila.Natl.Park.156150_TMYx.zip")</f>
        <v>https://climate.onebuilding.org/WMO_Region_6_Europe/BGR_Bulgaria/KK_Khaskovo/BGR_KK_Mussala.Mtn.Peak-Rila.Natl.Park.156150_TMYx.zip</v>
      </c>
    </row>
    <row r="896" spans="1:10" x14ac:dyDescent="0.25">
      <c r="A896" t="s">
        <v>474</v>
      </c>
      <c r="B896" t="s">
        <v>26</v>
      </c>
      <c r="C896" t="s">
        <v>543</v>
      </c>
      <c r="D896">
        <v>156220</v>
      </c>
      <c r="E896" t="s">
        <v>14</v>
      </c>
      <c r="F896">
        <v>42.433</v>
      </c>
      <c r="G896">
        <v>23.817</v>
      </c>
      <c r="H896">
        <v>2</v>
      </c>
      <c r="I896">
        <v>637</v>
      </c>
      <c r="J896" t="str">
        <f>HYPERLINK("https://climate.onebuilding.org/WMO_Region_6_Europe/BGR_Bulgaria/KK_Khaskovo/BGR_KK_Ikhtiman.156220_TMYx.zip")</f>
        <v>https://climate.onebuilding.org/WMO_Region_6_Europe/BGR_Bulgaria/KK_Khaskovo/BGR_KK_Ikhtiman.156220_TMYx.zip</v>
      </c>
    </row>
    <row r="897" spans="1:10" x14ac:dyDescent="0.25">
      <c r="A897" t="s">
        <v>474</v>
      </c>
      <c r="B897" t="s">
        <v>495</v>
      </c>
      <c r="C897" t="s">
        <v>544</v>
      </c>
      <c r="D897">
        <v>156250</v>
      </c>
      <c r="E897" t="s">
        <v>545</v>
      </c>
      <c r="F897">
        <v>42.133299999999998</v>
      </c>
      <c r="G897">
        <v>24.75</v>
      </c>
      <c r="H897">
        <v>2</v>
      </c>
      <c r="I897">
        <v>182</v>
      </c>
      <c r="J897" t="str">
        <f>HYPERLINK("https://climate.onebuilding.org/WMO_Region_6_Europe/BGR_Bulgaria/PD_Plovdiv/BGR_PD_Plovdiv.156250_TMYx.2004-2018.zip")</f>
        <v>https://climate.onebuilding.org/WMO_Region_6_Europe/BGR_Bulgaria/PD_Plovdiv/BGR_PD_Plovdiv.156250_TMYx.2004-2018.zip</v>
      </c>
    </row>
    <row r="898" spans="1:10" x14ac:dyDescent="0.25">
      <c r="A898" t="s">
        <v>474</v>
      </c>
      <c r="B898" t="s">
        <v>495</v>
      </c>
      <c r="C898" t="s">
        <v>544</v>
      </c>
      <c r="D898">
        <v>156250</v>
      </c>
      <c r="E898" t="s">
        <v>14</v>
      </c>
      <c r="F898">
        <v>42.133299999999998</v>
      </c>
      <c r="G898">
        <v>24.75</v>
      </c>
      <c r="H898">
        <v>2</v>
      </c>
      <c r="I898">
        <v>182</v>
      </c>
      <c r="J898" t="str">
        <f>HYPERLINK("https://climate.onebuilding.org/WMO_Region_6_Europe/BGR_Bulgaria/PD_Plovdiv/BGR_PD_Plovdiv.156250_TMYx.2007-2021.zip")</f>
        <v>https://climate.onebuilding.org/WMO_Region_6_Europe/BGR_Bulgaria/PD_Plovdiv/BGR_PD_Plovdiv.156250_TMYx.2007-2021.zip</v>
      </c>
    </row>
    <row r="899" spans="1:10" x14ac:dyDescent="0.25">
      <c r="A899" t="s">
        <v>474</v>
      </c>
      <c r="B899" t="s">
        <v>495</v>
      </c>
      <c r="C899" t="s">
        <v>544</v>
      </c>
      <c r="D899">
        <v>156250</v>
      </c>
      <c r="E899" t="s">
        <v>14</v>
      </c>
      <c r="F899">
        <v>42.133299999999998</v>
      </c>
      <c r="G899">
        <v>24.75</v>
      </c>
      <c r="H899">
        <v>2</v>
      </c>
      <c r="I899">
        <v>182</v>
      </c>
      <c r="J899" t="str">
        <f>HYPERLINK("https://climate.onebuilding.org/WMO_Region_6_Europe/BGR_Bulgaria/PD_Plovdiv/BGR_PD_Plovdiv.156250_TMYx.2009-2023.zip")</f>
        <v>https://climate.onebuilding.org/WMO_Region_6_Europe/BGR_Bulgaria/PD_Plovdiv/BGR_PD_Plovdiv.156250_TMYx.2009-2023.zip</v>
      </c>
    </row>
    <row r="900" spans="1:10" x14ac:dyDescent="0.25">
      <c r="A900" t="s">
        <v>474</v>
      </c>
      <c r="B900" t="s">
        <v>495</v>
      </c>
      <c r="C900" t="s">
        <v>544</v>
      </c>
      <c r="D900">
        <v>156250</v>
      </c>
      <c r="E900" t="s">
        <v>14</v>
      </c>
      <c r="F900">
        <v>42.133299999999998</v>
      </c>
      <c r="G900">
        <v>24.75</v>
      </c>
      <c r="H900">
        <v>2</v>
      </c>
      <c r="I900">
        <v>182</v>
      </c>
      <c r="J900" t="str">
        <f>HYPERLINK("https://climate.onebuilding.org/WMO_Region_6_Europe/BGR_Bulgaria/PD_Plovdiv/BGR_PD_Plovdiv.156250_TMYx.zip")</f>
        <v>https://climate.onebuilding.org/WMO_Region_6_Europe/BGR_Bulgaria/PD_Plovdiv/BGR_PD_Plovdiv.156250_TMYx.zip</v>
      </c>
    </row>
    <row r="901" spans="1:10" x14ac:dyDescent="0.25">
      <c r="A901" t="s">
        <v>474</v>
      </c>
      <c r="B901" t="s">
        <v>489</v>
      </c>
      <c r="C901" t="s">
        <v>546</v>
      </c>
      <c r="D901">
        <v>156270</v>
      </c>
      <c r="E901" t="s">
        <v>547</v>
      </c>
      <c r="F901">
        <v>42.717500000000001</v>
      </c>
      <c r="G901">
        <v>24.916699999999999</v>
      </c>
      <c r="H901">
        <v>2</v>
      </c>
      <c r="I901">
        <v>2389</v>
      </c>
      <c r="J901" t="str">
        <f>HYPERLINK("https://climate.onebuilding.org/WMO_Region_6_Europe/BGR_Bulgaria/LV_Lovech/BGR_LV_Botev.Mtn.Peak-Central.Balkan.Natl.Park.156270_TMYx.2004-2018.zip")</f>
        <v>https://climate.onebuilding.org/WMO_Region_6_Europe/BGR_Bulgaria/LV_Lovech/BGR_LV_Botev.Mtn.Peak-Central.Balkan.Natl.Park.156270_TMYx.2004-2018.zip</v>
      </c>
    </row>
    <row r="902" spans="1:10" x14ac:dyDescent="0.25">
      <c r="A902" t="s">
        <v>474</v>
      </c>
      <c r="B902" t="s">
        <v>489</v>
      </c>
      <c r="C902" t="s">
        <v>546</v>
      </c>
      <c r="D902">
        <v>156270</v>
      </c>
      <c r="E902" t="s">
        <v>14</v>
      </c>
      <c r="F902">
        <v>42.717500000000001</v>
      </c>
      <c r="G902">
        <v>24.916699999999999</v>
      </c>
      <c r="H902">
        <v>2</v>
      </c>
      <c r="I902">
        <v>2389</v>
      </c>
      <c r="J902" t="str">
        <f>HYPERLINK("https://climate.onebuilding.org/WMO_Region_6_Europe/BGR_Bulgaria/LV_Lovech/BGR_LV_Botev.Mtn.Peak-Central.Balkan.Natl.Park.156270_TMYx.2007-2021.zip")</f>
        <v>https://climate.onebuilding.org/WMO_Region_6_Europe/BGR_Bulgaria/LV_Lovech/BGR_LV_Botev.Mtn.Peak-Central.Balkan.Natl.Park.156270_TMYx.2007-2021.zip</v>
      </c>
    </row>
    <row r="903" spans="1:10" x14ac:dyDescent="0.25">
      <c r="A903" t="s">
        <v>474</v>
      </c>
      <c r="B903" t="s">
        <v>489</v>
      </c>
      <c r="C903" t="s">
        <v>546</v>
      </c>
      <c r="D903">
        <v>156270</v>
      </c>
      <c r="E903" t="s">
        <v>14</v>
      </c>
      <c r="F903">
        <v>42.717500000000001</v>
      </c>
      <c r="G903">
        <v>24.916699999999999</v>
      </c>
      <c r="H903">
        <v>2</v>
      </c>
      <c r="I903">
        <v>2389</v>
      </c>
      <c r="J903" t="str">
        <f>HYPERLINK("https://climate.onebuilding.org/WMO_Region_6_Europe/BGR_Bulgaria/LV_Lovech/BGR_LV_Botev.Mtn.Peak-Central.Balkan.Natl.Park.156270_TMYx.2009-2023.zip")</f>
        <v>https://climate.onebuilding.org/WMO_Region_6_Europe/BGR_Bulgaria/LV_Lovech/BGR_LV_Botev.Mtn.Peak-Central.Balkan.Natl.Park.156270_TMYx.2009-2023.zip</v>
      </c>
    </row>
    <row r="904" spans="1:10" x14ac:dyDescent="0.25">
      <c r="A904" t="s">
        <v>474</v>
      </c>
      <c r="B904" t="s">
        <v>489</v>
      </c>
      <c r="C904" t="s">
        <v>546</v>
      </c>
      <c r="D904">
        <v>156270</v>
      </c>
      <c r="E904" t="s">
        <v>14</v>
      </c>
      <c r="F904">
        <v>42.717500000000001</v>
      </c>
      <c r="G904">
        <v>24.916699999999999</v>
      </c>
      <c r="H904">
        <v>2</v>
      </c>
      <c r="I904">
        <v>2389</v>
      </c>
      <c r="J904" t="str">
        <f>HYPERLINK("https://climate.onebuilding.org/WMO_Region_6_Europe/BGR_Bulgaria/LV_Lovech/BGR_LV_Botev.Mtn.Peak-Central.Balkan.Natl.Park.156270_TMYx.zip")</f>
        <v>https://climate.onebuilding.org/WMO_Region_6_Europe/BGR_Bulgaria/LV_Lovech/BGR_LV_Botev.Mtn.Peak-Central.Balkan.Natl.Park.156270_TMYx.zip</v>
      </c>
    </row>
    <row r="905" spans="1:10" x14ac:dyDescent="0.25">
      <c r="A905" t="s">
        <v>474</v>
      </c>
      <c r="B905" t="s">
        <v>548</v>
      </c>
      <c r="C905" t="s">
        <v>549</v>
      </c>
      <c r="D905">
        <v>156280</v>
      </c>
      <c r="E905" t="s">
        <v>550</v>
      </c>
      <c r="F905">
        <v>42.216700000000003</v>
      </c>
      <c r="G905">
        <v>24.333300000000001</v>
      </c>
      <c r="H905">
        <v>2</v>
      </c>
      <c r="I905">
        <v>214</v>
      </c>
      <c r="J905" t="str">
        <f>HYPERLINK("https://climate.onebuilding.org/WMO_Region_6_Europe/BGR_Bulgaria/PZ_Pazardzhik/BGR_PZ_Ivaylo.156280_TMYx.2004-2018.zip")</f>
        <v>https://climate.onebuilding.org/WMO_Region_6_Europe/BGR_Bulgaria/PZ_Pazardzhik/BGR_PZ_Ivaylo.156280_TMYx.2004-2018.zip</v>
      </c>
    </row>
    <row r="906" spans="1:10" x14ac:dyDescent="0.25">
      <c r="A906" t="s">
        <v>474</v>
      </c>
      <c r="B906" t="s">
        <v>548</v>
      </c>
      <c r="C906" t="s">
        <v>549</v>
      </c>
      <c r="D906">
        <v>156280</v>
      </c>
      <c r="E906" t="s">
        <v>14</v>
      </c>
      <c r="F906">
        <v>42.216700000000003</v>
      </c>
      <c r="G906">
        <v>24.333300000000001</v>
      </c>
      <c r="H906">
        <v>2</v>
      </c>
      <c r="I906">
        <v>214</v>
      </c>
      <c r="J906" t="str">
        <f>HYPERLINK("https://climate.onebuilding.org/WMO_Region_6_Europe/BGR_Bulgaria/PZ_Pazardzhik/BGR_PZ_Ivaylo.156280_TMYx.2007-2021.zip")</f>
        <v>https://climate.onebuilding.org/WMO_Region_6_Europe/BGR_Bulgaria/PZ_Pazardzhik/BGR_PZ_Ivaylo.156280_TMYx.2007-2021.zip</v>
      </c>
    </row>
    <row r="907" spans="1:10" x14ac:dyDescent="0.25">
      <c r="A907" t="s">
        <v>474</v>
      </c>
      <c r="B907" t="s">
        <v>548</v>
      </c>
      <c r="C907" t="s">
        <v>549</v>
      </c>
      <c r="D907">
        <v>156280</v>
      </c>
      <c r="E907" t="s">
        <v>14</v>
      </c>
      <c r="F907">
        <v>42.216700000000003</v>
      </c>
      <c r="G907">
        <v>24.333300000000001</v>
      </c>
      <c r="H907">
        <v>2</v>
      </c>
      <c r="I907">
        <v>214</v>
      </c>
      <c r="J907" t="str">
        <f>HYPERLINK("https://climate.onebuilding.org/WMO_Region_6_Europe/BGR_Bulgaria/PZ_Pazardzhik/BGR_PZ_Ivaylo.156280_TMYx.2009-2023.zip")</f>
        <v>https://climate.onebuilding.org/WMO_Region_6_Europe/BGR_Bulgaria/PZ_Pazardzhik/BGR_PZ_Ivaylo.156280_TMYx.2009-2023.zip</v>
      </c>
    </row>
    <row r="908" spans="1:10" x14ac:dyDescent="0.25">
      <c r="A908" t="s">
        <v>474</v>
      </c>
      <c r="B908" t="s">
        <v>548</v>
      </c>
      <c r="C908" t="s">
        <v>549</v>
      </c>
      <c r="D908">
        <v>156280</v>
      </c>
      <c r="E908" t="s">
        <v>14</v>
      </c>
      <c r="F908">
        <v>42.216700000000003</v>
      </c>
      <c r="G908">
        <v>24.333300000000001</v>
      </c>
      <c r="H908">
        <v>2</v>
      </c>
      <c r="I908">
        <v>214</v>
      </c>
      <c r="J908" t="str">
        <f>HYPERLINK("https://climate.onebuilding.org/WMO_Region_6_Europe/BGR_Bulgaria/PZ_Pazardzhik/BGR_PZ_Ivaylo.156280_TMYx.zip")</f>
        <v>https://climate.onebuilding.org/WMO_Region_6_Europe/BGR_Bulgaria/PZ_Pazardzhik/BGR_PZ_Ivaylo.156280_TMYx.zip</v>
      </c>
    </row>
    <row r="909" spans="1:10" x14ac:dyDescent="0.25">
      <c r="A909" t="s">
        <v>474</v>
      </c>
      <c r="B909" t="s">
        <v>178</v>
      </c>
      <c r="C909" t="s">
        <v>551</v>
      </c>
      <c r="D909">
        <v>156350</v>
      </c>
      <c r="E909" t="s">
        <v>552</v>
      </c>
      <c r="F909">
        <v>42.2</v>
      </c>
      <c r="G909">
        <v>25.333300000000001</v>
      </c>
      <c r="H909">
        <v>2</v>
      </c>
      <c r="I909">
        <v>178</v>
      </c>
      <c r="J909" t="str">
        <f>HYPERLINK("https://climate.onebuilding.org/WMO_Region_6_Europe/BGR_Bulgaria/SZ_Stara_Zagora/BGR_SZ_Chirpan.156350_TMYx.2004-2018.zip")</f>
        <v>https://climate.onebuilding.org/WMO_Region_6_Europe/BGR_Bulgaria/SZ_Stara_Zagora/BGR_SZ_Chirpan.156350_TMYx.2004-2018.zip</v>
      </c>
    </row>
    <row r="910" spans="1:10" x14ac:dyDescent="0.25">
      <c r="A910" t="s">
        <v>474</v>
      </c>
      <c r="B910" t="s">
        <v>178</v>
      </c>
      <c r="C910" t="s">
        <v>551</v>
      </c>
      <c r="D910">
        <v>156350</v>
      </c>
      <c r="E910" t="s">
        <v>14</v>
      </c>
      <c r="F910">
        <v>42.2</v>
      </c>
      <c r="G910">
        <v>25.333300000000001</v>
      </c>
      <c r="H910">
        <v>2</v>
      </c>
      <c r="I910">
        <v>178</v>
      </c>
      <c r="J910" t="str">
        <f>HYPERLINK("https://climate.onebuilding.org/WMO_Region_6_Europe/BGR_Bulgaria/SZ_Stara_Zagora/BGR_SZ_Chirpan.156350_TMYx.zip")</f>
        <v>https://climate.onebuilding.org/WMO_Region_6_Europe/BGR_Bulgaria/SZ_Stara_Zagora/BGR_SZ_Chirpan.156350_TMYx.zip</v>
      </c>
    </row>
    <row r="911" spans="1:10" x14ac:dyDescent="0.25">
      <c r="A911" t="s">
        <v>474</v>
      </c>
      <c r="B911" t="s">
        <v>475</v>
      </c>
      <c r="C911" t="s">
        <v>553</v>
      </c>
      <c r="D911">
        <v>156400</v>
      </c>
      <c r="E911" t="s">
        <v>554</v>
      </c>
      <c r="F911">
        <v>42.667000000000002</v>
      </c>
      <c r="G911">
        <v>26.332999999999998</v>
      </c>
      <c r="H911">
        <v>2</v>
      </c>
      <c r="I911">
        <v>257</v>
      </c>
      <c r="J911" t="str">
        <f>HYPERLINK("https://climate.onebuilding.org/WMO_Region_6_Europe/BGR_Bulgaria/SL_Sliven/BGR_SL_Sliven.156400_TMYx.2004-2018.zip")</f>
        <v>https://climate.onebuilding.org/WMO_Region_6_Europe/BGR_Bulgaria/SL_Sliven/BGR_SL_Sliven.156400_TMYx.2004-2018.zip</v>
      </c>
    </row>
    <row r="912" spans="1:10" x14ac:dyDescent="0.25">
      <c r="A912" t="s">
        <v>474</v>
      </c>
      <c r="B912" t="s">
        <v>475</v>
      </c>
      <c r="C912" t="s">
        <v>553</v>
      </c>
      <c r="D912">
        <v>156400</v>
      </c>
      <c r="E912" t="s">
        <v>14</v>
      </c>
      <c r="F912">
        <v>42.667000000000002</v>
      </c>
      <c r="G912">
        <v>26.332999999999998</v>
      </c>
      <c r="H912">
        <v>2</v>
      </c>
      <c r="I912">
        <v>257</v>
      </c>
      <c r="J912" t="str">
        <f>HYPERLINK("https://climate.onebuilding.org/WMO_Region_6_Europe/BGR_Bulgaria/SL_Sliven/BGR_SL_Sliven.156400_TMYx.2007-2021.zip")</f>
        <v>https://climate.onebuilding.org/WMO_Region_6_Europe/BGR_Bulgaria/SL_Sliven/BGR_SL_Sliven.156400_TMYx.2007-2021.zip</v>
      </c>
    </row>
    <row r="913" spans="1:10" x14ac:dyDescent="0.25">
      <c r="A913" t="s">
        <v>474</v>
      </c>
      <c r="B913" t="s">
        <v>475</v>
      </c>
      <c r="C913" t="s">
        <v>553</v>
      </c>
      <c r="D913">
        <v>156400</v>
      </c>
      <c r="E913" t="s">
        <v>14</v>
      </c>
      <c r="F913">
        <v>42.667000000000002</v>
      </c>
      <c r="G913">
        <v>26.332999999999998</v>
      </c>
      <c r="H913">
        <v>2</v>
      </c>
      <c r="I913">
        <v>257</v>
      </c>
      <c r="J913" t="str">
        <f>HYPERLINK("https://climate.onebuilding.org/WMO_Region_6_Europe/BGR_Bulgaria/SL_Sliven/BGR_SL_Sliven.156400_TMYx.2009-2023.zip")</f>
        <v>https://climate.onebuilding.org/WMO_Region_6_Europe/BGR_Bulgaria/SL_Sliven/BGR_SL_Sliven.156400_TMYx.2009-2023.zip</v>
      </c>
    </row>
    <row r="914" spans="1:10" x14ac:dyDescent="0.25">
      <c r="A914" t="s">
        <v>474</v>
      </c>
      <c r="B914" t="s">
        <v>475</v>
      </c>
      <c r="C914" t="s">
        <v>553</v>
      </c>
      <c r="D914">
        <v>156400</v>
      </c>
      <c r="E914" t="s">
        <v>14</v>
      </c>
      <c r="F914">
        <v>42.667000000000002</v>
      </c>
      <c r="G914">
        <v>26.332999999999998</v>
      </c>
      <c r="H914">
        <v>2</v>
      </c>
      <c r="I914">
        <v>257</v>
      </c>
      <c r="J914" t="str">
        <f>HYPERLINK("https://climate.onebuilding.org/WMO_Region_6_Europe/BGR_Bulgaria/SL_Sliven/BGR_SL_Sliven.156400_TMYx.zip")</f>
        <v>https://climate.onebuilding.org/WMO_Region_6_Europe/BGR_Bulgaria/SL_Sliven/BGR_SL_Sliven.156400_TMYx.zip</v>
      </c>
    </row>
    <row r="915" spans="1:10" x14ac:dyDescent="0.25">
      <c r="A915" t="s">
        <v>474</v>
      </c>
      <c r="B915" t="s">
        <v>555</v>
      </c>
      <c r="C915" t="s">
        <v>556</v>
      </c>
      <c r="D915">
        <v>156420</v>
      </c>
      <c r="E915" t="s">
        <v>557</v>
      </c>
      <c r="F915">
        <v>42.183300000000003</v>
      </c>
      <c r="G915">
        <v>26.566700000000001</v>
      </c>
      <c r="H915">
        <v>2</v>
      </c>
      <c r="I915">
        <v>139</v>
      </c>
      <c r="J915" t="str">
        <f>HYPERLINK("https://climate.onebuilding.org/WMO_Region_6_Europe/BGR_Bulgaria/YA_Yambol/BGR_YA_Elhovo.156420_TMYx.2004-2018.zip")</f>
        <v>https://climate.onebuilding.org/WMO_Region_6_Europe/BGR_Bulgaria/YA_Yambol/BGR_YA_Elhovo.156420_TMYx.2004-2018.zip</v>
      </c>
    </row>
    <row r="916" spans="1:10" x14ac:dyDescent="0.25">
      <c r="A916" t="s">
        <v>474</v>
      </c>
      <c r="B916" t="s">
        <v>555</v>
      </c>
      <c r="C916" t="s">
        <v>556</v>
      </c>
      <c r="D916">
        <v>156420</v>
      </c>
      <c r="E916" t="s">
        <v>14</v>
      </c>
      <c r="F916">
        <v>42.183300000000003</v>
      </c>
      <c r="G916">
        <v>26.566700000000001</v>
      </c>
      <c r="H916">
        <v>2</v>
      </c>
      <c r="I916">
        <v>139</v>
      </c>
      <c r="J916" t="str">
        <f>HYPERLINK("https://climate.onebuilding.org/WMO_Region_6_Europe/BGR_Bulgaria/YA_Yambol/BGR_YA_Elhovo.156420_TMYx.2007-2021.zip")</f>
        <v>https://climate.onebuilding.org/WMO_Region_6_Europe/BGR_Bulgaria/YA_Yambol/BGR_YA_Elhovo.156420_TMYx.2007-2021.zip</v>
      </c>
    </row>
    <row r="917" spans="1:10" x14ac:dyDescent="0.25">
      <c r="A917" t="s">
        <v>474</v>
      </c>
      <c r="B917" t="s">
        <v>555</v>
      </c>
      <c r="C917" t="s">
        <v>556</v>
      </c>
      <c r="D917">
        <v>156420</v>
      </c>
      <c r="E917" t="s">
        <v>14</v>
      </c>
      <c r="F917">
        <v>42.183300000000003</v>
      </c>
      <c r="G917">
        <v>26.566700000000001</v>
      </c>
      <c r="H917">
        <v>2</v>
      </c>
      <c r="I917">
        <v>139</v>
      </c>
      <c r="J917" t="str">
        <f>HYPERLINK("https://climate.onebuilding.org/WMO_Region_6_Europe/BGR_Bulgaria/YA_Yambol/BGR_YA_Elhovo.156420_TMYx.2009-2023.zip")</f>
        <v>https://climate.onebuilding.org/WMO_Region_6_Europe/BGR_Bulgaria/YA_Yambol/BGR_YA_Elhovo.156420_TMYx.2009-2023.zip</v>
      </c>
    </row>
    <row r="918" spans="1:10" x14ac:dyDescent="0.25">
      <c r="A918" t="s">
        <v>474</v>
      </c>
      <c r="B918" t="s">
        <v>555</v>
      </c>
      <c r="C918" t="s">
        <v>556</v>
      </c>
      <c r="D918">
        <v>156420</v>
      </c>
      <c r="E918" t="s">
        <v>14</v>
      </c>
      <c r="F918">
        <v>42.183300000000003</v>
      </c>
      <c r="G918">
        <v>26.566700000000001</v>
      </c>
      <c r="H918">
        <v>2</v>
      </c>
      <c r="I918">
        <v>139</v>
      </c>
      <c r="J918" t="str">
        <f>HYPERLINK("https://climate.onebuilding.org/WMO_Region_6_Europe/BGR_Bulgaria/YA_Yambol/BGR_YA_Elhovo.156420_TMYx.zip")</f>
        <v>https://climate.onebuilding.org/WMO_Region_6_Europe/BGR_Bulgaria/YA_Yambol/BGR_YA_Elhovo.156420_TMYx.zip</v>
      </c>
    </row>
    <row r="919" spans="1:10" x14ac:dyDescent="0.25">
      <c r="A919" t="s">
        <v>474</v>
      </c>
      <c r="B919" t="s">
        <v>536</v>
      </c>
      <c r="C919" t="s">
        <v>558</v>
      </c>
      <c r="D919">
        <v>156460</v>
      </c>
      <c r="E919" t="s">
        <v>14</v>
      </c>
      <c r="F919">
        <v>42.65</v>
      </c>
      <c r="G919">
        <v>26.983000000000001</v>
      </c>
      <c r="H919">
        <v>2</v>
      </c>
      <c r="I919">
        <v>195</v>
      </c>
      <c r="J919" t="str">
        <f>HYPERLINK("https://climate.onebuilding.org/WMO_Region_6_Europe/BGR_Bulgaria/BR_Burgas/BGR_BR_Karnobat.156460_TMYx.zip")</f>
        <v>https://climate.onebuilding.org/WMO_Region_6_Europe/BGR_Bulgaria/BR_Burgas/BGR_BR_Karnobat.156460_TMYx.zip</v>
      </c>
    </row>
    <row r="920" spans="1:10" x14ac:dyDescent="0.25">
      <c r="A920" t="s">
        <v>474</v>
      </c>
      <c r="B920" t="s">
        <v>536</v>
      </c>
      <c r="C920" t="s">
        <v>559</v>
      </c>
      <c r="D920">
        <v>156550</v>
      </c>
      <c r="E920" t="s">
        <v>560</v>
      </c>
      <c r="F920">
        <v>42.57</v>
      </c>
      <c r="G920">
        <v>27.515000000000001</v>
      </c>
      <c r="H920">
        <v>2</v>
      </c>
      <c r="I920">
        <v>41.1</v>
      </c>
      <c r="J920" t="str">
        <f>HYPERLINK("https://climate.onebuilding.org/WMO_Region_6_Europe/BGR_Bulgaria/BR_Burgas/BGR_BR_Burgas.AP.156550_TMYx.2004-2018.zip")</f>
        <v>https://climate.onebuilding.org/WMO_Region_6_Europe/BGR_Bulgaria/BR_Burgas/BGR_BR_Burgas.AP.156550_TMYx.2004-2018.zip</v>
      </c>
    </row>
    <row r="921" spans="1:10" x14ac:dyDescent="0.25">
      <c r="A921" t="s">
        <v>474</v>
      </c>
      <c r="B921" t="s">
        <v>536</v>
      </c>
      <c r="C921" t="s">
        <v>559</v>
      </c>
      <c r="D921">
        <v>156550</v>
      </c>
      <c r="E921" t="s">
        <v>14</v>
      </c>
      <c r="F921">
        <v>42.57</v>
      </c>
      <c r="G921">
        <v>27.515000000000001</v>
      </c>
      <c r="H921">
        <v>2</v>
      </c>
      <c r="I921">
        <v>41.1</v>
      </c>
      <c r="J921" t="str">
        <f>HYPERLINK("https://climate.onebuilding.org/WMO_Region_6_Europe/BGR_Bulgaria/BR_Burgas/BGR_BR_Burgas.AP.156550_TMYx.2007-2021.zip")</f>
        <v>https://climate.onebuilding.org/WMO_Region_6_Europe/BGR_Bulgaria/BR_Burgas/BGR_BR_Burgas.AP.156550_TMYx.2007-2021.zip</v>
      </c>
    </row>
    <row r="922" spans="1:10" x14ac:dyDescent="0.25">
      <c r="A922" t="s">
        <v>474</v>
      </c>
      <c r="B922" t="s">
        <v>536</v>
      </c>
      <c r="C922" t="s">
        <v>559</v>
      </c>
      <c r="D922">
        <v>156550</v>
      </c>
      <c r="E922" t="s">
        <v>14</v>
      </c>
      <c r="F922">
        <v>42.57</v>
      </c>
      <c r="G922">
        <v>27.515000000000001</v>
      </c>
      <c r="H922">
        <v>2</v>
      </c>
      <c r="I922">
        <v>41.1</v>
      </c>
      <c r="J922" t="str">
        <f>HYPERLINK("https://climate.onebuilding.org/WMO_Region_6_Europe/BGR_Bulgaria/BR_Burgas/BGR_BR_Burgas.AP.156550_TMYx.2009-2023.zip")</f>
        <v>https://climate.onebuilding.org/WMO_Region_6_Europe/BGR_Bulgaria/BR_Burgas/BGR_BR_Burgas.AP.156550_TMYx.2009-2023.zip</v>
      </c>
    </row>
    <row r="923" spans="1:10" x14ac:dyDescent="0.25">
      <c r="A923" t="s">
        <v>474</v>
      </c>
      <c r="B923" t="s">
        <v>536</v>
      </c>
      <c r="C923" t="s">
        <v>559</v>
      </c>
      <c r="D923">
        <v>156550</v>
      </c>
      <c r="E923" t="s">
        <v>14</v>
      </c>
      <c r="F923">
        <v>42.57</v>
      </c>
      <c r="G923">
        <v>27.515000000000001</v>
      </c>
      <c r="H923">
        <v>2</v>
      </c>
      <c r="I923">
        <v>41.1</v>
      </c>
      <c r="J923" t="str">
        <f>HYPERLINK("https://climate.onebuilding.org/WMO_Region_6_Europe/BGR_Bulgaria/BR_Burgas/BGR_BR_Burgas.AP.156550_TMYx.zip")</f>
        <v>https://climate.onebuilding.org/WMO_Region_6_Europe/BGR_Bulgaria/BR_Burgas/BGR_BR_Burgas.AP.156550_TMYx.zip</v>
      </c>
    </row>
    <row r="924" spans="1:10" x14ac:dyDescent="0.25">
      <c r="A924" t="s">
        <v>474</v>
      </c>
      <c r="B924" t="s">
        <v>536</v>
      </c>
      <c r="C924" t="s">
        <v>561</v>
      </c>
      <c r="D924">
        <v>156610</v>
      </c>
      <c r="E924" t="s">
        <v>562</v>
      </c>
      <c r="F924">
        <v>42.094999999999999</v>
      </c>
      <c r="G924">
        <v>27.943300000000001</v>
      </c>
      <c r="H924">
        <v>2</v>
      </c>
      <c r="I924">
        <v>21</v>
      </c>
      <c r="J924" t="str">
        <f>HYPERLINK("https://climate.onebuilding.org/WMO_Region_6_Europe/BGR_Bulgaria/BR_Burgas/BGR_BR_Ahtopol.156610_TMYx.2004-2018.zip")</f>
        <v>https://climate.onebuilding.org/WMO_Region_6_Europe/BGR_Bulgaria/BR_Burgas/BGR_BR_Ahtopol.156610_TMYx.2004-2018.zip</v>
      </c>
    </row>
    <row r="925" spans="1:10" x14ac:dyDescent="0.25">
      <c r="A925" t="s">
        <v>474</v>
      </c>
      <c r="B925" t="s">
        <v>536</v>
      </c>
      <c r="C925" t="s">
        <v>561</v>
      </c>
      <c r="D925">
        <v>156610</v>
      </c>
      <c r="E925" t="s">
        <v>14</v>
      </c>
      <c r="F925">
        <v>42.094999999999999</v>
      </c>
      <c r="G925">
        <v>27.943300000000001</v>
      </c>
      <c r="H925">
        <v>2</v>
      </c>
      <c r="I925">
        <v>21</v>
      </c>
      <c r="J925" t="str">
        <f>HYPERLINK("https://climate.onebuilding.org/WMO_Region_6_Europe/BGR_Bulgaria/BR_Burgas/BGR_BR_Ahtopol.156610_TMYx.2007-2021.zip")</f>
        <v>https://climate.onebuilding.org/WMO_Region_6_Europe/BGR_Bulgaria/BR_Burgas/BGR_BR_Ahtopol.156610_TMYx.2007-2021.zip</v>
      </c>
    </row>
    <row r="926" spans="1:10" x14ac:dyDescent="0.25">
      <c r="A926" t="s">
        <v>474</v>
      </c>
      <c r="B926" t="s">
        <v>536</v>
      </c>
      <c r="C926" t="s">
        <v>561</v>
      </c>
      <c r="D926">
        <v>156610</v>
      </c>
      <c r="E926" t="s">
        <v>14</v>
      </c>
      <c r="F926">
        <v>42.094999999999999</v>
      </c>
      <c r="G926">
        <v>27.943300000000001</v>
      </c>
      <c r="H926">
        <v>2</v>
      </c>
      <c r="I926">
        <v>21</v>
      </c>
      <c r="J926" t="str">
        <f>HYPERLINK("https://climate.onebuilding.org/WMO_Region_6_Europe/BGR_Bulgaria/BR_Burgas/BGR_BR_Ahtopol.156610_TMYx.2009-2023.zip")</f>
        <v>https://climate.onebuilding.org/WMO_Region_6_Europe/BGR_Bulgaria/BR_Burgas/BGR_BR_Ahtopol.156610_TMYx.2009-2023.zip</v>
      </c>
    </row>
    <row r="927" spans="1:10" x14ac:dyDescent="0.25">
      <c r="A927" t="s">
        <v>474</v>
      </c>
      <c r="B927" t="s">
        <v>536</v>
      </c>
      <c r="C927" t="s">
        <v>561</v>
      </c>
      <c r="D927">
        <v>156610</v>
      </c>
      <c r="E927" t="s">
        <v>14</v>
      </c>
      <c r="F927">
        <v>42.094999999999999</v>
      </c>
      <c r="G927">
        <v>27.943300000000001</v>
      </c>
      <c r="H927">
        <v>2</v>
      </c>
      <c r="I927">
        <v>21</v>
      </c>
      <c r="J927" t="str">
        <f>HYPERLINK("https://climate.onebuilding.org/WMO_Region_6_Europe/BGR_Bulgaria/BR_Burgas/BGR_BR_Ahtopol.156610_TMYx.zip")</f>
        <v>https://climate.onebuilding.org/WMO_Region_6_Europe/BGR_Bulgaria/BR_Burgas/BGR_BR_Ahtopol.156610_TMYx.zip</v>
      </c>
    </row>
    <row r="928" spans="1:10" x14ac:dyDescent="0.25">
      <c r="A928" t="s">
        <v>474</v>
      </c>
      <c r="B928" t="s">
        <v>536</v>
      </c>
      <c r="C928" t="s">
        <v>563</v>
      </c>
      <c r="D928">
        <v>156620</v>
      </c>
      <c r="E928" t="s">
        <v>14</v>
      </c>
      <c r="F928">
        <v>42.2746</v>
      </c>
      <c r="G928">
        <v>27.746700000000001</v>
      </c>
      <c r="H928">
        <v>2</v>
      </c>
      <c r="I928">
        <v>10</v>
      </c>
      <c r="J928" t="str">
        <f>HYPERLINK("https://climate.onebuilding.org/WMO_Region_6_Europe/BGR_Bulgaria/BR_Burgas/BGR_BR_Primorsko.156620_TMYx.zip")</f>
        <v>https://climate.onebuilding.org/WMO_Region_6_Europe/BGR_Bulgaria/BR_Burgas/BGR_BR_Primorsko.156620_TMYx.zip</v>
      </c>
    </row>
    <row r="929" spans="1:10" x14ac:dyDescent="0.25">
      <c r="A929" t="s">
        <v>474</v>
      </c>
      <c r="B929" t="s">
        <v>564</v>
      </c>
      <c r="C929" t="s">
        <v>565</v>
      </c>
      <c r="D929">
        <v>157120</v>
      </c>
      <c r="E929" t="s">
        <v>566</v>
      </c>
      <c r="F929">
        <v>41.55</v>
      </c>
      <c r="G929">
        <v>23.2667</v>
      </c>
      <c r="H929">
        <v>2</v>
      </c>
      <c r="I929">
        <v>207</v>
      </c>
      <c r="J929" t="str">
        <f>HYPERLINK("https://climate.onebuilding.org/WMO_Region_6_Europe/BGR_Bulgaria/BL_Blagoevgrad/BGR_BL_Sandanski.157120_TMYx.2004-2018.zip")</f>
        <v>https://climate.onebuilding.org/WMO_Region_6_Europe/BGR_Bulgaria/BL_Blagoevgrad/BGR_BL_Sandanski.157120_TMYx.2004-2018.zip</v>
      </c>
    </row>
    <row r="930" spans="1:10" x14ac:dyDescent="0.25">
      <c r="A930" t="s">
        <v>474</v>
      </c>
      <c r="B930" t="s">
        <v>564</v>
      </c>
      <c r="C930" t="s">
        <v>565</v>
      </c>
      <c r="D930">
        <v>157120</v>
      </c>
      <c r="E930" t="s">
        <v>14</v>
      </c>
      <c r="F930">
        <v>41.55</v>
      </c>
      <c r="G930">
        <v>23.2667</v>
      </c>
      <c r="H930">
        <v>2</v>
      </c>
      <c r="I930">
        <v>207</v>
      </c>
      <c r="J930" t="str">
        <f>HYPERLINK("https://climate.onebuilding.org/WMO_Region_6_Europe/BGR_Bulgaria/BL_Blagoevgrad/BGR_BL_Sandanski.157120_TMYx.2007-2021.zip")</f>
        <v>https://climate.onebuilding.org/WMO_Region_6_Europe/BGR_Bulgaria/BL_Blagoevgrad/BGR_BL_Sandanski.157120_TMYx.2007-2021.zip</v>
      </c>
    </row>
    <row r="931" spans="1:10" x14ac:dyDescent="0.25">
      <c r="A931" t="s">
        <v>474</v>
      </c>
      <c r="B931" t="s">
        <v>564</v>
      </c>
      <c r="C931" t="s">
        <v>565</v>
      </c>
      <c r="D931">
        <v>157120</v>
      </c>
      <c r="E931" t="s">
        <v>14</v>
      </c>
      <c r="F931">
        <v>41.55</v>
      </c>
      <c r="G931">
        <v>23.2667</v>
      </c>
      <c r="H931">
        <v>2</v>
      </c>
      <c r="I931">
        <v>207</v>
      </c>
      <c r="J931" t="str">
        <f>HYPERLINK("https://climate.onebuilding.org/WMO_Region_6_Europe/BGR_Bulgaria/BL_Blagoevgrad/BGR_BL_Sandanski.157120_TMYx.2009-2023.zip")</f>
        <v>https://climate.onebuilding.org/WMO_Region_6_Europe/BGR_Bulgaria/BL_Blagoevgrad/BGR_BL_Sandanski.157120_TMYx.2009-2023.zip</v>
      </c>
    </row>
    <row r="932" spans="1:10" x14ac:dyDescent="0.25">
      <c r="A932" t="s">
        <v>474</v>
      </c>
      <c r="B932" t="s">
        <v>564</v>
      </c>
      <c r="C932" t="s">
        <v>565</v>
      </c>
      <c r="D932">
        <v>157120</v>
      </c>
      <c r="E932" t="s">
        <v>14</v>
      </c>
      <c r="F932">
        <v>41.55</v>
      </c>
      <c r="G932">
        <v>23.2667</v>
      </c>
      <c r="H932">
        <v>2</v>
      </c>
      <c r="I932">
        <v>207</v>
      </c>
      <c r="J932" t="str">
        <f>HYPERLINK("https://climate.onebuilding.org/WMO_Region_6_Europe/BGR_Bulgaria/BL_Blagoevgrad/BGR_BL_Sandanski.157120_TMYx.zip")</f>
        <v>https://climate.onebuilding.org/WMO_Region_6_Europe/BGR_Bulgaria/BL_Blagoevgrad/BGR_BL_Sandanski.157120_TMYx.zip</v>
      </c>
    </row>
    <row r="933" spans="1:10" x14ac:dyDescent="0.25">
      <c r="A933" t="s">
        <v>474</v>
      </c>
      <c r="B933" t="s">
        <v>567</v>
      </c>
      <c r="C933" t="s">
        <v>568</v>
      </c>
      <c r="D933">
        <v>157250</v>
      </c>
      <c r="E933" t="s">
        <v>14</v>
      </c>
      <c r="F933">
        <v>41.65</v>
      </c>
      <c r="G933">
        <v>24.683299999999999</v>
      </c>
      <c r="H933">
        <v>2</v>
      </c>
      <c r="I933">
        <v>1930</v>
      </c>
      <c r="J933" t="str">
        <f>HYPERLINK("https://climate.onebuilding.org/WMO_Region_6_Europe/BGR_Bulgaria/SM_Smolyan/BGR_SM_Snezhanka.Mtn.Peak-Pamporovo.Resort.157250_TMYx.zip")</f>
        <v>https://climate.onebuilding.org/WMO_Region_6_Europe/BGR_Bulgaria/SM_Smolyan/BGR_SM_Snezhanka.Mtn.Peak-Pamporovo.Resort.157250_TMYx.zip</v>
      </c>
    </row>
    <row r="934" spans="1:10" x14ac:dyDescent="0.25">
      <c r="A934" t="s">
        <v>474</v>
      </c>
      <c r="B934" t="s">
        <v>567</v>
      </c>
      <c r="C934" t="s">
        <v>569</v>
      </c>
      <c r="D934">
        <v>157260</v>
      </c>
      <c r="E934" t="s">
        <v>570</v>
      </c>
      <c r="F934">
        <v>41.695</v>
      </c>
      <c r="G934">
        <v>24.738099999999999</v>
      </c>
      <c r="H934">
        <v>2</v>
      </c>
      <c r="I934">
        <v>1730</v>
      </c>
      <c r="J934" t="str">
        <f>HYPERLINK("https://climate.onebuilding.org/WMO_Region_6_Europe/BGR_Bulgaria/SM_Smolyan/BGR_SM_Rozhen.Obs.157260_TMYx.2004-2018.zip")</f>
        <v>https://climate.onebuilding.org/WMO_Region_6_Europe/BGR_Bulgaria/SM_Smolyan/BGR_SM_Rozhen.Obs.157260_TMYx.2004-2018.zip</v>
      </c>
    </row>
    <row r="935" spans="1:10" x14ac:dyDescent="0.25">
      <c r="A935" t="s">
        <v>474</v>
      </c>
      <c r="B935" t="s">
        <v>567</v>
      </c>
      <c r="C935" t="s">
        <v>569</v>
      </c>
      <c r="D935">
        <v>157260</v>
      </c>
      <c r="E935" t="s">
        <v>14</v>
      </c>
      <c r="F935">
        <v>41.695</v>
      </c>
      <c r="G935">
        <v>24.738099999999999</v>
      </c>
      <c r="H935">
        <v>2</v>
      </c>
      <c r="I935">
        <v>1730</v>
      </c>
      <c r="J935" t="str">
        <f>HYPERLINK("https://climate.onebuilding.org/WMO_Region_6_Europe/BGR_Bulgaria/SM_Smolyan/BGR_SM_Rozhen.Obs.157260_TMYx.2007-2021.zip")</f>
        <v>https://climate.onebuilding.org/WMO_Region_6_Europe/BGR_Bulgaria/SM_Smolyan/BGR_SM_Rozhen.Obs.157260_TMYx.2007-2021.zip</v>
      </c>
    </row>
    <row r="936" spans="1:10" x14ac:dyDescent="0.25">
      <c r="A936" t="s">
        <v>474</v>
      </c>
      <c r="B936" t="s">
        <v>567</v>
      </c>
      <c r="C936" t="s">
        <v>569</v>
      </c>
      <c r="D936">
        <v>157260</v>
      </c>
      <c r="E936" t="s">
        <v>14</v>
      </c>
      <c r="F936">
        <v>41.695</v>
      </c>
      <c r="G936">
        <v>24.738099999999999</v>
      </c>
      <c r="H936">
        <v>2</v>
      </c>
      <c r="I936">
        <v>1730</v>
      </c>
      <c r="J936" t="str">
        <f>HYPERLINK("https://climate.onebuilding.org/WMO_Region_6_Europe/BGR_Bulgaria/SM_Smolyan/BGR_SM_Rozhen.Obs.157260_TMYx.2009-2023.zip")</f>
        <v>https://climate.onebuilding.org/WMO_Region_6_Europe/BGR_Bulgaria/SM_Smolyan/BGR_SM_Rozhen.Obs.157260_TMYx.2009-2023.zip</v>
      </c>
    </row>
    <row r="937" spans="1:10" x14ac:dyDescent="0.25">
      <c r="A937" t="s">
        <v>474</v>
      </c>
      <c r="B937" t="s">
        <v>567</v>
      </c>
      <c r="C937" t="s">
        <v>569</v>
      </c>
      <c r="D937">
        <v>157260</v>
      </c>
      <c r="E937" t="s">
        <v>14</v>
      </c>
      <c r="F937">
        <v>41.695</v>
      </c>
      <c r="G937">
        <v>24.738099999999999</v>
      </c>
      <c r="H937">
        <v>2</v>
      </c>
      <c r="I937">
        <v>1730</v>
      </c>
      <c r="J937" t="str">
        <f>HYPERLINK("https://climate.onebuilding.org/WMO_Region_6_Europe/BGR_Bulgaria/SM_Smolyan/BGR_SM_Rozhen.Obs.157260_TMYx.zip")</f>
        <v>https://climate.onebuilding.org/WMO_Region_6_Europe/BGR_Bulgaria/SM_Smolyan/BGR_SM_Rozhen.Obs.157260_TMYx.zip</v>
      </c>
    </row>
    <row r="938" spans="1:10" x14ac:dyDescent="0.25">
      <c r="A938" t="s">
        <v>474</v>
      </c>
      <c r="B938" t="s">
        <v>512</v>
      </c>
      <c r="C938" t="s">
        <v>571</v>
      </c>
      <c r="D938">
        <v>157300</v>
      </c>
      <c r="E938" t="s">
        <v>572</v>
      </c>
      <c r="F938">
        <v>41.65</v>
      </c>
      <c r="G938">
        <v>25.383299999999998</v>
      </c>
      <c r="H938">
        <v>2</v>
      </c>
      <c r="I938">
        <v>331</v>
      </c>
      <c r="J938" t="str">
        <f>HYPERLINK("https://climate.onebuilding.org/WMO_Region_6_Europe/BGR_Bulgaria/KZ_Kurdzhali/BGR_KZ_Kardzhali.157300_TMYx.2004-2018.zip")</f>
        <v>https://climate.onebuilding.org/WMO_Region_6_Europe/BGR_Bulgaria/KZ_Kurdzhali/BGR_KZ_Kardzhali.157300_TMYx.2004-2018.zip</v>
      </c>
    </row>
    <row r="939" spans="1:10" x14ac:dyDescent="0.25">
      <c r="A939" t="s">
        <v>474</v>
      </c>
      <c r="B939" t="s">
        <v>512</v>
      </c>
      <c r="C939" t="s">
        <v>571</v>
      </c>
      <c r="D939">
        <v>157300</v>
      </c>
      <c r="E939" t="s">
        <v>14</v>
      </c>
      <c r="F939">
        <v>41.65</v>
      </c>
      <c r="G939">
        <v>25.383299999999998</v>
      </c>
      <c r="H939">
        <v>2</v>
      </c>
      <c r="I939">
        <v>331</v>
      </c>
      <c r="J939" t="str">
        <f>HYPERLINK("https://climate.onebuilding.org/WMO_Region_6_Europe/BGR_Bulgaria/KZ_Kurdzhali/BGR_KZ_Kardzhali.157300_TMYx.2007-2021.zip")</f>
        <v>https://climate.onebuilding.org/WMO_Region_6_Europe/BGR_Bulgaria/KZ_Kurdzhali/BGR_KZ_Kardzhali.157300_TMYx.2007-2021.zip</v>
      </c>
    </row>
    <row r="940" spans="1:10" x14ac:dyDescent="0.25">
      <c r="A940" t="s">
        <v>474</v>
      </c>
      <c r="B940" t="s">
        <v>512</v>
      </c>
      <c r="C940" t="s">
        <v>571</v>
      </c>
      <c r="D940">
        <v>157300</v>
      </c>
      <c r="E940" t="s">
        <v>14</v>
      </c>
      <c r="F940">
        <v>41.65</v>
      </c>
      <c r="G940">
        <v>25.383299999999998</v>
      </c>
      <c r="H940">
        <v>2</v>
      </c>
      <c r="I940">
        <v>331</v>
      </c>
      <c r="J940" t="str">
        <f>HYPERLINK("https://climate.onebuilding.org/WMO_Region_6_Europe/BGR_Bulgaria/KZ_Kurdzhali/BGR_KZ_Kardzhali.157300_TMYx.2009-2023.zip")</f>
        <v>https://climate.onebuilding.org/WMO_Region_6_Europe/BGR_Bulgaria/KZ_Kurdzhali/BGR_KZ_Kardzhali.157300_TMYx.2009-2023.zip</v>
      </c>
    </row>
    <row r="941" spans="1:10" x14ac:dyDescent="0.25">
      <c r="A941" t="s">
        <v>474</v>
      </c>
      <c r="B941" t="s">
        <v>512</v>
      </c>
      <c r="C941" t="s">
        <v>571</v>
      </c>
      <c r="D941">
        <v>157300</v>
      </c>
      <c r="E941" t="s">
        <v>14</v>
      </c>
      <c r="F941">
        <v>41.65</v>
      </c>
      <c r="G941">
        <v>25.383299999999998</v>
      </c>
      <c r="H941">
        <v>2</v>
      </c>
      <c r="I941">
        <v>331</v>
      </c>
      <c r="J941" t="str">
        <f>HYPERLINK("https://climate.onebuilding.org/WMO_Region_6_Europe/BGR_Bulgaria/KZ_Kurdzhali/BGR_KZ_Kardzhali.157300_TMYx.zip")</f>
        <v>https://climate.onebuilding.org/WMO_Region_6_Europe/BGR_Bulgaria/KZ_Kurdzhali/BGR_KZ_Kardzhali.157300_TMYx.zip</v>
      </c>
    </row>
    <row r="942" spans="1:10" x14ac:dyDescent="0.25">
      <c r="A942" t="s">
        <v>474</v>
      </c>
      <c r="B942" t="s">
        <v>26</v>
      </c>
      <c r="C942" t="s">
        <v>573</v>
      </c>
      <c r="D942">
        <v>157410</v>
      </c>
      <c r="E942" t="s">
        <v>14</v>
      </c>
      <c r="F942">
        <v>41.7667</v>
      </c>
      <c r="G942">
        <v>26.2</v>
      </c>
      <c r="H942">
        <v>2</v>
      </c>
      <c r="I942">
        <v>55</v>
      </c>
      <c r="J942" t="str">
        <f>HYPERLINK("https://climate.onebuilding.org/WMO_Region_6_Europe/BGR_Bulgaria/KK_Khaskovo/BGR_KK_Svilengrad.157410_TMYx.zip")</f>
        <v>https://climate.onebuilding.org/WMO_Region_6_Europe/BGR_Bulgaria/KK_Khaskovo/BGR_KK_Svilengrad.157410_TMYx.zip</v>
      </c>
    </row>
    <row r="943" spans="1:10" x14ac:dyDescent="0.25">
      <c r="A943" t="s">
        <v>574</v>
      </c>
      <c r="B943" t="s">
        <v>575</v>
      </c>
      <c r="C943" t="s">
        <v>576</v>
      </c>
      <c r="D943">
        <v>132340</v>
      </c>
      <c r="E943" t="s">
        <v>14</v>
      </c>
      <c r="F943">
        <v>44.368499999999997</v>
      </c>
      <c r="G943">
        <v>16.379799999999999</v>
      </c>
      <c r="H943">
        <v>1</v>
      </c>
      <c r="I943">
        <v>493</v>
      </c>
      <c r="J943" t="str">
        <f>HYPERLINK("https://climate.onebuilding.org/WMO_Region_6_Europe/BIH_Bosnia_and_Herzegovina/BIH_BF_Drvar.132340_TMYx.zip")</f>
        <v>https://climate.onebuilding.org/WMO_Region_6_Europe/BIH_Bosnia_and_Herzegovina/BIH_BF_Drvar.132340_TMYx.zip</v>
      </c>
    </row>
    <row r="944" spans="1:10" x14ac:dyDescent="0.25">
      <c r="A944" t="s">
        <v>574</v>
      </c>
      <c r="B944" t="s">
        <v>577</v>
      </c>
      <c r="C944" t="s">
        <v>578</v>
      </c>
      <c r="D944">
        <v>132420</v>
      </c>
      <c r="E944" t="s">
        <v>14</v>
      </c>
      <c r="F944">
        <v>44.941000000000003</v>
      </c>
      <c r="G944">
        <v>17.297999999999998</v>
      </c>
      <c r="H944">
        <v>1</v>
      </c>
      <c r="I944">
        <v>121.9</v>
      </c>
      <c r="J944" t="str">
        <f>HYPERLINK("https://climate.onebuilding.org/WMO_Region_6_Europe/BIH_Bosnia_and_Herzegovina/BIH_SR_Banja.Luka.Intl.AP.132420_TMYx.2007-2021.zip")</f>
        <v>https://climate.onebuilding.org/WMO_Region_6_Europe/BIH_Bosnia_and_Herzegovina/BIH_SR_Banja.Luka.Intl.AP.132420_TMYx.2007-2021.zip</v>
      </c>
    </row>
    <row r="945" spans="1:10" x14ac:dyDescent="0.25">
      <c r="A945" t="s">
        <v>574</v>
      </c>
      <c r="B945" t="s">
        <v>577</v>
      </c>
      <c r="C945" t="s">
        <v>578</v>
      </c>
      <c r="D945">
        <v>132420</v>
      </c>
      <c r="E945" t="s">
        <v>14</v>
      </c>
      <c r="F945">
        <v>44.941000000000003</v>
      </c>
      <c r="G945">
        <v>17.297999999999998</v>
      </c>
      <c r="H945">
        <v>1</v>
      </c>
      <c r="I945">
        <v>121.9</v>
      </c>
      <c r="J945" t="str">
        <f>HYPERLINK("https://climate.onebuilding.org/WMO_Region_6_Europe/BIH_Bosnia_and_Herzegovina/BIH_SR_Banja.Luka.Intl.AP.132420_TMYx.2009-2023.zip")</f>
        <v>https://climate.onebuilding.org/WMO_Region_6_Europe/BIH_Bosnia_and_Herzegovina/BIH_SR_Banja.Luka.Intl.AP.132420_TMYx.2009-2023.zip</v>
      </c>
    </row>
    <row r="946" spans="1:10" x14ac:dyDescent="0.25">
      <c r="A946" t="s">
        <v>574</v>
      </c>
      <c r="B946" t="s">
        <v>577</v>
      </c>
      <c r="C946" t="s">
        <v>578</v>
      </c>
      <c r="D946">
        <v>132420</v>
      </c>
      <c r="E946" t="s">
        <v>14</v>
      </c>
      <c r="F946">
        <v>44.941000000000003</v>
      </c>
      <c r="G946">
        <v>17.297999999999998</v>
      </c>
      <c r="H946">
        <v>1</v>
      </c>
      <c r="I946">
        <v>121.9</v>
      </c>
      <c r="J946" t="str">
        <f>HYPERLINK("https://climate.onebuilding.org/WMO_Region_6_Europe/BIH_Bosnia_and_Herzegovina/BIH_SR_Banja.Luka.Intl.AP.132420_TMYx.zip")</f>
        <v>https://climate.onebuilding.org/WMO_Region_6_Europe/BIH_Bosnia_and_Herzegovina/BIH_SR_Banja.Luka.Intl.AP.132420_TMYx.zip</v>
      </c>
    </row>
    <row r="947" spans="1:10" x14ac:dyDescent="0.25">
      <c r="A947" t="s">
        <v>574</v>
      </c>
      <c r="B947" t="s">
        <v>575</v>
      </c>
      <c r="C947" t="s">
        <v>579</v>
      </c>
      <c r="D947">
        <v>133480</v>
      </c>
      <c r="E947" t="s">
        <v>580</v>
      </c>
      <c r="F947">
        <v>43.283000000000001</v>
      </c>
      <c r="G947">
        <v>17.846</v>
      </c>
      <c r="H947">
        <v>1</v>
      </c>
      <c r="I947">
        <v>47.5</v>
      </c>
      <c r="J947" t="str">
        <f>HYPERLINK("https://climate.onebuilding.org/WMO_Region_6_Europe/BIH_Bosnia_and_Herzegovina/BIH_BF_Mostar.Intl.AP.133480_TMYx.2004-2018.zip")</f>
        <v>https://climate.onebuilding.org/WMO_Region_6_Europe/BIH_Bosnia_and_Herzegovina/BIH_BF_Mostar.Intl.AP.133480_TMYx.2004-2018.zip</v>
      </c>
    </row>
    <row r="948" spans="1:10" x14ac:dyDescent="0.25">
      <c r="A948" t="s">
        <v>574</v>
      </c>
      <c r="B948" t="s">
        <v>575</v>
      </c>
      <c r="C948" t="s">
        <v>579</v>
      </c>
      <c r="D948">
        <v>133480</v>
      </c>
      <c r="E948" t="s">
        <v>14</v>
      </c>
      <c r="F948">
        <v>43.283000000000001</v>
      </c>
      <c r="G948">
        <v>17.846</v>
      </c>
      <c r="H948">
        <v>1</v>
      </c>
      <c r="I948">
        <v>47.5</v>
      </c>
      <c r="J948" t="str">
        <f>HYPERLINK("https://climate.onebuilding.org/WMO_Region_6_Europe/BIH_Bosnia_and_Herzegovina/BIH_BF_Mostar.Intl.AP.133480_TMYx.2007-2021.zip")</f>
        <v>https://climate.onebuilding.org/WMO_Region_6_Europe/BIH_Bosnia_and_Herzegovina/BIH_BF_Mostar.Intl.AP.133480_TMYx.2007-2021.zip</v>
      </c>
    </row>
    <row r="949" spans="1:10" x14ac:dyDescent="0.25">
      <c r="A949" t="s">
        <v>574</v>
      </c>
      <c r="B949" t="s">
        <v>575</v>
      </c>
      <c r="C949" t="s">
        <v>579</v>
      </c>
      <c r="D949">
        <v>133480</v>
      </c>
      <c r="E949" t="s">
        <v>14</v>
      </c>
      <c r="F949">
        <v>43.283000000000001</v>
      </c>
      <c r="G949">
        <v>17.846</v>
      </c>
      <c r="H949">
        <v>1</v>
      </c>
      <c r="I949">
        <v>47.5</v>
      </c>
      <c r="J949" t="str">
        <f>HYPERLINK("https://climate.onebuilding.org/WMO_Region_6_Europe/BIH_Bosnia_and_Herzegovina/BIH_BF_Mostar.Intl.AP.133480_TMYx.2009-2023.zip")</f>
        <v>https://climate.onebuilding.org/WMO_Region_6_Europe/BIH_Bosnia_and_Herzegovina/BIH_BF_Mostar.Intl.AP.133480_TMYx.2009-2023.zip</v>
      </c>
    </row>
    <row r="950" spans="1:10" x14ac:dyDescent="0.25">
      <c r="A950" t="s">
        <v>574</v>
      </c>
      <c r="B950" t="s">
        <v>575</v>
      </c>
      <c r="C950" t="s">
        <v>579</v>
      </c>
      <c r="D950">
        <v>133480</v>
      </c>
      <c r="E950" t="s">
        <v>14</v>
      </c>
      <c r="F950">
        <v>43.283000000000001</v>
      </c>
      <c r="G950">
        <v>17.846</v>
      </c>
      <c r="H950">
        <v>1</v>
      </c>
      <c r="I950">
        <v>47.5</v>
      </c>
      <c r="J950" t="str">
        <f>HYPERLINK("https://climate.onebuilding.org/WMO_Region_6_Europe/BIH_Bosnia_and_Herzegovina/BIH_BF_Mostar.Intl.AP.133480_TMYx.zip")</f>
        <v>https://climate.onebuilding.org/WMO_Region_6_Europe/BIH_Bosnia_and_Herzegovina/BIH_BF_Mostar.Intl.AP.133480_TMYx.zip</v>
      </c>
    </row>
    <row r="951" spans="1:10" x14ac:dyDescent="0.25">
      <c r="A951" t="s">
        <v>574</v>
      </c>
      <c r="B951" t="s">
        <v>575</v>
      </c>
      <c r="C951" t="s">
        <v>581</v>
      </c>
      <c r="D951">
        <v>133530</v>
      </c>
      <c r="E951" t="s">
        <v>582</v>
      </c>
      <c r="F951">
        <v>43.825000000000003</v>
      </c>
      <c r="G951">
        <v>18.331</v>
      </c>
      <c r="H951">
        <v>1</v>
      </c>
      <c r="I951">
        <v>520.6</v>
      </c>
      <c r="J951" t="str">
        <f>HYPERLINK("https://climate.onebuilding.org/WMO_Region_6_Europe/BIH_Bosnia_and_Herzegovina/BIH_BF_Sarajevo.Intl.AP.133530_TMYx.2004-2018.zip")</f>
        <v>https://climate.onebuilding.org/WMO_Region_6_Europe/BIH_Bosnia_and_Herzegovina/BIH_BF_Sarajevo.Intl.AP.133530_TMYx.2004-2018.zip</v>
      </c>
    </row>
    <row r="952" spans="1:10" x14ac:dyDescent="0.25">
      <c r="A952" t="s">
        <v>574</v>
      </c>
      <c r="B952" t="s">
        <v>575</v>
      </c>
      <c r="C952" t="s">
        <v>581</v>
      </c>
      <c r="D952">
        <v>133530</v>
      </c>
      <c r="E952" t="s">
        <v>14</v>
      </c>
      <c r="F952">
        <v>43.825000000000003</v>
      </c>
      <c r="G952">
        <v>18.331</v>
      </c>
      <c r="H952">
        <v>1</v>
      </c>
      <c r="I952">
        <v>520.6</v>
      </c>
      <c r="J952" t="str">
        <f>HYPERLINK("https://climate.onebuilding.org/WMO_Region_6_Europe/BIH_Bosnia_and_Herzegovina/BIH_BF_Sarajevo.Intl.AP.133530_TMYx.2007-2021.zip")</f>
        <v>https://climate.onebuilding.org/WMO_Region_6_Europe/BIH_Bosnia_and_Herzegovina/BIH_BF_Sarajevo.Intl.AP.133530_TMYx.2007-2021.zip</v>
      </c>
    </row>
    <row r="953" spans="1:10" x14ac:dyDescent="0.25">
      <c r="A953" t="s">
        <v>574</v>
      </c>
      <c r="B953" t="s">
        <v>575</v>
      </c>
      <c r="C953" t="s">
        <v>581</v>
      </c>
      <c r="D953">
        <v>133530</v>
      </c>
      <c r="E953" t="s">
        <v>14</v>
      </c>
      <c r="F953">
        <v>43.825000000000003</v>
      </c>
      <c r="G953">
        <v>18.331</v>
      </c>
      <c r="H953">
        <v>1</v>
      </c>
      <c r="I953">
        <v>520.6</v>
      </c>
      <c r="J953" t="str">
        <f>HYPERLINK("https://climate.onebuilding.org/WMO_Region_6_Europe/BIH_Bosnia_and_Herzegovina/BIH_BF_Sarajevo.Intl.AP.133530_TMYx.2009-2023.zip")</f>
        <v>https://climate.onebuilding.org/WMO_Region_6_Europe/BIH_Bosnia_and_Herzegovina/BIH_BF_Sarajevo.Intl.AP.133530_TMYx.2009-2023.zip</v>
      </c>
    </row>
    <row r="954" spans="1:10" x14ac:dyDescent="0.25">
      <c r="A954" t="s">
        <v>574</v>
      </c>
      <c r="B954" t="s">
        <v>575</v>
      </c>
      <c r="C954" t="s">
        <v>581</v>
      </c>
      <c r="D954">
        <v>133530</v>
      </c>
      <c r="E954" t="s">
        <v>14</v>
      </c>
      <c r="F954">
        <v>43.825000000000003</v>
      </c>
      <c r="G954">
        <v>18.331</v>
      </c>
      <c r="H954">
        <v>1</v>
      </c>
      <c r="I954">
        <v>520.6</v>
      </c>
      <c r="J954" t="str">
        <f>HYPERLINK("https://climate.onebuilding.org/WMO_Region_6_Europe/BIH_Bosnia_and_Herzegovina/BIH_BF_Sarajevo.Intl.AP.133530_TMYx.zip")</f>
        <v>https://climate.onebuilding.org/WMO_Region_6_Europe/BIH_Bosnia_and_Herzegovina/BIH_BF_Sarajevo.Intl.AP.133530_TMYx.zip</v>
      </c>
    </row>
    <row r="955" spans="1:10" x14ac:dyDescent="0.25">
      <c r="A955" t="s">
        <v>574</v>
      </c>
      <c r="B955" t="s">
        <v>575</v>
      </c>
      <c r="C955" t="s">
        <v>583</v>
      </c>
      <c r="D955">
        <v>145280</v>
      </c>
      <c r="E955" t="s">
        <v>584</v>
      </c>
      <c r="F955">
        <v>44.817</v>
      </c>
      <c r="G955">
        <v>15.882999999999999</v>
      </c>
      <c r="H955">
        <v>1</v>
      </c>
      <c r="I955">
        <v>250</v>
      </c>
      <c r="J955" t="str">
        <f>HYPERLINK("https://climate.onebuilding.org/WMO_Region_6_Europe/BIH_Bosnia_and_Herzegovina/BIH_BF_Bihac.145280_TMYx.2004-2018.zip")</f>
        <v>https://climate.onebuilding.org/WMO_Region_6_Europe/BIH_Bosnia_and_Herzegovina/BIH_BF_Bihac.145280_TMYx.2004-2018.zip</v>
      </c>
    </row>
    <row r="956" spans="1:10" x14ac:dyDescent="0.25">
      <c r="A956" t="s">
        <v>574</v>
      </c>
      <c r="B956" t="s">
        <v>575</v>
      </c>
      <c r="C956" t="s">
        <v>583</v>
      </c>
      <c r="D956">
        <v>145280</v>
      </c>
      <c r="E956" t="s">
        <v>14</v>
      </c>
      <c r="F956">
        <v>44.817</v>
      </c>
      <c r="G956">
        <v>15.882999999999999</v>
      </c>
      <c r="H956">
        <v>1</v>
      </c>
      <c r="I956">
        <v>250</v>
      </c>
      <c r="J956" t="str">
        <f>HYPERLINK("https://climate.onebuilding.org/WMO_Region_6_Europe/BIH_Bosnia_and_Herzegovina/BIH_BF_Bihac.145280_TMYx.2007-2021.zip")</f>
        <v>https://climate.onebuilding.org/WMO_Region_6_Europe/BIH_Bosnia_and_Herzegovina/BIH_BF_Bihac.145280_TMYx.2007-2021.zip</v>
      </c>
    </row>
    <row r="957" spans="1:10" x14ac:dyDescent="0.25">
      <c r="A957" t="s">
        <v>574</v>
      </c>
      <c r="B957" t="s">
        <v>575</v>
      </c>
      <c r="C957" t="s">
        <v>583</v>
      </c>
      <c r="D957">
        <v>145280</v>
      </c>
      <c r="E957" t="s">
        <v>14</v>
      </c>
      <c r="F957">
        <v>44.817</v>
      </c>
      <c r="G957">
        <v>15.882999999999999</v>
      </c>
      <c r="H957">
        <v>1</v>
      </c>
      <c r="I957">
        <v>250</v>
      </c>
      <c r="J957" t="str">
        <f>HYPERLINK("https://climate.onebuilding.org/WMO_Region_6_Europe/BIH_Bosnia_and_Herzegovina/BIH_BF_Bihac.145280_TMYx.2009-2023.zip")</f>
        <v>https://climate.onebuilding.org/WMO_Region_6_Europe/BIH_Bosnia_and_Herzegovina/BIH_BF_Bihac.145280_TMYx.2009-2023.zip</v>
      </c>
    </row>
    <row r="958" spans="1:10" x14ac:dyDescent="0.25">
      <c r="A958" t="s">
        <v>574</v>
      </c>
      <c r="B958" t="s">
        <v>575</v>
      </c>
      <c r="C958" t="s">
        <v>583</v>
      </c>
      <c r="D958">
        <v>145280</v>
      </c>
      <c r="E958" t="s">
        <v>14</v>
      </c>
      <c r="F958">
        <v>44.817</v>
      </c>
      <c r="G958">
        <v>15.882999999999999</v>
      </c>
      <c r="H958">
        <v>1</v>
      </c>
      <c r="I958">
        <v>250</v>
      </c>
      <c r="J958" t="str">
        <f>HYPERLINK("https://climate.onebuilding.org/WMO_Region_6_Europe/BIH_Bosnia_and_Herzegovina/BIH_BF_Bihac.145280_TMYx.zip")</f>
        <v>https://climate.onebuilding.org/WMO_Region_6_Europe/BIH_Bosnia_and_Herzegovina/BIH_BF_Bihac.145280_TMYx.zip</v>
      </c>
    </row>
    <row r="959" spans="1:10" x14ac:dyDescent="0.25">
      <c r="A959" t="s">
        <v>574</v>
      </c>
      <c r="B959" t="s">
        <v>575</v>
      </c>
      <c r="C959" t="s">
        <v>585</v>
      </c>
      <c r="D959">
        <v>145370</v>
      </c>
      <c r="E959" t="s">
        <v>586</v>
      </c>
      <c r="F959">
        <v>44.770800000000001</v>
      </c>
      <c r="G959">
        <v>16.676100000000002</v>
      </c>
      <c r="H959">
        <v>1</v>
      </c>
      <c r="I959">
        <v>158</v>
      </c>
      <c r="J959" t="str">
        <f>HYPERLINK("https://climate.onebuilding.org/WMO_Region_6_Europe/BIH_Bosnia_and_Herzegovina/BIH_BF_Sanski.Most.145370_TMYx.2004-2018.zip")</f>
        <v>https://climate.onebuilding.org/WMO_Region_6_Europe/BIH_Bosnia_and_Herzegovina/BIH_BF_Sanski.Most.145370_TMYx.2004-2018.zip</v>
      </c>
    </row>
    <row r="960" spans="1:10" x14ac:dyDescent="0.25">
      <c r="A960" t="s">
        <v>574</v>
      </c>
      <c r="B960" t="s">
        <v>575</v>
      </c>
      <c r="C960" t="s">
        <v>585</v>
      </c>
      <c r="D960">
        <v>145370</v>
      </c>
      <c r="E960" t="s">
        <v>14</v>
      </c>
      <c r="F960">
        <v>44.770800000000001</v>
      </c>
      <c r="G960">
        <v>16.676100000000002</v>
      </c>
      <c r="H960">
        <v>1</v>
      </c>
      <c r="I960">
        <v>158</v>
      </c>
      <c r="J960" t="str">
        <f>HYPERLINK("https://climate.onebuilding.org/WMO_Region_6_Europe/BIH_Bosnia_and_Herzegovina/BIH_BF_Sanski.Most.145370_TMYx.2007-2021.zip")</f>
        <v>https://climate.onebuilding.org/WMO_Region_6_Europe/BIH_Bosnia_and_Herzegovina/BIH_BF_Sanski.Most.145370_TMYx.2007-2021.zip</v>
      </c>
    </row>
    <row r="961" spans="1:10" x14ac:dyDescent="0.25">
      <c r="A961" t="s">
        <v>574</v>
      </c>
      <c r="B961" t="s">
        <v>575</v>
      </c>
      <c r="C961" t="s">
        <v>585</v>
      </c>
      <c r="D961">
        <v>145370</v>
      </c>
      <c r="E961" t="s">
        <v>14</v>
      </c>
      <c r="F961">
        <v>44.770800000000001</v>
      </c>
      <c r="G961">
        <v>16.676100000000002</v>
      </c>
      <c r="H961">
        <v>1</v>
      </c>
      <c r="I961">
        <v>158</v>
      </c>
      <c r="J961" t="str">
        <f>HYPERLINK("https://climate.onebuilding.org/WMO_Region_6_Europe/BIH_Bosnia_and_Herzegovina/BIH_BF_Sanski.Most.145370_TMYx.2009-2023.zip")</f>
        <v>https://climate.onebuilding.org/WMO_Region_6_Europe/BIH_Bosnia_and_Herzegovina/BIH_BF_Sanski.Most.145370_TMYx.2009-2023.zip</v>
      </c>
    </row>
    <row r="962" spans="1:10" x14ac:dyDescent="0.25">
      <c r="A962" t="s">
        <v>574</v>
      </c>
      <c r="B962" t="s">
        <v>575</v>
      </c>
      <c r="C962" t="s">
        <v>585</v>
      </c>
      <c r="D962">
        <v>145370</v>
      </c>
      <c r="E962" t="s">
        <v>14</v>
      </c>
      <c r="F962">
        <v>44.770800000000001</v>
      </c>
      <c r="G962">
        <v>16.676100000000002</v>
      </c>
      <c r="H962">
        <v>1</v>
      </c>
      <c r="I962">
        <v>158</v>
      </c>
      <c r="J962" t="str">
        <f>HYPERLINK("https://climate.onebuilding.org/WMO_Region_6_Europe/BIH_Bosnia_and_Herzegovina/BIH_BF_Sanski.Most.145370_TMYx.zip")</f>
        <v>https://climate.onebuilding.org/WMO_Region_6_Europe/BIH_Bosnia_and_Herzegovina/BIH_BF_Sanski.Most.145370_TMYx.zip</v>
      </c>
    </row>
    <row r="963" spans="1:10" x14ac:dyDescent="0.25">
      <c r="A963" t="s">
        <v>574</v>
      </c>
      <c r="B963" t="s">
        <v>577</v>
      </c>
      <c r="C963" t="s">
        <v>587</v>
      </c>
      <c r="D963">
        <v>145420</v>
      </c>
      <c r="E963" t="s">
        <v>588</v>
      </c>
      <c r="F963">
        <v>44.783299999999997</v>
      </c>
      <c r="G963">
        <v>17.216699999999999</v>
      </c>
      <c r="H963">
        <v>1</v>
      </c>
      <c r="I963">
        <v>156</v>
      </c>
      <c r="J963" t="str">
        <f>HYPERLINK("https://climate.onebuilding.org/WMO_Region_6_Europe/BIH_Bosnia_and_Herzegovina/BIH_SR_Banja.Luka.145420_TMYx.2004-2018.zip")</f>
        <v>https://climate.onebuilding.org/WMO_Region_6_Europe/BIH_Bosnia_and_Herzegovina/BIH_SR_Banja.Luka.145420_TMYx.2004-2018.zip</v>
      </c>
    </row>
    <row r="964" spans="1:10" x14ac:dyDescent="0.25">
      <c r="A964" t="s">
        <v>574</v>
      </c>
      <c r="B964" t="s">
        <v>577</v>
      </c>
      <c r="C964" t="s">
        <v>587</v>
      </c>
      <c r="D964">
        <v>145420</v>
      </c>
      <c r="E964" t="s">
        <v>14</v>
      </c>
      <c r="F964">
        <v>44.783299999999997</v>
      </c>
      <c r="G964">
        <v>17.216699999999999</v>
      </c>
      <c r="H964">
        <v>1</v>
      </c>
      <c r="I964">
        <v>156</v>
      </c>
      <c r="J964" t="str">
        <f>HYPERLINK("https://climate.onebuilding.org/WMO_Region_6_Europe/BIH_Bosnia_and_Herzegovina/BIH_SR_Banja.Luka.145420_TMYx.2007-2021.zip")</f>
        <v>https://climate.onebuilding.org/WMO_Region_6_Europe/BIH_Bosnia_and_Herzegovina/BIH_SR_Banja.Luka.145420_TMYx.2007-2021.zip</v>
      </c>
    </row>
    <row r="965" spans="1:10" x14ac:dyDescent="0.25">
      <c r="A965" t="s">
        <v>574</v>
      </c>
      <c r="B965" t="s">
        <v>577</v>
      </c>
      <c r="C965" t="s">
        <v>587</v>
      </c>
      <c r="D965">
        <v>145420</v>
      </c>
      <c r="E965" t="s">
        <v>14</v>
      </c>
      <c r="F965">
        <v>44.783299999999997</v>
      </c>
      <c r="G965">
        <v>17.216699999999999</v>
      </c>
      <c r="H965">
        <v>1</v>
      </c>
      <c r="I965">
        <v>156</v>
      </c>
      <c r="J965" t="str">
        <f>HYPERLINK("https://climate.onebuilding.org/WMO_Region_6_Europe/BIH_Bosnia_and_Herzegovina/BIH_SR_Banja.Luka.145420_TMYx.2009-2023.zip")</f>
        <v>https://climate.onebuilding.org/WMO_Region_6_Europe/BIH_Bosnia_and_Herzegovina/BIH_SR_Banja.Luka.145420_TMYx.2009-2023.zip</v>
      </c>
    </row>
    <row r="966" spans="1:10" x14ac:dyDescent="0.25">
      <c r="A966" t="s">
        <v>574</v>
      </c>
      <c r="B966" t="s">
        <v>577</v>
      </c>
      <c r="C966" t="s">
        <v>587</v>
      </c>
      <c r="D966">
        <v>145420</v>
      </c>
      <c r="E966" t="s">
        <v>14</v>
      </c>
      <c r="F966">
        <v>44.783299999999997</v>
      </c>
      <c r="G966">
        <v>17.216699999999999</v>
      </c>
      <c r="H966">
        <v>1</v>
      </c>
      <c r="I966">
        <v>156</v>
      </c>
      <c r="J966" t="str">
        <f>HYPERLINK("https://climate.onebuilding.org/WMO_Region_6_Europe/BIH_Bosnia_and_Herzegovina/BIH_SR_Banja.Luka.145420_TMYx.zip")</f>
        <v>https://climate.onebuilding.org/WMO_Region_6_Europe/BIH_Bosnia_and_Herzegovina/BIH_SR_Banja.Luka.145420_TMYx.zip</v>
      </c>
    </row>
    <row r="967" spans="1:10" x14ac:dyDescent="0.25">
      <c r="A967" t="s">
        <v>574</v>
      </c>
      <c r="B967" t="s">
        <v>575</v>
      </c>
      <c r="C967" t="s">
        <v>589</v>
      </c>
      <c r="D967">
        <v>145430</v>
      </c>
      <c r="E967" t="s">
        <v>14</v>
      </c>
      <c r="F967">
        <v>44.35</v>
      </c>
      <c r="G967">
        <v>17.266999999999999</v>
      </c>
      <c r="H967">
        <v>1</v>
      </c>
      <c r="I967">
        <v>421</v>
      </c>
      <c r="J967" t="str">
        <f>HYPERLINK("https://climate.onebuilding.org/WMO_Region_6_Europe/BIH_Bosnia_and_Herzegovina/BIH_BF_Jajce.145430_TMYx.2007-2021.zip")</f>
        <v>https://climate.onebuilding.org/WMO_Region_6_Europe/BIH_Bosnia_and_Herzegovina/BIH_BF_Jajce.145430_TMYx.2007-2021.zip</v>
      </c>
    </row>
    <row r="968" spans="1:10" x14ac:dyDescent="0.25">
      <c r="A968" t="s">
        <v>574</v>
      </c>
      <c r="B968" t="s">
        <v>575</v>
      </c>
      <c r="C968" t="s">
        <v>589</v>
      </c>
      <c r="D968">
        <v>145430</v>
      </c>
      <c r="E968" t="s">
        <v>14</v>
      </c>
      <c r="F968">
        <v>44.35</v>
      </c>
      <c r="G968">
        <v>17.266999999999999</v>
      </c>
      <c r="H968">
        <v>1</v>
      </c>
      <c r="I968">
        <v>421</v>
      </c>
      <c r="J968" t="str">
        <f>HYPERLINK("https://climate.onebuilding.org/WMO_Region_6_Europe/BIH_Bosnia_and_Herzegovina/BIH_BF_Jajce.145430_TMYx.2009-2023.zip")</f>
        <v>https://climate.onebuilding.org/WMO_Region_6_Europe/BIH_Bosnia_and_Herzegovina/BIH_BF_Jajce.145430_TMYx.2009-2023.zip</v>
      </c>
    </row>
    <row r="969" spans="1:10" x14ac:dyDescent="0.25">
      <c r="A969" t="s">
        <v>574</v>
      </c>
      <c r="B969" t="s">
        <v>575</v>
      </c>
      <c r="C969" t="s">
        <v>589</v>
      </c>
      <c r="D969">
        <v>145430</v>
      </c>
      <c r="E969" t="s">
        <v>14</v>
      </c>
      <c r="F969">
        <v>44.35</v>
      </c>
      <c r="G969">
        <v>17.266999999999999</v>
      </c>
      <c r="H969">
        <v>1</v>
      </c>
      <c r="I969">
        <v>421</v>
      </c>
      <c r="J969" t="str">
        <f>HYPERLINK("https://climate.onebuilding.org/WMO_Region_6_Europe/BIH_Bosnia_and_Herzegovina/BIH_BF_Jajce.145430_TMYx.zip")</f>
        <v>https://climate.onebuilding.org/WMO_Region_6_Europe/BIH_Bosnia_and_Herzegovina/BIH_BF_Jajce.145430_TMYx.zip</v>
      </c>
    </row>
    <row r="970" spans="1:10" x14ac:dyDescent="0.25">
      <c r="A970" t="s">
        <v>574</v>
      </c>
      <c r="B970" t="s">
        <v>575</v>
      </c>
      <c r="C970" t="s">
        <v>590</v>
      </c>
      <c r="D970">
        <v>145440</v>
      </c>
      <c r="E970" t="s">
        <v>591</v>
      </c>
      <c r="F970">
        <v>44.062199999999997</v>
      </c>
      <c r="G970">
        <v>17.4514</v>
      </c>
      <c r="H970">
        <v>1</v>
      </c>
      <c r="I970">
        <v>566</v>
      </c>
      <c r="J970" t="str">
        <f>HYPERLINK("https://climate.onebuilding.org/WMO_Region_6_Europe/BIH_Bosnia_and_Herzegovina/BIH_BF_Bugojno.145440_TMYx.2004-2018.zip")</f>
        <v>https://climate.onebuilding.org/WMO_Region_6_Europe/BIH_Bosnia_and_Herzegovina/BIH_BF_Bugojno.145440_TMYx.2004-2018.zip</v>
      </c>
    </row>
    <row r="971" spans="1:10" x14ac:dyDescent="0.25">
      <c r="A971" t="s">
        <v>574</v>
      </c>
      <c r="B971" t="s">
        <v>575</v>
      </c>
      <c r="C971" t="s">
        <v>590</v>
      </c>
      <c r="D971">
        <v>145440</v>
      </c>
      <c r="E971" t="s">
        <v>14</v>
      </c>
      <c r="F971">
        <v>44.062199999999997</v>
      </c>
      <c r="G971">
        <v>17.4514</v>
      </c>
      <c r="H971">
        <v>1</v>
      </c>
      <c r="I971">
        <v>566</v>
      </c>
      <c r="J971" t="str">
        <f>HYPERLINK("https://climate.onebuilding.org/WMO_Region_6_Europe/BIH_Bosnia_and_Herzegovina/BIH_BF_Bugojno.145440_TMYx.2007-2021.zip")</f>
        <v>https://climate.onebuilding.org/WMO_Region_6_Europe/BIH_Bosnia_and_Herzegovina/BIH_BF_Bugojno.145440_TMYx.2007-2021.zip</v>
      </c>
    </row>
    <row r="972" spans="1:10" x14ac:dyDescent="0.25">
      <c r="A972" t="s">
        <v>574</v>
      </c>
      <c r="B972" t="s">
        <v>575</v>
      </c>
      <c r="C972" t="s">
        <v>590</v>
      </c>
      <c r="D972">
        <v>145440</v>
      </c>
      <c r="E972" t="s">
        <v>14</v>
      </c>
      <c r="F972">
        <v>44.062199999999997</v>
      </c>
      <c r="G972">
        <v>17.4514</v>
      </c>
      <c r="H972">
        <v>1</v>
      </c>
      <c r="I972">
        <v>566</v>
      </c>
      <c r="J972" t="str">
        <f>HYPERLINK("https://climate.onebuilding.org/WMO_Region_6_Europe/BIH_Bosnia_and_Herzegovina/BIH_BF_Bugojno.145440_TMYx.2009-2023.zip")</f>
        <v>https://climate.onebuilding.org/WMO_Region_6_Europe/BIH_Bosnia_and_Herzegovina/BIH_BF_Bugojno.145440_TMYx.2009-2023.zip</v>
      </c>
    </row>
    <row r="973" spans="1:10" x14ac:dyDescent="0.25">
      <c r="A973" t="s">
        <v>574</v>
      </c>
      <c r="B973" t="s">
        <v>575</v>
      </c>
      <c r="C973" t="s">
        <v>590</v>
      </c>
      <c r="D973">
        <v>145440</v>
      </c>
      <c r="E973" t="s">
        <v>14</v>
      </c>
      <c r="F973">
        <v>44.062199999999997</v>
      </c>
      <c r="G973">
        <v>17.4514</v>
      </c>
      <c r="H973">
        <v>1</v>
      </c>
      <c r="I973">
        <v>566</v>
      </c>
      <c r="J973" t="str">
        <f>HYPERLINK("https://climate.onebuilding.org/WMO_Region_6_Europe/BIH_Bosnia_and_Herzegovina/BIH_BF_Bugojno.145440_TMYx.zip")</f>
        <v>https://climate.onebuilding.org/WMO_Region_6_Europe/BIH_Bosnia_and_Herzegovina/BIH_BF_Bugojno.145440_TMYx.zip</v>
      </c>
    </row>
    <row r="974" spans="1:10" x14ac:dyDescent="0.25">
      <c r="A974" t="s">
        <v>574</v>
      </c>
      <c r="B974" t="s">
        <v>575</v>
      </c>
      <c r="C974" t="s">
        <v>592</v>
      </c>
      <c r="D974">
        <v>145490</v>
      </c>
      <c r="E974" t="s">
        <v>593</v>
      </c>
      <c r="F974">
        <v>44.202199999999998</v>
      </c>
      <c r="G974">
        <v>17.900600000000001</v>
      </c>
      <c r="H974">
        <v>1</v>
      </c>
      <c r="I974">
        <v>346</v>
      </c>
      <c r="J974" t="str">
        <f>HYPERLINK("https://climate.onebuilding.org/WMO_Region_6_Europe/BIH_Bosnia_and_Herzegovina/BIH_BF_Zenica.145490_TMYx.2004-2018.zip")</f>
        <v>https://climate.onebuilding.org/WMO_Region_6_Europe/BIH_Bosnia_and_Herzegovina/BIH_BF_Zenica.145490_TMYx.2004-2018.zip</v>
      </c>
    </row>
    <row r="975" spans="1:10" x14ac:dyDescent="0.25">
      <c r="A975" t="s">
        <v>574</v>
      </c>
      <c r="B975" t="s">
        <v>575</v>
      </c>
      <c r="C975" t="s">
        <v>592</v>
      </c>
      <c r="D975">
        <v>145490</v>
      </c>
      <c r="E975" t="s">
        <v>14</v>
      </c>
      <c r="F975">
        <v>44.202199999999998</v>
      </c>
      <c r="G975">
        <v>17.900600000000001</v>
      </c>
      <c r="H975">
        <v>1</v>
      </c>
      <c r="I975">
        <v>346</v>
      </c>
      <c r="J975" t="str">
        <f>HYPERLINK("https://climate.onebuilding.org/WMO_Region_6_Europe/BIH_Bosnia_and_Herzegovina/BIH_BF_Zenica.145490_TMYx.2007-2021.zip")</f>
        <v>https://climate.onebuilding.org/WMO_Region_6_Europe/BIH_Bosnia_and_Herzegovina/BIH_BF_Zenica.145490_TMYx.2007-2021.zip</v>
      </c>
    </row>
    <row r="976" spans="1:10" x14ac:dyDescent="0.25">
      <c r="A976" t="s">
        <v>574</v>
      </c>
      <c r="B976" t="s">
        <v>575</v>
      </c>
      <c r="C976" t="s">
        <v>592</v>
      </c>
      <c r="D976">
        <v>145490</v>
      </c>
      <c r="E976" t="s">
        <v>14</v>
      </c>
      <c r="F976">
        <v>44.202199999999998</v>
      </c>
      <c r="G976">
        <v>17.900600000000001</v>
      </c>
      <c r="H976">
        <v>1</v>
      </c>
      <c r="I976">
        <v>346</v>
      </c>
      <c r="J976" t="str">
        <f>HYPERLINK("https://climate.onebuilding.org/WMO_Region_6_Europe/BIH_Bosnia_and_Herzegovina/BIH_BF_Zenica.145490_TMYx.2009-2023.zip")</f>
        <v>https://climate.onebuilding.org/WMO_Region_6_Europe/BIH_Bosnia_and_Herzegovina/BIH_BF_Zenica.145490_TMYx.2009-2023.zip</v>
      </c>
    </row>
    <row r="977" spans="1:10" x14ac:dyDescent="0.25">
      <c r="A977" t="s">
        <v>574</v>
      </c>
      <c r="B977" t="s">
        <v>575</v>
      </c>
      <c r="C977" t="s">
        <v>592</v>
      </c>
      <c r="D977">
        <v>145490</v>
      </c>
      <c r="E977" t="s">
        <v>14</v>
      </c>
      <c r="F977">
        <v>44.202199999999998</v>
      </c>
      <c r="G977">
        <v>17.900600000000001</v>
      </c>
      <c r="H977">
        <v>1</v>
      </c>
      <c r="I977">
        <v>346</v>
      </c>
      <c r="J977" t="str">
        <f>HYPERLINK("https://climate.onebuilding.org/WMO_Region_6_Europe/BIH_Bosnia_and_Herzegovina/BIH_BF_Zenica.145490_TMYx.zip")</f>
        <v>https://climate.onebuilding.org/WMO_Region_6_Europe/BIH_Bosnia_and_Herzegovina/BIH_BF_Zenica.145490_TMYx.zip</v>
      </c>
    </row>
    <row r="978" spans="1:10" x14ac:dyDescent="0.25">
      <c r="A978" t="s">
        <v>574</v>
      </c>
      <c r="B978" t="s">
        <v>577</v>
      </c>
      <c r="C978" t="s">
        <v>594</v>
      </c>
      <c r="D978">
        <v>145540</v>
      </c>
      <c r="E978" t="s">
        <v>595</v>
      </c>
      <c r="F978">
        <v>44.883000000000003</v>
      </c>
      <c r="G978">
        <v>18.433</v>
      </c>
      <c r="H978">
        <v>1</v>
      </c>
      <c r="I978">
        <v>163</v>
      </c>
      <c r="J978" t="str">
        <f>HYPERLINK("https://climate.onebuilding.org/WMO_Region_6_Europe/BIH_Bosnia_and_Herzegovina/BIH_SR_Gradacac.145540_TMYx.2004-2018.zip")</f>
        <v>https://climate.onebuilding.org/WMO_Region_6_Europe/BIH_Bosnia_and_Herzegovina/BIH_SR_Gradacac.145540_TMYx.2004-2018.zip</v>
      </c>
    </row>
    <row r="979" spans="1:10" x14ac:dyDescent="0.25">
      <c r="A979" t="s">
        <v>574</v>
      </c>
      <c r="B979" t="s">
        <v>577</v>
      </c>
      <c r="C979" t="s">
        <v>594</v>
      </c>
      <c r="D979">
        <v>145540</v>
      </c>
      <c r="E979" t="s">
        <v>14</v>
      </c>
      <c r="F979">
        <v>44.883000000000003</v>
      </c>
      <c r="G979">
        <v>18.433</v>
      </c>
      <c r="H979">
        <v>1</v>
      </c>
      <c r="I979">
        <v>163</v>
      </c>
      <c r="J979" t="str">
        <f>HYPERLINK("https://climate.onebuilding.org/WMO_Region_6_Europe/BIH_Bosnia_and_Herzegovina/BIH_SR_Gradacac.145540_TMYx.2007-2021.zip")</f>
        <v>https://climate.onebuilding.org/WMO_Region_6_Europe/BIH_Bosnia_and_Herzegovina/BIH_SR_Gradacac.145540_TMYx.2007-2021.zip</v>
      </c>
    </row>
    <row r="980" spans="1:10" x14ac:dyDescent="0.25">
      <c r="A980" t="s">
        <v>574</v>
      </c>
      <c r="B980" t="s">
        <v>577</v>
      </c>
      <c r="C980" t="s">
        <v>594</v>
      </c>
      <c r="D980">
        <v>145540</v>
      </c>
      <c r="E980" t="s">
        <v>14</v>
      </c>
      <c r="F980">
        <v>44.883000000000003</v>
      </c>
      <c r="G980">
        <v>18.433</v>
      </c>
      <c r="H980">
        <v>1</v>
      </c>
      <c r="I980">
        <v>163</v>
      </c>
      <c r="J980" t="str">
        <f>HYPERLINK("https://climate.onebuilding.org/WMO_Region_6_Europe/BIH_Bosnia_and_Herzegovina/BIH_SR_Gradacac.145540_TMYx.2009-2023.zip")</f>
        <v>https://climate.onebuilding.org/WMO_Region_6_Europe/BIH_Bosnia_and_Herzegovina/BIH_SR_Gradacac.145540_TMYx.2009-2023.zip</v>
      </c>
    </row>
    <row r="981" spans="1:10" x14ac:dyDescent="0.25">
      <c r="A981" t="s">
        <v>574</v>
      </c>
      <c r="B981" t="s">
        <v>577</v>
      </c>
      <c r="C981" t="s">
        <v>594</v>
      </c>
      <c r="D981">
        <v>145540</v>
      </c>
      <c r="E981" t="s">
        <v>14</v>
      </c>
      <c r="F981">
        <v>44.883000000000003</v>
      </c>
      <c r="G981">
        <v>18.433</v>
      </c>
      <c r="H981">
        <v>1</v>
      </c>
      <c r="I981">
        <v>163</v>
      </c>
      <c r="J981" t="str">
        <f>HYPERLINK("https://climate.onebuilding.org/WMO_Region_6_Europe/BIH_Bosnia_and_Herzegovina/BIH_SR_Gradacac.145540_TMYx.zip")</f>
        <v>https://climate.onebuilding.org/WMO_Region_6_Europe/BIH_Bosnia_and_Herzegovina/BIH_SR_Gradacac.145540_TMYx.zip</v>
      </c>
    </row>
    <row r="982" spans="1:10" x14ac:dyDescent="0.25">
      <c r="A982" t="s">
        <v>574</v>
      </c>
      <c r="B982" t="s">
        <v>575</v>
      </c>
      <c r="C982" t="s">
        <v>596</v>
      </c>
      <c r="D982">
        <v>145570</v>
      </c>
      <c r="E982" t="s">
        <v>597</v>
      </c>
      <c r="F982">
        <v>44.541899999999998</v>
      </c>
      <c r="G982">
        <v>18.684999999999999</v>
      </c>
      <c r="H982">
        <v>1</v>
      </c>
      <c r="I982">
        <v>307</v>
      </c>
      <c r="J982" t="str">
        <f>HYPERLINK("https://climate.onebuilding.org/WMO_Region_6_Europe/BIH_Bosnia_and_Herzegovina/BIH_BF_Tuzla.145570_TMYx.2004-2018.zip")</f>
        <v>https://climate.onebuilding.org/WMO_Region_6_Europe/BIH_Bosnia_and_Herzegovina/BIH_BF_Tuzla.145570_TMYx.2004-2018.zip</v>
      </c>
    </row>
    <row r="983" spans="1:10" x14ac:dyDescent="0.25">
      <c r="A983" t="s">
        <v>574</v>
      </c>
      <c r="B983" t="s">
        <v>575</v>
      </c>
      <c r="C983" t="s">
        <v>596</v>
      </c>
      <c r="D983">
        <v>145570</v>
      </c>
      <c r="E983" t="s">
        <v>14</v>
      </c>
      <c r="F983">
        <v>44.541899999999998</v>
      </c>
      <c r="G983">
        <v>18.684999999999999</v>
      </c>
      <c r="H983">
        <v>1</v>
      </c>
      <c r="I983">
        <v>307</v>
      </c>
      <c r="J983" t="str">
        <f>HYPERLINK("https://climate.onebuilding.org/WMO_Region_6_Europe/BIH_Bosnia_and_Herzegovina/BIH_BF_Tuzla.145570_TMYx.2007-2021.zip")</f>
        <v>https://climate.onebuilding.org/WMO_Region_6_Europe/BIH_Bosnia_and_Herzegovina/BIH_BF_Tuzla.145570_TMYx.2007-2021.zip</v>
      </c>
    </row>
    <row r="984" spans="1:10" x14ac:dyDescent="0.25">
      <c r="A984" t="s">
        <v>574</v>
      </c>
      <c r="B984" t="s">
        <v>575</v>
      </c>
      <c r="C984" t="s">
        <v>596</v>
      </c>
      <c r="D984">
        <v>145570</v>
      </c>
      <c r="E984" t="s">
        <v>14</v>
      </c>
      <c r="F984">
        <v>44.541899999999998</v>
      </c>
      <c r="G984">
        <v>18.684999999999999</v>
      </c>
      <c r="H984">
        <v>1</v>
      </c>
      <c r="I984">
        <v>307</v>
      </c>
      <c r="J984" t="str">
        <f>HYPERLINK("https://climate.onebuilding.org/WMO_Region_6_Europe/BIH_Bosnia_and_Herzegovina/BIH_BF_Tuzla.145570_TMYx.2009-2023.zip")</f>
        <v>https://climate.onebuilding.org/WMO_Region_6_Europe/BIH_Bosnia_and_Herzegovina/BIH_BF_Tuzla.145570_TMYx.2009-2023.zip</v>
      </c>
    </row>
    <row r="985" spans="1:10" x14ac:dyDescent="0.25">
      <c r="A985" t="s">
        <v>574</v>
      </c>
      <c r="B985" t="s">
        <v>575</v>
      </c>
      <c r="C985" t="s">
        <v>596</v>
      </c>
      <c r="D985">
        <v>145570</v>
      </c>
      <c r="E985" t="s">
        <v>14</v>
      </c>
      <c r="F985">
        <v>44.541899999999998</v>
      </c>
      <c r="G985">
        <v>18.684999999999999</v>
      </c>
      <c r="H985">
        <v>1</v>
      </c>
      <c r="I985">
        <v>307</v>
      </c>
      <c r="J985" t="str">
        <f>HYPERLINK("https://climate.onebuilding.org/WMO_Region_6_Europe/BIH_Bosnia_and_Herzegovina/BIH_BF_Tuzla.145570_TMYx.zip")</f>
        <v>https://climate.onebuilding.org/WMO_Region_6_Europe/BIH_Bosnia_and_Herzegovina/BIH_BF_Tuzla.145570_TMYx.zip</v>
      </c>
    </row>
    <row r="986" spans="1:10" x14ac:dyDescent="0.25">
      <c r="A986" t="s">
        <v>574</v>
      </c>
      <c r="B986" t="s">
        <v>575</v>
      </c>
      <c r="C986" t="s">
        <v>598</v>
      </c>
      <c r="D986">
        <v>146400</v>
      </c>
      <c r="E986" t="s">
        <v>599</v>
      </c>
      <c r="F986">
        <v>43.822499999999998</v>
      </c>
      <c r="G986">
        <v>17.001100000000001</v>
      </c>
      <c r="H986">
        <v>1</v>
      </c>
      <c r="I986">
        <v>728</v>
      </c>
      <c r="J986" t="str">
        <f>HYPERLINK("https://climate.onebuilding.org/WMO_Region_6_Europe/BIH_Bosnia_and_Herzegovina/BIH_BF_Livno.146400_TMYx.2004-2018.zip")</f>
        <v>https://climate.onebuilding.org/WMO_Region_6_Europe/BIH_Bosnia_and_Herzegovina/BIH_BF_Livno.146400_TMYx.2004-2018.zip</v>
      </c>
    </row>
    <row r="987" spans="1:10" x14ac:dyDescent="0.25">
      <c r="A987" t="s">
        <v>574</v>
      </c>
      <c r="B987" t="s">
        <v>575</v>
      </c>
      <c r="C987" t="s">
        <v>598</v>
      </c>
      <c r="D987">
        <v>146400</v>
      </c>
      <c r="E987" t="s">
        <v>14</v>
      </c>
      <c r="F987">
        <v>43.822499999999998</v>
      </c>
      <c r="G987">
        <v>17.001100000000001</v>
      </c>
      <c r="H987">
        <v>1</v>
      </c>
      <c r="I987">
        <v>728</v>
      </c>
      <c r="J987" t="str">
        <f>HYPERLINK("https://climate.onebuilding.org/WMO_Region_6_Europe/BIH_Bosnia_and_Herzegovina/BIH_BF_Livno.146400_TMYx.2007-2021.zip")</f>
        <v>https://climate.onebuilding.org/WMO_Region_6_Europe/BIH_Bosnia_and_Herzegovina/BIH_BF_Livno.146400_TMYx.2007-2021.zip</v>
      </c>
    </row>
    <row r="988" spans="1:10" x14ac:dyDescent="0.25">
      <c r="A988" t="s">
        <v>574</v>
      </c>
      <c r="B988" t="s">
        <v>575</v>
      </c>
      <c r="C988" t="s">
        <v>598</v>
      </c>
      <c r="D988">
        <v>146400</v>
      </c>
      <c r="E988" t="s">
        <v>14</v>
      </c>
      <c r="F988">
        <v>43.822499999999998</v>
      </c>
      <c r="G988">
        <v>17.001100000000001</v>
      </c>
      <c r="H988">
        <v>1</v>
      </c>
      <c r="I988">
        <v>728</v>
      </c>
      <c r="J988" t="str">
        <f>HYPERLINK("https://climate.onebuilding.org/WMO_Region_6_Europe/BIH_Bosnia_and_Herzegovina/BIH_BF_Livno.146400_TMYx.2009-2023.zip")</f>
        <v>https://climate.onebuilding.org/WMO_Region_6_Europe/BIH_Bosnia_and_Herzegovina/BIH_BF_Livno.146400_TMYx.2009-2023.zip</v>
      </c>
    </row>
    <row r="989" spans="1:10" x14ac:dyDescent="0.25">
      <c r="A989" t="s">
        <v>574</v>
      </c>
      <c r="B989" t="s">
        <v>575</v>
      </c>
      <c r="C989" t="s">
        <v>598</v>
      </c>
      <c r="D989">
        <v>146400</v>
      </c>
      <c r="E989" t="s">
        <v>14</v>
      </c>
      <c r="F989">
        <v>43.822499999999998</v>
      </c>
      <c r="G989">
        <v>17.001100000000001</v>
      </c>
      <c r="H989">
        <v>1</v>
      </c>
      <c r="I989">
        <v>728</v>
      </c>
      <c r="J989" t="str">
        <f>HYPERLINK("https://climate.onebuilding.org/WMO_Region_6_Europe/BIH_Bosnia_and_Herzegovina/BIH_BF_Livno.146400_TMYx.zip")</f>
        <v>https://climate.onebuilding.org/WMO_Region_6_Europe/BIH_Bosnia_and_Herzegovina/BIH_BF_Livno.146400_TMYx.zip</v>
      </c>
    </row>
    <row r="990" spans="1:10" x14ac:dyDescent="0.25">
      <c r="A990" t="s">
        <v>574</v>
      </c>
      <c r="B990" t="s">
        <v>575</v>
      </c>
      <c r="C990" t="s">
        <v>600</v>
      </c>
      <c r="D990">
        <v>146480</v>
      </c>
      <c r="E990" t="s">
        <v>601</v>
      </c>
      <c r="F990">
        <v>43.348300000000002</v>
      </c>
      <c r="G990">
        <v>17.793900000000001</v>
      </c>
      <c r="H990">
        <v>1</v>
      </c>
      <c r="I990">
        <v>104</v>
      </c>
      <c r="J990" t="str">
        <f>HYPERLINK("https://climate.onebuilding.org/WMO_Region_6_Europe/BIH_Bosnia_and_Herzegovina/BIH_BF_Mostar.146480_TMYx.2004-2018.zip")</f>
        <v>https://climate.onebuilding.org/WMO_Region_6_Europe/BIH_Bosnia_and_Herzegovina/BIH_BF_Mostar.146480_TMYx.2004-2018.zip</v>
      </c>
    </row>
    <row r="991" spans="1:10" x14ac:dyDescent="0.25">
      <c r="A991" t="s">
        <v>574</v>
      </c>
      <c r="B991" t="s">
        <v>575</v>
      </c>
      <c r="C991" t="s">
        <v>600</v>
      </c>
      <c r="D991">
        <v>146480</v>
      </c>
      <c r="E991" t="s">
        <v>14</v>
      </c>
      <c r="F991">
        <v>43.348300000000002</v>
      </c>
      <c r="G991">
        <v>17.793900000000001</v>
      </c>
      <c r="H991">
        <v>1</v>
      </c>
      <c r="I991">
        <v>104</v>
      </c>
      <c r="J991" t="str">
        <f>HYPERLINK("https://climate.onebuilding.org/WMO_Region_6_Europe/BIH_Bosnia_and_Herzegovina/BIH_BF_Mostar.146480_TMYx.2007-2021.zip")</f>
        <v>https://climate.onebuilding.org/WMO_Region_6_Europe/BIH_Bosnia_and_Herzegovina/BIH_BF_Mostar.146480_TMYx.2007-2021.zip</v>
      </c>
    </row>
    <row r="992" spans="1:10" x14ac:dyDescent="0.25">
      <c r="A992" t="s">
        <v>574</v>
      </c>
      <c r="B992" t="s">
        <v>575</v>
      </c>
      <c r="C992" t="s">
        <v>600</v>
      </c>
      <c r="D992">
        <v>146480</v>
      </c>
      <c r="E992" t="s">
        <v>14</v>
      </c>
      <c r="F992">
        <v>43.348300000000002</v>
      </c>
      <c r="G992">
        <v>17.793900000000001</v>
      </c>
      <c r="H992">
        <v>1</v>
      </c>
      <c r="I992">
        <v>104</v>
      </c>
      <c r="J992" t="str">
        <f>HYPERLINK("https://climate.onebuilding.org/WMO_Region_6_Europe/BIH_Bosnia_and_Herzegovina/BIH_BF_Mostar.146480_TMYx.2009-2023.zip")</f>
        <v>https://climate.onebuilding.org/WMO_Region_6_Europe/BIH_Bosnia_and_Herzegovina/BIH_BF_Mostar.146480_TMYx.2009-2023.zip</v>
      </c>
    </row>
    <row r="993" spans="1:10" x14ac:dyDescent="0.25">
      <c r="A993" t="s">
        <v>574</v>
      </c>
      <c r="B993" t="s">
        <v>575</v>
      </c>
      <c r="C993" t="s">
        <v>600</v>
      </c>
      <c r="D993">
        <v>146480</v>
      </c>
      <c r="E993" t="s">
        <v>14</v>
      </c>
      <c r="F993">
        <v>43.348300000000002</v>
      </c>
      <c r="G993">
        <v>17.793900000000001</v>
      </c>
      <c r="H993">
        <v>1</v>
      </c>
      <c r="I993">
        <v>104</v>
      </c>
      <c r="J993" t="str">
        <f>HYPERLINK("https://climate.onebuilding.org/WMO_Region_6_Europe/BIH_Bosnia_and_Herzegovina/BIH_BF_Mostar.146480_TMYx.zip")</f>
        <v>https://climate.onebuilding.org/WMO_Region_6_Europe/BIH_Bosnia_and_Herzegovina/BIH_BF_Mostar.146480_TMYx.zip</v>
      </c>
    </row>
    <row r="994" spans="1:10" x14ac:dyDescent="0.25">
      <c r="A994" t="s">
        <v>574</v>
      </c>
      <c r="B994" t="s">
        <v>575</v>
      </c>
      <c r="C994" t="s">
        <v>602</v>
      </c>
      <c r="D994">
        <v>146500</v>
      </c>
      <c r="E994" t="s">
        <v>603</v>
      </c>
      <c r="F994">
        <v>43.751399999999997</v>
      </c>
      <c r="G994">
        <v>18.035</v>
      </c>
      <c r="H994">
        <v>1</v>
      </c>
      <c r="I994">
        <v>972</v>
      </c>
      <c r="J994" t="str">
        <f>HYPERLINK("https://climate.onebuilding.org/WMO_Region_6_Europe/BIH_Bosnia_and_Herzegovina/BIH_BF_Ivan.Sedlo.146500_TMYx.2004-2018.zip")</f>
        <v>https://climate.onebuilding.org/WMO_Region_6_Europe/BIH_Bosnia_and_Herzegovina/BIH_BF_Ivan.Sedlo.146500_TMYx.2004-2018.zip</v>
      </c>
    </row>
    <row r="995" spans="1:10" x14ac:dyDescent="0.25">
      <c r="A995" t="s">
        <v>574</v>
      </c>
      <c r="B995" t="s">
        <v>575</v>
      </c>
      <c r="C995" t="s">
        <v>602</v>
      </c>
      <c r="D995">
        <v>146500</v>
      </c>
      <c r="E995" t="s">
        <v>14</v>
      </c>
      <c r="F995">
        <v>43.751399999999997</v>
      </c>
      <c r="G995">
        <v>18.035</v>
      </c>
      <c r="H995">
        <v>1</v>
      </c>
      <c r="I995">
        <v>972</v>
      </c>
      <c r="J995" t="str">
        <f>HYPERLINK("https://climate.onebuilding.org/WMO_Region_6_Europe/BIH_Bosnia_and_Herzegovina/BIH_BF_Ivan.Sedlo.146500_TMYx.2007-2021.zip")</f>
        <v>https://climate.onebuilding.org/WMO_Region_6_Europe/BIH_Bosnia_and_Herzegovina/BIH_BF_Ivan.Sedlo.146500_TMYx.2007-2021.zip</v>
      </c>
    </row>
    <row r="996" spans="1:10" x14ac:dyDescent="0.25">
      <c r="A996" t="s">
        <v>574</v>
      </c>
      <c r="B996" t="s">
        <v>575</v>
      </c>
      <c r="C996" t="s">
        <v>602</v>
      </c>
      <c r="D996">
        <v>146500</v>
      </c>
      <c r="E996" t="s">
        <v>14</v>
      </c>
      <c r="F996">
        <v>43.751399999999997</v>
      </c>
      <c r="G996">
        <v>18.035</v>
      </c>
      <c r="H996">
        <v>1</v>
      </c>
      <c r="I996">
        <v>972</v>
      </c>
      <c r="J996" t="str">
        <f>HYPERLINK("https://climate.onebuilding.org/WMO_Region_6_Europe/BIH_Bosnia_and_Herzegovina/BIH_BF_Ivan.Sedlo.146500_TMYx.2009-2023.zip")</f>
        <v>https://climate.onebuilding.org/WMO_Region_6_Europe/BIH_Bosnia_and_Herzegovina/BIH_BF_Ivan.Sedlo.146500_TMYx.2009-2023.zip</v>
      </c>
    </row>
    <row r="997" spans="1:10" x14ac:dyDescent="0.25">
      <c r="A997" t="s">
        <v>574</v>
      </c>
      <c r="B997" t="s">
        <v>575</v>
      </c>
      <c r="C997" t="s">
        <v>602</v>
      </c>
      <c r="D997">
        <v>146500</v>
      </c>
      <c r="E997" t="s">
        <v>14</v>
      </c>
      <c r="F997">
        <v>43.751399999999997</v>
      </c>
      <c r="G997">
        <v>18.035</v>
      </c>
      <c r="H997">
        <v>1</v>
      </c>
      <c r="I997">
        <v>972</v>
      </c>
      <c r="J997" t="str">
        <f>HYPERLINK("https://climate.onebuilding.org/WMO_Region_6_Europe/BIH_Bosnia_and_Herzegovina/BIH_BF_Ivan.Sedlo.146500_TMYx.zip")</f>
        <v>https://climate.onebuilding.org/WMO_Region_6_Europe/BIH_Bosnia_and_Herzegovina/BIH_BF_Ivan.Sedlo.146500_TMYx.zip</v>
      </c>
    </row>
    <row r="998" spans="1:10" x14ac:dyDescent="0.25">
      <c r="A998" t="s">
        <v>574</v>
      </c>
      <c r="B998" t="s">
        <v>575</v>
      </c>
      <c r="C998" t="s">
        <v>604</v>
      </c>
      <c r="D998">
        <v>146520</v>
      </c>
      <c r="E998" t="s">
        <v>605</v>
      </c>
      <c r="F998">
        <v>43.703600000000002</v>
      </c>
      <c r="G998">
        <v>18.257200000000001</v>
      </c>
      <c r="H998">
        <v>1</v>
      </c>
      <c r="I998">
        <v>2070</v>
      </c>
      <c r="J998" t="str">
        <f>HYPERLINK("https://climate.onebuilding.org/WMO_Region_6_Europe/BIH_Bosnia_and_Herzegovina/BIH_BF_Bjelasnica.Mtn.146520_TMYx.2004-2018.zip")</f>
        <v>https://climate.onebuilding.org/WMO_Region_6_Europe/BIH_Bosnia_and_Herzegovina/BIH_BF_Bjelasnica.Mtn.146520_TMYx.2004-2018.zip</v>
      </c>
    </row>
    <row r="999" spans="1:10" x14ac:dyDescent="0.25">
      <c r="A999" t="s">
        <v>574</v>
      </c>
      <c r="B999" t="s">
        <v>575</v>
      </c>
      <c r="C999" t="s">
        <v>604</v>
      </c>
      <c r="D999">
        <v>146520</v>
      </c>
      <c r="E999" t="s">
        <v>14</v>
      </c>
      <c r="F999">
        <v>43.703600000000002</v>
      </c>
      <c r="G999">
        <v>18.257200000000001</v>
      </c>
      <c r="H999">
        <v>1</v>
      </c>
      <c r="I999">
        <v>2070</v>
      </c>
      <c r="J999" t="str">
        <f>HYPERLINK("https://climate.onebuilding.org/WMO_Region_6_Europe/BIH_Bosnia_and_Herzegovina/BIH_BF_Bjelasnica.Mtn.146520_TMYx.2007-2021.zip")</f>
        <v>https://climate.onebuilding.org/WMO_Region_6_Europe/BIH_Bosnia_and_Herzegovina/BIH_BF_Bjelasnica.Mtn.146520_TMYx.2007-2021.zip</v>
      </c>
    </row>
    <row r="1000" spans="1:10" x14ac:dyDescent="0.25">
      <c r="A1000" t="s">
        <v>574</v>
      </c>
      <c r="B1000" t="s">
        <v>575</v>
      </c>
      <c r="C1000" t="s">
        <v>604</v>
      </c>
      <c r="D1000">
        <v>146520</v>
      </c>
      <c r="E1000" t="s">
        <v>14</v>
      </c>
      <c r="F1000">
        <v>43.703600000000002</v>
      </c>
      <c r="G1000">
        <v>18.257200000000001</v>
      </c>
      <c r="H1000">
        <v>1</v>
      </c>
      <c r="I1000">
        <v>2070</v>
      </c>
      <c r="J1000" t="str">
        <f>HYPERLINK("https://climate.onebuilding.org/WMO_Region_6_Europe/BIH_Bosnia_and_Herzegovina/BIH_BF_Bjelasnica.Mtn.146520_TMYx.2009-2023.zip")</f>
        <v>https://climate.onebuilding.org/WMO_Region_6_Europe/BIH_Bosnia_and_Herzegovina/BIH_BF_Bjelasnica.Mtn.146520_TMYx.2009-2023.zip</v>
      </c>
    </row>
    <row r="1001" spans="1:10" x14ac:dyDescent="0.25">
      <c r="A1001" t="s">
        <v>574</v>
      </c>
      <c r="B1001" t="s">
        <v>575</v>
      </c>
      <c r="C1001" t="s">
        <v>604</v>
      </c>
      <c r="D1001">
        <v>146520</v>
      </c>
      <c r="E1001" t="s">
        <v>14</v>
      </c>
      <c r="F1001">
        <v>43.703600000000002</v>
      </c>
      <c r="G1001">
        <v>18.257200000000001</v>
      </c>
      <c r="H1001">
        <v>1</v>
      </c>
      <c r="I1001">
        <v>2070</v>
      </c>
      <c r="J1001" t="str">
        <f>HYPERLINK("https://climate.onebuilding.org/WMO_Region_6_Europe/BIH_Bosnia_and_Herzegovina/BIH_BF_Bjelasnica.Mtn.146520_TMYx.zip")</f>
        <v>https://climate.onebuilding.org/WMO_Region_6_Europe/BIH_Bosnia_and_Herzegovina/BIH_BF_Bjelasnica.Mtn.146520_TMYx.zip</v>
      </c>
    </row>
    <row r="1002" spans="1:10" x14ac:dyDescent="0.25">
      <c r="A1002" t="s">
        <v>574</v>
      </c>
      <c r="B1002" t="s">
        <v>575</v>
      </c>
      <c r="C1002" t="s">
        <v>606</v>
      </c>
      <c r="D1002">
        <v>146540</v>
      </c>
      <c r="E1002" t="s">
        <v>607</v>
      </c>
      <c r="F1002">
        <v>43.867800000000003</v>
      </c>
      <c r="G1002">
        <v>18.422799999999999</v>
      </c>
      <c r="H1002">
        <v>1</v>
      </c>
      <c r="I1002">
        <v>638</v>
      </c>
      <c r="J1002" t="str">
        <f>HYPERLINK("https://climate.onebuilding.org/WMO_Region_6_Europe/BIH_Bosnia_and_Herzegovina/BIH_BF_Sarajevo.Bjelave.146540_TMYx.2004-2018.zip")</f>
        <v>https://climate.onebuilding.org/WMO_Region_6_Europe/BIH_Bosnia_and_Herzegovina/BIH_BF_Sarajevo.Bjelave.146540_TMYx.2004-2018.zip</v>
      </c>
    </row>
    <row r="1003" spans="1:10" x14ac:dyDescent="0.25">
      <c r="A1003" t="s">
        <v>574</v>
      </c>
      <c r="B1003" t="s">
        <v>575</v>
      </c>
      <c r="C1003" t="s">
        <v>606</v>
      </c>
      <c r="D1003">
        <v>146540</v>
      </c>
      <c r="E1003" t="s">
        <v>14</v>
      </c>
      <c r="F1003">
        <v>43.867800000000003</v>
      </c>
      <c r="G1003">
        <v>18.422799999999999</v>
      </c>
      <c r="H1003">
        <v>1</v>
      </c>
      <c r="I1003">
        <v>638</v>
      </c>
      <c r="J1003" t="str">
        <f>HYPERLINK("https://climate.onebuilding.org/WMO_Region_6_Europe/BIH_Bosnia_and_Herzegovina/BIH_BF_Sarajevo.Bjelave.146540_TMYx.2007-2021.zip")</f>
        <v>https://climate.onebuilding.org/WMO_Region_6_Europe/BIH_Bosnia_and_Herzegovina/BIH_BF_Sarajevo.Bjelave.146540_TMYx.2007-2021.zip</v>
      </c>
    </row>
    <row r="1004" spans="1:10" x14ac:dyDescent="0.25">
      <c r="A1004" t="s">
        <v>574</v>
      </c>
      <c r="B1004" t="s">
        <v>575</v>
      </c>
      <c r="C1004" t="s">
        <v>606</v>
      </c>
      <c r="D1004">
        <v>146540</v>
      </c>
      <c r="E1004" t="s">
        <v>14</v>
      </c>
      <c r="F1004">
        <v>43.867800000000003</v>
      </c>
      <c r="G1004">
        <v>18.422799999999999</v>
      </c>
      <c r="H1004">
        <v>1</v>
      </c>
      <c r="I1004">
        <v>638</v>
      </c>
      <c r="J1004" t="str">
        <f>HYPERLINK("https://climate.onebuilding.org/WMO_Region_6_Europe/BIH_Bosnia_and_Herzegovina/BIH_BF_Sarajevo.Bjelave.146540_TMYx.2009-2023.zip")</f>
        <v>https://climate.onebuilding.org/WMO_Region_6_Europe/BIH_Bosnia_and_Herzegovina/BIH_BF_Sarajevo.Bjelave.146540_TMYx.2009-2023.zip</v>
      </c>
    </row>
    <row r="1005" spans="1:10" x14ac:dyDescent="0.25">
      <c r="A1005" t="s">
        <v>574</v>
      </c>
      <c r="B1005" t="s">
        <v>575</v>
      </c>
      <c r="C1005" t="s">
        <v>606</v>
      </c>
      <c r="D1005">
        <v>146540</v>
      </c>
      <c r="E1005" t="s">
        <v>14</v>
      </c>
      <c r="F1005">
        <v>43.867800000000003</v>
      </c>
      <c r="G1005">
        <v>18.422799999999999</v>
      </c>
      <c r="H1005">
        <v>1</v>
      </c>
      <c r="I1005">
        <v>638</v>
      </c>
      <c r="J1005" t="str">
        <f>HYPERLINK("https://climate.onebuilding.org/WMO_Region_6_Europe/BIH_Bosnia_and_Herzegovina/BIH_BF_Sarajevo.Bjelave.146540_TMYx.zip")</f>
        <v>https://climate.onebuilding.org/WMO_Region_6_Europe/BIH_Bosnia_and_Herzegovina/BIH_BF_Sarajevo.Bjelave.146540_TMYx.zip</v>
      </c>
    </row>
    <row r="1006" spans="1:10" x14ac:dyDescent="0.25">
      <c r="A1006" t="s">
        <v>574</v>
      </c>
      <c r="B1006" t="s">
        <v>577</v>
      </c>
      <c r="C1006" t="s">
        <v>608</v>
      </c>
      <c r="D1006">
        <v>146560</v>
      </c>
      <c r="E1006" t="s">
        <v>14</v>
      </c>
      <c r="F1006">
        <v>43.238399999999999</v>
      </c>
      <c r="G1006">
        <v>18.6036</v>
      </c>
      <c r="H1006">
        <v>1</v>
      </c>
      <c r="I1006">
        <v>1309</v>
      </c>
      <c r="J1006" t="str">
        <f>HYPERLINK("https://climate.onebuilding.org/WMO_Region_6_Europe/BIH_Bosnia_and_Herzegovina/BIH_SR_Cemerno.146560_TMYx.zip")</f>
        <v>https://climate.onebuilding.org/WMO_Region_6_Europe/BIH_Bosnia_and_Herzegovina/BIH_SR_Cemerno.146560_TMYx.zip</v>
      </c>
    </row>
    <row r="1007" spans="1:10" x14ac:dyDescent="0.25">
      <c r="A1007" t="s">
        <v>574</v>
      </c>
      <c r="B1007" t="s">
        <v>575</v>
      </c>
      <c r="C1007" t="s">
        <v>609</v>
      </c>
      <c r="D1007">
        <v>146570</v>
      </c>
      <c r="E1007" t="s">
        <v>610</v>
      </c>
      <c r="F1007">
        <v>42.927199999999999</v>
      </c>
      <c r="G1007">
        <v>17.608899999999998</v>
      </c>
      <c r="H1007">
        <v>1</v>
      </c>
      <c r="I1007">
        <v>14</v>
      </c>
      <c r="J1007" t="str">
        <f>HYPERLINK("https://climate.onebuilding.org/WMO_Region_6_Europe/BIH_Bosnia_and_Herzegovina/BIH_BF_Neum.146570_TMYx.2004-2018.zip")</f>
        <v>https://climate.onebuilding.org/WMO_Region_6_Europe/BIH_Bosnia_and_Herzegovina/BIH_BF_Neum.146570_TMYx.2004-2018.zip</v>
      </c>
    </row>
    <row r="1008" spans="1:10" x14ac:dyDescent="0.25">
      <c r="A1008" t="s">
        <v>574</v>
      </c>
      <c r="B1008" t="s">
        <v>575</v>
      </c>
      <c r="C1008" t="s">
        <v>609</v>
      </c>
      <c r="D1008">
        <v>146570</v>
      </c>
      <c r="E1008" t="s">
        <v>14</v>
      </c>
      <c r="F1008">
        <v>42.927199999999999</v>
      </c>
      <c r="G1008">
        <v>17.608899999999998</v>
      </c>
      <c r="H1008">
        <v>1</v>
      </c>
      <c r="I1008">
        <v>14</v>
      </c>
      <c r="J1008" t="str">
        <f>HYPERLINK("https://climate.onebuilding.org/WMO_Region_6_Europe/BIH_Bosnia_and_Herzegovina/BIH_BF_Neum.146570_TMYx.2007-2021.zip")</f>
        <v>https://climate.onebuilding.org/WMO_Region_6_Europe/BIH_Bosnia_and_Herzegovina/BIH_BF_Neum.146570_TMYx.2007-2021.zip</v>
      </c>
    </row>
    <row r="1009" spans="1:10" x14ac:dyDescent="0.25">
      <c r="A1009" t="s">
        <v>574</v>
      </c>
      <c r="B1009" t="s">
        <v>575</v>
      </c>
      <c r="C1009" t="s">
        <v>609</v>
      </c>
      <c r="D1009">
        <v>146570</v>
      </c>
      <c r="E1009" t="s">
        <v>14</v>
      </c>
      <c r="F1009">
        <v>42.927199999999999</v>
      </c>
      <c r="G1009">
        <v>17.608899999999998</v>
      </c>
      <c r="H1009">
        <v>1</v>
      </c>
      <c r="I1009">
        <v>14</v>
      </c>
      <c r="J1009" t="str">
        <f>HYPERLINK("https://climate.onebuilding.org/WMO_Region_6_Europe/BIH_Bosnia_and_Herzegovina/BIH_BF_Neum.146570_TMYx.2009-2023.zip")</f>
        <v>https://climate.onebuilding.org/WMO_Region_6_Europe/BIH_Bosnia_and_Herzegovina/BIH_BF_Neum.146570_TMYx.2009-2023.zip</v>
      </c>
    </row>
    <row r="1010" spans="1:10" x14ac:dyDescent="0.25">
      <c r="A1010" t="s">
        <v>574</v>
      </c>
      <c r="B1010" t="s">
        <v>575</v>
      </c>
      <c r="C1010" t="s">
        <v>609</v>
      </c>
      <c r="D1010">
        <v>146570</v>
      </c>
      <c r="E1010" t="s">
        <v>14</v>
      </c>
      <c r="F1010">
        <v>42.927199999999999</v>
      </c>
      <c r="G1010">
        <v>17.608899999999998</v>
      </c>
      <c r="H1010">
        <v>1</v>
      </c>
      <c r="I1010">
        <v>14</v>
      </c>
      <c r="J1010" t="str">
        <f>HYPERLINK("https://climate.onebuilding.org/WMO_Region_6_Europe/BIH_Bosnia_and_Herzegovina/BIH_BF_Neum.146570_TMYx.zip")</f>
        <v>https://climate.onebuilding.org/WMO_Region_6_Europe/BIH_Bosnia_and_Herzegovina/BIH_BF_Neum.146570_TMYx.zip</v>
      </c>
    </row>
    <row r="1011" spans="1:10" x14ac:dyDescent="0.25">
      <c r="A1011" t="s">
        <v>611</v>
      </c>
      <c r="B1011" t="s">
        <v>612</v>
      </c>
      <c r="C1011" t="s">
        <v>613</v>
      </c>
      <c r="D1011">
        <v>261148</v>
      </c>
      <c r="E1011" t="s">
        <v>614</v>
      </c>
      <c r="F1011">
        <v>53.881999999999998</v>
      </c>
      <c r="G1011">
        <v>28.030999999999999</v>
      </c>
      <c r="H1011">
        <v>3</v>
      </c>
      <c r="I1011">
        <v>204.2</v>
      </c>
      <c r="J1011" t="str">
        <f>HYPERLINK("https://climate.onebuilding.org/WMO_Region_6_Europe/BLR_Belarus/MI_Minsk/BLR_MI_Minsk.Natl.AP.261148_TMYx.2004-2018.zip")</f>
        <v>https://climate.onebuilding.org/WMO_Region_6_Europe/BLR_Belarus/MI_Minsk/BLR_MI_Minsk.Natl.AP.261148_TMYx.2004-2018.zip</v>
      </c>
    </row>
    <row r="1012" spans="1:10" x14ac:dyDescent="0.25">
      <c r="A1012" t="s">
        <v>611</v>
      </c>
      <c r="B1012" t="s">
        <v>612</v>
      </c>
      <c r="C1012" t="s">
        <v>613</v>
      </c>
      <c r="D1012">
        <v>261148</v>
      </c>
      <c r="E1012" t="s">
        <v>14</v>
      </c>
      <c r="F1012">
        <v>53.881999999999998</v>
      </c>
      <c r="G1012">
        <v>28.030999999999999</v>
      </c>
      <c r="H1012">
        <v>3</v>
      </c>
      <c r="I1012">
        <v>204.2</v>
      </c>
      <c r="J1012" t="str">
        <f>HYPERLINK("https://climate.onebuilding.org/WMO_Region_6_Europe/BLR_Belarus/MI_Minsk/BLR_MI_Minsk.Natl.AP.261148_TMYx.2007-2021.zip")</f>
        <v>https://climate.onebuilding.org/WMO_Region_6_Europe/BLR_Belarus/MI_Minsk/BLR_MI_Minsk.Natl.AP.261148_TMYx.2007-2021.zip</v>
      </c>
    </row>
    <row r="1013" spans="1:10" x14ac:dyDescent="0.25">
      <c r="A1013" t="s">
        <v>611</v>
      </c>
      <c r="B1013" t="s">
        <v>612</v>
      </c>
      <c r="C1013" t="s">
        <v>613</v>
      </c>
      <c r="D1013">
        <v>261148</v>
      </c>
      <c r="E1013" t="s">
        <v>14</v>
      </c>
      <c r="F1013">
        <v>53.881999999999998</v>
      </c>
      <c r="G1013">
        <v>28.030999999999999</v>
      </c>
      <c r="H1013">
        <v>3</v>
      </c>
      <c r="I1013">
        <v>204.2</v>
      </c>
      <c r="J1013" t="str">
        <f>HYPERLINK("https://climate.onebuilding.org/WMO_Region_6_Europe/BLR_Belarus/MI_Minsk/BLR_MI_Minsk.Natl.AP.261148_TMYx.2009-2023.zip")</f>
        <v>https://climate.onebuilding.org/WMO_Region_6_Europe/BLR_Belarus/MI_Minsk/BLR_MI_Minsk.Natl.AP.261148_TMYx.2009-2023.zip</v>
      </c>
    </row>
    <row r="1014" spans="1:10" x14ac:dyDescent="0.25">
      <c r="A1014" t="s">
        <v>611</v>
      </c>
      <c r="B1014" t="s">
        <v>612</v>
      </c>
      <c r="C1014" t="s">
        <v>613</v>
      </c>
      <c r="D1014">
        <v>261148</v>
      </c>
      <c r="E1014" t="s">
        <v>14</v>
      </c>
      <c r="F1014">
        <v>53.881999999999998</v>
      </c>
      <c r="G1014">
        <v>28.030999999999999</v>
      </c>
      <c r="H1014">
        <v>3</v>
      </c>
      <c r="I1014">
        <v>204.2</v>
      </c>
      <c r="J1014" t="str">
        <f>HYPERLINK("https://climate.onebuilding.org/WMO_Region_6_Europe/BLR_Belarus/MI_Minsk/BLR_MI_Minsk.Natl.AP.261148_TMYx.zip")</f>
        <v>https://climate.onebuilding.org/WMO_Region_6_Europe/BLR_Belarus/MI_Minsk/BLR_MI_Minsk.Natl.AP.261148_TMYx.zip</v>
      </c>
    </row>
    <row r="1015" spans="1:10" x14ac:dyDescent="0.25">
      <c r="A1015" t="s">
        <v>611</v>
      </c>
      <c r="B1015" t="s">
        <v>615</v>
      </c>
      <c r="C1015" t="s">
        <v>616</v>
      </c>
      <c r="D1015">
        <v>265540</v>
      </c>
      <c r="E1015" t="s">
        <v>617</v>
      </c>
      <c r="F1015">
        <v>55.820799999999998</v>
      </c>
      <c r="G1015">
        <v>27.94</v>
      </c>
      <c r="H1015">
        <v>3</v>
      </c>
      <c r="I1015">
        <v>132</v>
      </c>
      <c r="J1015" t="str">
        <f>HYPERLINK("https://climate.onebuilding.org/WMO_Region_6_Europe/BLR_Belarus/VI_Vitebsk/BLR_VI_Verkhnyadzvinsk.265540_TMYx.2004-2018.zip")</f>
        <v>https://climate.onebuilding.org/WMO_Region_6_Europe/BLR_Belarus/VI_Vitebsk/BLR_VI_Verkhnyadzvinsk.265540_TMYx.2004-2018.zip</v>
      </c>
    </row>
    <row r="1016" spans="1:10" x14ac:dyDescent="0.25">
      <c r="A1016" t="s">
        <v>611</v>
      </c>
      <c r="B1016" t="s">
        <v>615</v>
      </c>
      <c r="C1016" t="s">
        <v>616</v>
      </c>
      <c r="D1016">
        <v>265540</v>
      </c>
      <c r="E1016" t="s">
        <v>14</v>
      </c>
      <c r="F1016">
        <v>55.820799999999998</v>
      </c>
      <c r="G1016">
        <v>27.94</v>
      </c>
      <c r="H1016">
        <v>3</v>
      </c>
      <c r="I1016">
        <v>132</v>
      </c>
      <c r="J1016" t="str">
        <f>HYPERLINK("https://climate.onebuilding.org/WMO_Region_6_Europe/BLR_Belarus/VI_Vitebsk/BLR_VI_Verkhnyadzvinsk.265540_TMYx.2007-2021.zip")</f>
        <v>https://climate.onebuilding.org/WMO_Region_6_Europe/BLR_Belarus/VI_Vitebsk/BLR_VI_Verkhnyadzvinsk.265540_TMYx.2007-2021.zip</v>
      </c>
    </row>
    <row r="1017" spans="1:10" x14ac:dyDescent="0.25">
      <c r="A1017" t="s">
        <v>611</v>
      </c>
      <c r="B1017" t="s">
        <v>615</v>
      </c>
      <c r="C1017" t="s">
        <v>616</v>
      </c>
      <c r="D1017">
        <v>265540</v>
      </c>
      <c r="E1017" t="s">
        <v>14</v>
      </c>
      <c r="F1017">
        <v>55.820799999999998</v>
      </c>
      <c r="G1017">
        <v>27.94</v>
      </c>
      <c r="H1017">
        <v>3</v>
      </c>
      <c r="I1017">
        <v>132</v>
      </c>
      <c r="J1017" t="str">
        <f>HYPERLINK("https://climate.onebuilding.org/WMO_Region_6_Europe/BLR_Belarus/VI_Vitebsk/BLR_VI_Verkhnyadzvinsk.265540_TMYx.2009-2023.zip")</f>
        <v>https://climate.onebuilding.org/WMO_Region_6_Europe/BLR_Belarus/VI_Vitebsk/BLR_VI_Verkhnyadzvinsk.265540_TMYx.2009-2023.zip</v>
      </c>
    </row>
    <row r="1018" spans="1:10" x14ac:dyDescent="0.25">
      <c r="A1018" t="s">
        <v>611</v>
      </c>
      <c r="B1018" t="s">
        <v>615</v>
      </c>
      <c r="C1018" t="s">
        <v>616</v>
      </c>
      <c r="D1018">
        <v>265540</v>
      </c>
      <c r="E1018" t="s">
        <v>14</v>
      </c>
      <c r="F1018">
        <v>55.820799999999998</v>
      </c>
      <c r="G1018">
        <v>27.94</v>
      </c>
      <c r="H1018">
        <v>3</v>
      </c>
      <c r="I1018">
        <v>132</v>
      </c>
      <c r="J1018" t="str">
        <f>HYPERLINK("https://climate.onebuilding.org/WMO_Region_6_Europe/BLR_Belarus/VI_Vitebsk/BLR_VI_Verkhnyadzvinsk.265540_TMYx.zip")</f>
        <v>https://climate.onebuilding.org/WMO_Region_6_Europe/BLR_Belarus/VI_Vitebsk/BLR_VI_Verkhnyadzvinsk.265540_TMYx.zip</v>
      </c>
    </row>
    <row r="1019" spans="1:10" x14ac:dyDescent="0.25">
      <c r="A1019" t="s">
        <v>611</v>
      </c>
      <c r="B1019" t="s">
        <v>615</v>
      </c>
      <c r="C1019" t="s">
        <v>618</v>
      </c>
      <c r="D1019">
        <v>265660</v>
      </c>
      <c r="E1019" t="s">
        <v>14</v>
      </c>
      <c r="F1019">
        <v>55.832999999999998</v>
      </c>
      <c r="G1019">
        <v>29.983000000000001</v>
      </c>
      <c r="H1019">
        <v>3</v>
      </c>
      <c r="I1019">
        <v>171</v>
      </c>
      <c r="J1019" t="str">
        <f>HYPERLINK("https://climate.onebuilding.org/WMO_Region_6_Europe/BLR_Belarus/VI_Vitebsk/BLR_VI_Jeziarysca.265660_TMYx.zip")</f>
        <v>https://climate.onebuilding.org/WMO_Region_6_Europe/BLR_Belarus/VI_Vitebsk/BLR_VI_Jeziarysca.265660_TMYx.zip</v>
      </c>
    </row>
    <row r="1020" spans="1:10" x14ac:dyDescent="0.25">
      <c r="A1020" t="s">
        <v>611</v>
      </c>
      <c r="B1020" t="s">
        <v>615</v>
      </c>
      <c r="C1020" t="s">
        <v>619</v>
      </c>
      <c r="D1020">
        <v>266430</v>
      </c>
      <c r="E1020" t="s">
        <v>620</v>
      </c>
      <c r="F1020">
        <v>55.363</v>
      </c>
      <c r="G1020">
        <v>27.456700000000001</v>
      </c>
      <c r="H1020">
        <v>3</v>
      </c>
      <c r="I1020">
        <v>131</v>
      </c>
      <c r="J1020" t="str">
        <f>HYPERLINK("https://climate.onebuilding.org/WMO_Region_6_Europe/BLR_Belarus/VI_Vitebsk/BLR_VI_Sharkaushchyna.266430_TMYx.2004-2018.zip")</f>
        <v>https://climate.onebuilding.org/WMO_Region_6_Europe/BLR_Belarus/VI_Vitebsk/BLR_VI_Sharkaushchyna.266430_TMYx.2004-2018.zip</v>
      </c>
    </row>
    <row r="1021" spans="1:10" x14ac:dyDescent="0.25">
      <c r="A1021" t="s">
        <v>611</v>
      </c>
      <c r="B1021" t="s">
        <v>615</v>
      </c>
      <c r="C1021" t="s">
        <v>619</v>
      </c>
      <c r="D1021">
        <v>266430</v>
      </c>
      <c r="E1021" t="s">
        <v>14</v>
      </c>
      <c r="F1021">
        <v>55.363</v>
      </c>
      <c r="G1021">
        <v>27.456700000000001</v>
      </c>
      <c r="H1021">
        <v>3</v>
      </c>
      <c r="I1021">
        <v>131</v>
      </c>
      <c r="J1021" t="str">
        <f>HYPERLINK("https://climate.onebuilding.org/WMO_Region_6_Europe/BLR_Belarus/VI_Vitebsk/BLR_VI_Sharkaushchyna.266430_TMYx.2007-2021.zip")</f>
        <v>https://climate.onebuilding.org/WMO_Region_6_Europe/BLR_Belarus/VI_Vitebsk/BLR_VI_Sharkaushchyna.266430_TMYx.2007-2021.zip</v>
      </c>
    </row>
    <row r="1022" spans="1:10" x14ac:dyDescent="0.25">
      <c r="A1022" t="s">
        <v>611</v>
      </c>
      <c r="B1022" t="s">
        <v>615</v>
      </c>
      <c r="C1022" t="s">
        <v>619</v>
      </c>
      <c r="D1022">
        <v>266430</v>
      </c>
      <c r="E1022" t="s">
        <v>14</v>
      </c>
      <c r="F1022">
        <v>55.363</v>
      </c>
      <c r="G1022">
        <v>27.456700000000001</v>
      </c>
      <c r="H1022">
        <v>3</v>
      </c>
      <c r="I1022">
        <v>131</v>
      </c>
      <c r="J1022" t="str">
        <f>HYPERLINK("https://climate.onebuilding.org/WMO_Region_6_Europe/BLR_Belarus/VI_Vitebsk/BLR_VI_Sharkaushchyna.266430_TMYx.2009-2023.zip")</f>
        <v>https://climate.onebuilding.org/WMO_Region_6_Europe/BLR_Belarus/VI_Vitebsk/BLR_VI_Sharkaushchyna.266430_TMYx.2009-2023.zip</v>
      </c>
    </row>
    <row r="1023" spans="1:10" x14ac:dyDescent="0.25">
      <c r="A1023" t="s">
        <v>611</v>
      </c>
      <c r="B1023" t="s">
        <v>615</v>
      </c>
      <c r="C1023" t="s">
        <v>619</v>
      </c>
      <c r="D1023">
        <v>266430</v>
      </c>
      <c r="E1023" t="s">
        <v>14</v>
      </c>
      <c r="F1023">
        <v>55.363</v>
      </c>
      <c r="G1023">
        <v>27.456700000000001</v>
      </c>
      <c r="H1023">
        <v>3</v>
      </c>
      <c r="I1023">
        <v>131</v>
      </c>
      <c r="J1023" t="str">
        <f>HYPERLINK("https://climate.onebuilding.org/WMO_Region_6_Europe/BLR_Belarus/VI_Vitebsk/BLR_VI_Sharkaushchyna.266430_TMYx.zip")</f>
        <v>https://climate.onebuilding.org/WMO_Region_6_Europe/BLR_Belarus/VI_Vitebsk/BLR_VI_Sharkaushchyna.266430_TMYx.zip</v>
      </c>
    </row>
    <row r="1024" spans="1:10" x14ac:dyDescent="0.25">
      <c r="A1024" t="s">
        <v>611</v>
      </c>
      <c r="B1024" t="s">
        <v>615</v>
      </c>
      <c r="C1024" t="s">
        <v>621</v>
      </c>
      <c r="D1024">
        <v>266450</v>
      </c>
      <c r="E1024" t="s">
        <v>622</v>
      </c>
      <c r="F1024">
        <v>55.048900000000003</v>
      </c>
      <c r="G1024">
        <v>26.306899999999999</v>
      </c>
      <c r="H1024">
        <v>3</v>
      </c>
      <c r="I1024">
        <v>212</v>
      </c>
      <c r="J1024" t="str">
        <f>HYPERLINK("https://climate.onebuilding.org/WMO_Region_6_Europe/BLR_Belarus/VI_Vitebsk/BLR_VI_Lyntupy.266450_TMYx.2004-2018.zip")</f>
        <v>https://climate.onebuilding.org/WMO_Region_6_Europe/BLR_Belarus/VI_Vitebsk/BLR_VI_Lyntupy.266450_TMYx.2004-2018.zip</v>
      </c>
    </row>
    <row r="1025" spans="1:10" x14ac:dyDescent="0.25">
      <c r="A1025" t="s">
        <v>611</v>
      </c>
      <c r="B1025" t="s">
        <v>615</v>
      </c>
      <c r="C1025" t="s">
        <v>621</v>
      </c>
      <c r="D1025">
        <v>266450</v>
      </c>
      <c r="E1025" t="s">
        <v>14</v>
      </c>
      <c r="F1025">
        <v>55.048900000000003</v>
      </c>
      <c r="G1025">
        <v>26.306899999999999</v>
      </c>
      <c r="H1025">
        <v>3</v>
      </c>
      <c r="I1025">
        <v>212</v>
      </c>
      <c r="J1025" t="str">
        <f>HYPERLINK("https://climate.onebuilding.org/WMO_Region_6_Europe/BLR_Belarus/VI_Vitebsk/BLR_VI_Lyntupy.266450_TMYx.2007-2021.zip")</f>
        <v>https://climate.onebuilding.org/WMO_Region_6_Europe/BLR_Belarus/VI_Vitebsk/BLR_VI_Lyntupy.266450_TMYx.2007-2021.zip</v>
      </c>
    </row>
    <row r="1026" spans="1:10" x14ac:dyDescent="0.25">
      <c r="A1026" t="s">
        <v>611</v>
      </c>
      <c r="B1026" t="s">
        <v>615</v>
      </c>
      <c r="C1026" t="s">
        <v>621</v>
      </c>
      <c r="D1026">
        <v>266450</v>
      </c>
      <c r="E1026" t="s">
        <v>14</v>
      </c>
      <c r="F1026">
        <v>55.048900000000003</v>
      </c>
      <c r="G1026">
        <v>26.306899999999999</v>
      </c>
      <c r="H1026">
        <v>3</v>
      </c>
      <c r="I1026">
        <v>212</v>
      </c>
      <c r="J1026" t="str">
        <f>HYPERLINK("https://climate.onebuilding.org/WMO_Region_6_Europe/BLR_Belarus/VI_Vitebsk/BLR_VI_Lyntupy.266450_TMYx.2009-2023.zip")</f>
        <v>https://climate.onebuilding.org/WMO_Region_6_Europe/BLR_Belarus/VI_Vitebsk/BLR_VI_Lyntupy.266450_TMYx.2009-2023.zip</v>
      </c>
    </row>
    <row r="1027" spans="1:10" x14ac:dyDescent="0.25">
      <c r="A1027" t="s">
        <v>611</v>
      </c>
      <c r="B1027" t="s">
        <v>615</v>
      </c>
      <c r="C1027" t="s">
        <v>621</v>
      </c>
      <c r="D1027">
        <v>266450</v>
      </c>
      <c r="E1027" t="s">
        <v>14</v>
      </c>
      <c r="F1027">
        <v>55.048900000000003</v>
      </c>
      <c r="G1027">
        <v>26.306899999999999</v>
      </c>
      <c r="H1027">
        <v>3</v>
      </c>
      <c r="I1027">
        <v>212</v>
      </c>
      <c r="J1027" t="str">
        <f>HYPERLINK("https://climate.onebuilding.org/WMO_Region_6_Europe/BLR_Belarus/VI_Vitebsk/BLR_VI_Lyntupy.266450_TMYx.zip")</f>
        <v>https://climate.onebuilding.org/WMO_Region_6_Europe/BLR_Belarus/VI_Vitebsk/BLR_VI_Lyntupy.266450_TMYx.zip</v>
      </c>
    </row>
    <row r="1028" spans="1:10" x14ac:dyDescent="0.25">
      <c r="A1028" t="s">
        <v>611</v>
      </c>
      <c r="B1028" t="s">
        <v>612</v>
      </c>
      <c r="C1028" t="s">
        <v>623</v>
      </c>
      <c r="D1028">
        <v>266490</v>
      </c>
      <c r="E1028" t="s">
        <v>14</v>
      </c>
      <c r="F1028">
        <v>54.792700000000004</v>
      </c>
      <c r="G1028">
        <v>27.464200000000002</v>
      </c>
      <c r="H1028">
        <v>3</v>
      </c>
      <c r="I1028">
        <v>177</v>
      </c>
      <c r="J1028" t="str">
        <f>HYPERLINK("https://climate.onebuilding.org/WMO_Region_6_Europe/BLR_Belarus/MI_Minsk/BLR_MI_Budslau.266490_TMYx.zip")</f>
        <v>https://climate.onebuilding.org/WMO_Region_6_Europe/BLR_Belarus/MI_Minsk/BLR_MI_Budslau.266490_TMYx.zip</v>
      </c>
    </row>
    <row r="1029" spans="1:10" x14ac:dyDescent="0.25">
      <c r="A1029" t="s">
        <v>611</v>
      </c>
      <c r="B1029" t="s">
        <v>615</v>
      </c>
      <c r="C1029" t="s">
        <v>624</v>
      </c>
      <c r="D1029">
        <v>266530</v>
      </c>
      <c r="E1029" t="s">
        <v>625</v>
      </c>
      <c r="F1029">
        <v>55.474699999999999</v>
      </c>
      <c r="G1029">
        <v>28.7517</v>
      </c>
      <c r="H1029">
        <v>3</v>
      </c>
      <c r="I1029">
        <v>133</v>
      </c>
      <c r="J1029" t="str">
        <f>HYPERLINK("https://climate.onebuilding.org/WMO_Region_6_Europe/BLR_Belarus/VI_Vitebsk/BLR_VI_Polatsk.266530_TMYx.2004-2018.zip")</f>
        <v>https://climate.onebuilding.org/WMO_Region_6_Europe/BLR_Belarus/VI_Vitebsk/BLR_VI_Polatsk.266530_TMYx.2004-2018.zip</v>
      </c>
    </row>
    <row r="1030" spans="1:10" x14ac:dyDescent="0.25">
      <c r="A1030" t="s">
        <v>611</v>
      </c>
      <c r="B1030" t="s">
        <v>615</v>
      </c>
      <c r="C1030" t="s">
        <v>624</v>
      </c>
      <c r="D1030">
        <v>266530</v>
      </c>
      <c r="E1030" t="s">
        <v>14</v>
      </c>
      <c r="F1030">
        <v>55.474699999999999</v>
      </c>
      <c r="G1030">
        <v>28.7517</v>
      </c>
      <c r="H1030">
        <v>3</v>
      </c>
      <c r="I1030">
        <v>133</v>
      </c>
      <c r="J1030" t="str">
        <f>HYPERLINK("https://climate.onebuilding.org/WMO_Region_6_Europe/BLR_Belarus/VI_Vitebsk/BLR_VI_Polatsk.266530_TMYx.2007-2021.zip")</f>
        <v>https://climate.onebuilding.org/WMO_Region_6_Europe/BLR_Belarus/VI_Vitebsk/BLR_VI_Polatsk.266530_TMYx.2007-2021.zip</v>
      </c>
    </row>
    <row r="1031" spans="1:10" x14ac:dyDescent="0.25">
      <c r="A1031" t="s">
        <v>611</v>
      </c>
      <c r="B1031" t="s">
        <v>615</v>
      </c>
      <c r="C1031" t="s">
        <v>624</v>
      </c>
      <c r="D1031">
        <v>266530</v>
      </c>
      <c r="E1031" t="s">
        <v>14</v>
      </c>
      <c r="F1031">
        <v>55.474699999999999</v>
      </c>
      <c r="G1031">
        <v>28.7517</v>
      </c>
      <c r="H1031">
        <v>3</v>
      </c>
      <c r="I1031">
        <v>133</v>
      </c>
      <c r="J1031" t="str">
        <f>HYPERLINK("https://climate.onebuilding.org/WMO_Region_6_Europe/BLR_Belarus/VI_Vitebsk/BLR_VI_Polatsk.266530_TMYx.2009-2023.zip")</f>
        <v>https://climate.onebuilding.org/WMO_Region_6_Europe/BLR_Belarus/VI_Vitebsk/BLR_VI_Polatsk.266530_TMYx.2009-2023.zip</v>
      </c>
    </row>
    <row r="1032" spans="1:10" x14ac:dyDescent="0.25">
      <c r="A1032" t="s">
        <v>611</v>
      </c>
      <c r="B1032" t="s">
        <v>615</v>
      </c>
      <c r="C1032" t="s">
        <v>624</v>
      </c>
      <c r="D1032">
        <v>266530</v>
      </c>
      <c r="E1032" t="s">
        <v>14</v>
      </c>
      <c r="F1032">
        <v>55.474699999999999</v>
      </c>
      <c r="G1032">
        <v>28.7517</v>
      </c>
      <c r="H1032">
        <v>3</v>
      </c>
      <c r="I1032">
        <v>133</v>
      </c>
      <c r="J1032" t="str">
        <f>HYPERLINK("https://climate.onebuilding.org/WMO_Region_6_Europe/BLR_Belarus/VI_Vitebsk/BLR_VI_Polatsk.266530_TMYx.zip")</f>
        <v>https://climate.onebuilding.org/WMO_Region_6_Europe/BLR_Belarus/VI_Vitebsk/BLR_VI_Polatsk.266530_TMYx.zip</v>
      </c>
    </row>
    <row r="1033" spans="1:10" x14ac:dyDescent="0.25">
      <c r="A1033" t="s">
        <v>611</v>
      </c>
      <c r="B1033" t="s">
        <v>615</v>
      </c>
      <c r="C1033" t="s">
        <v>626</v>
      </c>
      <c r="D1033">
        <v>266570</v>
      </c>
      <c r="E1033" t="s">
        <v>627</v>
      </c>
      <c r="F1033">
        <v>54.8872</v>
      </c>
      <c r="G1033">
        <v>27.7606</v>
      </c>
      <c r="H1033">
        <v>3</v>
      </c>
      <c r="I1033">
        <v>193</v>
      </c>
      <c r="J1033" t="str">
        <f>HYPERLINK("https://climate.onebuilding.org/WMO_Region_6_Europe/BLR_Belarus/VI_Vitebsk/BLR_VI_Doksycy.266570_TMYx.2004-2018.zip")</f>
        <v>https://climate.onebuilding.org/WMO_Region_6_Europe/BLR_Belarus/VI_Vitebsk/BLR_VI_Doksycy.266570_TMYx.2004-2018.zip</v>
      </c>
    </row>
    <row r="1034" spans="1:10" x14ac:dyDescent="0.25">
      <c r="A1034" t="s">
        <v>611</v>
      </c>
      <c r="B1034" t="s">
        <v>615</v>
      </c>
      <c r="C1034" t="s">
        <v>626</v>
      </c>
      <c r="D1034">
        <v>266570</v>
      </c>
      <c r="E1034" t="s">
        <v>14</v>
      </c>
      <c r="F1034">
        <v>54.8872</v>
      </c>
      <c r="G1034">
        <v>27.7606</v>
      </c>
      <c r="H1034">
        <v>3</v>
      </c>
      <c r="I1034">
        <v>193</v>
      </c>
      <c r="J1034" t="str">
        <f>HYPERLINK("https://climate.onebuilding.org/WMO_Region_6_Europe/BLR_Belarus/VI_Vitebsk/BLR_VI_Doksycy.266570_TMYx.2007-2021.zip")</f>
        <v>https://climate.onebuilding.org/WMO_Region_6_Europe/BLR_Belarus/VI_Vitebsk/BLR_VI_Doksycy.266570_TMYx.2007-2021.zip</v>
      </c>
    </row>
    <row r="1035" spans="1:10" x14ac:dyDescent="0.25">
      <c r="A1035" t="s">
        <v>611</v>
      </c>
      <c r="B1035" t="s">
        <v>615</v>
      </c>
      <c r="C1035" t="s">
        <v>626</v>
      </c>
      <c r="D1035">
        <v>266570</v>
      </c>
      <c r="E1035" t="s">
        <v>14</v>
      </c>
      <c r="F1035">
        <v>54.8872</v>
      </c>
      <c r="G1035">
        <v>27.7606</v>
      </c>
      <c r="H1035">
        <v>3</v>
      </c>
      <c r="I1035">
        <v>193</v>
      </c>
      <c r="J1035" t="str">
        <f>HYPERLINK("https://climate.onebuilding.org/WMO_Region_6_Europe/BLR_Belarus/VI_Vitebsk/BLR_VI_Doksycy.266570_TMYx.2009-2023.zip")</f>
        <v>https://climate.onebuilding.org/WMO_Region_6_Europe/BLR_Belarus/VI_Vitebsk/BLR_VI_Doksycy.266570_TMYx.2009-2023.zip</v>
      </c>
    </row>
    <row r="1036" spans="1:10" x14ac:dyDescent="0.25">
      <c r="A1036" t="s">
        <v>611</v>
      </c>
      <c r="B1036" t="s">
        <v>615</v>
      </c>
      <c r="C1036" t="s">
        <v>626</v>
      </c>
      <c r="D1036">
        <v>266570</v>
      </c>
      <c r="E1036" t="s">
        <v>14</v>
      </c>
      <c r="F1036">
        <v>54.8872</v>
      </c>
      <c r="G1036">
        <v>27.7606</v>
      </c>
      <c r="H1036">
        <v>3</v>
      </c>
      <c r="I1036">
        <v>193</v>
      </c>
      <c r="J1036" t="str">
        <f>HYPERLINK("https://climate.onebuilding.org/WMO_Region_6_Europe/BLR_Belarus/VI_Vitebsk/BLR_VI_Doksycy.266570_TMYx.zip")</f>
        <v>https://climate.onebuilding.org/WMO_Region_6_Europe/BLR_Belarus/VI_Vitebsk/BLR_VI_Doksycy.266570_TMYx.zip</v>
      </c>
    </row>
    <row r="1037" spans="1:10" x14ac:dyDescent="0.25">
      <c r="A1037" t="s">
        <v>611</v>
      </c>
      <c r="B1037" t="s">
        <v>615</v>
      </c>
      <c r="C1037" t="s">
        <v>628</v>
      </c>
      <c r="D1037">
        <v>266590</v>
      </c>
      <c r="E1037" t="s">
        <v>629</v>
      </c>
      <c r="F1037">
        <v>54.88</v>
      </c>
      <c r="G1037">
        <v>28.704699999999999</v>
      </c>
      <c r="H1037">
        <v>3</v>
      </c>
      <c r="I1037">
        <v>174</v>
      </c>
      <c r="J1037" t="str">
        <f>HYPERLINK("https://climate.onebuilding.org/WMO_Region_6_Europe/BLR_Belarus/VI_Vitebsk/BLR_VI_Lepiel.266590_TMYx.2004-2018.zip")</f>
        <v>https://climate.onebuilding.org/WMO_Region_6_Europe/BLR_Belarus/VI_Vitebsk/BLR_VI_Lepiel.266590_TMYx.2004-2018.zip</v>
      </c>
    </row>
    <row r="1038" spans="1:10" x14ac:dyDescent="0.25">
      <c r="A1038" t="s">
        <v>611</v>
      </c>
      <c r="B1038" t="s">
        <v>615</v>
      </c>
      <c r="C1038" t="s">
        <v>628</v>
      </c>
      <c r="D1038">
        <v>266590</v>
      </c>
      <c r="E1038" t="s">
        <v>14</v>
      </c>
      <c r="F1038">
        <v>54.88</v>
      </c>
      <c r="G1038">
        <v>28.704699999999999</v>
      </c>
      <c r="H1038">
        <v>3</v>
      </c>
      <c r="I1038">
        <v>174</v>
      </c>
      <c r="J1038" t="str">
        <f>HYPERLINK("https://climate.onebuilding.org/WMO_Region_6_Europe/BLR_Belarus/VI_Vitebsk/BLR_VI_Lepiel.266590_TMYx.2007-2021.zip")</f>
        <v>https://climate.onebuilding.org/WMO_Region_6_Europe/BLR_Belarus/VI_Vitebsk/BLR_VI_Lepiel.266590_TMYx.2007-2021.zip</v>
      </c>
    </row>
    <row r="1039" spans="1:10" x14ac:dyDescent="0.25">
      <c r="A1039" t="s">
        <v>611</v>
      </c>
      <c r="B1039" t="s">
        <v>615</v>
      </c>
      <c r="C1039" t="s">
        <v>628</v>
      </c>
      <c r="D1039">
        <v>266590</v>
      </c>
      <c r="E1039" t="s">
        <v>14</v>
      </c>
      <c r="F1039">
        <v>54.88</v>
      </c>
      <c r="G1039">
        <v>28.704699999999999</v>
      </c>
      <c r="H1039">
        <v>3</v>
      </c>
      <c r="I1039">
        <v>174</v>
      </c>
      <c r="J1039" t="str">
        <f>HYPERLINK("https://climate.onebuilding.org/WMO_Region_6_Europe/BLR_Belarus/VI_Vitebsk/BLR_VI_Lepiel.266590_TMYx.2009-2023.zip")</f>
        <v>https://climate.onebuilding.org/WMO_Region_6_Europe/BLR_Belarus/VI_Vitebsk/BLR_VI_Lepiel.266590_TMYx.2009-2023.zip</v>
      </c>
    </row>
    <row r="1040" spans="1:10" x14ac:dyDescent="0.25">
      <c r="A1040" t="s">
        <v>611</v>
      </c>
      <c r="B1040" t="s">
        <v>615</v>
      </c>
      <c r="C1040" t="s">
        <v>628</v>
      </c>
      <c r="D1040">
        <v>266590</v>
      </c>
      <c r="E1040" t="s">
        <v>14</v>
      </c>
      <c r="F1040">
        <v>54.88</v>
      </c>
      <c r="G1040">
        <v>28.704699999999999</v>
      </c>
      <c r="H1040">
        <v>3</v>
      </c>
      <c r="I1040">
        <v>174</v>
      </c>
      <c r="J1040" t="str">
        <f>HYPERLINK("https://climate.onebuilding.org/WMO_Region_6_Europe/BLR_Belarus/VI_Vitebsk/BLR_VI_Lepiel.266590_TMYx.zip")</f>
        <v>https://climate.onebuilding.org/WMO_Region_6_Europe/BLR_Belarus/VI_Vitebsk/BLR_VI_Lepiel.266590_TMYx.zip</v>
      </c>
    </row>
    <row r="1041" spans="1:10" x14ac:dyDescent="0.25">
      <c r="A1041" t="s">
        <v>611</v>
      </c>
      <c r="B1041" t="s">
        <v>615</v>
      </c>
      <c r="C1041" t="s">
        <v>630</v>
      </c>
      <c r="D1041">
        <v>266660</v>
      </c>
      <c r="E1041" t="s">
        <v>631</v>
      </c>
      <c r="F1041">
        <v>55.127000000000002</v>
      </c>
      <c r="G1041">
        <v>30.35</v>
      </c>
      <c r="H1041">
        <v>3</v>
      </c>
      <c r="I1041">
        <v>207.9</v>
      </c>
      <c r="J1041" t="str">
        <f>HYPERLINK("https://climate.onebuilding.org/WMO_Region_6_Europe/BLR_Belarus/VI_Vitebsk/BLR_VI_Vitebsk.Vostochny.AP.266660_TMYx.2004-2018.zip")</f>
        <v>https://climate.onebuilding.org/WMO_Region_6_Europe/BLR_Belarus/VI_Vitebsk/BLR_VI_Vitebsk.Vostochny.AP.266660_TMYx.2004-2018.zip</v>
      </c>
    </row>
    <row r="1042" spans="1:10" x14ac:dyDescent="0.25">
      <c r="A1042" t="s">
        <v>611</v>
      </c>
      <c r="B1042" t="s">
        <v>615</v>
      </c>
      <c r="C1042" t="s">
        <v>630</v>
      </c>
      <c r="D1042">
        <v>266660</v>
      </c>
      <c r="E1042" t="s">
        <v>14</v>
      </c>
      <c r="F1042">
        <v>55.127000000000002</v>
      </c>
      <c r="G1042">
        <v>30.35</v>
      </c>
      <c r="H1042">
        <v>3</v>
      </c>
      <c r="I1042">
        <v>207.9</v>
      </c>
      <c r="J1042" t="str">
        <f>HYPERLINK("https://climate.onebuilding.org/WMO_Region_6_Europe/BLR_Belarus/VI_Vitebsk/BLR_VI_Vitebsk.Vostochny.AP.266660_TMYx.2007-2021.zip")</f>
        <v>https://climate.onebuilding.org/WMO_Region_6_Europe/BLR_Belarus/VI_Vitebsk/BLR_VI_Vitebsk.Vostochny.AP.266660_TMYx.2007-2021.zip</v>
      </c>
    </row>
    <row r="1043" spans="1:10" x14ac:dyDescent="0.25">
      <c r="A1043" t="s">
        <v>611</v>
      </c>
      <c r="B1043" t="s">
        <v>615</v>
      </c>
      <c r="C1043" t="s">
        <v>630</v>
      </c>
      <c r="D1043">
        <v>266660</v>
      </c>
      <c r="E1043" t="s">
        <v>14</v>
      </c>
      <c r="F1043">
        <v>55.127000000000002</v>
      </c>
      <c r="G1043">
        <v>30.35</v>
      </c>
      <c r="H1043">
        <v>3</v>
      </c>
      <c r="I1043">
        <v>207.9</v>
      </c>
      <c r="J1043" t="str">
        <f>HYPERLINK("https://climate.onebuilding.org/WMO_Region_6_Europe/BLR_Belarus/VI_Vitebsk/BLR_VI_Vitebsk.Vostochny.AP.266660_TMYx.2009-2023.zip")</f>
        <v>https://climate.onebuilding.org/WMO_Region_6_Europe/BLR_Belarus/VI_Vitebsk/BLR_VI_Vitebsk.Vostochny.AP.266660_TMYx.2009-2023.zip</v>
      </c>
    </row>
    <row r="1044" spans="1:10" x14ac:dyDescent="0.25">
      <c r="A1044" t="s">
        <v>611</v>
      </c>
      <c r="B1044" t="s">
        <v>615</v>
      </c>
      <c r="C1044" t="s">
        <v>630</v>
      </c>
      <c r="D1044">
        <v>266660</v>
      </c>
      <c r="E1044" t="s">
        <v>14</v>
      </c>
      <c r="F1044">
        <v>55.127000000000002</v>
      </c>
      <c r="G1044">
        <v>30.35</v>
      </c>
      <c r="H1044">
        <v>3</v>
      </c>
      <c r="I1044">
        <v>207.9</v>
      </c>
      <c r="J1044" t="str">
        <f>HYPERLINK("https://climate.onebuilding.org/WMO_Region_6_Europe/BLR_Belarus/VI_Vitebsk/BLR_VI_Vitebsk.Vostochny.AP.266660_TMYx.zip")</f>
        <v>https://climate.onebuilding.org/WMO_Region_6_Europe/BLR_Belarus/VI_Vitebsk/BLR_VI_Vitebsk.Vostochny.AP.266660_TMYx.zip</v>
      </c>
    </row>
    <row r="1045" spans="1:10" x14ac:dyDescent="0.25">
      <c r="A1045" t="s">
        <v>611</v>
      </c>
      <c r="B1045" t="s">
        <v>632</v>
      </c>
      <c r="C1045" t="s">
        <v>633</v>
      </c>
      <c r="D1045">
        <v>266661</v>
      </c>
      <c r="E1045" t="s">
        <v>634</v>
      </c>
      <c r="F1045">
        <v>53.666499999999999</v>
      </c>
      <c r="G1045">
        <v>23.831800000000001</v>
      </c>
      <c r="H1045">
        <v>3</v>
      </c>
      <c r="I1045">
        <v>129</v>
      </c>
      <c r="J1045" t="str">
        <f>HYPERLINK("https://climate.onebuilding.org/WMO_Region_6_Europe/BLR_Belarus/HR_Grodno/BLR_HR_Grodno.266661_TMYx.2004-2018.zip")</f>
        <v>https://climate.onebuilding.org/WMO_Region_6_Europe/BLR_Belarus/HR_Grodno/BLR_HR_Grodno.266661_TMYx.2004-2018.zip</v>
      </c>
    </row>
    <row r="1046" spans="1:10" x14ac:dyDescent="0.25">
      <c r="A1046" t="s">
        <v>611</v>
      </c>
      <c r="B1046" t="s">
        <v>632</v>
      </c>
      <c r="C1046" t="s">
        <v>633</v>
      </c>
      <c r="D1046">
        <v>266661</v>
      </c>
      <c r="E1046" t="s">
        <v>14</v>
      </c>
      <c r="F1046">
        <v>53.666499999999999</v>
      </c>
      <c r="G1046">
        <v>23.831800000000001</v>
      </c>
      <c r="H1046">
        <v>3</v>
      </c>
      <c r="I1046">
        <v>129</v>
      </c>
      <c r="J1046" t="str">
        <f>HYPERLINK("https://climate.onebuilding.org/WMO_Region_6_Europe/BLR_Belarus/HR_Grodno/BLR_HR_Grodno.266661_TMYx.2007-2021.zip")</f>
        <v>https://climate.onebuilding.org/WMO_Region_6_Europe/BLR_Belarus/HR_Grodno/BLR_HR_Grodno.266661_TMYx.2007-2021.zip</v>
      </c>
    </row>
    <row r="1047" spans="1:10" x14ac:dyDescent="0.25">
      <c r="A1047" t="s">
        <v>611</v>
      </c>
      <c r="B1047" t="s">
        <v>632</v>
      </c>
      <c r="C1047" t="s">
        <v>633</v>
      </c>
      <c r="D1047">
        <v>266661</v>
      </c>
      <c r="E1047" t="s">
        <v>14</v>
      </c>
      <c r="F1047">
        <v>53.666499999999999</v>
      </c>
      <c r="G1047">
        <v>23.831800000000001</v>
      </c>
      <c r="H1047">
        <v>3</v>
      </c>
      <c r="I1047">
        <v>129</v>
      </c>
      <c r="J1047" t="str">
        <f>HYPERLINK("https://climate.onebuilding.org/WMO_Region_6_Europe/BLR_Belarus/HR_Grodno/BLR_HR_Grodno.266661_TMYx.2009-2023.zip")</f>
        <v>https://climate.onebuilding.org/WMO_Region_6_Europe/BLR_Belarus/HR_Grodno/BLR_HR_Grodno.266661_TMYx.2009-2023.zip</v>
      </c>
    </row>
    <row r="1048" spans="1:10" x14ac:dyDescent="0.25">
      <c r="A1048" t="s">
        <v>611</v>
      </c>
      <c r="B1048" t="s">
        <v>632</v>
      </c>
      <c r="C1048" t="s">
        <v>633</v>
      </c>
      <c r="D1048">
        <v>266661</v>
      </c>
      <c r="E1048" t="s">
        <v>14</v>
      </c>
      <c r="F1048">
        <v>53.666499999999999</v>
      </c>
      <c r="G1048">
        <v>23.831800000000001</v>
      </c>
      <c r="H1048">
        <v>3</v>
      </c>
      <c r="I1048">
        <v>129</v>
      </c>
      <c r="J1048" t="str">
        <f>HYPERLINK("https://climate.onebuilding.org/WMO_Region_6_Europe/BLR_Belarus/HR_Grodno/BLR_HR_Grodno.266661_TMYx.zip")</f>
        <v>https://climate.onebuilding.org/WMO_Region_6_Europe/BLR_Belarus/HR_Grodno/BLR_HR_Grodno.266661_TMYx.zip</v>
      </c>
    </row>
    <row r="1049" spans="1:10" x14ac:dyDescent="0.25">
      <c r="A1049" t="s">
        <v>611</v>
      </c>
      <c r="B1049" t="s">
        <v>615</v>
      </c>
      <c r="C1049" t="s">
        <v>635</v>
      </c>
      <c r="D1049">
        <v>266680</v>
      </c>
      <c r="E1049" t="s">
        <v>636</v>
      </c>
      <c r="F1049">
        <v>54.804400000000001</v>
      </c>
      <c r="G1049">
        <v>29.6875</v>
      </c>
      <c r="H1049">
        <v>3</v>
      </c>
      <c r="I1049">
        <v>176</v>
      </c>
      <c r="J1049" t="str">
        <f>HYPERLINK("https://climate.onebuilding.org/WMO_Region_6_Europe/BLR_Belarus/VI_Vitebsk/BLR_VI_Syanno.266680_TMYx.2004-2018.zip")</f>
        <v>https://climate.onebuilding.org/WMO_Region_6_Europe/BLR_Belarus/VI_Vitebsk/BLR_VI_Syanno.266680_TMYx.2004-2018.zip</v>
      </c>
    </row>
    <row r="1050" spans="1:10" x14ac:dyDescent="0.25">
      <c r="A1050" t="s">
        <v>611</v>
      </c>
      <c r="B1050" t="s">
        <v>615</v>
      </c>
      <c r="C1050" t="s">
        <v>635</v>
      </c>
      <c r="D1050">
        <v>266680</v>
      </c>
      <c r="E1050" t="s">
        <v>14</v>
      </c>
      <c r="F1050">
        <v>54.804400000000001</v>
      </c>
      <c r="G1050">
        <v>29.6875</v>
      </c>
      <c r="H1050">
        <v>3</v>
      </c>
      <c r="I1050">
        <v>176</v>
      </c>
      <c r="J1050" t="str">
        <f>HYPERLINK("https://climate.onebuilding.org/WMO_Region_6_Europe/BLR_Belarus/VI_Vitebsk/BLR_VI_Syanno.266680_TMYx.2007-2021.zip")</f>
        <v>https://climate.onebuilding.org/WMO_Region_6_Europe/BLR_Belarus/VI_Vitebsk/BLR_VI_Syanno.266680_TMYx.2007-2021.zip</v>
      </c>
    </row>
    <row r="1051" spans="1:10" x14ac:dyDescent="0.25">
      <c r="A1051" t="s">
        <v>611</v>
      </c>
      <c r="B1051" t="s">
        <v>615</v>
      </c>
      <c r="C1051" t="s">
        <v>635</v>
      </c>
      <c r="D1051">
        <v>266680</v>
      </c>
      <c r="E1051" t="s">
        <v>14</v>
      </c>
      <c r="F1051">
        <v>54.804400000000001</v>
      </c>
      <c r="G1051">
        <v>29.6875</v>
      </c>
      <c r="H1051">
        <v>3</v>
      </c>
      <c r="I1051">
        <v>176</v>
      </c>
      <c r="J1051" t="str">
        <f>HYPERLINK("https://climate.onebuilding.org/WMO_Region_6_Europe/BLR_Belarus/VI_Vitebsk/BLR_VI_Syanno.266680_TMYx.2009-2023.zip")</f>
        <v>https://climate.onebuilding.org/WMO_Region_6_Europe/BLR_Belarus/VI_Vitebsk/BLR_VI_Syanno.266680_TMYx.2009-2023.zip</v>
      </c>
    </row>
    <row r="1052" spans="1:10" x14ac:dyDescent="0.25">
      <c r="A1052" t="s">
        <v>611</v>
      </c>
      <c r="B1052" t="s">
        <v>615</v>
      </c>
      <c r="C1052" t="s">
        <v>635</v>
      </c>
      <c r="D1052">
        <v>266680</v>
      </c>
      <c r="E1052" t="s">
        <v>14</v>
      </c>
      <c r="F1052">
        <v>54.804400000000001</v>
      </c>
      <c r="G1052">
        <v>29.6875</v>
      </c>
      <c r="H1052">
        <v>3</v>
      </c>
      <c r="I1052">
        <v>176</v>
      </c>
      <c r="J1052" t="str">
        <f>HYPERLINK("https://climate.onebuilding.org/WMO_Region_6_Europe/BLR_Belarus/VI_Vitebsk/BLR_VI_Syanno.266680_TMYx.zip")</f>
        <v>https://climate.onebuilding.org/WMO_Region_6_Europe/BLR_Belarus/VI_Vitebsk/BLR_VI_Syanno.266680_TMYx.zip</v>
      </c>
    </row>
    <row r="1053" spans="1:10" x14ac:dyDescent="0.25">
      <c r="A1053" t="s">
        <v>611</v>
      </c>
      <c r="B1053" t="s">
        <v>632</v>
      </c>
      <c r="C1053" t="s">
        <v>637</v>
      </c>
      <c r="D1053">
        <v>267360</v>
      </c>
      <c r="E1053" t="s">
        <v>14</v>
      </c>
      <c r="F1053">
        <v>54.431899999999999</v>
      </c>
      <c r="G1053">
        <v>25.932700000000001</v>
      </c>
      <c r="H1053">
        <v>3</v>
      </c>
      <c r="I1053">
        <v>189</v>
      </c>
      <c r="J1053" t="str">
        <f>HYPERLINK("https://climate.onebuilding.org/WMO_Region_6_Europe/BLR_Belarus/HR_Grodno/BLR_HR_Ashmyany.267360_TMYx.zip")</f>
        <v>https://climate.onebuilding.org/WMO_Region_6_Europe/BLR_Belarus/HR_Grodno/BLR_HR_Ashmyany.267360_TMYx.zip</v>
      </c>
    </row>
    <row r="1054" spans="1:10" x14ac:dyDescent="0.25">
      <c r="A1054" t="s">
        <v>611</v>
      </c>
      <c r="B1054" t="s">
        <v>612</v>
      </c>
      <c r="C1054" t="s">
        <v>638</v>
      </c>
      <c r="D1054">
        <v>267450</v>
      </c>
      <c r="E1054" t="s">
        <v>14</v>
      </c>
      <c r="F1054">
        <v>54.482999999999997</v>
      </c>
      <c r="G1054">
        <v>26.9</v>
      </c>
      <c r="H1054">
        <v>3</v>
      </c>
      <c r="I1054">
        <v>183</v>
      </c>
      <c r="J1054" t="str">
        <f>HYPERLINK("https://climate.onebuilding.org/WMO_Region_6_Europe/BLR_Belarus/MI_Minsk/BLR_MI_Vileyka.267450_TMYx.zip")</f>
        <v>https://climate.onebuilding.org/WMO_Region_6_Europe/BLR_Belarus/MI_Minsk/BLR_MI_Vileyka.267450_TMYx.zip</v>
      </c>
    </row>
    <row r="1055" spans="1:10" x14ac:dyDescent="0.25">
      <c r="A1055" t="s">
        <v>611</v>
      </c>
      <c r="B1055" t="s">
        <v>612</v>
      </c>
      <c r="C1055" t="s">
        <v>639</v>
      </c>
      <c r="D1055">
        <v>267480</v>
      </c>
      <c r="E1055" t="s">
        <v>14</v>
      </c>
      <c r="F1055">
        <v>54.317</v>
      </c>
      <c r="G1055">
        <v>26.882999999999999</v>
      </c>
      <c r="H1055">
        <v>3</v>
      </c>
      <c r="I1055">
        <v>155</v>
      </c>
      <c r="J1055" t="str">
        <f>HYPERLINK("https://climate.onebuilding.org/WMO_Region_6_Europe/BLR_Belarus/MI_Minsk/BLR_MI_Maladzyechna.267480_TMYx.zip")</f>
        <v>https://climate.onebuilding.org/WMO_Region_6_Europe/BLR_Belarus/MI_Minsk/BLR_MI_Maladzyechna.267480_TMYx.zip</v>
      </c>
    </row>
    <row r="1056" spans="1:10" x14ac:dyDescent="0.25">
      <c r="A1056" t="s">
        <v>611</v>
      </c>
      <c r="B1056" t="s">
        <v>612</v>
      </c>
      <c r="C1056" t="s">
        <v>640</v>
      </c>
      <c r="D1056">
        <v>267490</v>
      </c>
      <c r="E1056" t="s">
        <v>14</v>
      </c>
      <c r="F1056">
        <v>54.1556</v>
      </c>
      <c r="G1056">
        <v>27.2364</v>
      </c>
      <c r="H1056">
        <v>3</v>
      </c>
      <c r="I1056">
        <v>202</v>
      </c>
      <c r="J1056" t="str">
        <f>HYPERLINK("https://climate.onebuilding.org/WMO_Region_6_Europe/BLR_Belarus/MI_Minsk/BLR_MI_Radaskovicy.267490_TMYx.zip")</f>
        <v>https://climate.onebuilding.org/WMO_Region_6_Europe/BLR_Belarus/MI_Minsk/BLR_MI_Radaskovicy.267490_TMYx.zip</v>
      </c>
    </row>
    <row r="1057" spans="1:10" x14ac:dyDescent="0.25">
      <c r="A1057" t="s">
        <v>611</v>
      </c>
      <c r="B1057" t="s">
        <v>612</v>
      </c>
      <c r="C1057" t="s">
        <v>641</v>
      </c>
      <c r="D1057">
        <v>267590</v>
      </c>
      <c r="E1057" t="s">
        <v>642</v>
      </c>
      <c r="F1057">
        <v>54.265599999999999</v>
      </c>
      <c r="G1057">
        <v>28.497800000000002</v>
      </c>
      <c r="H1057">
        <v>3</v>
      </c>
      <c r="I1057">
        <v>189</v>
      </c>
      <c r="J1057" t="str">
        <f>HYPERLINK("https://climate.onebuilding.org/WMO_Region_6_Europe/BLR_Belarus/MI_Minsk/BLR_MI_Barysau.267590_TMYx.2004-2018.zip")</f>
        <v>https://climate.onebuilding.org/WMO_Region_6_Europe/BLR_Belarus/MI_Minsk/BLR_MI_Barysau.267590_TMYx.2004-2018.zip</v>
      </c>
    </row>
    <row r="1058" spans="1:10" x14ac:dyDescent="0.25">
      <c r="A1058" t="s">
        <v>611</v>
      </c>
      <c r="B1058" t="s">
        <v>612</v>
      </c>
      <c r="C1058" t="s">
        <v>641</v>
      </c>
      <c r="D1058">
        <v>267590</v>
      </c>
      <c r="E1058" t="s">
        <v>14</v>
      </c>
      <c r="F1058">
        <v>54.265599999999999</v>
      </c>
      <c r="G1058">
        <v>28.497800000000002</v>
      </c>
      <c r="H1058">
        <v>3</v>
      </c>
      <c r="I1058">
        <v>189</v>
      </c>
      <c r="J1058" t="str">
        <f>HYPERLINK("https://climate.onebuilding.org/WMO_Region_6_Europe/BLR_Belarus/MI_Minsk/BLR_MI_Barysau.267590_TMYx.2007-2021.zip")</f>
        <v>https://climate.onebuilding.org/WMO_Region_6_Europe/BLR_Belarus/MI_Minsk/BLR_MI_Barysau.267590_TMYx.2007-2021.zip</v>
      </c>
    </row>
    <row r="1059" spans="1:10" x14ac:dyDescent="0.25">
      <c r="A1059" t="s">
        <v>611</v>
      </c>
      <c r="B1059" t="s">
        <v>612</v>
      </c>
      <c r="C1059" t="s">
        <v>641</v>
      </c>
      <c r="D1059">
        <v>267590</v>
      </c>
      <c r="E1059" t="s">
        <v>14</v>
      </c>
      <c r="F1059">
        <v>54.265599999999999</v>
      </c>
      <c r="G1059">
        <v>28.497800000000002</v>
      </c>
      <c r="H1059">
        <v>3</v>
      </c>
      <c r="I1059">
        <v>189</v>
      </c>
      <c r="J1059" t="str">
        <f>HYPERLINK("https://climate.onebuilding.org/WMO_Region_6_Europe/BLR_Belarus/MI_Minsk/BLR_MI_Barysau.267590_TMYx.2009-2023.zip")</f>
        <v>https://climate.onebuilding.org/WMO_Region_6_Europe/BLR_Belarus/MI_Minsk/BLR_MI_Barysau.267590_TMYx.2009-2023.zip</v>
      </c>
    </row>
    <row r="1060" spans="1:10" x14ac:dyDescent="0.25">
      <c r="A1060" t="s">
        <v>611</v>
      </c>
      <c r="B1060" t="s">
        <v>612</v>
      </c>
      <c r="C1060" t="s">
        <v>641</v>
      </c>
      <c r="D1060">
        <v>267590</v>
      </c>
      <c r="E1060" t="s">
        <v>14</v>
      </c>
      <c r="F1060">
        <v>54.265599999999999</v>
      </c>
      <c r="G1060">
        <v>28.497800000000002</v>
      </c>
      <c r="H1060">
        <v>3</v>
      </c>
      <c r="I1060">
        <v>189</v>
      </c>
      <c r="J1060" t="str">
        <f>HYPERLINK("https://climate.onebuilding.org/WMO_Region_6_Europe/BLR_Belarus/MI_Minsk/BLR_MI_Barysau.267590_TMYx.zip")</f>
        <v>https://climate.onebuilding.org/WMO_Region_6_Europe/BLR_Belarus/MI_Minsk/BLR_MI_Barysau.267590_TMYx.zip</v>
      </c>
    </row>
    <row r="1061" spans="1:10" x14ac:dyDescent="0.25">
      <c r="A1061" t="s">
        <v>611</v>
      </c>
      <c r="B1061" t="s">
        <v>615</v>
      </c>
      <c r="C1061" t="s">
        <v>643</v>
      </c>
      <c r="D1061">
        <v>267630</v>
      </c>
      <c r="E1061" t="s">
        <v>644</v>
      </c>
      <c r="F1061">
        <v>54.502800000000001</v>
      </c>
      <c r="G1061">
        <v>30.443899999999999</v>
      </c>
      <c r="H1061">
        <v>3</v>
      </c>
      <c r="I1061">
        <v>185</v>
      </c>
      <c r="J1061" t="str">
        <f>HYPERLINK("https://climate.onebuilding.org/WMO_Region_6_Europe/BLR_Belarus/VI_Vitebsk/BLR_VI_Orsha.267630_TMYx.2004-2018.zip")</f>
        <v>https://climate.onebuilding.org/WMO_Region_6_Europe/BLR_Belarus/VI_Vitebsk/BLR_VI_Orsha.267630_TMYx.2004-2018.zip</v>
      </c>
    </row>
    <row r="1062" spans="1:10" x14ac:dyDescent="0.25">
      <c r="A1062" t="s">
        <v>611</v>
      </c>
      <c r="B1062" t="s">
        <v>615</v>
      </c>
      <c r="C1062" t="s">
        <v>643</v>
      </c>
      <c r="D1062">
        <v>267630</v>
      </c>
      <c r="E1062" t="s">
        <v>14</v>
      </c>
      <c r="F1062">
        <v>54.502800000000001</v>
      </c>
      <c r="G1062">
        <v>30.443899999999999</v>
      </c>
      <c r="H1062">
        <v>3</v>
      </c>
      <c r="I1062">
        <v>185</v>
      </c>
      <c r="J1062" t="str">
        <f>HYPERLINK("https://climate.onebuilding.org/WMO_Region_6_Europe/BLR_Belarus/VI_Vitebsk/BLR_VI_Orsha.267630_TMYx.2007-2021.zip")</f>
        <v>https://climate.onebuilding.org/WMO_Region_6_Europe/BLR_Belarus/VI_Vitebsk/BLR_VI_Orsha.267630_TMYx.2007-2021.zip</v>
      </c>
    </row>
    <row r="1063" spans="1:10" x14ac:dyDescent="0.25">
      <c r="A1063" t="s">
        <v>611</v>
      </c>
      <c r="B1063" t="s">
        <v>615</v>
      </c>
      <c r="C1063" t="s">
        <v>643</v>
      </c>
      <c r="D1063">
        <v>267630</v>
      </c>
      <c r="E1063" t="s">
        <v>14</v>
      </c>
      <c r="F1063">
        <v>54.502800000000001</v>
      </c>
      <c r="G1063">
        <v>30.443899999999999</v>
      </c>
      <c r="H1063">
        <v>3</v>
      </c>
      <c r="I1063">
        <v>185</v>
      </c>
      <c r="J1063" t="str">
        <f>HYPERLINK("https://climate.onebuilding.org/WMO_Region_6_Europe/BLR_Belarus/VI_Vitebsk/BLR_VI_Orsha.267630_TMYx.2009-2023.zip")</f>
        <v>https://climate.onebuilding.org/WMO_Region_6_Europe/BLR_Belarus/VI_Vitebsk/BLR_VI_Orsha.267630_TMYx.2009-2023.zip</v>
      </c>
    </row>
    <row r="1064" spans="1:10" x14ac:dyDescent="0.25">
      <c r="A1064" t="s">
        <v>611</v>
      </c>
      <c r="B1064" t="s">
        <v>615</v>
      </c>
      <c r="C1064" t="s">
        <v>643</v>
      </c>
      <c r="D1064">
        <v>267630</v>
      </c>
      <c r="E1064" t="s">
        <v>14</v>
      </c>
      <c r="F1064">
        <v>54.502800000000001</v>
      </c>
      <c r="G1064">
        <v>30.443899999999999</v>
      </c>
      <c r="H1064">
        <v>3</v>
      </c>
      <c r="I1064">
        <v>185</v>
      </c>
      <c r="J1064" t="str">
        <f>HYPERLINK("https://climate.onebuilding.org/WMO_Region_6_Europe/BLR_Belarus/VI_Vitebsk/BLR_VI_Orsha.267630_TMYx.zip")</f>
        <v>https://climate.onebuilding.org/WMO_Region_6_Europe/BLR_Belarus/VI_Vitebsk/BLR_VI_Orsha.267630_TMYx.zip</v>
      </c>
    </row>
    <row r="1065" spans="1:10" x14ac:dyDescent="0.25">
      <c r="A1065" t="s">
        <v>611</v>
      </c>
      <c r="B1065" t="s">
        <v>615</v>
      </c>
      <c r="C1065" t="s">
        <v>645</v>
      </c>
      <c r="D1065">
        <v>267640</v>
      </c>
      <c r="E1065" t="s">
        <v>14</v>
      </c>
      <c r="F1065">
        <v>54.3</v>
      </c>
      <c r="G1065">
        <v>29.433</v>
      </c>
      <c r="H1065">
        <v>3</v>
      </c>
      <c r="I1065">
        <v>193</v>
      </c>
      <c r="J1065" t="str">
        <f>HYPERLINK("https://climate.onebuilding.org/WMO_Region_6_Europe/BLR_Belarus/VI_Vitebsk/BLR_VI_Slavnoye.267640_TMYx.zip")</f>
        <v>https://climate.onebuilding.org/WMO_Region_6_Europe/BLR_Belarus/VI_Vitebsk/BLR_VI_Slavnoye.267640_TMYx.zip</v>
      </c>
    </row>
    <row r="1066" spans="1:10" x14ac:dyDescent="0.25">
      <c r="A1066" t="s">
        <v>611</v>
      </c>
      <c r="B1066" t="s">
        <v>646</v>
      </c>
      <c r="C1066" t="s">
        <v>647</v>
      </c>
      <c r="D1066">
        <v>267740</v>
      </c>
      <c r="E1066" t="s">
        <v>648</v>
      </c>
      <c r="F1066">
        <v>54.303899999999999</v>
      </c>
      <c r="G1066">
        <v>30.943899999999999</v>
      </c>
      <c r="H1066">
        <v>3</v>
      </c>
      <c r="I1066">
        <v>205</v>
      </c>
      <c r="J1066" t="str">
        <f>HYPERLINK("https://climate.onebuilding.org/WMO_Region_6_Europe/BLR_Belarus/MA_Mogilev/BLR_MA_Horki.267740_TMYx.2004-2018.zip")</f>
        <v>https://climate.onebuilding.org/WMO_Region_6_Europe/BLR_Belarus/MA_Mogilev/BLR_MA_Horki.267740_TMYx.2004-2018.zip</v>
      </c>
    </row>
    <row r="1067" spans="1:10" x14ac:dyDescent="0.25">
      <c r="A1067" t="s">
        <v>611</v>
      </c>
      <c r="B1067" t="s">
        <v>646</v>
      </c>
      <c r="C1067" t="s">
        <v>647</v>
      </c>
      <c r="D1067">
        <v>267740</v>
      </c>
      <c r="E1067" t="s">
        <v>14</v>
      </c>
      <c r="F1067">
        <v>54.303899999999999</v>
      </c>
      <c r="G1067">
        <v>30.943899999999999</v>
      </c>
      <c r="H1067">
        <v>3</v>
      </c>
      <c r="I1067">
        <v>205</v>
      </c>
      <c r="J1067" t="str">
        <f>HYPERLINK("https://climate.onebuilding.org/WMO_Region_6_Europe/BLR_Belarus/MA_Mogilev/BLR_MA_Horki.267740_TMYx.2007-2021.zip")</f>
        <v>https://climate.onebuilding.org/WMO_Region_6_Europe/BLR_Belarus/MA_Mogilev/BLR_MA_Horki.267740_TMYx.2007-2021.zip</v>
      </c>
    </row>
    <row r="1068" spans="1:10" x14ac:dyDescent="0.25">
      <c r="A1068" t="s">
        <v>611</v>
      </c>
      <c r="B1068" t="s">
        <v>646</v>
      </c>
      <c r="C1068" t="s">
        <v>647</v>
      </c>
      <c r="D1068">
        <v>267740</v>
      </c>
      <c r="E1068" t="s">
        <v>14</v>
      </c>
      <c r="F1068">
        <v>54.303899999999999</v>
      </c>
      <c r="G1068">
        <v>30.943899999999999</v>
      </c>
      <c r="H1068">
        <v>3</v>
      </c>
      <c r="I1068">
        <v>205</v>
      </c>
      <c r="J1068" t="str">
        <f>HYPERLINK("https://climate.onebuilding.org/WMO_Region_6_Europe/BLR_Belarus/MA_Mogilev/BLR_MA_Horki.267740_TMYx.2009-2023.zip")</f>
        <v>https://climate.onebuilding.org/WMO_Region_6_Europe/BLR_Belarus/MA_Mogilev/BLR_MA_Horki.267740_TMYx.2009-2023.zip</v>
      </c>
    </row>
    <row r="1069" spans="1:10" x14ac:dyDescent="0.25">
      <c r="A1069" t="s">
        <v>611</v>
      </c>
      <c r="B1069" t="s">
        <v>646</v>
      </c>
      <c r="C1069" t="s">
        <v>647</v>
      </c>
      <c r="D1069">
        <v>267740</v>
      </c>
      <c r="E1069" t="s">
        <v>14</v>
      </c>
      <c r="F1069">
        <v>54.303899999999999</v>
      </c>
      <c r="G1069">
        <v>30.943899999999999</v>
      </c>
      <c r="H1069">
        <v>3</v>
      </c>
      <c r="I1069">
        <v>205</v>
      </c>
      <c r="J1069" t="str">
        <f>HYPERLINK("https://climate.onebuilding.org/WMO_Region_6_Europe/BLR_Belarus/MA_Mogilev/BLR_MA_Horki.267740_TMYx.zip")</f>
        <v>https://climate.onebuilding.org/WMO_Region_6_Europe/BLR_Belarus/MA_Mogilev/BLR_MA_Horki.267740_TMYx.zip</v>
      </c>
    </row>
    <row r="1070" spans="1:10" x14ac:dyDescent="0.25">
      <c r="A1070" t="s">
        <v>611</v>
      </c>
      <c r="B1070" t="s">
        <v>632</v>
      </c>
      <c r="C1070" t="s">
        <v>649</v>
      </c>
      <c r="D1070">
        <v>268250</v>
      </c>
      <c r="E1070" t="s">
        <v>650</v>
      </c>
      <c r="F1070">
        <v>53.6</v>
      </c>
      <c r="G1070">
        <v>24.05</v>
      </c>
      <c r="H1070">
        <v>3</v>
      </c>
      <c r="I1070">
        <v>134</v>
      </c>
      <c r="J1070" t="str">
        <f>HYPERLINK("https://climate.onebuilding.org/WMO_Region_6_Europe/BLR_Belarus/HR_Grodno/BLR_HR_Grodno.AP.268250_TMYx.2004-2018.zip")</f>
        <v>https://climate.onebuilding.org/WMO_Region_6_Europe/BLR_Belarus/HR_Grodno/BLR_HR_Grodno.AP.268250_TMYx.2004-2018.zip</v>
      </c>
    </row>
    <row r="1071" spans="1:10" x14ac:dyDescent="0.25">
      <c r="A1071" t="s">
        <v>611</v>
      </c>
      <c r="B1071" t="s">
        <v>632</v>
      </c>
      <c r="C1071" t="s">
        <v>649</v>
      </c>
      <c r="D1071">
        <v>268250</v>
      </c>
      <c r="E1071" t="s">
        <v>14</v>
      </c>
      <c r="F1071">
        <v>53.6</v>
      </c>
      <c r="G1071">
        <v>24.05</v>
      </c>
      <c r="H1071">
        <v>3</v>
      </c>
      <c r="I1071">
        <v>134</v>
      </c>
      <c r="J1071" t="str">
        <f>HYPERLINK("https://climate.onebuilding.org/WMO_Region_6_Europe/BLR_Belarus/HR_Grodno/BLR_HR_Grodno.AP.268250_TMYx.2007-2021.zip")</f>
        <v>https://climate.onebuilding.org/WMO_Region_6_Europe/BLR_Belarus/HR_Grodno/BLR_HR_Grodno.AP.268250_TMYx.2007-2021.zip</v>
      </c>
    </row>
    <row r="1072" spans="1:10" x14ac:dyDescent="0.25">
      <c r="A1072" t="s">
        <v>611</v>
      </c>
      <c r="B1072" t="s">
        <v>632</v>
      </c>
      <c r="C1072" t="s">
        <v>649</v>
      </c>
      <c r="D1072">
        <v>268250</v>
      </c>
      <c r="E1072" t="s">
        <v>14</v>
      </c>
      <c r="F1072">
        <v>53.6</v>
      </c>
      <c r="G1072">
        <v>24.05</v>
      </c>
      <c r="H1072">
        <v>3</v>
      </c>
      <c r="I1072">
        <v>134</v>
      </c>
      <c r="J1072" t="str">
        <f>HYPERLINK("https://climate.onebuilding.org/WMO_Region_6_Europe/BLR_Belarus/HR_Grodno/BLR_HR_Grodno.AP.268250_TMYx.2009-2023.zip")</f>
        <v>https://climate.onebuilding.org/WMO_Region_6_Europe/BLR_Belarus/HR_Grodno/BLR_HR_Grodno.AP.268250_TMYx.2009-2023.zip</v>
      </c>
    </row>
    <row r="1073" spans="1:10" x14ac:dyDescent="0.25">
      <c r="A1073" t="s">
        <v>611</v>
      </c>
      <c r="B1073" t="s">
        <v>632</v>
      </c>
      <c r="C1073" t="s">
        <v>649</v>
      </c>
      <c r="D1073">
        <v>268250</v>
      </c>
      <c r="E1073" t="s">
        <v>14</v>
      </c>
      <c r="F1073">
        <v>53.6</v>
      </c>
      <c r="G1073">
        <v>24.05</v>
      </c>
      <c r="H1073">
        <v>3</v>
      </c>
      <c r="I1073">
        <v>134</v>
      </c>
      <c r="J1073" t="str">
        <f>HYPERLINK("https://climate.onebuilding.org/WMO_Region_6_Europe/BLR_Belarus/HR_Grodno/BLR_HR_Grodno.AP.268250_TMYx.zip")</f>
        <v>https://climate.onebuilding.org/WMO_Region_6_Europe/BLR_Belarus/HR_Grodno/BLR_HR_Grodno.AP.268250_TMYx.zip</v>
      </c>
    </row>
    <row r="1074" spans="1:10" x14ac:dyDescent="0.25">
      <c r="A1074" t="s">
        <v>611</v>
      </c>
      <c r="B1074" t="s">
        <v>632</v>
      </c>
      <c r="C1074" t="s">
        <v>651</v>
      </c>
      <c r="D1074">
        <v>268320</v>
      </c>
      <c r="E1074" t="s">
        <v>652</v>
      </c>
      <c r="F1074">
        <v>53.902200000000001</v>
      </c>
      <c r="G1074">
        <v>25.3233</v>
      </c>
      <c r="H1074">
        <v>3</v>
      </c>
      <c r="I1074">
        <v>157</v>
      </c>
      <c r="J1074" t="str">
        <f>HYPERLINK("https://climate.onebuilding.org/WMO_Region_6_Europe/BLR_Belarus/HR_Grodno/BLR_HR_Lida.268320_TMYx.2004-2018.zip")</f>
        <v>https://climate.onebuilding.org/WMO_Region_6_Europe/BLR_Belarus/HR_Grodno/BLR_HR_Lida.268320_TMYx.2004-2018.zip</v>
      </c>
    </row>
    <row r="1075" spans="1:10" x14ac:dyDescent="0.25">
      <c r="A1075" t="s">
        <v>611</v>
      </c>
      <c r="B1075" t="s">
        <v>632</v>
      </c>
      <c r="C1075" t="s">
        <v>651</v>
      </c>
      <c r="D1075">
        <v>268320</v>
      </c>
      <c r="E1075" t="s">
        <v>14</v>
      </c>
      <c r="F1075">
        <v>53.902200000000001</v>
      </c>
      <c r="G1075">
        <v>25.3233</v>
      </c>
      <c r="H1075">
        <v>3</v>
      </c>
      <c r="I1075">
        <v>157</v>
      </c>
      <c r="J1075" t="str">
        <f>HYPERLINK("https://climate.onebuilding.org/WMO_Region_6_Europe/BLR_Belarus/HR_Grodno/BLR_HR_Lida.268320_TMYx.2007-2021.zip")</f>
        <v>https://climate.onebuilding.org/WMO_Region_6_Europe/BLR_Belarus/HR_Grodno/BLR_HR_Lida.268320_TMYx.2007-2021.zip</v>
      </c>
    </row>
    <row r="1076" spans="1:10" x14ac:dyDescent="0.25">
      <c r="A1076" t="s">
        <v>611</v>
      </c>
      <c r="B1076" t="s">
        <v>632</v>
      </c>
      <c r="C1076" t="s">
        <v>651</v>
      </c>
      <c r="D1076">
        <v>268320</v>
      </c>
      <c r="E1076" t="s">
        <v>14</v>
      </c>
      <c r="F1076">
        <v>53.902200000000001</v>
      </c>
      <c r="G1076">
        <v>25.3233</v>
      </c>
      <c r="H1076">
        <v>3</v>
      </c>
      <c r="I1076">
        <v>157</v>
      </c>
      <c r="J1076" t="str">
        <f>HYPERLINK("https://climate.onebuilding.org/WMO_Region_6_Europe/BLR_Belarus/HR_Grodno/BLR_HR_Lida.268320_TMYx.2009-2023.zip")</f>
        <v>https://climate.onebuilding.org/WMO_Region_6_Europe/BLR_Belarus/HR_Grodno/BLR_HR_Lida.268320_TMYx.2009-2023.zip</v>
      </c>
    </row>
    <row r="1077" spans="1:10" x14ac:dyDescent="0.25">
      <c r="A1077" t="s">
        <v>611</v>
      </c>
      <c r="B1077" t="s">
        <v>632</v>
      </c>
      <c r="C1077" t="s">
        <v>651</v>
      </c>
      <c r="D1077">
        <v>268320</v>
      </c>
      <c r="E1077" t="s">
        <v>14</v>
      </c>
      <c r="F1077">
        <v>53.902200000000001</v>
      </c>
      <c r="G1077">
        <v>25.3233</v>
      </c>
      <c r="H1077">
        <v>3</v>
      </c>
      <c r="I1077">
        <v>157</v>
      </c>
      <c r="J1077" t="str">
        <f>HYPERLINK("https://climate.onebuilding.org/WMO_Region_6_Europe/BLR_Belarus/HR_Grodno/BLR_HR_Lida.268320_TMYx.zip")</f>
        <v>https://climate.onebuilding.org/WMO_Region_6_Europe/BLR_Belarus/HR_Grodno/BLR_HR_Lida.268320_TMYx.zip</v>
      </c>
    </row>
    <row r="1078" spans="1:10" x14ac:dyDescent="0.25">
      <c r="A1078" t="s">
        <v>611</v>
      </c>
      <c r="B1078" t="s">
        <v>632</v>
      </c>
      <c r="C1078" t="s">
        <v>653</v>
      </c>
      <c r="D1078">
        <v>268340</v>
      </c>
      <c r="E1078" t="s">
        <v>14</v>
      </c>
      <c r="F1078">
        <v>53.607399999999998</v>
      </c>
      <c r="G1078">
        <v>24.7591</v>
      </c>
      <c r="H1078">
        <v>3</v>
      </c>
      <c r="I1078">
        <v>178</v>
      </c>
      <c r="J1078" t="str">
        <f>HYPERLINK("https://climate.onebuilding.org/WMO_Region_6_Europe/BLR_Belarus/HR_Grodno/BLR_HR_Shchuchyn.268340_TMYx.zip")</f>
        <v>https://climate.onebuilding.org/WMO_Region_6_Europe/BLR_Belarus/HR_Grodno/BLR_HR_Shchuchyn.268340_TMYx.zip</v>
      </c>
    </row>
    <row r="1079" spans="1:10" x14ac:dyDescent="0.25">
      <c r="A1079" t="s">
        <v>611</v>
      </c>
      <c r="B1079" t="s">
        <v>632</v>
      </c>
      <c r="C1079" t="s">
        <v>654</v>
      </c>
      <c r="D1079">
        <v>268360</v>
      </c>
      <c r="E1079" t="s">
        <v>14</v>
      </c>
      <c r="F1079">
        <v>53.6</v>
      </c>
      <c r="G1079">
        <v>25.85</v>
      </c>
      <c r="H1079">
        <v>3</v>
      </c>
      <c r="I1079">
        <v>280</v>
      </c>
      <c r="J1079" t="str">
        <f>HYPERLINK("https://climate.onebuilding.org/WMO_Region_6_Europe/BLR_Belarus/HR_Grodno/BLR_HR_Navahrudak.268360_TMYx.zip")</f>
        <v>https://climate.onebuilding.org/WMO_Region_6_Europe/BLR_Belarus/HR_Grodno/BLR_HR_Navahrudak.268360_TMYx.zip</v>
      </c>
    </row>
    <row r="1080" spans="1:10" x14ac:dyDescent="0.25">
      <c r="A1080" t="s">
        <v>611</v>
      </c>
      <c r="B1080" t="s">
        <v>612</v>
      </c>
      <c r="C1080" t="s">
        <v>655</v>
      </c>
      <c r="D1080">
        <v>268460</v>
      </c>
      <c r="E1080" t="s">
        <v>14</v>
      </c>
      <c r="F1080">
        <v>53.62</v>
      </c>
      <c r="G1080">
        <v>27.08</v>
      </c>
      <c r="H1080">
        <v>3</v>
      </c>
      <c r="I1080">
        <v>190</v>
      </c>
      <c r="J1080" t="str">
        <f>HYPERLINK("https://climate.onebuilding.org/WMO_Region_6_Europe/BLR_Belarus/MI_Minsk/BLR_MI_Stolbtsy.268460_TMYx.zip")</f>
        <v>https://climate.onebuilding.org/WMO_Region_6_Europe/BLR_Belarus/MI_Minsk/BLR_MI_Stolbtsy.268460_TMYx.zip</v>
      </c>
    </row>
    <row r="1081" spans="1:10" x14ac:dyDescent="0.25">
      <c r="A1081" t="s">
        <v>611</v>
      </c>
      <c r="B1081" t="s">
        <v>39</v>
      </c>
      <c r="C1081" t="s">
        <v>656</v>
      </c>
      <c r="D1081">
        <v>268500</v>
      </c>
      <c r="E1081" t="s">
        <v>657</v>
      </c>
      <c r="F1081">
        <v>53.928600000000003</v>
      </c>
      <c r="G1081">
        <v>27.635300000000001</v>
      </c>
      <c r="H1081">
        <v>3</v>
      </c>
      <c r="I1081">
        <v>228</v>
      </c>
      <c r="J1081" t="str">
        <f>HYPERLINK("https://climate.onebuilding.org/WMO_Region_6_Europe/BLR_Belarus/HM_Minsk_City/BLR_HM_Minsk.268500_TMYx.2004-2018.zip")</f>
        <v>https://climate.onebuilding.org/WMO_Region_6_Europe/BLR_Belarus/HM_Minsk_City/BLR_HM_Minsk.268500_TMYx.2004-2018.zip</v>
      </c>
    </row>
    <row r="1082" spans="1:10" x14ac:dyDescent="0.25">
      <c r="A1082" t="s">
        <v>611</v>
      </c>
      <c r="B1082" t="s">
        <v>39</v>
      </c>
      <c r="C1082" t="s">
        <v>656</v>
      </c>
      <c r="D1082">
        <v>268500</v>
      </c>
      <c r="E1082" t="s">
        <v>14</v>
      </c>
      <c r="F1082">
        <v>53.928600000000003</v>
      </c>
      <c r="G1082">
        <v>27.635300000000001</v>
      </c>
      <c r="H1082">
        <v>3</v>
      </c>
      <c r="I1082">
        <v>228</v>
      </c>
      <c r="J1082" t="str">
        <f>HYPERLINK("https://climate.onebuilding.org/WMO_Region_6_Europe/BLR_Belarus/HM_Minsk_City/BLR_HM_Minsk.268500_TMYx.2007-2021.zip")</f>
        <v>https://climate.onebuilding.org/WMO_Region_6_Europe/BLR_Belarus/HM_Minsk_City/BLR_HM_Minsk.268500_TMYx.2007-2021.zip</v>
      </c>
    </row>
    <row r="1083" spans="1:10" x14ac:dyDescent="0.25">
      <c r="A1083" t="s">
        <v>611</v>
      </c>
      <c r="B1083" t="s">
        <v>39</v>
      </c>
      <c r="C1083" t="s">
        <v>656</v>
      </c>
      <c r="D1083">
        <v>268500</v>
      </c>
      <c r="E1083" t="s">
        <v>14</v>
      </c>
      <c r="F1083">
        <v>53.928600000000003</v>
      </c>
      <c r="G1083">
        <v>27.635300000000001</v>
      </c>
      <c r="H1083">
        <v>3</v>
      </c>
      <c r="I1083">
        <v>228</v>
      </c>
      <c r="J1083" t="str">
        <f>HYPERLINK("https://climate.onebuilding.org/WMO_Region_6_Europe/BLR_Belarus/HM_Minsk_City/BLR_HM_Minsk.268500_TMYx.2009-2023.zip")</f>
        <v>https://climate.onebuilding.org/WMO_Region_6_Europe/BLR_Belarus/HM_Minsk_City/BLR_HM_Minsk.268500_TMYx.2009-2023.zip</v>
      </c>
    </row>
    <row r="1084" spans="1:10" x14ac:dyDescent="0.25">
      <c r="A1084" t="s">
        <v>611</v>
      </c>
      <c r="B1084" t="s">
        <v>39</v>
      </c>
      <c r="C1084" t="s">
        <v>656</v>
      </c>
      <c r="D1084">
        <v>268500</v>
      </c>
      <c r="E1084" t="s">
        <v>14</v>
      </c>
      <c r="F1084">
        <v>53.928600000000003</v>
      </c>
      <c r="G1084">
        <v>27.635300000000001</v>
      </c>
      <c r="H1084">
        <v>3</v>
      </c>
      <c r="I1084">
        <v>228</v>
      </c>
      <c r="J1084" t="str">
        <f>HYPERLINK("https://climate.onebuilding.org/WMO_Region_6_Europe/BLR_Belarus/HM_Minsk_City/BLR_HM_Minsk.268500_TMYx.zip")</f>
        <v>https://climate.onebuilding.org/WMO_Region_6_Europe/BLR_Belarus/HM_Minsk_City/BLR_HM_Minsk.268500_TMYx.zip</v>
      </c>
    </row>
    <row r="1085" spans="1:10" x14ac:dyDescent="0.25">
      <c r="A1085" t="s">
        <v>611</v>
      </c>
      <c r="B1085" t="s">
        <v>612</v>
      </c>
      <c r="C1085" t="s">
        <v>658</v>
      </c>
      <c r="D1085">
        <v>268530</v>
      </c>
      <c r="E1085" t="s">
        <v>659</v>
      </c>
      <c r="F1085">
        <v>53.828299999999999</v>
      </c>
      <c r="G1085">
        <v>28.997800000000002</v>
      </c>
      <c r="H1085">
        <v>3</v>
      </c>
      <c r="I1085">
        <v>154</v>
      </c>
      <c r="J1085" t="str">
        <f>HYPERLINK("https://climate.onebuilding.org/WMO_Region_6_Europe/BLR_Belarus/MI_Minsk/BLR_MI_Byerazino.268530_TMYx.2004-2018.zip")</f>
        <v>https://climate.onebuilding.org/WMO_Region_6_Europe/BLR_Belarus/MI_Minsk/BLR_MI_Byerazino.268530_TMYx.2004-2018.zip</v>
      </c>
    </row>
    <row r="1086" spans="1:10" x14ac:dyDescent="0.25">
      <c r="A1086" t="s">
        <v>611</v>
      </c>
      <c r="B1086" t="s">
        <v>612</v>
      </c>
      <c r="C1086" t="s">
        <v>658</v>
      </c>
      <c r="D1086">
        <v>268530</v>
      </c>
      <c r="E1086" t="s">
        <v>14</v>
      </c>
      <c r="F1086">
        <v>53.828299999999999</v>
      </c>
      <c r="G1086">
        <v>28.997800000000002</v>
      </c>
      <c r="H1086">
        <v>3</v>
      </c>
      <c r="I1086">
        <v>154</v>
      </c>
      <c r="J1086" t="str">
        <f>HYPERLINK("https://climate.onebuilding.org/WMO_Region_6_Europe/BLR_Belarus/MI_Minsk/BLR_MI_Byerazino.268530_TMYx.2007-2021.zip")</f>
        <v>https://climate.onebuilding.org/WMO_Region_6_Europe/BLR_Belarus/MI_Minsk/BLR_MI_Byerazino.268530_TMYx.2007-2021.zip</v>
      </c>
    </row>
    <row r="1087" spans="1:10" x14ac:dyDescent="0.25">
      <c r="A1087" t="s">
        <v>611</v>
      </c>
      <c r="B1087" t="s">
        <v>612</v>
      </c>
      <c r="C1087" t="s">
        <v>658</v>
      </c>
      <c r="D1087">
        <v>268530</v>
      </c>
      <c r="E1087" t="s">
        <v>14</v>
      </c>
      <c r="F1087">
        <v>53.828299999999999</v>
      </c>
      <c r="G1087">
        <v>28.997800000000002</v>
      </c>
      <c r="H1087">
        <v>3</v>
      </c>
      <c r="I1087">
        <v>154</v>
      </c>
      <c r="J1087" t="str">
        <f>HYPERLINK("https://climate.onebuilding.org/WMO_Region_6_Europe/BLR_Belarus/MI_Minsk/BLR_MI_Byerazino.268530_TMYx.2009-2023.zip")</f>
        <v>https://climate.onebuilding.org/WMO_Region_6_Europe/BLR_Belarus/MI_Minsk/BLR_MI_Byerazino.268530_TMYx.2009-2023.zip</v>
      </c>
    </row>
    <row r="1088" spans="1:10" x14ac:dyDescent="0.25">
      <c r="A1088" t="s">
        <v>611</v>
      </c>
      <c r="B1088" t="s">
        <v>612</v>
      </c>
      <c r="C1088" t="s">
        <v>658</v>
      </c>
      <c r="D1088">
        <v>268530</v>
      </c>
      <c r="E1088" t="s">
        <v>14</v>
      </c>
      <c r="F1088">
        <v>53.828299999999999</v>
      </c>
      <c r="G1088">
        <v>28.997800000000002</v>
      </c>
      <c r="H1088">
        <v>3</v>
      </c>
      <c r="I1088">
        <v>154</v>
      </c>
      <c r="J1088" t="str">
        <f>HYPERLINK("https://climate.onebuilding.org/WMO_Region_6_Europe/BLR_Belarus/MI_Minsk/BLR_MI_Byerazino.268530_TMYx.zip")</f>
        <v>https://climate.onebuilding.org/WMO_Region_6_Europe/BLR_Belarus/MI_Minsk/BLR_MI_Byerazino.268530_TMYx.zip</v>
      </c>
    </row>
    <row r="1089" spans="1:10" x14ac:dyDescent="0.25">
      <c r="A1089" t="s">
        <v>611</v>
      </c>
      <c r="B1089" t="s">
        <v>612</v>
      </c>
      <c r="C1089" t="s">
        <v>660</v>
      </c>
      <c r="D1089">
        <v>268550</v>
      </c>
      <c r="E1089" t="s">
        <v>661</v>
      </c>
      <c r="F1089">
        <v>53.491700000000002</v>
      </c>
      <c r="G1089">
        <v>28.141100000000002</v>
      </c>
      <c r="H1089">
        <v>3</v>
      </c>
      <c r="I1089">
        <v>177</v>
      </c>
      <c r="J1089" t="str">
        <f>HYPERLINK("https://climate.onebuilding.org/WMO_Region_6_Europe/BLR_Belarus/MI_Minsk/BLR_MI_Maryina.Horka.268550_TMYx.2004-2018.zip")</f>
        <v>https://climate.onebuilding.org/WMO_Region_6_Europe/BLR_Belarus/MI_Minsk/BLR_MI_Maryina.Horka.268550_TMYx.2004-2018.zip</v>
      </c>
    </row>
    <row r="1090" spans="1:10" x14ac:dyDescent="0.25">
      <c r="A1090" t="s">
        <v>611</v>
      </c>
      <c r="B1090" t="s">
        <v>612</v>
      </c>
      <c r="C1090" t="s">
        <v>660</v>
      </c>
      <c r="D1090">
        <v>268550</v>
      </c>
      <c r="E1090" t="s">
        <v>14</v>
      </c>
      <c r="F1090">
        <v>53.491700000000002</v>
      </c>
      <c r="G1090">
    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HYPERLINK("https://climate.onebuilding.org/WMO_Region_6_Europe/BLR_Belarus/MI_Minsk/BLR_MI_Maryina.Horka.268550_TMYx.2007-2021.zip")</f>
        <v>https://climate.onebuilding.org/WMO_Region_6_Europe/BLR_Belarus/MI_Minsk/BLR_MI_Maryina.Horka.268550_TMYx.2007-2021.zip</v>
      </c>
    </row>
    <row r="1091" spans="1:10" x14ac:dyDescent="0.25">
      <c r="A1091" t="s">
        <v>611</v>
      </c>
      <c r="B1091" t="s">
        <v>612</v>
      </c>
      <c r="C1091" t="s">
        <v>660</v>
      </c>
      <c r="D1091">
        <v>268550</v>
      </c>
      <c r="E1091" t="s">
        <v>14</v>
      </c>
      <c r="F1091">
        <v>53.491700000000002</v>
      </c>
      <c r="G1091">
        <v>28.141100000000002</v>
      </c>
      <c r="H1091">
        <v>3</v>
      </c>
      <c r="I1091">
        <v>177</v>
      </c>
      <c r="J1091" t="str">
        <f>HYPERLINK("https://climate.onebuilding.org/WMO_Region_6_Europe/BLR_Belarus/MI_Minsk/BLR_MI_Maryina.Horka.268550_TMYx.2009-2023.zip")</f>
        <v>https://climate.onebuilding.org/WMO_Region_6_Europe/BLR_Belarus/MI_Minsk/BLR_MI_Maryina.Horka.268550_TMYx.2009-2023.zip</v>
      </c>
    </row>
    <row r="1092" spans="1:10" x14ac:dyDescent="0.25">
      <c r="A1092" t="s">
        <v>611</v>
      </c>
      <c r="B1092" t="s">
        <v>612</v>
      </c>
      <c r="C1092" t="s">
        <v>660</v>
      </c>
      <c r="D1092">
        <v>268550</v>
      </c>
      <c r="E1092" t="s">
        <v>14</v>
      </c>
      <c r="F1092">
        <v>53.491700000000002</v>
      </c>
      <c r="G1092">
        <v>28.141100000000002</v>
      </c>
      <c r="H1092">
        <v>3</v>
      </c>
      <c r="I1092">
        <v>177</v>
      </c>
      <c r="J1092" t="str">
        <f>HYPERLINK("https://climate.onebuilding.org/WMO_Region_6_Europe/BLR_Belarus/MI_Minsk/BLR_MI_Maryina.Horka.268550_TMYx.zip")</f>
        <v>https://climate.onebuilding.org/WMO_Region_6_Europe/BLR_Belarus/MI_Minsk/BLR_MI_Maryina.Horka.268550_TMYx.zip</v>
      </c>
    </row>
    <row r="1093" spans="1:10" x14ac:dyDescent="0.25">
      <c r="A1093" t="s">
        <v>611</v>
      </c>
      <c r="B1093" t="s">
        <v>646</v>
      </c>
      <c r="C1093" t="s">
        <v>662</v>
      </c>
      <c r="D1093">
        <v>268630</v>
      </c>
      <c r="E1093" t="s">
        <v>663</v>
      </c>
      <c r="F1093">
        <v>53.95</v>
      </c>
      <c r="G1093">
        <v>30.067</v>
      </c>
      <c r="H1093">
        <v>3</v>
      </c>
      <c r="I1093">
        <v>192</v>
      </c>
      <c r="J1093" t="str">
        <f>HYPERLINK("https://climate.onebuilding.org/WMO_Region_6_Europe/BLR_Belarus/MA_Mogilev/BLR_MA_Mogilev-Mahilyow.AP.268630_TMYx.2004-2018.zip")</f>
        <v>https://climate.onebuilding.org/WMO_Region_6_Europe/BLR_Belarus/MA_Mogilev/BLR_MA_Mogilev-Mahilyow.AP.268630_TMYx.2004-2018.zip</v>
      </c>
    </row>
    <row r="1094" spans="1:10" x14ac:dyDescent="0.25">
      <c r="A1094" t="s">
        <v>611</v>
      </c>
      <c r="B1094" t="s">
        <v>646</v>
      </c>
      <c r="C1094" t="s">
        <v>662</v>
      </c>
      <c r="D1094">
        <v>268630</v>
      </c>
      <c r="E1094" t="s">
        <v>14</v>
      </c>
      <c r="F1094">
        <v>53.95</v>
      </c>
      <c r="G1094">
        <v>30.067</v>
      </c>
      <c r="H1094">
        <v>3</v>
      </c>
      <c r="I1094">
        <v>192</v>
      </c>
      <c r="J1094" t="str">
        <f>HYPERLINK("https://climate.onebuilding.org/WMO_Region_6_Europe/BLR_Belarus/MA_Mogilev/BLR_MA_Mogilev-Mahilyow.AP.268630_TMYx.2007-2021.zip")</f>
        <v>https://climate.onebuilding.org/WMO_Region_6_Europe/BLR_Belarus/MA_Mogilev/BLR_MA_Mogilev-Mahilyow.AP.268630_TMYx.2007-2021.zip</v>
      </c>
    </row>
    <row r="1095" spans="1:10" x14ac:dyDescent="0.25">
      <c r="A1095" t="s">
        <v>611</v>
      </c>
      <c r="B1095" t="s">
        <v>646</v>
      </c>
      <c r="C1095" t="s">
        <v>662</v>
      </c>
      <c r="D1095">
        <v>268630</v>
      </c>
      <c r="E1095" t="s">
        <v>14</v>
      </c>
      <c r="F1095">
        <v>53.95</v>
      </c>
      <c r="G1095">
        <v>30.067</v>
      </c>
      <c r="H1095">
        <v>3</v>
      </c>
      <c r="I1095">
        <v>192</v>
      </c>
      <c r="J1095" t="str">
        <f>HYPERLINK("https://climate.onebuilding.org/WMO_Region_6_Europe/BLR_Belarus/MA_Mogilev/BLR_MA_Mogilev-Mahilyow.AP.268630_TMYx.2009-2023.zip")</f>
        <v>https://climate.onebuilding.org/WMO_Region_6_Europe/BLR_Belarus/MA_Mogilev/BLR_MA_Mogilev-Mahilyow.AP.268630_TMYx.2009-2023.zip</v>
      </c>
    </row>
    <row r="1096" spans="1:10" x14ac:dyDescent="0.25">
      <c r="A1096" t="s">
        <v>611</v>
      </c>
      <c r="B1096" t="s">
        <v>646</v>
      </c>
      <c r="C1096" t="s">
        <v>662</v>
      </c>
      <c r="D1096">
        <v>268630</v>
      </c>
      <c r="E1096" t="s">
        <v>14</v>
      </c>
      <c r="F1096">
        <v>53.95</v>
      </c>
      <c r="G1096">
        <v>30.067</v>
      </c>
      <c r="H1096">
        <v>3</v>
      </c>
      <c r="I1096">
        <v>192</v>
      </c>
      <c r="J1096" t="str">
        <f>HYPERLINK("https://climate.onebuilding.org/WMO_Region_6_Europe/BLR_Belarus/MA_Mogilev/BLR_MA_Mogilev-Mahilyow.AP.268630_TMYx.zip")</f>
        <v>https://climate.onebuilding.org/WMO_Region_6_Europe/BLR_Belarus/MA_Mogilev/BLR_MA_Mogilev-Mahilyow.AP.268630_TMYx.zip</v>
      </c>
    </row>
    <row r="1097" spans="1:10" x14ac:dyDescent="0.25">
      <c r="A1097" t="s">
        <v>611</v>
      </c>
      <c r="B1097" t="s">
        <v>646</v>
      </c>
      <c r="C1097" t="s">
        <v>664</v>
      </c>
      <c r="D1097">
        <v>268640</v>
      </c>
      <c r="E1097" t="s">
        <v>665</v>
      </c>
      <c r="F1097">
        <v>53.494399999999999</v>
      </c>
      <c r="G1097">
        <v>29.311900000000001</v>
      </c>
      <c r="H1097">
        <v>3</v>
      </c>
      <c r="I1097">
        <v>155</v>
      </c>
      <c r="J1097" t="str">
        <f>HYPERLINK("https://climate.onebuilding.org/WMO_Region_6_Europe/BLR_Belarus/MA_Mogilev/BLR_MA_Klichaw.268640_TMYx.2004-2018.zip")</f>
        <v>https://climate.onebuilding.org/WMO_Region_6_Europe/BLR_Belarus/MA_Mogilev/BLR_MA_Klichaw.268640_TMYx.2004-2018.zip</v>
      </c>
    </row>
    <row r="1098" spans="1:10" x14ac:dyDescent="0.25">
      <c r="A1098" t="s">
        <v>611</v>
      </c>
      <c r="B1098" t="s">
        <v>646</v>
      </c>
      <c r="C1098" t="s">
        <v>664</v>
      </c>
      <c r="D1098">
        <v>268640</v>
      </c>
      <c r="E1098" t="s">
        <v>14</v>
      </c>
      <c r="F1098">
        <v>53.494399999999999</v>
      </c>
      <c r="G1098">
        <v>29.311900000000001</v>
      </c>
      <c r="H1098">
        <v>3</v>
      </c>
      <c r="I1098">
        <v>155</v>
      </c>
      <c r="J1098" t="str">
        <f>HYPERLINK("https://climate.onebuilding.org/WMO_Region_6_Europe/BLR_Belarus/MA_Mogilev/BLR_MA_Klichaw.268640_TMYx.2007-2021.zip")</f>
        <v>https://climate.onebuilding.org/WMO_Region_6_Europe/BLR_Belarus/MA_Mogilev/BLR_MA_Klichaw.268640_TMYx.2007-2021.zip</v>
      </c>
    </row>
    <row r="1099" spans="1:10" x14ac:dyDescent="0.25">
      <c r="A1099" t="s">
        <v>611</v>
      </c>
      <c r="B1099" t="s">
        <v>646</v>
      </c>
      <c r="C1099" t="s">
        <v>664</v>
      </c>
      <c r="D1099">
        <v>268640</v>
      </c>
      <c r="E1099" t="s">
        <v>14</v>
      </c>
      <c r="F1099">
        <v>53.494399999999999</v>
      </c>
      <c r="G1099">
        <v>29.311900000000001</v>
      </c>
      <c r="H1099">
        <v>3</v>
      </c>
      <c r="I1099">
        <v>155</v>
      </c>
      <c r="J1099" t="str">
        <f>HYPERLINK("https://climate.onebuilding.org/WMO_Region_6_Europe/BLR_Belarus/MA_Mogilev/BLR_MA_Klichaw.268640_TMYx.2009-2023.zip")</f>
        <v>https://climate.onebuilding.org/WMO_Region_6_Europe/BLR_Belarus/MA_Mogilev/BLR_MA_Klichaw.268640_TMYx.2009-2023.zip</v>
      </c>
    </row>
    <row r="1100" spans="1:10" x14ac:dyDescent="0.25">
      <c r="A1100" t="s">
        <v>611</v>
      </c>
      <c r="B1100" t="s">
        <v>646</v>
      </c>
      <c r="C1100" t="s">
        <v>664</v>
      </c>
      <c r="D1100">
        <v>268640</v>
      </c>
      <c r="E1100" t="s">
        <v>14</v>
      </c>
      <c r="F1100">
        <v>53.494399999999999</v>
      </c>
      <c r="G1100">
        <v>29.311900000000001</v>
      </c>
      <c r="H1100">
        <v>3</v>
      </c>
      <c r="I1100">
        <v>155</v>
      </c>
      <c r="J1100" t="str">
        <f>HYPERLINK("https://climate.onebuilding.org/WMO_Region_6_Europe/BLR_Belarus/MA_Mogilev/BLR_MA_Klichaw.268640_TMYx.zip")</f>
        <v>https://climate.onebuilding.org/WMO_Region_6_Europe/BLR_Belarus/MA_Mogilev/BLR_MA_Klichaw.268640_TMYx.zip</v>
      </c>
    </row>
    <row r="1101" spans="1:10" x14ac:dyDescent="0.25">
      <c r="A1101" t="s">
        <v>611</v>
      </c>
      <c r="B1101" t="s">
        <v>646</v>
      </c>
      <c r="C1101" t="s">
        <v>666</v>
      </c>
      <c r="D1101">
        <v>268780</v>
      </c>
      <c r="E1101" t="s">
        <v>667</v>
      </c>
      <c r="F1101">
        <v>53.451099999999997</v>
      </c>
      <c r="G1101">
        <v>31.003599999999999</v>
      </c>
      <c r="H1101">
        <v>3</v>
      </c>
      <c r="I1101">
        <v>170</v>
      </c>
      <c r="J1101" t="str">
        <f>HYPERLINK("https://climate.onebuilding.org/WMO_Region_6_Europe/BLR_Belarus/MA_Mogilev/BLR_MA_Slawharad.268780_TMYx.2004-2018.zip")</f>
        <v>https://climate.onebuilding.org/WMO_Region_6_Europe/BLR_Belarus/MA_Mogilev/BLR_MA_Slawharad.268780_TMYx.2004-2018.zip</v>
      </c>
    </row>
    <row r="1102" spans="1:10" x14ac:dyDescent="0.25">
      <c r="A1102" t="s">
        <v>611</v>
      </c>
      <c r="B1102" t="s">
        <v>646</v>
      </c>
      <c r="C1102" t="s">
        <v>666</v>
      </c>
      <c r="D1102">
        <v>268780</v>
      </c>
      <c r="E1102" t="s">
        <v>14</v>
      </c>
      <c r="F1102">
        <v>53.451099999999997</v>
      </c>
      <c r="G1102">
        <v>31.003599999999999</v>
      </c>
      <c r="H1102">
        <v>3</v>
      </c>
      <c r="I1102">
        <v>170</v>
      </c>
      <c r="J1102" t="str">
        <f>HYPERLINK("https://climate.onebuilding.org/WMO_Region_6_Europe/BLR_Belarus/MA_Mogilev/BLR_MA_Slawharad.268780_TMYx.2007-2021.zip")</f>
        <v>https://climate.onebuilding.org/WMO_Region_6_Europe/BLR_Belarus/MA_Mogilev/BLR_MA_Slawharad.268780_TMYx.2007-2021.zip</v>
      </c>
    </row>
    <row r="1103" spans="1:10" x14ac:dyDescent="0.25">
      <c r="A1103" t="s">
        <v>611</v>
      </c>
      <c r="B1103" t="s">
        <v>646</v>
      </c>
      <c r="C1103" t="s">
        <v>666</v>
      </c>
      <c r="D1103">
        <v>268780</v>
      </c>
      <c r="E1103" t="s">
        <v>14</v>
      </c>
      <c r="F1103">
        <v>53.451099999999997</v>
      </c>
      <c r="G1103">
        <v>31.003599999999999</v>
      </c>
      <c r="H1103">
        <v>3</v>
      </c>
      <c r="I1103">
        <v>170</v>
      </c>
      <c r="J1103" t="str">
        <f>HYPERLINK("https://climate.onebuilding.org/WMO_Region_6_Europe/BLR_Belarus/MA_Mogilev/BLR_MA_Slawharad.268780_TMYx.2009-2023.zip")</f>
        <v>https://climate.onebuilding.org/WMO_Region_6_Europe/BLR_Belarus/MA_Mogilev/BLR_MA_Slawharad.268780_TMYx.2009-2023.zip</v>
      </c>
    </row>
    <row r="1104" spans="1:10" x14ac:dyDescent="0.25">
      <c r="A1104" t="s">
        <v>611</v>
      </c>
      <c r="B1104" t="s">
        <v>646</v>
      </c>
      <c r="C1104" t="s">
        <v>666</v>
      </c>
      <c r="D1104">
        <v>268780</v>
      </c>
      <c r="E1104" t="s">
        <v>14</v>
      </c>
      <c r="F1104">
        <v>53.451099999999997</v>
      </c>
      <c r="G1104">
        <v>31.003599999999999</v>
      </c>
      <c r="H1104">
        <v>3</v>
      </c>
      <c r="I1104">
        <v>170</v>
      </c>
      <c r="J1104" t="str">
        <f>HYPERLINK("https://climate.onebuilding.org/WMO_Region_6_Europe/BLR_Belarus/MA_Mogilev/BLR_MA_Slawharad.268780_TMYx.zip")</f>
        <v>https://climate.onebuilding.org/WMO_Region_6_Europe/BLR_Belarus/MA_Mogilev/BLR_MA_Slawharad.268780_TMYx.zip</v>
      </c>
    </row>
    <row r="1105" spans="1:10" x14ac:dyDescent="0.25">
      <c r="A1105" t="s">
        <v>611</v>
      </c>
      <c r="B1105" t="s">
        <v>646</v>
      </c>
      <c r="C1105" t="s">
        <v>668</v>
      </c>
      <c r="D1105">
        <v>268870</v>
      </c>
      <c r="E1105" t="s">
        <v>669</v>
      </c>
      <c r="F1105">
        <v>53.358600000000003</v>
      </c>
      <c r="G1105">
        <v>32.071100000000001</v>
      </c>
      <c r="H1105">
        <v>3</v>
      </c>
      <c r="I1105">
        <v>167</v>
      </c>
      <c r="J1105" t="str">
        <f>HYPERLINK("https://climate.onebuilding.org/WMO_Region_6_Europe/BLR_Belarus/MA_Mogilev/BLR_MA_Kastsyukovichy.268870_TMYx.2004-2018.zip")</f>
        <v>https://climate.onebuilding.org/WMO_Region_6_Europe/BLR_Belarus/MA_Mogilev/BLR_MA_Kastsyukovichy.268870_TMYx.2004-2018.zip</v>
      </c>
    </row>
    <row r="1106" spans="1:10" x14ac:dyDescent="0.25">
      <c r="A1106" t="s">
        <v>611</v>
      </c>
      <c r="B1106" t="s">
        <v>646</v>
      </c>
      <c r="C1106" t="s">
        <v>668</v>
      </c>
      <c r="D1106">
        <v>268870</v>
      </c>
      <c r="E1106" t="s">
        <v>14</v>
      </c>
      <c r="F1106">
        <v>53.358600000000003</v>
      </c>
      <c r="G1106">
        <v>32.071100000000001</v>
      </c>
      <c r="H1106">
        <v>3</v>
      </c>
      <c r="I1106">
        <v>167</v>
      </c>
      <c r="J1106" t="str">
        <f>HYPERLINK("https://climate.onebuilding.org/WMO_Region_6_Europe/BLR_Belarus/MA_Mogilev/BLR_MA_Kastsyukovichy.268870_TMYx.2007-2021.zip")</f>
        <v>https://climate.onebuilding.org/WMO_Region_6_Europe/BLR_Belarus/MA_Mogilev/BLR_MA_Kastsyukovichy.268870_TMYx.2007-2021.zip</v>
      </c>
    </row>
    <row r="1107" spans="1:10" x14ac:dyDescent="0.25">
      <c r="A1107" t="s">
        <v>611</v>
      </c>
      <c r="B1107" t="s">
        <v>646</v>
      </c>
      <c r="C1107" t="s">
        <v>668</v>
      </c>
      <c r="D1107">
        <v>268870</v>
      </c>
      <c r="E1107" t="s">
        <v>14</v>
      </c>
      <c r="F1107">
        <v>53.358600000000003</v>
      </c>
      <c r="G1107">
        <v>32.071100000000001</v>
      </c>
      <c r="H1107">
        <v>3</v>
      </c>
      <c r="I1107">
        <v>167</v>
      </c>
      <c r="J1107" t="str">
        <f>HYPERLINK("https://climate.onebuilding.org/WMO_Region_6_Europe/BLR_Belarus/MA_Mogilev/BLR_MA_Kastsyukovichy.268870_TMYx.2009-2023.zip")</f>
        <v>https://climate.onebuilding.org/WMO_Region_6_Europe/BLR_Belarus/MA_Mogilev/BLR_MA_Kastsyukovichy.268870_TMYx.2009-2023.zip</v>
      </c>
    </row>
    <row r="1108" spans="1:10" x14ac:dyDescent="0.25">
      <c r="A1108" t="s">
        <v>611</v>
      </c>
      <c r="B1108" t="s">
        <v>646</v>
      </c>
      <c r="C1108" t="s">
        <v>668</v>
      </c>
      <c r="D1108">
        <v>268870</v>
      </c>
      <c r="E1108" t="s">
        <v>14</v>
      </c>
      <c r="F1108">
        <v>53.358600000000003</v>
      </c>
      <c r="G1108">
        <v>32.071100000000001</v>
      </c>
      <c r="H1108">
        <v>3</v>
      </c>
      <c r="I1108">
        <v>167</v>
      </c>
      <c r="J1108" t="str">
        <f>HYPERLINK("https://climate.onebuilding.org/WMO_Region_6_Europe/BLR_Belarus/MA_Mogilev/BLR_MA_Kastsyukovichy.268870_TMYx.zip")</f>
        <v>https://climate.onebuilding.org/WMO_Region_6_Europe/BLR_Belarus/MA_Mogilev/BLR_MA_Kastsyukovichy.268870_TMYx.zip</v>
      </c>
    </row>
    <row r="1109" spans="1:10" x14ac:dyDescent="0.25">
      <c r="A1109" t="s">
        <v>611</v>
      </c>
      <c r="B1109" t="s">
        <v>632</v>
      </c>
      <c r="C1109" t="s">
        <v>670</v>
      </c>
      <c r="D1109">
        <v>269230</v>
      </c>
      <c r="E1109" t="s">
        <v>14</v>
      </c>
      <c r="F1109">
        <v>53.17</v>
      </c>
      <c r="G1109">
        <v>24.45</v>
      </c>
      <c r="H1109">
        <v>3</v>
      </c>
      <c r="I1109">
        <v>183</v>
      </c>
      <c r="J1109" t="str">
        <f>HYPERLINK("https://climate.onebuilding.org/WMO_Region_6_Europe/BLR_Belarus/HR_Grodno/BLR_HR_Vawkavysk.269230_TMYx.zip")</f>
        <v>https://climate.onebuilding.org/WMO_Region_6_Europe/BLR_Belarus/HR_Grodno/BLR_HR_Vawkavysk.269230_TMYx.zip</v>
      </c>
    </row>
    <row r="1110" spans="1:10" x14ac:dyDescent="0.25">
      <c r="A1110" t="s">
        <v>611</v>
      </c>
      <c r="B1110" t="s">
        <v>536</v>
      </c>
      <c r="C1110" t="s">
        <v>671</v>
      </c>
      <c r="D1110">
        <v>269290</v>
      </c>
      <c r="E1110" t="s">
        <v>14</v>
      </c>
      <c r="F1110">
        <v>52.555</v>
      </c>
      <c r="G1110">
        <v>24.4527</v>
      </c>
      <c r="H1110">
        <v>3</v>
      </c>
      <c r="I1110">
        <v>167</v>
      </c>
      <c r="J1110" t="str">
        <f>HYPERLINK("https://climate.onebuilding.org/WMO_Region_6_Europe/BLR_Belarus/BR_Brest/BLR_BR_Pruzany.269290_TMYx.zip")</f>
        <v>https://climate.onebuilding.org/WMO_Region_6_Europe/BLR_Belarus/BR_Brest/BLR_BR_Pruzany.269290_TMYx.zip</v>
      </c>
    </row>
    <row r="1111" spans="1:10" x14ac:dyDescent="0.25">
      <c r="A1111" t="s">
        <v>611</v>
      </c>
      <c r="B1111" t="s">
        <v>536</v>
      </c>
      <c r="C1111" t="s">
        <v>672</v>
      </c>
      <c r="D1111">
        <v>269380</v>
      </c>
      <c r="E1111" t="s">
        <v>14</v>
      </c>
      <c r="F1111">
        <v>52.72</v>
      </c>
      <c r="G1111">
        <v>25.35</v>
      </c>
      <c r="H1111">
        <v>3</v>
      </c>
      <c r="I1111">
        <v>156</v>
      </c>
      <c r="J1111" t="str">
        <f>HYPERLINK("https://climate.onebuilding.org/WMO_Region_6_Europe/BLR_Belarus/BR_Brest/BLR_BR_Ivatsevichy.269380_TMYx.zip")</f>
        <v>https://climate.onebuilding.org/WMO_Region_6_Europe/BLR_Belarus/BR_Brest/BLR_BR_Ivatsevichy.269380_TMYx.zip</v>
      </c>
    </row>
    <row r="1112" spans="1:10" x14ac:dyDescent="0.25">
      <c r="A1112" t="s">
        <v>611</v>
      </c>
      <c r="B1112" t="s">
        <v>536</v>
      </c>
      <c r="C1112" t="s">
        <v>673</v>
      </c>
      <c r="D1112">
        <v>269410</v>
      </c>
      <c r="E1112" t="s">
        <v>674</v>
      </c>
      <c r="F1112">
        <v>53.116999999999997</v>
      </c>
      <c r="G1112">
        <v>26</v>
      </c>
      <c r="H1112">
        <v>3</v>
      </c>
      <c r="I1112">
        <v>193</v>
      </c>
      <c r="J1112" t="str">
        <f>HYPERLINK("https://climate.onebuilding.org/WMO_Region_6_Europe/BLR_Belarus/BR_Brest/BLR_BR_Baranovichi.269410_TMYx.2004-2018.zip")</f>
        <v>https://climate.onebuilding.org/WMO_Region_6_Europe/BLR_Belarus/BR_Brest/BLR_BR_Baranovichi.269410_TMYx.2004-2018.zip</v>
      </c>
    </row>
    <row r="1113" spans="1:10" x14ac:dyDescent="0.25">
      <c r="A1113" t="s">
        <v>611</v>
      </c>
      <c r="B1113" t="s">
        <v>536</v>
      </c>
      <c r="C1113" t="s">
        <v>673</v>
      </c>
      <c r="D1113">
        <v>269410</v>
      </c>
      <c r="E1113" t="s">
        <v>14</v>
      </c>
      <c r="F1113">
        <v>53.116999999999997</v>
      </c>
      <c r="G1113">
        <v>26</v>
      </c>
      <c r="H1113">
        <v>3</v>
      </c>
      <c r="I1113">
        <v>193</v>
      </c>
      <c r="J1113" t="str">
        <f>HYPERLINK("https://climate.onebuilding.org/WMO_Region_6_Europe/BLR_Belarus/BR_Brest/BLR_BR_Baranovichi.269410_TMYx.2007-2021.zip")</f>
        <v>https://climate.onebuilding.org/WMO_Region_6_Europe/BLR_Belarus/BR_Brest/BLR_BR_Baranovichi.269410_TMYx.2007-2021.zip</v>
      </c>
    </row>
    <row r="1114" spans="1:10" x14ac:dyDescent="0.25">
      <c r="A1114" t="s">
        <v>611</v>
      </c>
      <c r="B1114" t="s">
        <v>536</v>
      </c>
      <c r="C1114" t="s">
        <v>673</v>
      </c>
      <c r="D1114">
        <v>269410</v>
      </c>
      <c r="E1114" t="s">
        <v>14</v>
      </c>
      <c r="F1114">
        <v>53.116999999999997</v>
      </c>
      <c r="G1114">
        <v>26</v>
      </c>
      <c r="H1114">
        <v>3</v>
      </c>
      <c r="I1114">
        <v>193</v>
      </c>
      <c r="J1114" t="str">
        <f>HYPERLINK("https://climate.onebuilding.org/WMO_Region_6_Europe/BLR_Belarus/BR_Brest/BLR_BR_Baranovichi.269410_TMYx.2009-2023.zip")</f>
        <v>https://climate.onebuilding.org/WMO_Region_6_Europe/BLR_Belarus/BR_Brest/BLR_BR_Baranovichi.269410_TMYx.2009-2023.zip</v>
      </c>
    </row>
    <row r="1115" spans="1:10" x14ac:dyDescent="0.25">
      <c r="A1115" t="s">
        <v>611</v>
      </c>
      <c r="B1115" t="s">
        <v>536</v>
      </c>
      <c r="C1115" t="s">
        <v>673</v>
      </c>
      <c r="D1115">
        <v>269410</v>
      </c>
      <c r="E1115" t="s">
        <v>14</v>
      </c>
      <c r="F1115">
        <v>53.116999999999997</v>
      </c>
      <c r="G1115">
        <v>26</v>
      </c>
      <c r="H1115">
        <v>3</v>
      </c>
      <c r="I1115">
        <v>193</v>
      </c>
      <c r="J1115" t="str">
        <f>HYPERLINK("https://climate.onebuilding.org/WMO_Region_6_Europe/BLR_Belarus/BR_Brest/BLR_BR_Baranovichi.269410_TMYx.zip")</f>
        <v>https://climate.onebuilding.org/WMO_Region_6_Europe/BLR_Belarus/BR_Brest/BLR_BR_Baranovichi.269410_TMYx.zip</v>
      </c>
    </row>
    <row r="1116" spans="1:10" x14ac:dyDescent="0.25">
      <c r="A1116" t="s">
        <v>611</v>
      </c>
      <c r="B1116" t="s">
        <v>536</v>
      </c>
      <c r="C1116" t="s">
        <v>675</v>
      </c>
      <c r="D1116">
        <v>269470</v>
      </c>
      <c r="E1116" t="s">
        <v>14</v>
      </c>
      <c r="F1116">
        <v>52.767000000000003</v>
      </c>
      <c r="G1116">
        <v>26.428699999999999</v>
      </c>
      <c r="H1116">
        <v>3</v>
      </c>
      <c r="I1116">
        <v>161</v>
      </c>
      <c r="J1116" t="str">
        <f>HYPERLINK("https://climate.onebuilding.org/WMO_Region_6_Europe/BLR_Belarus/BR_Brest/BLR_BR_Hantsavichy.269470_TMYx.zip")</f>
        <v>https://climate.onebuilding.org/WMO_Region_6_Europe/BLR_Belarus/BR_Brest/BLR_BR_Hantsavichy.269470_TMYx.zip</v>
      </c>
    </row>
    <row r="1117" spans="1:10" x14ac:dyDescent="0.25">
      <c r="A1117" t="s">
        <v>611</v>
      </c>
      <c r="B1117" t="s">
        <v>612</v>
      </c>
      <c r="C1117" t="s">
        <v>676</v>
      </c>
      <c r="D1117">
        <v>269500</v>
      </c>
      <c r="E1117" t="s">
        <v>14</v>
      </c>
      <c r="F1117">
        <v>52.95</v>
      </c>
      <c r="G1117">
        <v>27.882999999999999</v>
      </c>
      <c r="H1117">
        <v>3</v>
      </c>
      <c r="I1117">
        <v>146</v>
      </c>
      <c r="J1117" t="str">
        <f>HYPERLINK("https://climate.onebuilding.org/WMO_Region_6_Europe/BLR_Belarus/MI_Minsk/BLR_MI_Urech-ye.269500_TMYx.zip")</f>
        <v>https://climate.onebuilding.org/WMO_Region_6_Europe/BLR_Belarus/MI_Minsk/BLR_MI_Urech-ye.269500_TMYx.zip</v>
      </c>
    </row>
    <row r="1118" spans="1:10" x14ac:dyDescent="0.25">
      <c r="A1118" t="s">
        <v>611</v>
      </c>
      <c r="B1118" t="s">
        <v>612</v>
      </c>
      <c r="C1118" t="s">
        <v>677</v>
      </c>
      <c r="D1118">
        <v>269510</v>
      </c>
      <c r="E1118" t="s">
        <v>678</v>
      </c>
      <c r="F1118">
        <v>53.0533</v>
      </c>
      <c r="G1118">
        <v>27.5519</v>
      </c>
      <c r="H1118">
        <v>3</v>
      </c>
      <c r="I1118">
        <v>162</v>
      </c>
      <c r="J1118" t="str">
        <f>HYPERLINK("https://climate.onebuilding.org/WMO_Region_6_Europe/BLR_Belarus/MI_Minsk/BLR_MI_Slutsk.269510_TMYx.2004-2018.zip")</f>
        <v>https://climate.onebuilding.org/WMO_Region_6_Europe/BLR_Belarus/MI_Minsk/BLR_MI_Slutsk.269510_TMYx.2004-2018.zip</v>
      </c>
    </row>
    <row r="1119" spans="1:10" x14ac:dyDescent="0.25">
      <c r="A1119" t="s">
        <v>611</v>
      </c>
      <c r="B1119" t="s">
        <v>612</v>
      </c>
      <c r="C1119" t="s">
        <v>677</v>
      </c>
      <c r="D1119">
        <v>269510</v>
      </c>
      <c r="E1119" t="s">
        <v>14</v>
      </c>
      <c r="F1119">
        <v>53.0533</v>
      </c>
      <c r="G1119">
        <v>27.5519</v>
      </c>
      <c r="H1119">
        <v>3</v>
      </c>
      <c r="I1119">
        <v>162</v>
      </c>
      <c r="J1119" t="str">
        <f>HYPERLINK("https://climate.onebuilding.org/WMO_Region_6_Europe/BLR_Belarus/MI_Minsk/BLR_MI_Slutsk.269510_TMYx.2007-2021.zip")</f>
        <v>https://climate.onebuilding.org/WMO_Region_6_Europe/BLR_Belarus/MI_Minsk/BLR_MI_Slutsk.269510_TMYx.2007-2021.zip</v>
      </c>
    </row>
    <row r="1120" spans="1:10" x14ac:dyDescent="0.25">
      <c r="A1120" t="s">
        <v>611</v>
      </c>
      <c r="B1120" t="s">
        <v>612</v>
      </c>
      <c r="C1120" t="s">
        <v>677</v>
      </c>
      <c r="D1120">
        <v>269510</v>
      </c>
      <c r="E1120" t="s">
        <v>14</v>
      </c>
      <c r="F1120">
        <v>53.0533</v>
      </c>
      <c r="G1120">
        <v>27.5519</v>
      </c>
      <c r="H1120">
        <v>3</v>
      </c>
      <c r="I1120">
        <v>162</v>
      </c>
      <c r="J1120" t="str">
        <f>HYPERLINK("https://climate.onebuilding.org/WMO_Region_6_Europe/BLR_Belarus/MI_Minsk/BLR_MI_Slutsk.269510_TMYx.2009-2023.zip")</f>
        <v>https://climate.onebuilding.org/WMO_Region_6_Europe/BLR_Belarus/MI_Minsk/BLR_MI_Slutsk.269510_TMYx.2009-2023.zip</v>
      </c>
    </row>
    <row r="1121" spans="1:10" x14ac:dyDescent="0.25">
      <c r="A1121" t="s">
        <v>611</v>
      </c>
      <c r="B1121" t="s">
        <v>612</v>
      </c>
      <c r="C1121" t="s">
        <v>677</v>
      </c>
      <c r="D1121">
        <v>269510</v>
      </c>
      <c r="E1121" t="s">
        <v>14</v>
      </c>
      <c r="F1121">
        <v>53.0533</v>
      </c>
      <c r="G1121">
        <v>27.5519</v>
      </c>
      <c r="H1121">
        <v>3</v>
      </c>
      <c r="I1121">
        <v>162</v>
      </c>
      <c r="J1121" t="str">
        <f>HYPERLINK("https://climate.onebuilding.org/WMO_Region_6_Europe/BLR_Belarus/MI_Minsk/BLR_MI_Slutsk.269510_TMYx.zip")</f>
        <v>https://climate.onebuilding.org/WMO_Region_6_Europe/BLR_Belarus/MI_Minsk/BLR_MI_Slutsk.269510_TMYx.zip</v>
      </c>
    </row>
    <row r="1122" spans="1:10" x14ac:dyDescent="0.25">
      <c r="A1122" t="s">
        <v>611</v>
      </c>
      <c r="B1122" t="s">
        <v>646</v>
      </c>
      <c r="C1122" t="s">
        <v>679</v>
      </c>
      <c r="D1122">
        <v>269610</v>
      </c>
      <c r="E1122" t="s">
        <v>680</v>
      </c>
      <c r="F1122">
        <v>53.208599999999997</v>
      </c>
      <c r="G1122">
        <v>29.126899999999999</v>
      </c>
      <c r="H1122">
        <v>3</v>
      </c>
      <c r="I1122">
        <v>156</v>
      </c>
      <c r="J1122" t="str">
        <f>HYPERLINK("https://climate.onebuilding.org/WMO_Region_6_Europe/BLR_Belarus/MA_Mogilev/BLR_MA_Babruysk.269610_TMYx.2004-2018.zip")</f>
        <v>https://climate.onebuilding.org/WMO_Region_6_Europe/BLR_Belarus/MA_Mogilev/BLR_MA_Babruysk.269610_TMYx.2004-2018.zip</v>
      </c>
    </row>
    <row r="1123" spans="1:10" x14ac:dyDescent="0.25">
      <c r="A1123" t="s">
        <v>611</v>
      </c>
      <c r="B1123" t="s">
        <v>646</v>
      </c>
      <c r="C1123" t="s">
        <v>679</v>
      </c>
      <c r="D1123">
        <v>269610</v>
      </c>
      <c r="E1123" t="s">
        <v>14</v>
      </c>
      <c r="F1123">
        <v>53.208599999999997</v>
      </c>
      <c r="G1123">
        <v>29.126899999999999</v>
      </c>
      <c r="H1123">
        <v>3</v>
      </c>
      <c r="I1123">
        <v>156</v>
      </c>
      <c r="J1123" t="str">
        <f>HYPERLINK("https://climate.onebuilding.org/WMO_Region_6_Europe/BLR_Belarus/MA_Mogilev/BLR_MA_Babruysk.269610_TMYx.2007-2021.zip")</f>
        <v>https://climate.onebuilding.org/WMO_Region_6_Europe/BLR_Belarus/MA_Mogilev/BLR_MA_Babruysk.269610_TMYx.2007-2021.zip</v>
      </c>
    </row>
    <row r="1124" spans="1:10" x14ac:dyDescent="0.25">
      <c r="A1124" t="s">
        <v>611</v>
      </c>
      <c r="B1124" t="s">
        <v>646</v>
      </c>
      <c r="C1124" t="s">
        <v>679</v>
      </c>
      <c r="D1124">
        <v>269610</v>
      </c>
      <c r="E1124" t="s">
        <v>14</v>
      </c>
      <c r="F1124">
        <v>53.208599999999997</v>
      </c>
      <c r="G1124">
        <v>29.126899999999999</v>
      </c>
      <c r="H1124">
        <v>3</v>
      </c>
      <c r="I1124">
        <v>156</v>
      </c>
      <c r="J1124" t="str">
        <f>HYPERLINK("https://climate.onebuilding.org/WMO_Region_6_Europe/BLR_Belarus/MA_Mogilev/BLR_MA_Babruysk.269610_TMYx.2009-2023.zip")</f>
        <v>https://climate.onebuilding.org/WMO_Region_6_Europe/BLR_Belarus/MA_Mogilev/BLR_MA_Babruysk.269610_TMYx.2009-2023.zip</v>
      </c>
    </row>
    <row r="1125" spans="1:10" x14ac:dyDescent="0.25">
      <c r="A1125" t="s">
        <v>611</v>
      </c>
      <c r="B1125" t="s">
        <v>646</v>
      </c>
      <c r="C1125" t="s">
        <v>679</v>
      </c>
      <c r="D1125">
        <v>269610</v>
      </c>
      <c r="E1125" t="s">
        <v>14</v>
      </c>
      <c r="F1125">
        <v>53.208599999999997</v>
      </c>
      <c r="G1125">
        <v>29.126899999999999</v>
      </c>
      <c r="H1125">
        <v>3</v>
      </c>
      <c r="I1125">
        <v>156</v>
      </c>
      <c r="J1125" t="str">
        <f>HYPERLINK("https://climate.onebuilding.org/WMO_Region_6_Europe/BLR_Belarus/MA_Mogilev/BLR_MA_Babruysk.269610_TMYx.zip")</f>
        <v>https://climate.onebuilding.org/WMO_Region_6_Europe/BLR_Belarus/MA_Mogilev/BLR_MA_Babruysk.269610_TMYx.zip</v>
      </c>
    </row>
    <row r="1126" spans="1:10" x14ac:dyDescent="0.25">
      <c r="A1126" t="s">
        <v>611</v>
      </c>
      <c r="B1126" t="s">
        <v>681</v>
      </c>
      <c r="C1126" t="s">
        <v>682</v>
      </c>
      <c r="D1126">
        <v>269660</v>
      </c>
      <c r="E1126" t="s">
        <v>683</v>
      </c>
      <c r="F1126">
        <v>52.894199999999998</v>
      </c>
      <c r="G1126">
        <v>30.043600000000001</v>
      </c>
      <c r="H1126">
        <v>3</v>
      </c>
      <c r="I1126">
        <v>142</v>
      </c>
      <c r="J1126" t="str">
        <f>HYPERLINK("https://climate.onebuilding.org/WMO_Region_6_Europe/BLR_Belarus/HO_Gomel/BLR_HO_Zhlobin.269660_TMYx.2004-2018.zip")</f>
        <v>https://climate.onebuilding.org/WMO_Region_6_Europe/BLR_Belarus/HO_Gomel/BLR_HO_Zhlobin.269660_TMYx.2004-2018.zip</v>
      </c>
    </row>
    <row r="1127" spans="1:10" x14ac:dyDescent="0.25">
      <c r="A1127" t="s">
        <v>611</v>
      </c>
      <c r="B1127" t="s">
        <v>681</v>
      </c>
      <c r="C1127" t="s">
        <v>682</v>
      </c>
      <c r="D1127">
        <v>269660</v>
      </c>
      <c r="E1127" t="s">
        <v>14</v>
      </c>
      <c r="F1127">
        <v>52.894199999999998</v>
      </c>
      <c r="G1127">
        <v>30.043600000000001</v>
      </c>
      <c r="H1127">
        <v>3</v>
      </c>
      <c r="I1127">
        <v>142</v>
      </c>
      <c r="J1127" t="str">
        <f>HYPERLINK("https://climate.onebuilding.org/WMO_Region_6_Europe/BLR_Belarus/HO_Gomel/BLR_HO_Zhlobin.269660_TMYx.2007-2021.zip")</f>
        <v>https://climate.onebuilding.org/WMO_Region_6_Europe/BLR_Belarus/HO_Gomel/BLR_HO_Zhlobin.269660_TMYx.2007-2021.zip</v>
      </c>
    </row>
    <row r="1128" spans="1:10" x14ac:dyDescent="0.25">
      <c r="A1128" t="s">
        <v>611</v>
      </c>
      <c r="B1128" t="s">
        <v>681</v>
      </c>
      <c r="C1128" t="s">
        <v>682</v>
      </c>
      <c r="D1128">
        <v>269660</v>
      </c>
      <c r="E1128" t="s">
        <v>14</v>
      </c>
      <c r="F1128">
        <v>52.894199999999998</v>
      </c>
      <c r="G1128">
        <v>30.043600000000001</v>
      </c>
      <c r="H1128">
        <v>3</v>
      </c>
      <c r="I1128">
        <v>142</v>
      </c>
      <c r="J1128" t="str">
        <f>HYPERLINK("https://climate.onebuilding.org/WMO_Region_6_Europe/BLR_Belarus/HO_Gomel/BLR_HO_Zhlobin.269660_TMYx.2009-2023.zip")</f>
        <v>https://climate.onebuilding.org/WMO_Region_6_Europe/BLR_Belarus/HO_Gomel/BLR_HO_Zhlobin.269660_TMYx.2009-2023.zip</v>
      </c>
    </row>
    <row r="1129" spans="1:10" x14ac:dyDescent="0.25">
      <c r="A1129" t="s">
        <v>611</v>
      </c>
      <c r="B1129" t="s">
        <v>681</v>
      </c>
      <c r="C1129" t="s">
        <v>682</v>
      </c>
      <c r="D1129">
        <v>269660</v>
      </c>
      <c r="E1129" t="s">
        <v>14</v>
      </c>
      <c r="F1129">
        <v>52.894199999999998</v>
      </c>
      <c r="G1129">
        <v>30.043600000000001</v>
      </c>
      <c r="H1129">
        <v>3</v>
      </c>
      <c r="I1129">
        <v>142</v>
      </c>
      <c r="J1129" t="str">
        <f>HYPERLINK("https://climate.onebuilding.org/WMO_Region_6_Europe/BLR_Belarus/HO_Gomel/BLR_HO_Zhlobin.269660_TMYx.zip")</f>
        <v>https://climate.onebuilding.org/WMO_Region_6_Europe/BLR_Belarus/HO_Gomel/BLR_HO_Zhlobin.269660_TMYx.zip</v>
      </c>
    </row>
    <row r="1130" spans="1:10" x14ac:dyDescent="0.25">
      <c r="A1130" t="s">
        <v>611</v>
      </c>
      <c r="B1130" t="s">
        <v>681</v>
      </c>
      <c r="C1130" t="s">
        <v>684</v>
      </c>
      <c r="D1130">
        <v>269740</v>
      </c>
      <c r="E1130" t="s">
        <v>14</v>
      </c>
      <c r="F1130">
        <v>52.917000000000002</v>
      </c>
      <c r="G1130">
        <v>30.9</v>
      </c>
      <c r="H1130">
        <v>3</v>
      </c>
      <c r="I1130">
        <v>142</v>
      </c>
      <c r="J1130" t="str">
        <f>HYPERLINK("https://climate.onebuilding.org/WMO_Region_6_Europe/BLR_Belarus/HO_Gomel/BLR_HO_Chachersk.269740_TMYx.zip")</f>
        <v>https://climate.onebuilding.org/WMO_Region_6_Europe/BLR_Belarus/HO_Gomel/BLR_HO_Chachersk.269740_TMYx.zip</v>
      </c>
    </row>
    <row r="1131" spans="1:10" x14ac:dyDescent="0.25">
      <c r="A1131" t="s">
        <v>611</v>
      </c>
      <c r="B1131" t="s">
        <v>536</v>
      </c>
      <c r="C1131" t="s">
        <v>685</v>
      </c>
      <c r="D1131">
        <v>330010</v>
      </c>
      <c r="E1131" t="s">
        <v>14</v>
      </c>
      <c r="F1131">
        <v>52.366999999999997</v>
      </c>
      <c r="G1131">
        <v>23.433</v>
      </c>
      <c r="H1131">
        <v>3</v>
      </c>
      <c r="I1131">
        <v>163</v>
      </c>
      <c r="J1131" t="str">
        <f>HYPERLINK("https://climate.onebuilding.org/WMO_Region_6_Europe/BLR_Belarus/BR_Brest/BLR_BR_Vysokaye.330010_TMYx.zip")</f>
        <v>https://climate.onebuilding.org/WMO_Region_6_Europe/BLR_Belarus/BR_Brest/BLR_BR_Vysokaye.330010_TMYx.zip</v>
      </c>
    </row>
    <row r="1132" spans="1:10" x14ac:dyDescent="0.25">
      <c r="A1132" t="s">
        <v>611</v>
      </c>
      <c r="B1132" t="s">
        <v>536</v>
      </c>
      <c r="C1132" t="s">
        <v>686</v>
      </c>
      <c r="D1132">
        <v>330080</v>
      </c>
      <c r="E1132" t="s">
        <v>687</v>
      </c>
      <c r="F1132">
        <v>52.116700000000002</v>
      </c>
      <c r="G1132">
        <v>23.6858</v>
      </c>
      <c r="H1132">
        <v>3</v>
      </c>
      <c r="I1132">
        <v>142.6</v>
      </c>
      <c r="J1132" t="str">
        <f>HYPERLINK("https://climate.onebuilding.org/WMO_Region_6_Europe/BLR_Belarus/BR_Brest/BLR_BR_Brest.330080_TMYx.2004-2018.zip")</f>
        <v>https://climate.onebuilding.org/WMO_Region_6_Europe/BLR_Belarus/BR_Brest/BLR_BR_Brest.330080_TMYx.2004-2018.zip</v>
      </c>
    </row>
    <row r="1133" spans="1:10" x14ac:dyDescent="0.25">
      <c r="A1133" t="s">
        <v>611</v>
      </c>
      <c r="B1133" t="s">
        <v>536</v>
      </c>
      <c r="C1133" t="s">
        <v>686</v>
      </c>
      <c r="D1133">
        <v>330080</v>
      </c>
      <c r="E1133" t="s">
        <v>14</v>
      </c>
      <c r="F1133">
        <v>52.116700000000002</v>
      </c>
      <c r="G1133">
        <v>23.6858</v>
      </c>
      <c r="H1133">
        <v>3</v>
      </c>
      <c r="I1133">
        <v>142.6</v>
      </c>
      <c r="J1133" t="str">
        <f>HYPERLINK("https://climate.onebuilding.org/WMO_Region_6_Europe/BLR_Belarus/BR_Brest/BLR_BR_Brest.330080_TMYx.2007-2021.zip")</f>
        <v>https://climate.onebuilding.org/WMO_Region_6_Europe/BLR_Belarus/BR_Brest/BLR_BR_Brest.330080_TMYx.2007-2021.zip</v>
      </c>
    </row>
    <row r="1134" spans="1:10" x14ac:dyDescent="0.25">
      <c r="A1134" t="s">
        <v>611</v>
      </c>
      <c r="B1134" t="s">
        <v>536</v>
      </c>
      <c r="C1134" t="s">
        <v>686</v>
      </c>
      <c r="D1134">
        <v>330080</v>
      </c>
      <c r="E1134" t="s">
        <v>14</v>
      </c>
      <c r="F1134">
        <v>52.116700000000002</v>
      </c>
      <c r="G1134">
        <v>23.6858</v>
      </c>
      <c r="H1134">
        <v>3</v>
      </c>
      <c r="I1134">
        <v>142.6</v>
      </c>
      <c r="J1134" t="str">
        <f>HYPERLINK("https://climate.onebuilding.org/WMO_Region_6_Europe/BLR_Belarus/BR_Brest/BLR_BR_Brest.330080_TMYx.2009-2023.zip")</f>
        <v>https://climate.onebuilding.org/WMO_Region_6_Europe/BLR_Belarus/BR_Brest/BLR_BR_Brest.330080_TMYx.2009-2023.zip</v>
      </c>
    </row>
    <row r="1135" spans="1:10" x14ac:dyDescent="0.25">
      <c r="A1135" t="s">
        <v>611</v>
      </c>
      <c r="B1135" t="s">
        <v>536</v>
      </c>
      <c r="C1135" t="s">
        <v>686</v>
      </c>
      <c r="D1135">
        <v>330080</v>
      </c>
      <c r="E1135" t="s">
        <v>14</v>
      </c>
      <c r="F1135">
        <v>52.116700000000002</v>
      </c>
      <c r="G1135">
        <v>23.6858</v>
      </c>
      <c r="H1135">
        <v>3</v>
      </c>
      <c r="I1135">
        <v>142.6</v>
      </c>
      <c r="J1135" t="str">
        <f>HYPERLINK("https://climate.onebuilding.org/WMO_Region_6_Europe/BLR_Belarus/BR_Brest/BLR_BR_Brest.330080_TMYx.zip")</f>
        <v>https://climate.onebuilding.org/WMO_Region_6_Europe/BLR_Belarus/BR_Brest/BLR_BR_Brest.330080_TMYx.zip</v>
      </c>
    </row>
    <row r="1136" spans="1:10" x14ac:dyDescent="0.25">
      <c r="A1136" t="s">
        <v>611</v>
      </c>
      <c r="B1136" t="s">
        <v>536</v>
      </c>
      <c r="C1136" t="s">
        <v>688</v>
      </c>
      <c r="D1136">
        <v>330150</v>
      </c>
      <c r="E1136" t="s">
        <v>14</v>
      </c>
      <c r="F1136">
        <v>52.517000000000003</v>
      </c>
      <c r="G1136">
        <v>25.85</v>
      </c>
      <c r="H1136">
        <v>3</v>
      </c>
      <c r="I1136">
        <v>155</v>
      </c>
      <c r="J1136" t="str">
        <f>HYPERLINK("https://climate.onebuilding.org/WMO_Region_6_Europe/BLR_Belarus/BR_Brest/BLR_BR_Cieliachany.330150_TMYx.zip")</f>
        <v>https://climate.onebuilding.org/WMO_Region_6_Europe/BLR_Belarus/BR_Brest/BLR_BR_Cieliachany.330150_TMYx.zip</v>
      </c>
    </row>
    <row r="1137" spans="1:10" x14ac:dyDescent="0.25">
      <c r="A1137" t="s">
        <v>611</v>
      </c>
      <c r="B1137" t="s">
        <v>536</v>
      </c>
      <c r="C1137" t="s">
        <v>689</v>
      </c>
      <c r="D1137">
        <v>330190</v>
      </c>
      <c r="E1137" t="s">
        <v>690</v>
      </c>
      <c r="F1137">
        <v>52.122199999999999</v>
      </c>
      <c r="G1137">
        <v>26.111899999999999</v>
      </c>
      <c r="H1137">
        <v>3</v>
      </c>
      <c r="I1137">
        <v>142</v>
      </c>
      <c r="J1137" t="str">
        <f>HYPERLINK("https://climate.onebuilding.org/WMO_Region_6_Europe/BLR_Belarus/BR_Brest/BLR_BR_Pinsk.330190_TMYx.2004-2018.zip")</f>
        <v>https://climate.onebuilding.org/WMO_Region_6_Europe/BLR_Belarus/BR_Brest/BLR_BR_Pinsk.330190_TMYx.2004-2018.zip</v>
      </c>
    </row>
    <row r="1138" spans="1:10" x14ac:dyDescent="0.25">
      <c r="A1138" t="s">
        <v>611</v>
      </c>
      <c r="B1138" t="s">
        <v>536</v>
      </c>
      <c r="C1138" t="s">
        <v>689</v>
      </c>
      <c r="D1138">
        <v>330190</v>
      </c>
      <c r="E1138" t="s">
        <v>14</v>
      </c>
      <c r="F1138">
        <v>52.122199999999999</v>
      </c>
      <c r="G1138">
        <v>26.111899999999999</v>
      </c>
      <c r="H1138">
        <v>3</v>
      </c>
      <c r="I1138">
        <v>142</v>
      </c>
      <c r="J1138" t="str">
        <f>HYPERLINK("https://climate.onebuilding.org/WMO_Region_6_Europe/BLR_Belarus/BR_Brest/BLR_BR_Pinsk.330190_TMYx.2007-2021.zip")</f>
        <v>https://climate.onebuilding.org/WMO_Region_6_Europe/BLR_Belarus/BR_Brest/BLR_BR_Pinsk.330190_TMYx.2007-2021.zip</v>
      </c>
    </row>
    <row r="1139" spans="1:10" x14ac:dyDescent="0.25">
      <c r="A1139" t="s">
        <v>611</v>
      </c>
      <c r="B1139" t="s">
        <v>536</v>
      </c>
      <c r="C1139" t="s">
        <v>689</v>
      </c>
      <c r="D1139">
        <v>330190</v>
      </c>
      <c r="E1139" t="s">
        <v>14</v>
      </c>
      <c r="F1139">
        <v>52.122199999999999</v>
      </c>
      <c r="G1139">
        <v>26.111899999999999</v>
      </c>
      <c r="H1139">
        <v>3</v>
      </c>
      <c r="I1139">
        <v>142</v>
      </c>
      <c r="J1139" t="str">
        <f>HYPERLINK("https://climate.onebuilding.org/WMO_Region_6_Europe/BLR_Belarus/BR_Brest/BLR_BR_Pinsk.330190_TMYx.2009-2023.zip")</f>
        <v>https://climate.onebuilding.org/WMO_Region_6_Europe/BLR_Belarus/BR_Brest/BLR_BR_Pinsk.330190_TMYx.2009-2023.zip</v>
      </c>
    </row>
    <row r="1140" spans="1:10" x14ac:dyDescent="0.25">
      <c r="A1140" t="s">
        <v>611</v>
      </c>
      <c r="B1140" t="s">
        <v>536</v>
      </c>
      <c r="C1140" t="s">
        <v>689</v>
      </c>
      <c r="D1140">
        <v>330190</v>
      </c>
      <c r="E1140" t="s">
        <v>14</v>
      </c>
      <c r="F1140">
        <v>52.122199999999999</v>
      </c>
      <c r="G1140">
        <v>26.111899999999999</v>
      </c>
      <c r="H1140">
        <v>3</v>
      </c>
      <c r="I1140">
        <v>142</v>
      </c>
      <c r="J1140" t="str">
        <f>HYPERLINK("https://climate.onebuilding.org/WMO_Region_6_Europe/BLR_Belarus/BR_Brest/BLR_BR_Pinsk.330190_TMYx.zip")</f>
        <v>https://climate.onebuilding.org/WMO_Region_6_Europe/BLR_Belarus/BR_Brest/BLR_BR_Pinsk.330190_TMYx.zip</v>
      </c>
    </row>
    <row r="1141" spans="1:10" x14ac:dyDescent="0.25">
      <c r="A1141" t="s">
        <v>611</v>
      </c>
      <c r="B1141" t="s">
        <v>681</v>
      </c>
      <c r="C1141" t="s">
        <v>691</v>
      </c>
      <c r="D1141">
        <v>330270</v>
      </c>
      <c r="E1141" t="s">
        <v>692</v>
      </c>
      <c r="F1141">
        <v>52.213900000000002</v>
      </c>
      <c r="G1141">
        <v>27.869399999999999</v>
      </c>
      <c r="H1141">
        <v>3</v>
      </c>
      <c r="I1141">
        <v>137</v>
      </c>
      <c r="J1141" t="str">
        <f>HYPERLINK("https://climate.onebuilding.org/WMO_Region_6_Europe/BLR_Belarus/HO_Gomel/BLR_HO_Zhytkavichy.330270_TMYx.2004-2018.zip")</f>
        <v>https://climate.onebuilding.org/WMO_Region_6_Europe/BLR_Belarus/HO_Gomel/BLR_HO_Zhytkavichy.330270_TMYx.2004-2018.zip</v>
      </c>
    </row>
    <row r="1142" spans="1:10" x14ac:dyDescent="0.25">
      <c r="A1142" t="s">
        <v>611</v>
      </c>
      <c r="B1142" t="s">
        <v>681</v>
      </c>
      <c r="C1142" t="s">
        <v>691</v>
      </c>
      <c r="D1142">
        <v>330270</v>
      </c>
      <c r="E1142" t="s">
        <v>14</v>
      </c>
      <c r="F1142">
        <v>52.213900000000002</v>
      </c>
      <c r="G1142">
        <v>27.869399999999999</v>
      </c>
      <c r="H1142">
        <v>3</v>
      </c>
      <c r="I1142">
        <v>137</v>
      </c>
      <c r="J1142" t="str">
        <f>HYPERLINK("https://climate.onebuilding.org/WMO_Region_6_Europe/BLR_Belarus/HO_Gomel/BLR_HO_Zhytkavichy.330270_TMYx.2007-2021.zip")</f>
        <v>https://climate.onebuilding.org/WMO_Region_6_Europe/BLR_Belarus/HO_Gomel/BLR_HO_Zhytkavichy.330270_TMYx.2007-2021.zip</v>
      </c>
    </row>
    <row r="1143" spans="1:10" x14ac:dyDescent="0.25">
      <c r="A1143" t="s">
        <v>611</v>
      </c>
      <c r="B1143" t="s">
        <v>681</v>
      </c>
      <c r="C1143" t="s">
        <v>691</v>
      </c>
      <c r="D1143">
        <v>330270</v>
      </c>
      <c r="E1143" t="s">
        <v>14</v>
      </c>
      <c r="F1143">
        <v>52.213900000000002</v>
      </c>
      <c r="G1143">
        <v>27.869399999999999</v>
      </c>
      <c r="H1143">
        <v>3</v>
      </c>
      <c r="I1143">
        <v>137</v>
      </c>
      <c r="J1143" t="str">
        <f>HYPERLINK("https://climate.onebuilding.org/WMO_Region_6_Europe/BLR_Belarus/HO_Gomel/BLR_HO_Zhytkavichy.330270_TMYx.2009-2023.zip")</f>
        <v>https://climate.onebuilding.org/WMO_Region_6_Europe/BLR_Belarus/HO_Gomel/BLR_HO_Zhytkavichy.330270_TMYx.2009-2023.zip</v>
      </c>
    </row>
    <row r="1144" spans="1:10" x14ac:dyDescent="0.25">
      <c r="A1144" t="s">
        <v>611</v>
      </c>
      <c r="B1144" t="s">
        <v>681</v>
      </c>
      <c r="C1144" t="s">
        <v>691</v>
      </c>
      <c r="D1144">
        <v>330270</v>
      </c>
      <c r="E1144" t="s">
        <v>14</v>
      </c>
      <c r="F1144">
        <v>52.213900000000002</v>
      </c>
      <c r="G1144">
        <v>27.869399999999999</v>
      </c>
      <c r="H1144">
        <v>3</v>
      </c>
      <c r="I1144">
        <v>137</v>
      </c>
      <c r="J1144" t="str">
        <f>HYPERLINK("https://climate.onebuilding.org/WMO_Region_6_Europe/BLR_Belarus/HO_Gomel/BLR_HO_Zhytkavichy.330270_TMYx.zip")</f>
        <v>https://climate.onebuilding.org/WMO_Region_6_Europe/BLR_Belarus/HO_Gomel/BLR_HO_Zhytkavichy.330270_TMYx.zip</v>
      </c>
    </row>
    <row r="1145" spans="1:10" x14ac:dyDescent="0.25">
      <c r="A1145" t="s">
        <v>611</v>
      </c>
      <c r="B1145" t="s">
        <v>681</v>
      </c>
      <c r="C1145" t="s">
        <v>693</v>
      </c>
      <c r="D1145">
        <v>330360</v>
      </c>
      <c r="E1145" t="s">
        <v>694</v>
      </c>
      <c r="F1145">
        <v>52.0364</v>
      </c>
      <c r="G1145">
        <v>29.1922</v>
      </c>
      <c r="H1145">
        <v>3</v>
      </c>
      <c r="I1145">
        <v>190</v>
      </c>
      <c r="J1145" t="str">
        <f>HYPERLINK("https://climate.onebuilding.org/WMO_Region_6_Europe/BLR_Belarus/HO_Gomel/BLR_HO_Mazyr.330360_TMYx.2004-2018.zip")</f>
        <v>https://climate.onebuilding.org/WMO_Region_6_Europe/BLR_Belarus/HO_Gomel/BLR_HO_Mazyr.330360_TMYx.2004-2018.zip</v>
      </c>
    </row>
    <row r="1146" spans="1:10" x14ac:dyDescent="0.25">
      <c r="A1146" t="s">
        <v>611</v>
      </c>
      <c r="B1146" t="s">
        <v>681</v>
      </c>
      <c r="C1146" t="s">
        <v>693</v>
      </c>
      <c r="D1146">
        <v>330360</v>
      </c>
      <c r="E1146" t="s">
        <v>14</v>
      </c>
      <c r="F1146">
        <v>52.0364</v>
      </c>
      <c r="G1146">
        <v>29.1922</v>
      </c>
      <c r="H1146">
        <v>3</v>
      </c>
      <c r="I1146">
        <v>190</v>
      </c>
      <c r="J1146" t="str">
        <f>HYPERLINK("https://climate.onebuilding.org/WMO_Region_6_Europe/BLR_Belarus/HO_Gomel/BLR_HO_Mazyr.330360_TMYx.2007-2021.zip")</f>
        <v>https://climate.onebuilding.org/WMO_Region_6_Europe/BLR_Belarus/HO_Gomel/BLR_HO_Mazyr.330360_TMYx.2007-2021.zip</v>
      </c>
    </row>
    <row r="1147" spans="1:10" x14ac:dyDescent="0.25">
      <c r="A1147" t="s">
        <v>611</v>
      </c>
      <c r="B1147" t="s">
        <v>681</v>
      </c>
      <c r="C1147" t="s">
        <v>693</v>
      </c>
      <c r="D1147">
        <v>330360</v>
      </c>
      <c r="E1147" t="s">
        <v>14</v>
      </c>
      <c r="F1147">
        <v>52.0364</v>
      </c>
      <c r="G1147">
        <v>29.1922</v>
      </c>
      <c r="H1147">
        <v>3</v>
      </c>
      <c r="I1147">
        <v>190</v>
      </c>
      <c r="J1147" t="str">
        <f>HYPERLINK("https://climate.onebuilding.org/WMO_Region_6_Europe/BLR_Belarus/HO_Gomel/BLR_HO_Mazyr.330360_TMYx.2009-2023.zip")</f>
        <v>https://climate.onebuilding.org/WMO_Region_6_Europe/BLR_Belarus/HO_Gomel/BLR_HO_Mazyr.330360_TMYx.2009-2023.zip</v>
      </c>
    </row>
    <row r="1148" spans="1:10" x14ac:dyDescent="0.25">
      <c r="A1148" t="s">
        <v>611</v>
      </c>
      <c r="B1148" t="s">
        <v>681</v>
      </c>
      <c r="C1148" t="s">
        <v>693</v>
      </c>
      <c r="D1148">
        <v>330360</v>
      </c>
      <c r="E1148" t="s">
        <v>14</v>
      </c>
      <c r="F1148">
        <v>52.0364</v>
      </c>
      <c r="G1148">
        <v>29.1922</v>
      </c>
      <c r="H1148">
        <v>3</v>
      </c>
      <c r="I1148">
        <v>190</v>
      </c>
      <c r="J1148" t="str">
        <f>HYPERLINK("https://climate.onebuilding.org/WMO_Region_6_Europe/BLR_Belarus/HO_Gomel/BLR_HO_Mazyr.330360_TMYx.zip")</f>
        <v>https://climate.onebuilding.org/WMO_Region_6_Europe/BLR_Belarus/HO_Gomel/BLR_HO_Mazyr.330360_TMYx.zip</v>
      </c>
    </row>
    <row r="1149" spans="1:10" x14ac:dyDescent="0.25">
      <c r="A1149" t="s">
        <v>611</v>
      </c>
      <c r="B1149" t="s">
        <v>681</v>
      </c>
      <c r="C1149" t="s">
        <v>695</v>
      </c>
      <c r="D1149">
        <v>330380</v>
      </c>
      <c r="E1149" t="s">
        <v>696</v>
      </c>
      <c r="F1149">
        <v>52.251899999999999</v>
      </c>
      <c r="G1149">
        <v>29.840599999999998</v>
      </c>
      <c r="H1149">
        <v>3</v>
      </c>
      <c r="I1149">
        <v>142</v>
      </c>
      <c r="J1149" t="str">
        <f>HYPERLINK("https://climate.onebuilding.org/WMO_Region_6_Europe/BLR_Belarus/HO_Gomel/BLR_HO_Vasilievicy.330380_TMYx.2004-2018.zip")</f>
        <v>https://climate.onebuilding.org/WMO_Region_6_Europe/BLR_Belarus/HO_Gomel/BLR_HO_Vasilievicy.330380_TMYx.2004-2018.zip</v>
      </c>
    </row>
    <row r="1150" spans="1:10" x14ac:dyDescent="0.25">
      <c r="A1150" t="s">
        <v>611</v>
      </c>
      <c r="B1150" t="s">
        <v>681</v>
      </c>
      <c r="C1150" t="s">
        <v>695</v>
      </c>
      <c r="D1150">
        <v>330380</v>
      </c>
      <c r="E1150" t="s">
        <v>14</v>
      </c>
      <c r="F1150">
        <v>52.251899999999999</v>
      </c>
      <c r="G1150">
        <v>29.840599999999998</v>
      </c>
      <c r="H1150">
        <v>3</v>
      </c>
      <c r="I1150">
        <v>142</v>
      </c>
      <c r="J1150" t="str">
        <f>HYPERLINK("https://climate.onebuilding.org/WMO_Region_6_Europe/BLR_Belarus/HO_Gomel/BLR_HO_Vasilievicy.330380_TMYx.2007-2021.zip")</f>
        <v>https://climate.onebuilding.org/WMO_Region_6_Europe/BLR_Belarus/HO_Gomel/BLR_HO_Vasilievicy.330380_TMYx.2007-2021.zip</v>
      </c>
    </row>
    <row r="1151" spans="1:10" x14ac:dyDescent="0.25">
      <c r="A1151" t="s">
        <v>611</v>
      </c>
      <c r="B1151" t="s">
        <v>681</v>
      </c>
      <c r="C1151" t="s">
        <v>695</v>
      </c>
      <c r="D1151">
        <v>330380</v>
      </c>
      <c r="E1151" t="s">
        <v>14</v>
      </c>
      <c r="F1151">
        <v>52.251899999999999</v>
      </c>
      <c r="G1151">
        <v>29.840599999999998</v>
      </c>
      <c r="H1151">
        <v>3</v>
      </c>
      <c r="I1151">
        <v>142</v>
      </c>
      <c r="J1151" t="str">
        <f>HYPERLINK("https://climate.onebuilding.org/WMO_Region_6_Europe/BLR_Belarus/HO_Gomel/BLR_HO_Vasilievicy.330380_TMYx.2009-2023.zip")</f>
        <v>https://climate.onebuilding.org/WMO_Region_6_Europe/BLR_Belarus/HO_Gomel/BLR_HO_Vasilievicy.330380_TMYx.2009-2023.zip</v>
      </c>
    </row>
    <row r="1152" spans="1:10" x14ac:dyDescent="0.25">
      <c r="A1152" t="s">
        <v>611</v>
      </c>
      <c r="B1152" t="s">
        <v>681</v>
      </c>
      <c r="C1152" t="s">
        <v>695</v>
      </c>
      <c r="D1152">
        <v>330380</v>
      </c>
      <c r="E1152" t="s">
        <v>14</v>
      </c>
      <c r="F1152">
        <v>52.251899999999999</v>
      </c>
      <c r="G1152">
        <v>29.840599999999998</v>
      </c>
      <c r="H1152">
        <v>3</v>
      </c>
      <c r="I1152">
        <v>142</v>
      </c>
      <c r="J1152" t="str">
        <f>HYPERLINK("https://climate.onebuilding.org/WMO_Region_6_Europe/BLR_Belarus/HO_Gomel/BLR_HO_Vasilievicy.330380_TMYx.zip")</f>
        <v>https://climate.onebuilding.org/WMO_Region_6_Europe/BLR_Belarus/HO_Gomel/BLR_HO_Vasilievicy.330380_TMYx.zip</v>
      </c>
    </row>
    <row r="1153" spans="1:10" x14ac:dyDescent="0.25">
      <c r="A1153" t="s">
        <v>611</v>
      </c>
      <c r="B1153" t="s">
        <v>681</v>
      </c>
      <c r="C1153" t="s">
        <v>697</v>
      </c>
      <c r="D1153">
        <v>330410</v>
      </c>
      <c r="E1153" t="s">
        <v>698</v>
      </c>
      <c r="F1153">
        <v>52.402000000000001</v>
      </c>
      <c r="G1153">
        <v>30.963100000000001</v>
      </c>
      <c r="H1153">
        <v>3</v>
      </c>
      <c r="I1153">
        <v>122</v>
      </c>
      <c r="J1153" t="str">
        <f>HYPERLINK("https://climate.onebuilding.org/WMO_Region_6_Europe/BLR_Belarus/HO_Gomel/BLR_HO_Gomel.330410_TMYx.2004-2018.zip")</f>
        <v>https://climate.onebuilding.org/WMO_Region_6_Europe/BLR_Belarus/HO_Gomel/BLR_HO_Gomel.330410_TMYx.2004-2018.zip</v>
      </c>
    </row>
    <row r="1154" spans="1:10" x14ac:dyDescent="0.25">
      <c r="A1154" t="s">
        <v>611</v>
      </c>
      <c r="B1154" t="s">
        <v>681</v>
      </c>
      <c r="C1154" t="s">
        <v>697</v>
      </c>
      <c r="D1154">
        <v>330410</v>
      </c>
      <c r="E1154" t="s">
        <v>14</v>
      </c>
      <c r="F1154">
        <v>52.402000000000001</v>
      </c>
      <c r="G1154">
        <v>30.963100000000001</v>
      </c>
      <c r="H1154">
        <v>3</v>
      </c>
      <c r="I1154">
        <v>122</v>
      </c>
      <c r="J1154" t="str">
        <f>HYPERLINK("https://climate.onebuilding.org/WMO_Region_6_Europe/BLR_Belarus/HO_Gomel/BLR_HO_Gomel.330410_TMYx.2007-2021.zip")</f>
        <v>https://climate.onebuilding.org/WMO_Region_6_Europe/BLR_Belarus/HO_Gomel/BLR_HO_Gomel.330410_TMYx.2007-2021.zip</v>
      </c>
    </row>
    <row r="1155" spans="1:10" x14ac:dyDescent="0.25">
      <c r="A1155" t="s">
        <v>611</v>
      </c>
      <c r="B1155" t="s">
        <v>681</v>
      </c>
      <c r="C1155" t="s">
        <v>697</v>
      </c>
      <c r="D1155">
        <v>330410</v>
      </c>
      <c r="E1155" t="s">
        <v>14</v>
      </c>
      <c r="F1155">
        <v>52.402000000000001</v>
      </c>
      <c r="G1155">
        <v>30.963100000000001</v>
      </c>
      <c r="H1155">
        <v>3</v>
      </c>
      <c r="I1155">
        <v>122</v>
      </c>
      <c r="J1155" t="str">
        <f>HYPERLINK("https://climate.onebuilding.org/WMO_Region_6_Europe/BLR_Belarus/HO_Gomel/BLR_HO_Gomel.330410_TMYx.2009-2023.zip")</f>
        <v>https://climate.onebuilding.org/WMO_Region_6_Europe/BLR_Belarus/HO_Gomel/BLR_HO_Gomel.330410_TMYx.2009-2023.zip</v>
      </c>
    </row>
    <row r="1156" spans="1:10" x14ac:dyDescent="0.25">
      <c r="A1156" t="s">
        <v>611</v>
      </c>
      <c r="B1156" t="s">
        <v>681</v>
      </c>
      <c r="C1156" t="s">
        <v>697</v>
      </c>
      <c r="D1156">
        <v>330410</v>
      </c>
      <c r="E1156" t="s">
        <v>14</v>
      </c>
      <c r="F1156">
        <v>52.402000000000001</v>
      </c>
      <c r="G1156">
        <v>30.963100000000001</v>
      </c>
      <c r="H1156">
        <v>3</v>
      </c>
      <c r="I1156">
        <v>122</v>
      </c>
      <c r="J1156" t="str">
        <f>HYPERLINK("https://climate.onebuilding.org/WMO_Region_6_Europe/BLR_Belarus/HO_Gomel/BLR_HO_Gomel.330410_TMYx.zip")</f>
        <v>https://climate.onebuilding.org/WMO_Region_6_Europe/BLR_Belarus/HO_Gomel/BLR_HO_Gomel.330410_TMYx.zip</v>
      </c>
    </row>
    <row r="1157" spans="1:10" x14ac:dyDescent="0.25">
      <c r="A1157" t="s">
        <v>611</v>
      </c>
      <c r="B1157" t="s">
        <v>681</v>
      </c>
      <c r="C1157" t="s">
        <v>699</v>
      </c>
      <c r="D1157">
        <v>331050</v>
      </c>
      <c r="E1157" t="s">
        <v>14</v>
      </c>
      <c r="F1157">
        <v>51.783000000000001</v>
      </c>
      <c r="G1157">
        <v>28.332999999999998</v>
      </c>
      <c r="H1157">
        <v>3</v>
      </c>
      <c r="I1157">
        <v>141</v>
      </c>
      <c r="J1157" t="str">
        <f>HYPERLINK("https://climate.onebuilding.org/WMO_Region_6_Europe/BLR_Belarus/HO_Gomel/BLR_HO_Lelchytsy.331050_TMYx.zip")</f>
        <v>https://climate.onebuilding.org/WMO_Region_6_Europe/BLR_Belarus/HO_Gomel/BLR_HO_Lelchytsy.331050_TMYx.zip</v>
      </c>
    </row>
    <row r="1158" spans="1:10" x14ac:dyDescent="0.25">
      <c r="A1158" t="s">
        <v>611</v>
      </c>
      <c r="B1158" t="s">
        <v>681</v>
      </c>
      <c r="C1158" t="s">
        <v>700</v>
      </c>
      <c r="D1158">
        <v>331240</v>
      </c>
      <c r="E1158" t="s">
        <v>701</v>
      </c>
      <c r="F1158">
        <v>51.796700000000001</v>
      </c>
      <c r="G1158">
        <v>30.247499999999999</v>
      </c>
      <c r="H1158">
        <v>3</v>
      </c>
      <c r="I1158">
        <v>116</v>
      </c>
      <c r="J1158" t="str">
        <f>HYPERLINK("https://climate.onebuilding.org/WMO_Region_6_Europe/BLR_Belarus/HO_Gomel/BLR_HO_Brahin.331240_TMYx.2004-2018.zip")</f>
        <v>https://climate.onebuilding.org/WMO_Region_6_Europe/BLR_Belarus/HO_Gomel/BLR_HO_Brahin.331240_TMYx.2004-2018.zip</v>
      </c>
    </row>
    <row r="1159" spans="1:10" x14ac:dyDescent="0.25">
      <c r="A1159" t="s">
        <v>611</v>
      </c>
      <c r="B1159" t="s">
        <v>681</v>
      </c>
      <c r="C1159" t="s">
        <v>700</v>
      </c>
      <c r="D1159">
        <v>331240</v>
      </c>
      <c r="E1159" t="s">
        <v>14</v>
      </c>
      <c r="F1159">
        <v>51.796700000000001</v>
      </c>
      <c r="G1159">
        <v>30.247499999999999</v>
      </c>
      <c r="H1159">
        <v>3</v>
      </c>
      <c r="I1159">
        <v>116</v>
      </c>
      <c r="J1159" t="str">
        <f>HYPERLINK("https://climate.onebuilding.org/WMO_Region_6_Europe/BLR_Belarus/HO_Gomel/BLR_HO_Brahin.331240_TMYx.2007-2021.zip")</f>
        <v>https://climate.onebuilding.org/WMO_Region_6_Europe/BLR_Belarus/HO_Gomel/BLR_HO_Brahin.331240_TMYx.2007-2021.zip</v>
      </c>
    </row>
    <row r="1160" spans="1:10" x14ac:dyDescent="0.25">
      <c r="A1160" t="s">
        <v>611</v>
      </c>
      <c r="B1160" t="s">
        <v>681</v>
      </c>
      <c r="C1160" t="s">
        <v>700</v>
      </c>
      <c r="D1160">
        <v>331240</v>
      </c>
      <c r="E1160" t="s">
        <v>14</v>
      </c>
      <c r="F1160">
        <v>51.796700000000001</v>
      </c>
      <c r="G1160">
        <v>30.247499999999999</v>
      </c>
      <c r="H1160">
        <v>3</v>
      </c>
      <c r="I1160">
        <v>116</v>
      </c>
      <c r="J1160" t="str">
        <f>HYPERLINK("https://climate.onebuilding.org/WMO_Region_6_Europe/BLR_Belarus/HO_Gomel/BLR_HO_Brahin.331240_TMYx.2009-2023.zip")</f>
        <v>https://climate.onebuilding.org/WMO_Region_6_Europe/BLR_Belarus/HO_Gomel/BLR_HO_Brahin.331240_TMYx.2009-2023.zip</v>
      </c>
    </row>
    <row r="1161" spans="1:10" x14ac:dyDescent="0.25">
      <c r="A1161" t="s">
        <v>611</v>
      </c>
      <c r="B1161" t="s">
        <v>681</v>
      </c>
      <c r="C1161" t="s">
        <v>700</v>
      </c>
      <c r="D1161">
        <v>331240</v>
      </c>
      <c r="E1161" t="s">
        <v>14</v>
      </c>
      <c r="F1161">
        <v>51.796700000000001</v>
      </c>
      <c r="G1161">
        <v>30.247499999999999</v>
      </c>
      <c r="H1161">
        <v>3</v>
      </c>
      <c r="I1161">
        <v>116</v>
      </c>
      <c r="J1161" t="str">
        <f>HYPERLINK("https://climate.onebuilding.org/WMO_Region_6_Europe/BLR_Belarus/HO_Gomel/BLR_HO_Brahin.331240_TMYx.zip")</f>
        <v>https://climate.onebuilding.org/WMO_Region_6_Europe/BLR_Belarus/HO_Gomel/BLR_HO_Brahin.331240_TMYx.zip</v>
      </c>
    </row>
    <row r="1162" spans="1:10" x14ac:dyDescent="0.25">
      <c r="A1162" t="s">
        <v>702</v>
      </c>
      <c r="B1162" t="s">
        <v>703</v>
      </c>
      <c r="C1162" t="s">
        <v>704</v>
      </c>
      <c r="D1162" s="1" t="s">
        <v>705</v>
      </c>
      <c r="E1162" t="s">
        <v>14</v>
      </c>
      <c r="F1162">
        <v>47.5717</v>
      </c>
      <c r="G1162">
        <v>7.6871999999999998</v>
      </c>
      <c r="H1162">
        <v>1</v>
      </c>
      <c r="I1162">
        <v>493</v>
      </c>
      <c r="J1162" t="str">
        <f>HYPERLINK("https://climate.onebuilding.org/WMO_Region_6_Europe/CHE_Switzerland/BS_Basel-Stadt/CHE_BS_St.Chrischona.066000_TMYx.zip")</f>
        <v>https://climate.onebuilding.org/WMO_Region_6_Europe/CHE_Switzerland/BS_Basel-Stadt/CHE_BS_St.Chrischona.066000_TMYx.zip</v>
      </c>
    </row>
    <row r="1163" spans="1:10" x14ac:dyDescent="0.25">
      <c r="A1163" t="s">
        <v>702</v>
      </c>
      <c r="B1163" t="s">
        <v>564</v>
      </c>
      <c r="C1163" t="s">
        <v>706</v>
      </c>
      <c r="D1163" s="1" t="s">
        <v>707</v>
      </c>
      <c r="E1163" t="s">
        <v>708</v>
      </c>
      <c r="F1163">
        <v>47.5411</v>
      </c>
      <c r="G1163">
        <v>7.5835999999999997</v>
      </c>
      <c r="H1163">
        <v>1</v>
      </c>
      <c r="I1163">
        <v>317.3</v>
      </c>
      <c r="J1163" t="str">
        <f>HYPERLINK("https://climate.onebuilding.org/WMO_Region_6_Europe/CHE_Switzerland/BL_Basel-Landschaft/CHE_BL_Basel.Binningen.066010_TMYx.2004-2018.zip")</f>
        <v>https://climate.onebuilding.org/WMO_Region_6_Europe/CHE_Switzerland/BL_Basel-Landschaft/CHE_BL_Basel.Binningen.066010_TMYx.2004-2018.zip</v>
      </c>
    </row>
    <row r="1164" spans="1:10" x14ac:dyDescent="0.25">
      <c r="A1164" t="s">
        <v>702</v>
      </c>
      <c r="B1164" t="s">
        <v>564</v>
      </c>
      <c r="C1164" t="s">
        <v>706</v>
      </c>
      <c r="D1164" s="1" t="s">
        <v>707</v>
      </c>
      <c r="E1164" t="s">
        <v>14</v>
      </c>
      <c r="F1164">
        <v>47.5411</v>
      </c>
      <c r="G1164">
        <v>7.5835999999999997</v>
      </c>
      <c r="H1164">
        <v>1</v>
      </c>
      <c r="I1164">
        <v>317.3</v>
      </c>
      <c r="J1164" t="str">
        <f>HYPERLINK("https://climate.onebuilding.org/WMO_Region_6_Europe/CHE_Switzerland/BL_Basel-Landschaft/CHE_BL_Basel.Binningen.066010_TMYx.2007-2021.zip")</f>
        <v>https://climate.onebuilding.org/WMO_Region_6_Europe/CHE_Switzerland/BL_Basel-Landschaft/CHE_BL_Basel.Binningen.066010_TMYx.2007-2021.zip</v>
      </c>
    </row>
    <row r="1165" spans="1:10" x14ac:dyDescent="0.25">
      <c r="A1165" t="s">
        <v>702</v>
      </c>
      <c r="B1165" t="s">
        <v>564</v>
      </c>
      <c r="C1165" t="s">
        <v>706</v>
      </c>
      <c r="D1165" s="1" t="s">
        <v>707</v>
      </c>
      <c r="E1165" t="s">
        <v>14</v>
      </c>
      <c r="F1165">
        <v>47.5411</v>
      </c>
      <c r="G1165">
        <v>7.5835999999999997</v>
      </c>
      <c r="H1165">
        <v>1</v>
      </c>
      <c r="I1165">
        <v>317.3</v>
      </c>
      <c r="J1165" t="str">
        <f>HYPERLINK("https://climate.onebuilding.org/WMO_Region_6_Europe/CHE_Switzerland/BL_Basel-Landschaft/CHE_BL_Basel.Binningen.066010_TMYx.2009-2023.zip")</f>
        <v>https://climate.onebuilding.org/WMO_Region_6_Europe/CHE_Switzerland/BL_Basel-Landschaft/CHE_BL_Basel.Binningen.066010_TMYx.2009-2023.zip</v>
      </c>
    </row>
    <row r="1166" spans="1:10" x14ac:dyDescent="0.25">
      <c r="A1166" t="s">
        <v>702</v>
      </c>
      <c r="B1166" t="s">
        <v>564</v>
      </c>
      <c r="C1166" t="s">
        <v>706</v>
      </c>
      <c r="D1166" s="1" t="s">
        <v>707</v>
      </c>
      <c r="E1166" t="s">
        <v>14</v>
      </c>
      <c r="F1166">
        <v>47.5411</v>
      </c>
      <c r="G1166">
        <v>7.5835999999999997</v>
      </c>
      <c r="H1166">
        <v>1</v>
      </c>
      <c r="I1166">
        <v>317.3</v>
      </c>
      <c r="J1166" t="str">
        <f>HYPERLINK("https://climate.onebuilding.org/WMO_Region_6_Europe/CHE_Switzerland/BL_Basel-Landschaft/CHE_BL_Basel.Binningen.066010_TMYx.zip")</f>
        <v>https://climate.onebuilding.org/WMO_Region_6_Europe/CHE_Switzerland/BL_Basel-Landschaft/CHE_BL_Basel.Binningen.066010_TMYx.zip</v>
      </c>
    </row>
    <row r="1167" spans="1:10" x14ac:dyDescent="0.25">
      <c r="A1167" t="s">
        <v>702</v>
      </c>
      <c r="B1167" t="s">
        <v>709</v>
      </c>
      <c r="C1167" t="s">
        <v>710</v>
      </c>
      <c r="D1167" s="1" t="s">
        <v>711</v>
      </c>
      <c r="E1167" t="s">
        <v>712</v>
      </c>
      <c r="F1167">
        <v>47.351700000000001</v>
      </c>
      <c r="G1167">
        <v>7.3494000000000002</v>
      </c>
      <c r="H1167">
        <v>1</v>
      </c>
      <c r="I1167">
        <v>439.4</v>
      </c>
      <c r="J1167" t="str">
        <f>HYPERLINK("https://climate.onebuilding.org/WMO_Region_6_Europe/CHE_Switzerland/JU_Jura/CHE_JU_Delemont.066020_TMYx.2004-2018.zip")</f>
        <v>https://climate.onebuilding.org/WMO_Region_6_Europe/CHE_Switzerland/JU_Jura/CHE_JU_Delemont.066020_TMYx.2004-2018.zip</v>
      </c>
    </row>
    <row r="1168" spans="1:10" x14ac:dyDescent="0.25">
      <c r="A1168" t="s">
        <v>702</v>
      </c>
      <c r="B1168" t="s">
        <v>709</v>
      </c>
      <c r="C1168" t="s">
        <v>710</v>
      </c>
      <c r="D1168" s="1" t="s">
        <v>711</v>
      </c>
      <c r="E1168" t="s">
        <v>14</v>
      </c>
      <c r="F1168">
        <v>47.351700000000001</v>
      </c>
      <c r="G1168">
        <v>7.3494000000000002</v>
      </c>
      <c r="H1168">
        <v>1</v>
      </c>
      <c r="I1168">
        <v>439.4</v>
      </c>
      <c r="J1168" t="str">
        <f>HYPERLINK("https://climate.onebuilding.org/WMO_Region_6_Europe/CHE_Switzerland/JU_Jura/CHE_JU_Delemont.066020_TMYx.2007-2021.zip")</f>
        <v>https://climate.onebuilding.org/WMO_Region_6_Europe/CHE_Switzerland/JU_Jura/CHE_JU_Delemont.066020_TMYx.2007-2021.zip</v>
      </c>
    </row>
    <row r="1169" spans="1:10" x14ac:dyDescent="0.25">
      <c r="A1169" t="s">
        <v>702</v>
      </c>
      <c r="B1169" t="s">
        <v>709</v>
      </c>
      <c r="C1169" t="s">
        <v>710</v>
      </c>
      <c r="D1169" s="1" t="s">
        <v>711</v>
      </c>
      <c r="E1169" t="s">
        <v>14</v>
      </c>
      <c r="F1169">
        <v>47.351700000000001</v>
      </c>
      <c r="G1169">
        <v>7.3494000000000002</v>
      </c>
      <c r="H1169">
        <v>1</v>
      </c>
      <c r="I1169">
        <v>439.4</v>
      </c>
      <c r="J1169" t="str">
        <f>HYPERLINK("https://climate.onebuilding.org/WMO_Region_6_Europe/CHE_Switzerland/JU_Jura/CHE_JU_Delemont.066020_TMYx.2009-2023.zip")</f>
        <v>https://climate.onebuilding.org/WMO_Region_6_Europe/CHE_Switzerland/JU_Jura/CHE_JU_Delemont.066020_TMYx.2009-2023.zip</v>
      </c>
    </row>
    <row r="1170" spans="1:10" x14ac:dyDescent="0.25">
      <c r="A1170" t="s">
        <v>702</v>
      </c>
      <c r="B1170" t="s">
        <v>709</v>
      </c>
      <c r="C1170" t="s">
        <v>710</v>
      </c>
      <c r="D1170" s="1" t="s">
        <v>711</v>
      </c>
      <c r="E1170" t="s">
        <v>14</v>
      </c>
      <c r="F1170">
        <v>47.351700000000001</v>
      </c>
      <c r="G1170">
        <v>7.3494000000000002</v>
      </c>
      <c r="H1170">
        <v>1</v>
      </c>
      <c r="I1170">
        <v>439.4</v>
      </c>
      <c r="J1170" t="str">
        <f>HYPERLINK("https://climate.onebuilding.org/WMO_Region_6_Europe/CHE_Switzerland/JU_Jura/CHE_JU_Delemont.066020_TMYx.zip")</f>
        <v>https://climate.onebuilding.org/WMO_Region_6_Europe/CHE_Switzerland/JU_Jura/CHE_JU_Delemont.066020_TMYx.zip</v>
      </c>
    </row>
    <row r="1171" spans="1:10" x14ac:dyDescent="0.25">
      <c r="A1171" t="s">
        <v>702</v>
      </c>
      <c r="B1171" t="s">
        <v>713</v>
      </c>
      <c r="C1171" t="s">
        <v>714</v>
      </c>
      <c r="D1171" s="1" t="s">
        <v>715</v>
      </c>
      <c r="E1171" t="s">
        <v>716</v>
      </c>
      <c r="F1171">
        <v>47</v>
      </c>
      <c r="G1171">
        <v>6.9532999999999996</v>
      </c>
      <c r="H1171">
        <v>1</v>
      </c>
      <c r="I1171">
        <v>485.5</v>
      </c>
      <c r="J1171" t="str">
        <f>HYPERLINK("https://climate.onebuilding.org/WMO_Region_6_Europe/CHE_Switzerland/NE_Neuchatel/CHE_NE_Neuchatel.066040_TMYx.2004-2018.zip")</f>
        <v>https://climate.onebuilding.org/WMO_Region_6_Europe/CHE_Switzerland/NE_Neuchatel/CHE_NE_Neuchatel.066040_TMYx.2004-2018.zip</v>
      </c>
    </row>
    <row r="1172" spans="1:10" x14ac:dyDescent="0.25">
      <c r="A1172" t="s">
        <v>702</v>
      </c>
      <c r="B1172" t="s">
        <v>713</v>
      </c>
      <c r="C1172" t="s">
        <v>714</v>
      </c>
      <c r="D1172" s="1" t="s">
        <v>715</v>
      </c>
      <c r="E1172" t="s">
        <v>14</v>
      </c>
      <c r="F1172">
        <v>47</v>
      </c>
      <c r="G1172">
        <v>6.9532999999999996</v>
      </c>
      <c r="H1172">
        <v>1</v>
      </c>
      <c r="I1172">
        <v>485.5</v>
      </c>
      <c r="J1172" t="str">
        <f>HYPERLINK("https://climate.onebuilding.org/WMO_Region_6_Europe/CHE_Switzerland/NE_Neuchatel/CHE_NE_Neuchatel.066040_TMYx.2007-2021.zip")</f>
        <v>https://climate.onebuilding.org/WMO_Region_6_Europe/CHE_Switzerland/NE_Neuchatel/CHE_NE_Neuchatel.066040_TMYx.2007-2021.zip</v>
      </c>
    </row>
    <row r="1173" spans="1:10" x14ac:dyDescent="0.25">
      <c r="A1173" t="s">
        <v>702</v>
      </c>
      <c r="B1173" t="s">
        <v>713</v>
      </c>
      <c r="C1173" t="s">
        <v>714</v>
      </c>
      <c r="D1173" s="1" t="s">
        <v>715</v>
      </c>
      <c r="E1173" t="s">
        <v>14</v>
      </c>
      <c r="F1173">
        <v>47</v>
      </c>
      <c r="G1173">
        <v>6.9532999999999996</v>
      </c>
      <c r="H1173">
        <v>1</v>
      </c>
      <c r="I1173">
        <v>485.5</v>
      </c>
      <c r="J1173" t="str">
        <f>HYPERLINK("https://climate.onebuilding.org/WMO_Region_6_Europe/CHE_Switzerland/NE_Neuchatel/CHE_NE_Neuchatel.066040_TMYx.2009-2023.zip")</f>
        <v>https://climate.onebuilding.org/WMO_Region_6_Europe/CHE_Switzerland/NE_Neuchatel/CHE_NE_Neuchatel.066040_TMYx.2009-2023.zip</v>
      </c>
    </row>
    <row r="1174" spans="1:10" x14ac:dyDescent="0.25">
      <c r="A1174" t="s">
        <v>702</v>
      </c>
      <c r="B1174" t="s">
        <v>713</v>
      </c>
      <c r="C1174" t="s">
        <v>714</v>
      </c>
      <c r="D1174" s="1" t="s">
        <v>715</v>
      </c>
      <c r="E1174" t="s">
        <v>14</v>
      </c>
      <c r="F1174">
        <v>47</v>
      </c>
      <c r="G1174">
        <v>6.9532999999999996</v>
      </c>
      <c r="H1174">
        <v>1</v>
      </c>
      <c r="I1174">
        <v>485.5</v>
      </c>
      <c r="J1174" t="str">
        <f>HYPERLINK("https://climate.onebuilding.org/WMO_Region_6_Europe/CHE_Switzerland/NE_Neuchatel/CHE_NE_Neuchatel.066040_TMYx.zip")</f>
        <v>https://climate.onebuilding.org/WMO_Region_6_Europe/CHE_Switzerland/NE_Neuchatel/CHE_NE_Neuchatel.066040_TMYx.zip</v>
      </c>
    </row>
    <row r="1175" spans="1:10" x14ac:dyDescent="0.25">
      <c r="A1175" t="s">
        <v>702</v>
      </c>
      <c r="B1175" t="s">
        <v>65</v>
      </c>
      <c r="C1175" t="s">
        <v>717</v>
      </c>
      <c r="D1175" s="1" t="s">
        <v>718</v>
      </c>
      <c r="E1175" t="s">
        <v>719</v>
      </c>
      <c r="F1175">
        <v>47.131700000000002</v>
      </c>
      <c r="G1175">
        <v>7.0545</v>
      </c>
      <c r="H1175">
        <v>1</v>
      </c>
      <c r="I1175">
        <v>1595.2</v>
      </c>
      <c r="J1175" t="str">
        <f>HYPERLINK("https://climate.onebuilding.org/WMO_Region_6_Europe/CHE_Switzerland/BE_Bern/CHE_BE_Chasseral.066050_TMYx.2004-2018.zip")</f>
        <v>https://climate.onebuilding.org/WMO_Region_6_Europe/CHE_Switzerland/BE_Bern/CHE_BE_Chasseral.066050_TMYx.2004-2018.zip</v>
      </c>
    </row>
    <row r="1176" spans="1:10" x14ac:dyDescent="0.25">
      <c r="A1176" t="s">
        <v>702</v>
      </c>
      <c r="B1176" t="s">
        <v>65</v>
      </c>
      <c r="C1176" t="s">
        <v>717</v>
      </c>
      <c r="D1176" s="1" t="s">
        <v>718</v>
      </c>
      <c r="E1176" t="s">
        <v>14</v>
      </c>
      <c r="F1176">
        <v>47.131700000000002</v>
      </c>
      <c r="G1176">
        <v>7.0545</v>
      </c>
      <c r="H1176">
        <v>1</v>
      </c>
      <c r="I1176">
        <v>1595.2</v>
      </c>
      <c r="J1176" t="str">
        <f>HYPERLINK("https://climate.onebuilding.org/WMO_Region_6_Europe/CHE_Switzerland/BE_Bern/CHE_BE_Chasseral.066050_TMYx.2007-2021.zip")</f>
        <v>https://climate.onebuilding.org/WMO_Region_6_Europe/CHE_Switzerland/BE_Bern/CHE_BE_Chasseral.066050_TMYx.2007-2021.zip</v>
      </c>
    </row>
    <row r="1177" spans="1:10" x14ac:dyDescent="0.25">
      <c r="A1177" t="s">
        <v>702</v>
      </c>
      <c r="B1177" t="s">
        <v>65</v>
      </c>
      <c r="C1177" t="s">
        <v>717</v>
      </c>
      <c r="D1177" s="1" t="s">
        <v>718</v>
      </c>
      <c r="E1177" t="s">
        <v>14</v>
      </c>
      <c r="F1177">
        <v>47.131700000000002</v>
      </c>
      <c r="G1177">
        <v>7.0545</v>
      </c>
      <c r="H1177">
        <v>1</v>
      </c>
      <c r="I1177">
        <v>1595.2</v>
      </c>
      <c r="J1177" t="str">
        <f>HYPERLINK("https://climate.onebuilding.org/WMO_Region_6_Europe/CHE_Switzerland/BE_Bern/CHE_BE_Chasseral.066050_TMYx.2009-2023.zip")</f>
        <v>https://climate.onebuilding.org/WMO_Region_6_Europe/CHE_Switzerland/BE_Bern/CHE_BE_Chasseral.066050_TMYx.2009-2023.zip</v>
      </c>
    </row>
    <row r="1178" spans="1:10" x14ac:dyDescent="0.25">
      <c r="A1178" t="s">
        <v>702</v>
      </c>
      <c r="B1178" t="s">
        <v>65</v>
      </c>
      <c r="C1178" t="s">
        <v>717</v>
      </c>
      <c r="D1178" s="1" t="s">
        <v>718</v>
      </c>
      <c r="E1178" t="s">
        <v>14</v>
      </c>
      <c r="F1178">
        <v>47.131700000000002</v>
      </c>
      <c r="G1178">
        <v>7.0545</v>
      </c>
      <c r="H1178">
        <v>1</v>
      </c>
      <c r="I1178">
        <v>1595.2</v>
      </c>
      <c r="J1178" t="str">
        <f>HYPERLINK("https://climate.onebuilding.org/WMO_Region_6_Europe/CHE_Switzerland/BE_Bern/CHE_BE_Chasseral.066050_TMYx.zip")</f>
        <v>https://climate.onebuilding.org/WMO_Region_6_Europe/CHE_Switzerland/BE_Bern/CHE_BE_Chasseral.066050_TMYx.zip</v>
      </c>
    </row>
    <row r="1179" spans="1:10" x14ac:dyDescent="0.25">
      <c r="A1179" t="s">
        <v>702</v>
      </c>
      <c r="B1179" t="s">
        <v>713</v>
      </c>
      <c r="C1179" t="s">
        <v>720</v>
      </c>
      <c r="D1179" s="1" t="s">
        <v>721</v>
      </c>
      <c r="E1179" t="s">
        <v>722</v>
      </c>
      <c r="F1179">
        <v>47.047499999999999</v>
      </c>
      <c r="G1179">
        <v>7.0591999999999997</v>
      </c>
      <c r="H1179">
        <v>1</v>
      </c>
      <c r="I1179">
        <v>432.4</v>
      </c>
      <c r="J1179" t="str">
        <f>HYPERLINK("https://climate.onebuilding.org/WMO_Region_6_Europe/CHE_Switzerland/NE_Neuchatel/CHE_NE_Cressier.066060_TMYx.2004-2018.zip")</f>
        <v>https://climate.onebuilding.org/WMO_Region_6_Europe/CHE_Switzerland/NE_Neuchatel/CHE_NE_Cressier.066060_TMYx.2004-2018.zip</v>
      </c>
    </row>
    <row r="1180" spans="1:10" x14ac:dyDescent="0.25">
      <c r="A1180" t="s">
        <v>702</v>
      </c>
      <c r="B1180" t="s">
        <v>713</v>
      </c>
      <c r="C1180" t="s">
        <v>720</v>
      </c>
      <c r="D1180" s="1" t="s">
        <v>721</v>
      </c>
      <c r="E1180" t="s">
        <v>14</v>
      </c>
      <c r="F1180">
        <v>47.047499999999999</v>
      </c>
      <c r="G1180">
        <v>7.0591999999999997</v>
      </c>
      <c r="H1180">
        <v>1</v>
      </c>
      <c r="I1180">
        <v>432.4</v>
      </c>
      <c r="J1180" t="str">
        <f>HYPERLINK("https://climate.onebuilding.org/WMO_Region_6_Europe/CHE_Switzerland/NE_Neuchatel/CHE_NE_Cressier.066060_TMYx.2007-2021.zip")</f>
        <v>https://climate.onebuilding.org/WMO_Region_6_Europe/CHE_Switzerland/NE_Neuchatel/CHE_NE_Cressier.066060_TMYx.2007-2021.zip</v>
      </c>
    </row>
    <row r="1181" spans="1:10" x14ac:dyDescent="0.25">
      <c r="A1181" t="s">
        <v>702</v>
      </c>
      <c r="B1181" t="s">
        <v>713</v>
      </c>
      <c r="C1181" t="s">
        <v>720</v>
      </c>
      <c r="D1181" s="1" t="s">
        <v>721</v>
      </c>
      <c r="E1181" t="s">
        <v>14</v>
      </c>
      <c r="F1181">
        <v>47.047499999999999</v>
      </c>
      <c r="G1181">
        <v>7.0591999999999997</v>
      </c>
      <c r="H1181">
        <v>1</v>
      </c>
      <c r="I1181">
        <v>432.4</v>
      </c>
      <c r="J1181" t="str">
        <f>HYPERLINK("https://climate.onebuilding.org/WMO_Region_6_Europe/CHE_Switzerland/NE_Neuchatel/CHE_NE_Cressier.066060_TMYx.2009-2023.zip")</f>
        <v>https://climate.onebuilding.org/WMO_Region_6_Europe/CHE_Switzerland/NE_Neuchatel/CHE_NE_Cressier.066060_TMYx.2009-2023.zip</v>
      </c>
    </row>
    <row r="1182" spans="1:10" x14ac:dyDescent="0.25">
      <c r="A1182" t="s">
        <v>702</v>
      </c>
      <c r="B1182" t="s">
        <v>713</v>
      </c>
      <c r="C1182" t="s">
        <v>720</v>
      </c>
      <c r="D1182" s="1" t="s">
        <v>721</v>
      </c>
      <c r="E1182" t="s">
        <v>14</v>
      </c>
      <c r="F1182">
        <v>47.047499999999999</v>
      </c>
      <c r="G1182">
        <v>7.0591999999999997</v>
      </c>
      <c r="H1182">
        <v>1</v>
      </c>
      <c r="I1182">
        <v>432.4</v>
      </c>
      <c r="J1182" t="str">
        <f>HYPERLINK("https://climate.onebuilding.org/WMO_Region_6_Europe/CHE_Switzerland/NE_Neuchatel/CHE_NE_Cressier.066060_TMYx.zip")</f>
        <v>https://climate.onebuilding.org/WMO_Region_6_Europe/CHE_Switzerland/NE_Neuchatel/CHE_NE_Cressier.066060_TMYx.zip</v>
      </c>
    </row>
    <row r="1183" spans="1:10" x14ac:dyDescent="0.25">
      <c r="A1183" t="s">
        <v>702</v>
      </c>
      <c r="B1183" t="s">
        <v>713</v>
      </c>
      <c r="C1183" t="s">
        <v>723</v>
      </c>
      <c r="D1183" s="1" t="s">
        <v>724</v>
      </c>
      <c r="E1183" t="s">
        <v>725</v>
      </c>
      <c r="F1183">
        <v>47.049199999999999</v>
      </c>
      <c r="G1183">
        <v>6.9789000000000003</v>
      </c>
      <c r="H1183">
        <v>1</v>
      </c>
      <c r="I1183">
        <v>1136.0999999999999</v>
      </c>
      <c r="J1183" t="str">
        <f>HYPERLINK("https://climate.onebuilding.org/WMO_Region_6_Europe/CHE_Switzerland/NE_Neuchatel/CHE_NE_Chaumont.066080_TMYx.2004-2018.zip")</f>
        <v>https://climate.onebuilding.org/WMO_Region_6_Europe/CHE_Switzerland/NE_Neuchatel/CHE_NE_Chaumont.066080_TMYx.2004-2018.zip</v>
      </c>
    </row>
    <row r="1184" spans="1:10" x14ac:dyDescent="0.25">
      <c r="A1184" t="s">
        <v>702</v>
      </c>
      <c r="B1184" t="s">
        <v>713</v>
      </c>
      <c r="C1184" t="s">
        <v>723</v>
      </c>
      <c r="D1184" s="1" t="s">
        <v>724</v>
      </c>
      <c r="E1184" t="s">
        <v>14</v>
      </c>
      <c r="F1184">
        <v>47.049199999999999</v>
      </c>
      <c r="G1184">
        <v>6.9789000000000003</v>
      </c>
      <c r="H1184">
        <v>1</v>
      </c>
      <c r="I1184">
        <v>1136.0999999999999</v>
      </c>
      <c r="J1184" t="str">
        <f>HYPERLINK("https://climate.onebuilding.org/WMO_Region_6_Europe/CHE_Switzerland/NE_Neuchatel/CHE_NE_Chaumont.066080_TMYx.2007-2021.zip")</f>
        <v>https://climate.onebuilding.org/WMO_Region_6_Europe/CHE_Switzerland/NE_Neuchatel/CHE_NE_Chaumont.066080_TMYx.2007-2021.zip</v>
      </c>
    </row>
    <row r="1185" spans="1:10" x14ac:dyDescent="0.25">
      <c r="A1185" t="s">
        <v>702</v>
      </c>
      <c r="B1185" t="s">
        <v>713</v>
      </c>
      <c r="C1185" t="s">
        <v>723</v>
      </c>
      <c r="D1185" s="1" t="s">
        <v>724</v>
      </c>
      <c r="E1185" t="s">
        <v>14</v>
      </c>
      <c r="F1185">
        <v>47.049199999999999</v>
      </c>
      <c r="G1185">
        <v>6.9789000000000003</v>
      </c>
      <c r="H1185">
        <v>1</v>
      </c>
      <c r="I1185">
        <v>1136.0999999999999</v>
      </c>
      <c r="J1185" t="str">
        <f>HYPERLINK("https://climate.onebuilding.org/WMO_Region_6_Europe/CHE_Switzerland/NE_Neuchatel/CHE_NE_Chaumont.066080_TMYx.2009-2023.zip")</f>
        <v>https://climate.onebuilding.org/WMO_Region_6_Europe/CHE_Switzerland/NE_Neuchatel/CHE_NE_Chaumont.066080_TMYx.2009-2023.zip</v>
      </c>
    </row>
    <row r="1186" spans="1:10" x14ac:dyDescent="0.25">
      <c r="A1186" t="s">
        <v>702</v>
      </c>
      <c r="B1186" t="s">
        <v>713</v>
      </c>
      <c r="C1186" t="s">
        <v>723</v>
      </c>
      <c r="D1186" s="1" t="s">
        <v>724</v>
      </c>
      <c r="E1186" t="s">
        <v>14</v>
      </c>
      <c r="F1186">
        <v>47.049199999999999</v>
      </c>
      <c r="G1186">
        <v>6.9789000000000003</v>
      </c>
      <c r="H1186">
        <v>1</v>
      </c>
      <c r="I1186">
        <v>1136.0999999999999</v>
      </c>
      <c r="J1186" t="str">
        <f>HYPERLINK("https://climate.onebuilding.org/WMO_Region_6_Europe/CHE_Switzerland/NE_Neuchatel/CHE_NE_Chaumont.066080_TMYx.zip")</f>
        <v>https://climate.onebuilding.org/WMO_Region_6_Europe/CHE_Switzerland/NE_Neuchatel/CHE_NE_Chaumont.066080_TMYx.zip</v>
      </c>
    </row>
    <row r="1187" spans="1:10" x14ac:dyDescent="0.25">
      <c r="A1187" t="s">
        <v>702</v>
      </c>
      <c r="B1187" t="s">
        <v>726</v>
      </c>
      <c r="C1187" t="s">
        <v>727</v>
      </c>
      <c r="D1187" s="1" t="s">
        <v>728</v>
      </c>
      <c r="E1187" t="s">
        <v>729</v>
      </c>
      <c r="F1187">
        <v>46.546100000000003</v>
      </c>
      <c r="G1187">
        <v>7.0178000000000003</v>
      </c>
      <c r="H1187">
        <v>1</v>
      </c>
      <c r="I1187">
        <v>1975.2</v>
      </c>
      <c r="J1187" t="str">
        <f>HYPERLINK("https://climate.onebuilding.org/WMO_Region_6_Europe/CHE_Switzerland/FR_Fribourg/CHE_FR_Le.Moleson.066090_TMYx.2004-2018.zip")</f>
        <v>https://climate.onebuilding.org/WMO_Region_6_Europe/CHE_Switzerland/FR_Fribourg/CHE_FR_Le.Moleson.066090_TMYx.2004-2018.zip</v>
      </c>
    </row>
    <row r="1188" spans="1:10" x14ac:dyDescent="0.25">
      <c r="A1188" t="s">
        <v>702</v>
      </c>
      <c r="B1188" t="s">
        <v>726</v>
      </c>
      <c r="C1188" t="s">
        <v>727</v>
      </c>
      <c r="D1188" s="1" t="s">
        <v>728</v>
      </c>
      <c r="E1188" t="s">
        <v>14</v>
      </c>
      <c r="F1188">
        <v>46.546100000000003</v>
      </c>
      <c r="G1188">
        <v>7.0178000000000003</v>
      </c>
      <c r="H1188">
        <v>1</v>
      </c>
      <c r="I1188">
        <v>1975.2</v>
      </c>
      <c r="J1188" t="str">
        <f>HYPERLINK("https://climate.onebuilding.org/WMO_Region_6_Europe/CHE_Switzerland/FR_Fribourg/CHE_FR_Le.Moleson.066090_TMYx.2007-2021.zip")</f>
        <v>https://climate.onebuilding.org/WMO_Region_6_Europe/CHE_Switzerland/FR_Fribourg/CHE_FR_Le.Moleson.066090_TMYx.2007-2021.zip</v>
      </c>
    </row>
    <row r="1189" spans="1:10" x14ac:dyDescent="0.25">
      <c r="A1189" t="s">
        <v>702</v>
      </c>
      <c r="B1189" t="s">
        <v>726</v>
      </c>
      <c r="C1189" t="s">
        <v>727</v>
      </c>
      <c r="D1189" s="1" t="s">
        <v>728</v>
      </c>
      <c r="E1189" t="s">
        <v>14</v>
      </c>
      <c r="F1189">
        <v>46.546100000000003</v>
      </c>
      <c r="G1189">
        <v>7.0178000000000003</v>
      </c>
      <c r="H1189">
        <v>1</v>
      </c>
      <c r="I1189">
        <v>1975.2</v>
      </c>
      <c r="J1189" t="str">
        <f>HYPERLINK("https://climate.onebuilding.org/WMO_Region_6_Europe/CHE_Switzerland/FR_Fribourg/CHE_FR_Le.Moleson.066090_TMYx.2009-2023.zip")</f>
        <v>https://climate.onebuilding.org/WMO_Region_6_Europe/CHE_Switzerland/FR_Fribourg/CHE_FR_Le.Moleson.066090_TMYx.2009-2023.zip</v>
      </c>
    </row>
    <row r="1190" spans="1:10" x14ac:dyDescent="0.25">
      <c r="A1190" t="s">
        <v>702</v>
      </c>
      <c r="B1190" t="s">
        <v>726</v>
      </c>
      <c r="C1190" t="s">
        <v>727</v>
      </c>
      <c r="D1190" s="1" t="s">
        <v>728</v>
      </c>
      <c r="E1190" t="s">
        <v>14</v>
      </c>
      <c r="F1190">
        <v>46.546100000000003</v>
      </c>
      <c r="G1190">
        <v>7.0178000000000003</v>
      </c>
      <c r="H1190">
        <v>1</v>
      </c>
      <c r="I1190">
        <v>1975.2</v>
      </c>
      <c r="J1190" t="str">
        <f>HYPERLINK("https://climate.onebuilding.org/WMO_Region_6_Europe/CHE_Switzerland/FR_Fribourg/CHE_FR_Le.Moleson.066090_TMYx.zip")</f>
        <v>https://climate.onebuilding.org/WMO_Region_6_Europe/CHE_Switzerland/FR_Fribourg/CHE_FR_Le.Moleson.066090_TMYx.zip</v>
      </c>
    </row>
    <row r="1191" spans="1:10" x14ac:dyDescent="0.25">
      <c r="A1191" t="s">
        <v>702</v>
      </c>
      <c r="B1191" t="s">
        <v>730</v>
      </c>
      <c r="C1191" t="s">
        <v>731</v>
      </c>
      <c r="D1191" s="1" t="s">
        <v>732</v>
      </c>
      <c r="E1191" t="s">
        <v>733</v>
      </c>
      <c r="F1191">
        <v>47.399000000000001</v>
      </c>
      <c r="G1191">
        <v>8.6479999999999997</v>
      </c>
      <c r="H1191">
        <v>1</v>
      </c>
      <c r="I1191">
        <v>448.1</v>
      </c>
      <c r="J1191" t="str">
        <f>HYPERLINK("https://climate.onebuilding.org/WMO_Region_6_Europe/CHE_Switzerland/ZH_Zurich/CHE_ZH_Dubendorf.AP.066099_TMYx.2004-2018.zip")</f>
        <v>https://climate.onebuilding.org/WMO_Region_6_Europe/CHE_Switzerland/ZH_Zurich/CHE_ZH_Dubendorf.AP.066099_TMYx.2004-2018.zip</v>
      </c>
    </row>
    <row r="1192" spans="1:10" x14ac:dyDescent="0.25">
      <c r="A1192" t="s">
        <v>702</v>
      </c>
      <c r="B1192" t="s">
        <v>730</v>
      </c>
      <c r="C1192" t="s">
        <v>731</v>
      </c>
      <c r="D1192" s="1" t="s">
        <v>732</v>
      </c>
      <c r="E1192" t="s">
        <v>14</v>
      </c>
      <c r="F1192">
        <v>47.399000000000001</v>
      </c>
      <c r="G1192">
        <v>8.6479999999999997</v>
      </c>
      <c r="H1192">
        <v>1</v>
      </c>
      <c r="I1192">
        <v>448.1</v>
      </c>
      <c r="J1192" t="str">
        <f>HYPERLINK("https://climate.onebuilding.org/WMO_Region_6_Europe/CHE_Switzerland/ZH_Zurich/CHE_ZH_Dubendorf.AP.066099_TMYx.2007-2021.zip")</f>
        <v>https://climate.onebuilding.org/WMO_Region_6_Europe/CHE_Switzerland/ZH_Zurich/CHE_ZH_Dubendorf.AP.066099_TMYx.2007-2021.zip</v>
      </c>
    </row>
    <row r="1193" spans="1:10" x14ac:dyDescent="0.25">
      <c r="A1193" t="s">
        <v>702</v>
      </c>
      <c r="B1193" t="s">
        <v>730</v>
      </c>
      <c r="C1193" t="s">
        <v>731</v>
      </c>
      <c r="D1193" s="1" t="s">
        <v>732</v>
      </c>
      <c r="E1193" t="s">
        <v>14</v>
      </c>
      <c r="F1193">
        <v>47.399000000000001</v>
      </c>
      <c r="G1193">
        <v>8.6479999999999997</v>
      </c>
      <c r="H1193">
        <v>1</v>
      </c>
      <c r="I1193">
        <v>448.1</v>
      </c>
      <c r="J1193" t="str">
        <f>HYPERLINK("https://climate.onebuilding.org/WMO_Region_6_Europe/CHE_Switzerland/ZH_Zurich/CHE_ZH_Dubendorf.AP.066099_TMYx.2009-2023.zip")</f>
        <v>https://climate.onebuilding.org/WMO_Region_6_Europe/CHE_Switzerland/ZH_Zurich/CHE_ZH_Dubendorf.AP.066099_TMYx.2009-2023.zip</v>
      </c>
    </row>
    <row r="1194" spans="1:10" x14ac:dyDescent="0.25">
      <c r="A1194" t="s">
        <v>702</v>
      </c>
      <c r="B1194" t="s">
        <v>730</v>
      </c>
      <c r="C1194" t="s">
        <v>731</v>
      </c>
      <c r="D1194" s="1" t="s">
        <v>732</v>
      </c>
      <c r="E1194" t="s">
        <v>14</v>
      </c>
      <c r="F1194">
        <v>47.399000000000001</v>
      </c>
      <c r="G1194">
        <v>8.6479999999999997</v>
      </c>
      <c r="H1194">
        <v>1</v>
      </c>
      <c r="I1194">
        <v>448.1</v>
      </c>
      <c r="J1194" t="str">
        <f>HYPERLINK("https://climate.onebuilding.org/WMO_Region_6_Europe/CHE_Switzerland/ZH_Zurich/CHE_ZH_Dubendorf.AP.066099_TMYx.zip")</f>
        <v>https://climate.onebuilding.org/WMO_Region_6_Europe/CHE_Switzerland/ZH_Zurich/CHE_ZH_Dubendorf.AP.066099_TMYx.zip</v>
      </c>
    </row>
    <row r="1195" spans="1:10" x14ac:dyDescent="0.25">
      <c r="A1195" t="s">
        <v>702</v>
      </c>
      <c r="B1195" t="s">
        <v>478</v>
      </c>
      <c r="C1195" t="s">
        <v>734</v>
      </c>
      <c r="D1195" s="1" t="s">
        <v>735</v>
      </c>
      <c r="E1195" t="s">
        <v>736</v>
      </c>
      <c r="F1195">
        <v>46.811700000000002</v>
      </c>
      <c r="G1195">
        <v>6.9424999999999999</v>
      </c>
      <c r="H1195">
        <v>1</v>
      </c>
      <c r="I1195">
        <v>490.5</v>
      </c>
      <c r="J1195" t="str">
        <f>HYPERLINK("https://climate.onebuilding.org/WMO_Region_6_Europe/CHE_Switzerland/VD_Vaud/CHE_VD_Payerne.066100_TMYx.2004-2018.zip")</f>
        <v>https://climate.onebuilding.org/WMO_Region_6_Europe/CHE_Switzerland/VD_Vaud/CHE_VD_Payerne.066100_TMYx.2004-2018.zip</v>
      </c>
    </row>
    <row r="1196" spans="1:10" x14ac:dyDescent="0.25">
      <c r="A1196" t="s">
        <v>702</v>
      </c>
      <c r="B1196" t="s">
        <v>478</v>
      </c>
      <c r="C1196" t="s">
        <v>734</v>
      </c>
      <c r="D1196" s="1" t="s">
        <v>735</v>
      </c>
      <c r="E1196" t="s">
        <v>14</v>
      </c>
      <c r="F1196">
        <v>46.811700000000002</v>
      </c>
      <c r="G1196">
        <v>6.9424999999999999</v>
      </c>
      <c r="H1196">
        <v>1</v>
      </c>
      <c r="I1196">
        <v>490.5</v>
      </c>
      <c r="J1196" t="str">
        <f>HYPERLINK("https://climate.onebuilding.org/WMO_Region_6_Europe/CHE_Switzerland/VD_Vaud/CHE_VD_Payerne.066100_TMYx.2007-2021.zip")</f>
        <v>https://climate.onebuilding.org/WMO_Region_6_Europe/CHE_Switzerland/VD_Vaud/CHE_VD_Payerne.066100_TMYx.2007-2021.zip</v>
      </c>
    </row>
    <row r="1197" spans="1:10" x14ac:dyDescent="0.25">
      <c r="A1197" t="s">
        <v>702</v>
      </c>
      <c r="B1197" t="s">
        <v>478</v>
      </c>
      <c r="C1197" t="s">
        <v>734</v>
      </c>
      <c r="D1197" s="1" t="s">
        <v>735</v>
      </c>
      <c r="E1197" t="s">
        <v>14</v>
      </c>
      <c r="F1197">
        <v>46.811700000000002</v>
      </c>
      <c r="G1197">
        <v>6.9424999999999999</v>
      </c>
      <c r="H1197">
        <v>1</v>
      </c>
      <c r="I1197">
        <v>490.5</v>
      </c>
      <c r="J1197" t="str">
        <f>HYPERLINK("https://climate.onebuilding.org/WMO_Region_6_Europe/CHE_Switzerland/VD_Vaud/CHE_VD_Payerne.066100_TMYx.2009-2023.zip")</f>
        <v>https://climate.onebuilding.org/WMO_Region_6_Europe/CHE_Switzerland/VD_Vaud/CHE_VD_Payerne.066100_TMYx.2009-2023.zip</v>
      </c>
    </row>
    <row r="1198" spans="1:10" x14ac:dyDescent="0.25">
      <c r="A1198" t="s">
        <v>702</v>
      </c>
      <c r="B1198" t="s">
        <v>478</v>
      </c>
      <c r="C1198" t="s">
        <v>734</v>
      </c>
      <c r="D1198" s="1" t="s">
        <v>735</v>
      </c>
      <c r="E1198" t="s">
        <v>14</v>
      </c>
      <c r="F1198">
        <v>46.811700000000002</v>
      </c>
      <c r="G1198">
        <v>6.9424999999999999</v>
      </c>
      <c r="H1198">
        <v>1</v>
      </c>
      <c r="I1198">
        <v>490.5</v>
      </c>
      <c r="J1198" t="str">
        <f>HYPERLINK("https://climate.onebuilding.org/WMO_Region_6_Europe/CHE_Switzerland/VD_Vaud/CHE_VD_Payerne.066100_TMYx.zip")</f>
        <v>https://climate.onebuilding.org/WMO_Region_6_Europe/CHE_Switzerland/VD_Vaud/CHE_VD_Payerne.066100_TMYx.zip</v>
      </c>
    </row>
    <row r="1199" spans="1:10" x14ac:dyDescent="0.25">
      <c r="A1199" t="s">
        <v>702</v>
      </c>
      <c r="B1199" t="s">
        <v>713</v>
      </c>
      <c r="C1199" t="s">
        <v>737</v>
      </c>
      <c r="D1199" s="1" t="s">
        <v>738</v>
      </c>
      <c r="E1199" t="s">
        <v>739</v>
      </c>
      <c r="F1199">
        <v>47.082999999999998</v>
      </c>
      <c r="G1199">
        <v>6.7922000000000002</v>
      </c>
      <c r="H1199">
        <v>1</v>
      </c>
      <c r="I1199">
        <v>1018.1</v>
      </c>
      <c r="J1199" t="str">
        <f>HYPERLINK("https://climate.onebuilding.org/WMO_Region_6_Europe/CHE_Switzerland/NE_Neuchatel/CHE_NE_La.Chaux.de.Fonds-Les.Eplatures.AP.066120_TMYx.2004-2018.zip")</f>
        <v>https://climate.onebuilding.org/WMO_Region_6_Europe/CHE_Switzerland/NE_Neuchatel/CHE_NE_La.Chaux.de.Fonds-Les.Eplatures.AP.066120_TMYx.2004-2018.zip</v>
      </c>
    </row>
    <row r="1200" spans="1:10" x14ac:dyDescent="0.25">
      <c r="A1200" t="s">
        <v>702</v>
      </c>
      <c r="B1200" t="s">
        <v>713</v>
      </c>
      <c r="C1200" t="s">
        <v>737</v>
      </c>
      <c r="D1200" s="1" t="s">
        <v>738</v>
      </c>
      <c r="E1200" t="s">
        <v>14</v>
      </c>
      <c r="F1200">
        <v>47.082999999999998</v>
      </c>
      <c r="G1200">
        <v>6.7922000000000002</v>
      </c>
      <c r="H1200">
        <v>1</v>
      </c>
      <c r="I1200">
        <v>1018.1</v>
      </c>
      <c r="J1200" t="str">
        <f>HYPERLINK("https://climate.onebuilding.org/WMO_Region_6_Europe/CHE_Switzerland/NE_Neuchatel/CHE_NE_La.Chaux.de.Fonds-Les.Eplatures.AP.066120_TMYx.2007-2021.zip")</f>
        <v>https://climate.onebuilding.org/WMO_Region_6_Europe/CHE_Switzerland/NE_Neuchatel/CHE_NE_La.Chaux.de.Fonds-Les.Eplatures.AP.066120_TMYx.2007-2021.zip</v>
      </c>
    </row>
    <row r="1201" spans="1:10" x14ac:dyDescent="0.25">
      <c r="A1201" t="s">
        <v>702</v>
      </c>
      <c r="B1201" t="s">
        <v>713</v>
      </c>
      <c r="C1201" t="s">
        <v>737</v>
      </c>
      <c r="D1201" s="1" t="s">
        <v>738</v>
      </c>
      <c r="E1201" t="s">
        <v>14</v>
      </c>
      <c r="F1201">
        <v>47.082999999999998</v>
      </c>
      <c r="G1201">
        <v>6.7922000000000002</v>
      </c>
      <c r="H1201">
        <v>1</v>
      </c>
      <c r="I1201">
        <v>1018.1</v>
      </c>
      <c r="J1201" t="str">
        <f>HYPERLINK("https://climate.onebuilding.org/WMO_Region_6_Europe/CHE_Switzerland/NE_Neuchatel/CHE_NE_La.Chaux.de.Fonds-Les.Eplatures.AP.066120_TMYx.2009-2023.zip")</f>
        <v>https://climate.onebuilding.org/WMO_Region_6_Europe/CHE_Switzerland/NE_Neuchatel/CHE_NE_La.Chaux.de.Fonds-Les.Eplatures.AP.066120_TMYx.2009-2023.zip</v>
      </c>
    </row>
    <row r="1202" spans="1:10" x14ac:dyDescent="0.25">
      <c r="A1202" t="s">
        <v>702</v>
      </c>
      <c r="B1202" t="s">
        <v>713</v>
      </c>
      <c r="C1202" t="s">
        <v>737</v>
      </c>
      <c r="D1202" s="1" t="s">
        <v>738</v>
      </c>
      <c r="E1202" t="s">
        <v>14</v>
      </c>
      <c r="F1202">
        <v>47.082999999999998</v>
      </c>
      <c r="G1202">
        <v>6.7922000000000002</v>
      </c>
      <c r="H1202">
        <v>1</v>
      </c>
      <c r="I1202">
        <v>1018.1</v>
      </c>
      <c r="J1202" t="str">
        <f>HYPERLINK("https://climate.onebuilding.org/WMO_Region_6_Europe/CHE_Switzerland/NE_Neuchatel/CHE_NE_La.Chaux.de.Fonds-Les.Eplatures.AP.066120_TMYx.zip")</f>
        <v>https://climate.onebuilding.org/WMO_Region_6_Europe/CHE_Switzerland/NE_Neuchatel/CHE_NE_La.Chaux.de.Fonds-Les.Eplatures.AP.066120_TMYx.zip</v>
      </c>
    </row>
    <row r="1203" spans="1:10" x14ac:dyDescent="0.25">
      <c r="A1203" t="s">
        <v>702</v>
      </c>
      <c r="B1203" t="s">
        <v>11</v>
      </c>
      <c r="C1203" t="s">
        <v>740</v>
      </c>
      <c r="D1203" s="1" t="s">
        <v>741</v>
      </c>
      <c r="E1203" t="s">
        <v>742</v>
      </c>
      <c r="F1203">
        <v>47.091999999999999</v>
      </c>
      <c r="G1203">
        <v>8.3049999999999997</v>
      </c>
      <c r="H1203">
        <v>1</v>
      </c>
      <c r="I1203">
        <v>426.7</v>
      </c>
      <c r="J1203" t="str">
        <f>HYPERLINK("https://climate.onebuilding.org/WMO_Region_6_Europe/CHE_Switzerland/LU_Lucerne/CHE_LU_Emmen.AB.066130_TMYx.2004-2018.zip")</f>
        <v>https://climate.onebuilding.org/WMO_Region_6_Europe/CHE_Switzerland/LU_Lucerne/CHE_LU_Emmen.AB.066130_TMYx.2004-2018.zip</v>
      </c>
    </row>
    <row r="1204" spans="1:10" x14ac:dyDescent="0.25">
      <c r="A1204" t="s">
        <v>702</v>
      </c>
      <c r="B1204" t="s">
        <v>11</v>
      </c>
      <c r="C1204" t="s">
        <v>740</v>
      </c>
      <c r="D1204" s="1" t="s">
        <v>741</v>
      </c>
      <c r="E1204" t="s">
        <v>14</v>
      </c>
      <c r="F1204">
        <v>47.084000000000003</v>
      </c>
      <c r="G1204">
        <v>8.2959999999999994</v>
      </c>
      <c r="H1204">
        <v>1</v>
      </c>
      <c r="I1204">
        <v>426.7</v>
      </c>
      <c r="J1204" t="str">
        <f>HYPERLINK("https://climate.onebuilding.org/WMO_Region_6_Europe/CHE_Switzerland/LU_Lucerne/CHE_LU_Emmen.AB.066130_TMYx.2007-2021.zip")</f>
        <v>https://climate.onebuilding.org/WMO_Region_6_Europe/CHE_Switzerland/LU_Lucerne/CHE_LU_Emmen.AB.066130_TMYx.2007-2021.zip</v>
      </c>
    </row>
    <row r="1205" spans="1:10" x14ac:dyDescent="0.25">
      <c r="A1205" t="s">
        <v>702</v>
      </c>
      <c r="B1205" t="s">
        <v>11</v>
      </c>
      <c r="C1205" t="s">
        <v>740</v>
      </c>
      <c r="D1205" s="1" t="s">
        <v>741</v>
      </c>
      <c r="E1205" t="s">
        <v>14</v>
      </c>
      <c r="F1205">
        <v>47.084000000000003</v>
      </c>
      <c r="G1205">
        <v>8.2959999999999994</v>
      </c>
      <c r="H1205">
        <v>1</v>
      </c>
      <c r="I1205">
        <v>426.7</v>
      </c>
      <c r="J1205" t="str">
        <f>HYPERLINK("https://climate.onebuilding.org/WMO_Region_6_Europe/CHE_Switzerland/LU_Lucerne/CHE_LU_Emmen.AB.066130_TMYx.2009-2023.zip")</f>
        <v>https://climate.onebuilding.org/WMO_Region_6_Europe/CHE_Switzerland/LU_Lucerne/CHE_LU_Emmen.AB.066130_TMYx.2009-2023.zip</v>
      </c>
    </row>
    <row r="1206" spans="1:10" x14ac:dyDescent="0.25">
      <c r="A1206" t="s">
        <v>702</v>
      </c>
      <c r="B1206" t="s">
        <v>11</v>
      </c>
      <c r="C1206" t="s">
        <v>740</v>
      </c>
      <c r="D1206" s="1" t="s">
        <v>741</v>
      </c>
      <c r="E1206" t="s">
        <v>14</v>
      </c>
      <c r="F1206">
        <v>47.084000000000003</v>
      </c>
      <c r="G1206">
        <v>8.2959999999999994</v>
      </c>
      <c r="H1206">
        <v>1</v>
      </c>
      <c r="I1206">
        <v>426.7</v>
      </c>
      <c r="J1206" t="str">
        <f>HYPERLINK("https://climate.onebuilding.org/WMO_Region_6_Europe/CHE_Switzerland/LU_Lucerne/CHE_LU_Emmen.AB.066130_TMYx.zip")</f>
        <v>https://climate.onebuilding.org/WMO_Region_6_Europe/CHE_Switzerland/LU_Lucerne/CHE_LU_Emmen.AB.066130_TMYx.zip</v>
      </c>
    </row>
    <row r="1207" spans="1:10" x14ac:dyDescent="0.25">
      <c r="A1207" t="s">
        <v>702</v>
      </c>
      <c r="B1207" t="s">
        <v>65</v>
      </c>
      <c r="C1207" t="s">
        <v>743</v>
      </c>
      <c r="D1207" s="1" t="s">
        <v>744</v>
      </c>
      <c r="E1207" t="s">
        <v>745</v>
      </c>
      <c r="F1207">
        <v>46.743000000000002</v>
      </c>
      <c r="G1207">
        <v>8.11</v>
      </c>
      <c r="H1207">
        <v>1</v>
      </c>
      <c r="I1207">
        <v>579.1</v>
      </c>
      <c r="J1207" t="str">
        <f>HYPERLINK("https://climate.onebuilding.org/WMO_Region_6_Europe/CHE_Switzerland/BE_Bern/CHE_BE_Meiringen.AP.066140_TMYx.2004-2018.zip")</f>
        <v>https://climate.onebuilding.org/WMO_Region_6_Europe/CHE_Switzerland/BE_Bern/CHE_BE_Meiringen.AP.066140_TMYx.2004-2018.zip</v>
      </c>
    </row>
    <row r="1208" spans="1:10" x14ac:dyDescent="0.25">
      <c r="A1208" t="s">
        <v>702</v>
      </c>
      <c r="B1208" t="s">
        <v>65</v>
      </c>
      <c r="C1208" t="s">
        <v>743</v>
      </c>
      <c r="D1208" s="1" t="s">
        <v>744</v>
      </c>
      <c r="E1208" t="s">
        <v>14</v>
      </c>
      <c r="F1208">
        <v>46.743000000000002</v>
      </c>
      <c r="G1208">
        <v>8.11</v>
      </c>
      <c r="H1208">
        <v>1</v>
      </c>
      <c r="I1208">
        <v>579.1</v>
      </c>
      <c r="J1208" t="str">
        <f>HYPERLINK("https://climate.onebuilding.org/WMO_Region_6_Europe/CHE_Switzerland/BE_Bern/CHE_BE_Meiringen.AP.066140_TMYx.2007-2021.zip")</f>
        <v>https://climate.onebuilding.org/WMO_Region_6_Europe/CHE_Switzerland/BE_Bern/CHE_BE_Meiringen.AP.066140_TMYx.2007-2021.zip</v>
      </c>
    </row>
    <row r="1209" spans="1:10" x14ac:dyDescent="0.25">
      <c r="A1209" t="s">
        <v>702</v>
      </c>
      <c r="B1209" t="s">
        <v>65</v>
      </c>
      <c r="C1209" t="s">
        <v>743</v>
      </c>
      <c r="D1209" s="1" t="s">
        <v>744</v>
      </c>
      <c r="E1209" t="s">
        <v>14</v>
      </c>
      <c r="F1209">
        <v>46.743000000000002</v>
      </c>
      <c r="G1209">
        <v>8.11</v>
      </c>
      <c r="H1209">
        <v>1</v>
      </c>
      <c r="I1209">
        <v>579.1</v>
      </c>
      <c r="J1209" t="str">
        <f>HYPERLINK("https://climate.onebuilding.org/WMO_Region_6_Europe/CHE_Switzerland/BE_Bern/CHE_BE_Meiringen.AP.066140_TMYx.2009-2023.zip")</f>
        <v>https://climate.onebuilding.org/WMO_Region_6_Europe/CHE_Switzerland/BE_Bern/CHE_BE_Meiringen.AP.066140_TMYx.2009-2023.zip</v>
      </c>
    </row>
    <row r="1210" spans="1:10" x14ac:dyDescent="0.25">
      <c r="A1210" t="s">
        <v>702</v>
      </c>
      <c r="B1210" t="s">
        <v>65</v>
      </c>
      <c r="C1210" t="s">
        <v>743</v>
      </c>
      <c r="D1210" s="1" t="s">
        <v>744</v>
      </c>
      <c r="E1210" t="s">
        <v>14</v>
      </c>
      <c r="F1210">
        <v>46.743000000000002</v>
      </c>
      <c r="G1210">
        <v>8.11</v>
      </c>
      <c r="H1210">
        <v>1</v>
      </c>
      <c r="I1210">
        <v>579.1</v>
      </c>
      <c r="J1210" t="str">
        <f>HYPERLINK("https://climate.onebuilding.org/WMO_Region_6_Europe/CHE_Switzerland/BE_Bern/CHE_BE_Meiringen.AP.066140_TMYx.zip")</f>
        <v>https://climate.onebuilding.org/WMO_Region_6_Europe/CHE_Switzerland/BE_Bern/CHE_BE_Meiringen.AP.066140_TMYx.zip</v>
      </c>
    </row>
    <row r="1211" spans="1:10" x14ac:dyDescent="0.25">
      <c r="A1211" t="s">
        <v>702</v>
      </c>
      <c r="B1211" t="s">
        <v>709</v>
      </c>
      <c r="C1211" t="s">
        <v>746</v>
      </c>
      <c r="D1211" s="1" t="s">
        <v>747</v>
      </c>
      <c r="E1211" t="s">
        <v>748</v>
      </c>
      <c r="F1211">
        <v>47.423900000000003</v>
      </c>
      <c r="G1211">
        <v>6.9410999999999996</v>
      </c>
      <c r="H1211">
        <v>1</v>
      </c>
      <c r="I1211">
        <v>597.6</v>
      </c>
      <c r="J1211" t="str">
        <f>HYPERLINK("https://climate.onebuilding.org/WMO_Region_6_Europe/CHE_Switzerland/JU_Jura/CHE_JU_Fahy.Boncourt.066160_TMYx.2004-2018.zip")</f>
        <v>https://climate.onebuilding.org/WMO_Region_6_Europe/CHE_Switzerland/JU_Jura/CHE_JU_Fahy.Boncourt.066160_TMYx.2004-2018.zip</v>
      </c>
    </row>
    <row r="1212" spans="1:10" x14ac:dyDescent="0.25">
      <c r="A1212" t="s">
        <v>702</v>
      </c>
      <c r="B1212" t="s">
        <v>709</v>
      </c>
      <c r="C1212" t="s">
        <v>746</v>
      </c>
      <c r="D1212" s="1" t="s">
        <v>747</v>
      </c>
      <c r="E1212" t="s">
        <v>14</v>
      </c>
      <c r="F1212">
        <v>47.423900000000003</v>
      </c>
      <c r="G1212">
        <v>6.9410999999999996</v>
      </c>
      <c r="H1212">
        <v>1</v>
      </c>
      <c r="I1212">
        <v>597.6</v>
      </c>
      <c r="J1212" t="str">
        <f>HYPERLINK("https://climate.onebuilding.org/WMO_Region_6_Europe/CHE_Switzerland/JU_Jura/CHE_JU_Fahy.Boncourt.066160_TMYx.2007-2021.zip")</f>
        <v>https://climate.onebuilding.org/WMO_Region_6_Europe/CHE_Switzerland/JU_Jura/CHE_JU_Fahy.Boncourt.066160_TMYx.2007-2021.zip</v>
      </c>
    </row>
    <row r="1213" spans="1:10" x14ac:dyDescent="0.25">
      <c r="A1213" t="s">
        <v>702</v>
      </c>
      <c r="B1213" t="s">
        <v>709</v>
      </c>
      <c r="C1213" t="s">
        <v>746</v>
      </c>
      <c r="D1213" s="1" t="s">
        <v>747</v>
      </c>
      <c r="E1213" t="s">
        <v>14</v>
      </c>
      <c r="F1213">
        <v>47.423900000000003</v>
      </c>
      <c r="G1213">
        <v>6.9410999999999996</v>
      </c>
      <c r="H1213">
        <v>1</v>
      </c>
      <c r="I1213">
        <v>597.6</v>
      </c>
      <c r="J1213" t="str">
        <f>HYPERLINK("https://climate.onebuilding.org/WMO_Region_6_Europe/CHE_Switzerland/JU_Jura/CHE_JU_Fahy.Boncourt.066160_TMYx.2009-2023.zip")</f>
        <v>https://climate.onebuilding.org/WMO_Region_6_Europe/CHE_Switzerland/JU_Jura/CHE_JU_Fahy.Boncourt.066160_TMYx.2009-2023.zip</v>
      </c>
    </row>
    <row r="1214" spans="1:10" x14ac:dyDescent="0.25">
      <c r="A1214" t="s">
        <v>702</v>
      </c>
      <c r="B1214" t="s">
        <v>709</v>
      </c>
      <c r="C1214" t="s">
        <v>746</v>
      </c>
      <c r="D1214" s="1" t="s">
        <v>747</v>
      </c>
      <c r="E1214" t="s">
        <v>14</v>
      </c>
      <c r="F1214">
        <v>47.423900000000003</v>
      </c>
      <c r="G1214">
        <v>6.9410999999999996</v>
      </c>
      <c r="H1214">
        <v>1</v>
      </c>
      <c r="I1214">
        <v>597.6</v>
      </c>
      <c r="J1214" t="str">
        <f>HYPERLINK("https://climate.onebuilding.org/WMO_Region_6_Europe/CHE_Switzerland/JU_Jura/CHE_JU_Fahy.Boncourt.066160_TMYx.zip")</f>
        <v>https://climate.onebuilding.org/WMO_Region_6_Europe/CHE_Switzerland/JU_Jura/CHE_JU_Fahy.Boncourt.066160_TMYx.zip</v>
      </c>
    </row>
    <row r="1215" spans="1:10" x14ac:dyDescent="0.25">
      <c r="A1215" t="s">
        <v>702</v>
      </c>
      <c r="B1215" t="s">
        <v>713</v>
      </c>
      <c r="C1215" t="s">
        <v>749</v>
      </c>
      <c r="D1215" s="1" t="s">
        <v>750</v>
      </c>
      <c r="E1215" t="s">
        <v>751</v>
      </c>
      <c r="F1215">
        <v>46.983899999999998</v>
      </c>
      <c r="G1215">
        <v>6.6102999999999996</v>
      </c>
      <c r="H1215">
        <v>1</v>
      </c>
      <c r="I1215">
        <v>1050.0999999999999</v>
      </c>
      <c r="J1215" t="str">
        <f>HYPERLINK("https://climate.onebuilding.org/WMO_Region_6_Europe/CHE_Switzerland/NE_Neuchatel/CHE_NE_La.Brevine.066170_TMYx.2004-2018.zip")</f>
        <v>https://climate.onebuilding.org/WMO_Region_6_Europe/CHE_Switzerland/NE_Neuchatel/CHE_NE_La.Brevine.066170_TMYx.2004-2018.zip</v>
      </c>
    </row>
    <row r="1216" spans="1:10" x14ac:dyDescent="0.25">
      <c r="A1216" t="s">
        <v>702</v>
      </c>
      <c r="B1216" t="s">
        <v>713</v>
      </c>
      <c r="C1216" t="s">
        <v>749</v>
      </c>
      <c r="D1216" s="1" t="s">
        <v>750</v>
      </c>
      <c r="E1216" t="s">
        <v>14</v>
      </c>
      <c r="F1216">
        <v>46.983899999999998</v>
      </c>
      <c r="G1216">
        <v>6.6102999999999996</v>
      </c>
      <c r="H1216">
        <v>1</v>
      </c>
      <c r="I1216">
        <v>1050.0999999999999</v>
      </c>
      <c r="J1216" t="str">
        <f>HYPERLINK("https://climate.onebuilding.org/WMO_Region_6_Europe/CHE_Switzerland/NE_Neuchatel/CHE_NE_La.Brevine.066170_TMYx.2007-2021.zip")</f>
        <v>https://climate.onebuilding.org/WMO_Region_6_Europe/CHE_Switzerland/NE_Neuchatel/CHE_NE_La.Brevine.066170_TMYx.2007-2021.zip</v>
      </c>
    </row>
    <row r="1217" spans="1:10" x14ac:dyDescent="0.25">
      <c r="A1217" t="s">
        <v>702</v>
      </c>
      <c r="B1217" t="s">
        <v>713</v>
      </c>
      <c r="C1217" t="s">
        <v>749</v>
      </c>
      <c r="D1217" s="1" t="s">
        <v>750</v>
      </c>
      <c r="E1217" t="s">
        <v>14</v>
      </c>
      <c r="F1217">
        <v>46.983899999999998</v>
      </c>
      <c r="G1217">
        <v>6.6102999999999996</v>
      </c>
      <c r="H1217">
        <v>1</v>
      </c>
      <c r="I1217">
        <v>1050.0999999999999</v>
      </c>
      <c r="J1217" t="str">
        <f>HYPERLINK("https://climate.onebuilding.org/WMO_Region_6_Europe/CHE_Switzerland/NE_Neuchatel/CHE_NE_La.Brevine.066170_TMYx.2009-2023.zip")</f>
        <v>https://climate.onebuilding.org/WMO_Region_6_Europe/CHE_Switzerland/NE_Neuchatel/CHE_NE_La.Brevine.066170_TMYx.2009-2023.zip</v>
      </c>
    </row>
    <row r="1218" spans="1:10" x14ac:dyDescent="0.25">
      <c r="A1218" t="s">
        <v>702</v>
      </c>
      <c r="B1218" t="s">
        <v>713</v>
      </c>
      <c r="C1218" t="s">
        <v>749</v>
      </c>
      <c r="D1218" s="1" t="s">
        <v>750</v>
      </c>
      <c r="E1218" t="s">
        <v>14</v>
      </c>
      <c r="F1218">
        <v>46.983899999999998</v>
      </c>
      <c r="G1218">
        <v>6.6102999999999996</v>
      </c>
      <c r="H1218">
        <v>1</v>
      </c>
      <c r="I1218">
        <v>1050.0999999999999</v>
      </c>
      <c r="J1218" t="str">
        <f>HYPERLINK("https://climate.onebuilding.org/WMO_Region_6_Europe/CHE_Switzerland/NE_Neuchatel/CHE_NE_La.Brevine.066170_TMYx.zip")</f>
        <v>https://climate.onebuilding.org/WMO_Region_6_Europe/CHE_Switzerland/NE_Neuchatel/CHE_NE_La.Brevine.066170_TMYx.zip</v>
      </c>
    </row>
    <row r="1219" spans="1:10" x14ac:dyDescent="0.25">
      <c r="A1219" t="s">
        <v>702</v>
      </c>
      <c r="B1219" t="s">
        <v>478</v>
      </c>
      <c r="C1219" t="s">
        <v>752</v>
      </c>
      <c r="D1219" s="1" t="s">
        <v>753</v>
      </c>
      <c r="E1219" t="s">
        <v>754</v>
      </c>
      <c r="F1219">
        <v>46.736899999999999</v>
      </c>
      <c r="G1219">
        <v>6.5681000000000003</v>
      </c>
      <c r="H1219">
        <v>1</v>
      </c>
      <c r="I1219">
        <v>437.4</v>
      </c>
      <c r="J1219" t="str">
        <f>HYPERLINK("https://climate.onebuilding.org/WMO_Region_6_Europe/CHE_Switzerland/VD_Vaud/CHE_VD_Mathod.066180_TMYx.2004-2018.zip")</f>
        <v>https://climate.onebuilding.org/WMO_Region_6_Europe/CHE_Switzerland/VD_Vaud/CHE_VD_Mathod.066180_TMYx.2004-2018.zip</v>
      </c>
    </row>
    <row r="1220" spans="1:10" x14ac:dyDescent="0.25">
      <c r="A1220" t="s">
        <v>702</v>
      </c>
      <c r="B1220" t="s">
        <v>478</v>
      </c>
      <c r="C1220" t="s">
        <v>752</v>
      </c>
      <c r="D1220" s="1" t="s">
        <v>753</v>
      </c>
      <c r="E1220" t="s">
        <v>14</v>
      </c>
      <c r="F1220">
        <v>46.736899999999999</v>
      </c>
      <c r="G1220">
        <v>6.5681000000000003</v>
      </c>
      <c r="H1220">
        <v>1</v>
      </c>
      <c r="I1220">
        <v>437.4</v>
      </c>
      <c r="J1220" t="str">
        <f>HYPERLINK("https://climate.onebuilding.org/WMO_Region_6_Europe/CHE_Switzerland/VD_Vaud/CHE_VD_Mathod.066180_TMYx.2007-2021.zip")</f>
        <v>https://climate.onebuilding.org/WMO_Region_6_Europe/CHE_Switzerland/VD_Vaud/CHE_VD_Mathod.066180_TMYx.2007-2021.zip</v>
      </c>
    </row>
    <row r="1221" spans="1:10" x14ac:dyDescent="0.25">
      <c r="A1221" t="s">
        <v>702</v>
      </c>
      <c r="B1221" t="s">
        <v>478</v>
      </c>
      <c r="C1221" t="s">
        <v>752</v>
      </c>
      <c r="D1221" s="1" t="s">
        <v>753</v>
      </c>
      <c r="E1221" t="s">
        <v>14</v>
      </c>
      <c r="F1221">
        <v>46.736899999999999</v>
      </c>
      <c r="G1221">
        <v>6.5681000000000003</v>
      </c>
      <c r="H1221">
        <v>1</v>
      </c>
      <c r="I1221">
        <v>437.4</v>
      </c>
      <c r="J1221" t="str">
        <f>HYPERLINK("https://climate.onebuilding.org/WMO_Region_6_Europe/CHE_Switzerland/VD_Vaud/CHE_VD_Mathod.066180_TMYx.2009-2023.zip")</f>
        <v>https://climate.onebuilding.org/WMO_Region_6_Europe/CHE_Switzerland/VD_Vaud/CHE_VD_Mathod.066180_TMYx.2009-2023.zip</v>
      </c>
    </row>
    <row r="1222" spans="1:10" x14ac:dyDescent="0.25">
      <c r="A1222" t="s">
        <v>702</v>
      </c>
      <c r="B1222" t="s">
        <v>478</v>
      </c>
      <c r="C1222" t="s">
        <v>752</v>
      </c>
      <c r="D1222" s="1" t="s">
        <v>753</v>
      </c>
      <c r="E1222" t="s">
        <v>14</v>
      </c>
      <c r="F1222">
        <v>46.736899999999999</v>
      </c>
      <c r="G1222">
        <v>6.5681000000000003</v>
      </c>
      <c r="H1222">
        <v>1</v>
      </c>
      <c r="I1222">
        <v>437.4</v>
      </c>
      <c r="J1222" t="str">
        <f>HYPERLINK("https://climate.onebuilding.org/WMO_Region_6_Europe/CHE_Switzerland/VD_Vaud/CHE_VD_Mathod.066180_TMYx.zip")</f>
        <v>https://climate.onebuilding.org/WMO_Region_6_Europe/CHE_Switzerland/VD_Vaud/CHE_VD_Mathod.066180_TMYx.zip</v>
      </c>
    </row>
    <row r="1223" spans="1:10" x14ac:dyDescent="0.25">
      <c r="A1223" t="s">
        <v>702</v>
      </c>
      <c r="B1223" t="s">
        <v>478</v>
      </c>
      <c r="C1223" t="s">
        <v>755</v>
      </c>
      <c r="D1223" s="1" t="s">
        <v>756</v>
      </c>
      <c r="E1223" t="s">
        <v>757</v>
      </c>
      <c r="F1223">
        <v>46.840499999999999</v>
      </c>
      <c r="G1223">
        <v>6.5763999999999996</v>
      </c>
      <c r="H1223">
        <v>1</v>
      </c>
      <c r="I1223">
        <v>1206.0999999999999</v>
      </c>
      <c r="J1223" t="str">
        <f>HYPERLINK("https://climate.onebuilding.org/WMO_Region_6_Europe/CHE_Switzerland/VD_Vaud/CHE_VD_Bullet.La.Fretaz.066190_TMYx.2004-2018.zip")</f>
        <v>https://climate.onebuilding.org/WMO_Region_6_Europe/CHE_Switzerland/VD_Vaud/CHE_VD_Bullet.La.Fretaz.066190_TMYx.2004-2018.zip</v>
      </c>
    </row>
    <row r="1224" spans="1:10" x14ac:dyDescent="0.25">
      <c r="A1224" t="s">
        <v>702</v>
      </c>
      <c r="B1224" t="s">
        <v>478</v>
      </c>
      <c r="C1224" t="s">
        <v>755</v>
      </c>
      <c r="D1224" s="1" t="s">
        <v>756</v>
      </c>
      <c r="E1224" t="s">
        <v>14</v>
      </c>
      <c r="F1224">
        <v>46.840499999999999</v>
      </c>
      <c r="G1224">
        <v>6.5763999999999996</v>
      </c>
      <c r="H1224">
        <v>1</v>
      </c>
      <c r="I1224">
        <v>1206.0999999999999</v>
      </c>
      <c r="J1224" t="str">
        <f>HYPERLINK("https://climate.onebuilding.org/WMO_Region_6_Europe/CHE_Switzerland/VD_Vaud/CHE_VD_Bullet.La.Fretaz.066190_TMYx.2007-2021.zip")</f>
        <v>https://climate.onebuilding.org/WMO_Region_6_Europe/CHE_Switzerland/VD_Vaud/CHE_VD_Bullet.La.Fretaz.066190_TMYx.2007-2021.zip</v>
      </c>
    </row>
    <row r="1225" spans="1:10" x14ac:dyDescent="0.25">
      <c r="A1225" t="s">
        <v>702</v>
      </c>
      <c r="B1225" t="s">
        <v>478</v>
      </c>
      <c r="C1225" t="s">
        <v>755</v>
      </c>
      <c r="D1225" s="1" t="s">
        <v>756</v>
      </c>
      <c r="E1225" t="s">
        <v>14</v>
      </c>
      <c r="F1225">
        <v>46.840499999999999</v>
      </c>
      <c r="G1225">
        <v>6.5763999999999996</v>
      </c>
      <c r="H1225">
        <v>1</v>
      </c>
      <c r="I1225">
        <v>1206.0999999999999</v>
      </c>
      <c r="J1225" t="str">
        <f>HYPERLINK("https://climate.onebuilding.org/WMO_Region_6_Europe/CHE_Switzerland/VD_Vaud/CHE_VD_Bullet.La.Fretaz.066190_TMYx.2009-2023.zip")</f>
        <v>https://climate.onebuilding.org/WMO_Region_6_Europe/CHE_Switzerland/VD_Vaud/CHE_VD_Bullet.La.Fretaz.066190_TMYx.2009-2023.zip</v>
      </c>
    </row>
    <row r="1226" spans="1:10" x14ac:dyDescent="0.25">
      <c r="A1226" t="s">
        <v>702</v>
      </c>
      <c r="B1226" t="s">
        <v>478</v>
      </c>
      <c r="C1226" t="s">
        <v>755</v>
      </c>
      <c r="D1226" s="1" t="s">
        <v>756</v>
      </c>
      <c r="E1226" t="s">
        <v>14</v>
      </c>
      <c r="F1226">
        <v>46.840499999999999</v>
      </c>
      <c r="G1226">
        <v>6.5763999999999996</v>
      </c>
      <c r="H1226">
        <v>1</v>
      </c>
      <c r="I1226">
        <v>1206.0999999999999</v>
      </c>
      <c r="J1226" t="str">
        <f>HYPERLINK("https://climate.onebuilding.org/WMO_Region_6_Europe/CHE_Switzerland/VD_Vaud/CHE_VD_Bullet.La.Fretaz.066190_TMYx.zip")</f>
        <v>https://climate.onebuilding.org/WMO_Region_6_Europe/CHE_Switzerland/VD_Vaud/CHE_VD_Bullet.La.Fretaz.066190_TMYx.zip</v>
      </c>
    </row>
    <row r="1227" spans="1:10" x14ac:dyDescent="0.25">
      <c r="A1227" t="s">
        <v>702</v>
      </c>
      <c r="B1227" t="s">
        <v>508</v>
      </c>
      <c r="C1227" t="s">
        <v>758</v>
      </c>
      <c r="D1227" s="1" t="s">
        <v>759</v>
      </c>
      <c r="E1227" t="s">
        <v>760</v>
      </c>
      <c r="F1227">
        <v>47.689700000000002</v>
      </c>
      <c r="G1227">
        <v>8.6199999999999992</v>
      </c>
      <c r="H1227">
        <v>1</v>
      </c>
      <c r="I1227">
        <v>439.4</v>
      </c>
      <c r="J1227" t="str">
        <f>HYPERLINK("https://climate.onebuilding.org/WMO_Region_6_Europe/CHE_Switzerland/SH_Schaffhausen/CHE_SH_Schaffhausen.066200_TMYx.2004-2018.zip")</f>
        <v>https://climate.onebuilding.org/WMO_Region_6_Europe/CHE_Switzerland/SH_Schaffhausen/CHE_SH_Schaffhausen.066200_TMYx.2004-2018.zip</v>
      </c>
    </row>
    <row r="1228" spans="1:10" x14ac:dyDescent="0.25">
      <c r="A1228" t="s">
        <v>702</v>
      </c>
      <c r="B1228" t="s">
        <v>508</v>
      </c>
      <c r="C1228" t="s">
        <v>758</v>
      </c>
      <c r="D1228" s="1" t="s">
        <v>759</v>
      </c>
      <c r="E1228" t="s">
        <v>14</v>
      </c>
      <c r="F1228">
        <v>47.689700000000002</v>
      </c>
      <c r="G1228">
        <v>8.6199999999999992</v>
      </c>
      <c r="H1228">
        <v>1</v>
      </c>
      <c r="I1228">
        <v>439.4</v>
      </c>
      <c r="J1228" t="str">
        <f>HYPERLINK("https://climate.onebuilding.org/WMO_Region_6_Europe/CHE_Switzerland/SH_Schaffhausen/CHE_SH_Schaffhausen.066200_TMYx.2007-2021.zip")</f>
        <v>https://climate.onebuilding.org/WMO_Region_6_Europe/CHE_Switzerland/SH_Schaffhausen/CHE_SH_Schaffhausen.066200_TMYx.2007-2021.zip</v>
      </c>
    </row>
    <row r="1229" spans="1:10" x14ac:dyDescent="0.25">
      <c r="A1229" t="s">
        <v>702</v>
      </c>
      <c r="B1229" t="s">
        <v>508</v>
      </c>
      <c r="C1229" t="s">
        <v>758</v>
      </c>
      <c r="D1229" s="1" t="s">
        <v>759</v>
      </c>
      <c r="E1229" t="s">
        <v>14</v>
      </c>
      <c r="F1229">
        <v>47.689700000000002</v>
      </c>
      <c r="G1229">
        <v>8.6199999999999992</v>
      </c>
      <c r="H1229">
        <v>1</v>
      </c>
      <c r="I1229">
        <v>439.4</v>
      </c>
      <c r="J1229" t="str">
        <f>HYPERLINK("https://climate.onebuilding.org/WMO_Region_6_Europe/CHE_Switzerland/SH_Schaffhausen/CHE_SH_Schaffhausen.066200_TMYx.2009-2023.zip")</f>
        <v>https://climate.onebuilding.org/WMO_Region_6_Europe/CHE_Switzerland/SH_Schaffhausen/CHE_SH_Schaffhausen.066200_TMYx.2009-2023.zip</v>
      </c>
    </row>
    <row r="1230" spans="1:10" x14ac:dyDescent="0.25">
      <c r="A1230" t="s">
        <v>702</v>
      </c>
      <c r="B1230" t="s">
        <v>508</v>
      </c>
      <c r="C1230" t="s">
        <v>758</v>
      </c>
      <c r="D1230" s="1" t="s">
        <v>759</v>
      </c>
      <c r="E1230" t="s">
        <v>14</v>
      </c>
      <c r="F1230">
        <v>47.689700000000002</v>
      </c>
      <c r="G1230">
        <v>8.6199999999999992</v>
      </c>
      <c r="H1230">
        <v>1</v>
      </c>
      <c r="I1230">
        <v>439.4</v>
      </c>
      <c r="J1230" t="str">
        <f>HYPERLINK("https://climate.onebuilding.org/WMO_Region_6_Europe/CHE_Switzerland/SH_Schaffhausen/CHE_SH_Schaffhausen.066200_TMYx.zip")</f>
        <v>https://climate.onebuilding.org/WMO_Region_6_Europe/CHE_Switzerland/SH_Schaffhausen/CHE_SH_Schaffhausen.066200_TMYx.zip</v>
      </c>
    </row>
    <row r="1231" spans="1:10" x14ac:dyDescent="0.25">
      <c r="A1231" t="s">
        <v>702</v>
      </c>
      <c r="B1231" t="s">
        <v>761</v>
      </c>
      <c r="C1231" t="s">
        <v>762</v>
      </c>
      <c r="D1231" s="1" t="s">
        <v>763</v>
      </c>
      <c r="E1231" t="s">
        <v>764</v>
      </c>
      <c r="F1231">
        <v>47.601700000000001</v>
      </c>
      <c r="G1231">
        <v>9.2794000000000008</v>
      </c>
      <c r="H1231">
        <v>1</v>
      </c>
      <c r="I1231">
        <v>441.4</v>
      </c>
      <c r="J1231" t="str">
        <f>HYPERLINK("https://climate.onebuilding.org/WMO_Region_6_Europe/CHE_Switzerland/TG_Thurgau/CHE_TG_Guttingen.066210_TMYx.2004-2018.zip")</f>
        <v>https://climate.onebuilding.org/WMO_Region_6_Europe/CHE_Switzerland/TG_Thurgau/CHE_TG_Guttingen.066210_TMYx.2004-2018.zip</v>
      </c>
    </row>
    <row r="1232" spans="1:10" x14ac:dyDescent="0.25">
      <c r="A1232" t="s">
        <v>702</v>
      </c>
      <c r="B1232" t="s">
        <v>761</v>
      </c>
      <c r="C1232" t="s">
        <v>762</v>
      </c>
      <c r="D1232" s="1" t="s">
        <v>763</v>
      </c>
      <c r="E1232" t="s">
        <v>14</v>
      </c>
      <c r="F1232">
        <v>47.601700000000001</v>
      </c>
      <c r="G1232">
        <v>9.2794000000000008</v>
      </c>
      <c r="H1232">
        <v>1</v>
      </c>
      <c r="I1232">
        <v>441.4</v>
      </c>
      <c r="J1232" t="str">
        <f>HYPERLINK("https://climate.onebuilding.org/WMO_Region_6_Europe/CHE_Switzerland/TG_Thurgau/CHE_TG_Guttingen.066210_TMYx.2007-2021.zip")</f>
        <v>https://climate.onebuilding.org/WMO_Region_6_Europe/CHE_Switzerland/TG_Thurgau/CHE_TG_Guttingen.066210_TMYx.2007-2021.zip</v>
      </c>
    </row>
    <row r="1233" spans="1:10" x14ac:dyDescent="0.25">
      <c r="A1233" t="s">
        <v>702</v>
      </c>
      <c r="B1233" t="s">
        <v>761</v>
      </c>
      <c r="C1233" t="s">
        <v>762</v>
      </c>
      <c r="D1233" s="1" t="s">
        <v>763</v>
      </c>
      <c r="E1233" t="s">
        <v>14</v>
      </c>
      <c r="F1233">
        <v>47.601700000000001</v>
      </c>
      <c r="G1233">
        <v>9.2794000000000008</v>
      </c>
      <c r="H1233">
        <v>1</v>
      </c>
      <c r="I1233">
        <v>441.4</v>
      </c>
      <c r="J1233" t="str">
        <f>HYPERLINK("https://climate.onebuilding.org/WMO_Region_6_Europe/CHE_Switzerland/TG_Thurgau/CHE_TG_Guttingen.066210_TMYx.2009-2023.zip")</f>
        <v>https://climate.onebuilding.org/WMO_Region_6_Europe/CHE_Switzerland/TG_Thurgau/CHE_TG_Guttingen.066210_TMYx.2009-2023.zip</v>
      </c>
    </row>
    <row r="1234" spans="1:10" x14ac:dyDescent="0.25">
      <c r="A1234" t="s">
        <v>702</v>
      </c>
      <c r="B1234" t="s">
        <v>761</v>
      </c>
      <c r="C1234" t="s">
        <v>762</v>
      </c>
      <c r="D1234" s="1" t="s">
        <v>763</v>
      </c>
      <c r="E1234" t="s">
        <v>14</v>
      </c>
      <c r="F1234">
        <v>47.601700000000001</v>
      </c>
      <c r="G1234">
        <v>9.2794000000000008</v>
      </c>
      <c r="H1234">
        <v>1</v>
      </c>
      <c r="I1234">
        <v>441.4</v>
      </c>
      <c r="J1234" t="str">
        <f>HYPERLINK("https://climate.onebuilding.org/WMO_Region_6_Europe/CHE_Switzerland/TG_Thurgau/CHE_TG_Guttingen.066210_TMYx.zip")</f>
        <v>https://climate.onebuilding.org/WMO_Region_6_Europe/CHE_Switzerland/TG_Thurgau/CHE_TG_Guttingen.066210_TMYx.zip</v>
      </c>
    </row>
    <row r="1235" spans="1:10" x14ac:dyDescent="0.25">
      <c r="A1235" t="s">
        <v>702</v>
      </c>
      <c r="B1235" t="s">
        <v>761</v>
      </c>
      <c r="C1235" t="s">
        <v>765</v>
      </c>
      <c r="D1235" s="1" t="s">
        <v>766</v>
      </c>
      <c r="E1235" t="s">
        <v>767</v>
      </c>
      <c r="F1235">
        <v>47.6511</v>
      </c>
      <c r="G1235">
        <v>9.0238999999999994</v>
      </c>
      <c r="H1235">
        <v>1</v>
      </c>
      <c r="I1235">
        <v>719.7</v>
      </c>
      <c r="J1235" t="str">
        <f>HYPERLINK("https://climate.onebuilding.org/WMO_Region_6_Europe/CHE_Switzerland/TG_Thurgau/CHE_TG_Salen.Reutenen.066230_TMYx.2004-2018.zip")</f>
        <v>https://climate.onebuilding.org/WMO_Region_6_Europe/CHE_Switzerland/TG_Thurgau/CHE_TG_Salen.Reutenen.066230_TMYx.2004-2018.zip</v>
      </c>
    </row>
    <row r="1236" spans="1:10" x14ac:dyDescent="0.25">
      <c r="A1236" t="s">
        <v>702</v>
      </c>
      <c r="B1236" t="s">
        <v>761</v>
      </c>
      <c r="C1236" t="s">
        <v>765</v>
      </c>
      <c r="D1236" s="1" t="s">
        <v>766</v>
      </c>
      <c r="E1236" t="s">
        <v>14</v>
      </c>
      <c r="F1236">
        <v>47.6511</v>
      </c>
      <c r="G1236">
        <v>9.0238999999999994</v>
      </c>
      <c r="H1236">
        <v>1</v>
      </c>
      <c r="I1236">
        <v>719.7</v>
      </c>
      <c r="J1236" t="str">
        <f>HYPERLINK("https://climate.onebuilding.org/WMO_Region_6_Europe/CHE_Switzerland/TG_Thurgau/CHE_TG_Salen.Reutenen.066230_TMYx.2007-2021.zip")</f>
        <v>https://climate.onebuilding.org/WMO_Region_6_Europe/CHE_Switzerland/TG_Thurgau/CHE_TG_Salen.Reutenen.066230_TMYx.2007-2021.zip</v>
      </c>
    </row>
    <row r="1237" spans="1:10" x14ac:dyDescent="0.25">
      <c r="A1237" t="s">
        <v>702</v>
      </c>
      <c r="B1237" t="s">
        <v>761</v>
      </c>
      <c r="C1237" t="s">
        <v>765</v>
      </c>
      <c r="D1237" s="1" t="s">
        <v>766</v>
      </c>
      <c r="E1237" t="s">
        <v>14</v>
      </c>
      <c r="F1237">
        <v>47.6511</v>
      </c>
      <c r="G1237">
        <v>9.0238999999999994</v>
      </c>
      <c r="H1237">
        <v>1</v>
      </c>
      <c r="I1237">
        <v>719.7</v>
      </c>
      <c r="J1237" t="str">
        <f>HYPERLINK("https://climate.onebuilding.org/WMO_Region_6_Europe/CHE_Switzerland/TG_Thurgau/CHE_TG_Salen.Reutenen.066230_TMYx.2009-2023.zip")</f>
        <v>https://climate.onebuilding.org/WMO_Region_6_Europe/CHE_Switzerland/TG_Thurgau/CHE_TG_Salen.Reutenen.066230_TMYx.2009-2023.zip</v>
      </c>
    </row>
    <row r="1238" spans="1:10" x14ac:dyDescent="0.25">
      <c r="A1238" t="s">
        <v>702</v>
      </c>
      <c r="B1238" t="s">
        <v>761</v>
      </c>
      <c r="C1238" t="s">
        <v>765</v>
      </c>
      <c r="D1238" s="1" t="s">
        <v>766</v>
      </c>
      <c r="E1238" t="s">
        <v>14</v>
      </c>
      <c r="F1238">
        <v>47.6511</v>
      </c>
      <c r="G1238">
        <v>9.0238999999999994</v>
      </c>
      <c r="H1238">
        <v>1</v>
      </c>
      <c r="I1238">
        <v>719.7</v>
      </c>
      <c r="J1238" t="str">
        <f>HYPERLINK("https://climate.onebuilding.org/WMO_Region_6_Europe/CHE_Switzerland/TG_Thurgau/CHE_TG_Salen.Reutenen.066230_TMYx.zip")</f>
        <v>https://climate.onebuilding.org/WMO_Region_6_Europe/CHE_Switzerland/TG_Thurgau/CHE_TG_Salen.Reutenen.066230_TMYx.zip</v>
      </c>
    </row>
    <row r="1239" spans="1:10" x14ac:dyDescent="0.25">
      <c r="A1239" t="s">
        <v>702</v>
      </c>
      <c r="B1239" t="s">
        <v>508</v>
      </c>
      <c r="C1239" t="s">
        <v>768</v>
      </c>
      <c r="D1239" s="1" t="s">
        <v>769</v>
      </c>
      <c r="E1239" t="s">
        <v>770</v>
      </c>
      <c r="F1239">
        <v>47.697200000000002</v>
      </c>
      <c r="G1239">
        <v>8.4705999999999992</v>
      </c>
      <c r="H1239">
        <v>1</v>
      </c>
      <c r="I1239">
        <v>420</v>
      </c>
      <c r="J1239" t="str">
        <f>HYPERLINK("https://climate.onebuilding.org/WMO_Region_6_Europe/CHE_Switzerland/SH_Schaffhausen/CHE_SH_Hallau.066240_TMYx.2004-2018.zip")</f>
        <v>https://climate.onebuilding.org/WMO_Region_6_Europe/CHE_Switzerland/SH_Schaffhausen/CHE_SH_Hallau.066240_TMYx.2004-2018.zip</v>
      </c>
    </row>
    <row r="1240" spans="1:10" x14ac:dyDescent="0.25">
      <c r="A1240" t="s">
        <v>702</v>
      </c>
      <c r="B1240" t="s">
        <v>508</v>
      </c>
      <c r="C1240" t="s">
        <v>768</v>
      </c>
      <c r="D1240" s="1" t="s">
        <v>769</v>
      </c>
      <c r="E1240" t="s">
        <v>14</v>
      </c>
      <c r="F1240">
        <v>47.697200000000002</v>
      </c>
      <c r="G1240">
        <v>8.4705999999999992</v>
      </c>
      <c r="H1240">
        <v>1</v>
      </c>
      <c r="I1240">
        <v>420</v>
      </c>
      <c r="J1240" t="str">
        <f>HYPERLINK("https://climate.onebuilding.org/WMO_Region_6_Europe/CHE_Switzerland/SH_Schaffhausen/CHE_SH_Hallau.066240_TMYx.2007-2021.zip")</f>
        <v>https://climate.onebuilding.org/WMO_Region_6_Europe/CHE_Switzerland/SH_Schaffhausen/CHE_SH_Hallau.066240_TMYx.2007-2021.zip</v>
      </c>
    </row>
    <row r="1241" spans="1:10" x14ac:dyDescent="0.25">
      <c r="A1241" t="s">
        <v>702</v>
      </c>
      <c r="B1241" t="s">
        <v>508</v>
      </c>
      <c r="C1241" t="s">
        <v>768</v>
      </c>
      <c r="D1241" s="1" t="s">
        <v>769</v>
      </c>
      <c r="E1241" t="s">
        <v>14</v>
      </c>
      <c r="F1241">
        <v>47.697200000000002</v>
      </c>
      <c r="G1241">
        <v>8.4705999999999992</v>
      </c>
      <c r="H1241">
        <v>1</v>
      </c>
      <c r="I1241">
        <v>420</v>
      </c>
      <c r="J1241" t="str">
        <f>HYPERLINK("https://climate.onebuilding.org/WMO_Region_6_Europe/CHE_Switzerland/SH_Schaffhausen/CHE_SH_Hallau.066240_TMYx.2009-2023.zip")</f>
        <v>https://climate.onebuilding.org/WMO_Region_6_Europe/CHE_Switzerland/SH_Schaffhausen/CHE_SH_Hallau.066240_TMYx.2009-2023.zip</v>
      </c>
    </row>
    <row r="1242" spans="1:10" x14ac:dyDescent="0.25">
      <c r="A1242" t="s">
        <v>702</v>
      </c>
      <c r="B1242" t="s">
        <v>508</v>
      </c>
      <c r="C1242" t="s">
        <v>768</v>
      </c>
      <c r="D1242" s="1" t="s">
        <v>769</v>
      </c>
      <c r="E1242" t="s">
        <v>14</v>
      </c>
      <c r="F1242">
        <v>47.697200000000002</v>
      </c>
      <c r="G1242">
        <v>8.4705999999999992</v>
      </c>
      <c r="H1242">
        <v>1</v>
      </c>
      <c r="I1242">
        <v>420</v>
      </c>
      <c r="J1242" t="str">
        <f>HYPERLINK("https://climate.onebuilding.org/WMO_Region_6_Europe/CHE_Switzerland/SH_Schaffhausen/CHE_SH_Hallau.066240_TMYx.zip")</f>
        <v>https://climate.onebuilding.org/WMO_Region_6_Europe/CHE_Switzerland/SH_Schaffhausen/CHE_SH_Hallau.066240_TMYx.zip</v>
      </c>
    </row>
    <row r="1243" spans="1:10" x14ac:dyDescent="0.25">
      <c r="A1243" t="s">
        <v>702</v>
      </c>
      <c r="B1243" t="s">
        <v>726</v>
      </c>
      <c r="C1243" t="s">
        <v>771</v>
      </c>
      <c r="D1243" s="1" t="s">
        <v>772</v>
      </c>
      <c r="E1243" t="s">
        <v>773</v>
      </c>
      <c r="F1243">
        <v>46.7714</v>
      </c>
      <c r="G1243">
        <v>7.1135999999999999</v>
      </c>
      <c r="H1243">
        <v>1</v>
      </c>
      <c r="I1243">
        <v>647.6</v>
      </c>
      <c r="J1243" t="str">
        <f>HYPERLINK("https://climate.onebuilding.org/WMO_Region_6_Europe/CHE_Switzerland/FR_Fribourg/CHE_FR_Fribourg.Posieux.066250_TMYx.2004-2018.zip")</f>
        <v>https://climate.onebuilding.org/WMO_Region_6_Europe/CHE_Switzerland/FR_Fribourg/CHE_FR_Fribourg.Posieux.066250_TMYx.2004-2018.zip</v>
      </c>
    </row>
    <row r="1244" spans="1:10" x14ac:dyDescent="0.25">
      <c r="A1244" t="s">
        <v>702</v>
      </c>
      <c r="B1244" t="s">
        <v>726</v>
      </c>
      <c r="C1244" t="s">
        <v>771</v>
      </c>
      <c r="D1244" s="1" t="s">
        <v>772</v>
      </c>
      <c r="E1244" t="s">
        <v>14</v>
      </c>
      <c r="F1244">
        <v>46.7714</v>
      </c>
      <c r="G1244">
        <v>7.1135999999999999</v>
      </c>
      <c r="H1244">
        <v>1</v>
      </c>
      <c r="I1244">
        <v>647.6</v>
      </c>
      <c r="J1244" t="str">
        <f>HYPERLINK("https://climate.onebuilding.org/WMO_Region_6_Europe/CHE_Switzerland/FR_Fribourg/CHE_FR_Fribourg.Posieux.066250_TMYx.2007-2021.zip")</f>
        <v>https://climate.onebuilding.org/WMO_Region_6_Europe/CHE_Switzerland/FR_Fribourg/CHE_FR_Fribourg.Posieux.066250_TMYx.2007-2021.zip</v>
      </c>
    </row>
    <row r="1245" spans="1:10" x14ac:dyDescent="0.25">
      <c r="A1245" t="s">
        <v>702</v>
      </c>
      <c r="B1245" t="s">
        <v>726</v>
      </c>
      <c r="C1245" t="s">
        <v>771</v>
      </c>
      <c r="D1245" s="1" t="s">
        <v>772</v>
      </c>
      <c r="E1245" t="s">
        <v>14</v>
      </c>
      <c r="F1245">
        <v>46.7714</v>
      </c>
      <c r="G1245">
        <v>7.1135999999999999</v>
      </c>
      <c r="H1245">
        <v>1</v>
      </c>
      <c r="I1245">
        <v>647.6</v>
      </c>
      <c r="J1245" t="str">
        <f>HYPERLINK("https://climate.onebuilding.org/WMO_Region_6_Europe/CHE_Switzerland/FR_Fribourg/CHE_FR_Fribourg.Posieux.066250_TMYx.2009-2023.zip")</f>
        <v>https://climate.onebuilding.org/WMO_Region_6_Europe/CHE_Switzerland/FR_Fribourg/CHE_FR_Fribourg.Posieux.066250_TMYx.2009-2023.zip</v>
      </c>
    </row>
    <row r="1246" spans="1:10" x14ac:dyDescent="0.25">
      <c r="A1246" t="s">
        <v>702</v>
      </c>
      <c r="B1246" t="s">
        <v>726</v>
      </c>
      <c r="C1246" t="s">
        <v>771</v>
      </c>
      <c r="D1246" s="1" t="s">
        <v>772</v>
      </c>
      <c r="E1246" t="s">
        <v>14</v>
      </c>
      <c r="F1246">
        <v>46.7714</v>
      </c>
      <c r="G1246">
        <v>7.1135999999999999</v>
      </c>
      <c r="H1246">
        <v>1</v>
      </c>
      <c r="I1246">
        <v>647.6</v>
      </c>
      <c r="J1246" t="str">
        <f>HYPERLINK("https://climate.onebuilding.org/WMO_Region_6_Europe/CHE_Switzerland/FR_Fribourg/CHE_FR_Fribourg.Posieux.066250_TMYx.zip")</f>
        <v>https://climate.onebuilding.org/WMO_Region_6_Europe/CHE_Switzerland/FR_Fribourg/CHE_FR_Fribourg.Posieux.066250_TMYx.zip</v>
      </c>
    </row>
    <row r="1247" spans="1:10" x14ac:dyDescent="0.25">
      <c r="A1247" t="s">
        <v>702</v>
      </c>
      <c r="B1247" t="s">
        <v>774</v>
      </c>
      <c r="C1247" t="s">
        <v>775</v>
      </c>
      <c r="D1247" s="1" t="s">
        <v>776</v>
      </c>
      <c r="E1247" t="s">
        <v>777</v>
      </c>
      <c r="F1247">
        <v>47.363</v>
      </c>
      <c r="G1247">
        <v>7.9736000000000002</v>
      </c>
      <c r="H1247">
        <v>1</v>
      </c>
      <c r="I1247">
        <v>381.4</v>
      </c>
      <c r="J1247" t="str">
        <f>HYPERLINK("https://climate.onebuilding.org/WMO_Region_6_Europe/CHE_Switzerland/SO_Solothurn/CHE_SO_Gosgen.066260_TMYx.2004-2018.zip")</f>
        <v>https://climate.onebuilding.org/WMO_Region_6_Europe/CHE_Switzerland/SO_Solothurn/CHE_SO_Gosgen.066260_TMYx.2004-2018.zip</v>
      </c>
    </row>
    <row r="1248" spans="1:10" x14ac:dyDescent="0.25">
      <c r="A1248" t="s">
        <v>702</v>
      </c>
      <c r="B1248" t="s">
        <v>774</v>
      </c>
      <c r="C1248" t="s">
        <v>775</v>
      </c>
      <c r="D1248" s="1" t="s">
        <v>776</v>
      </c>
      <c r="E1248" t="s">
        <v>14</v>
      </c>
      <c r="F1248">
        <v>47.363</v>
      </c>
      <c r="G1248">
        <v>7.9736000000000002</v>
      </c>
      <c r="H1248">
        <v>1</v>
      </c>
      <c r="I1248">
        <v>381.4</v>
      </c>
      <c r="J1248" t="str">
        <f>HYPERLINK("https://climate.onebuilding.org/WMO_Region_6_Europe/CHE_Switzerland/SO_Solothurn/CHE_SO_Gosgen.066260_TMYx.2007-2021.zip")</f>
        <v>https://climate.onebuilding.org/WMO_Region_6_Europe/CHE_Switzerland/SO_Solothurn/CHE_SO_Gosgen.066260_TMYx.2007-2021.zip</v>
      </c>
    </row>
    <row r="1249" spans="1:10" x14ac:dyDescent="0.25">
      <c r="A1249" t="s">
        <v>702</v>
      </c>
      <c r="B1249" t="s">
        <v>774</v>
      </c>
      <c r="C1249" t="s">
        <v>775</v>
      </c>
      <c r="D1249" s="1" t="s">
        <v>776</v>
      </c>
      <c r="E1249" t="s">
        <v>14</v>
      </c>
      <c r="F1249">
        <v>47.363</v>
      </c>
      <c r="G1249">
        <v>7.9736000000000002</v>
      </c>
      <c r="H1249">
        <v>1</v>
      </c>
      <c r="I1249">
        <v>381.4</v>
      </c>
      <c r="J1249" t="str">
        <f>HYPERLINK("https://climate.onebuilding.org/WMO_Region_6_Europe/CHE_Switzerland/SO_Solothurn/CHE_SO_Gosgen.066260_TMYx.2009-2023.zip")</f>
        <v>https://climate.onebuilding.org/WMO_Region_6_Europe/CHE_Switzerland/SO_Solothurn/CHE_SO_Gosgen.066260_TMYx.2009-2023.zip</v>
      </c>
    </row>
    <row r="1250" spans="1:10" x14ac:dyDescent="0.25">
      <c r="A1250" t="s">
        <v>702</v>
      </c>
      <c r="B1250" t="s">
        <v>774</v>
      </c>
      <c r="C1250" t="s">
        <v>775</v>
      </c>
      <c r="D1250" s="1" t="s">
        <v>776</v>
      </c>
      <c r="E1250" t="s">
        <v>14</v>
      </c>
      <c r="F1250">
        <v>47.363</v>
      </c>
      <c r="G1250">
        <v>7.9736000000000002</v>
      </c>
      <c r="H1250">
        <v>1</v>
      </c>
      <c r="I1250">
        <v>381.4</v>
      </c>
      <c r="J1250" t="str">
        <f>HYPERLINK("https://climate.onebuilding.org/WMO_Region_6_Europe/CHE_Switzerland/SO_Solothurn/CHE_SO_Gosgen.066260_TMYx.zip")</f>
        <v>https://climate.onebuilding.org/WMO_Region_6_Europe/CHE_Switzerland/SO_Solothurn/CHE_SO_Gosgen.066260_TMYx.zip</v>
      </c>
    </row>
    <row r="1251" spans="1:10" x14ac:dyDescent="0.25">
      <c r="A1251" t="s">
        <v>702</v>
      </c>
      <c r="B1251" t="s">
        <v>478</v>
      </c>
      <c r="C1251" t="s">
        <v>778</v>
      </c>
      <c r="D1251" s="1" t="s">
        <v>779</v>
      </c>
      <c r="E1251" t="s">
        <v>780</v>
      </c>
      <c r="F1251">
        <v>46.479700000000001</v>
      </c>
      <c r="G1251">
        <v>7.1397000000000004</v>
      </c>
      <c r="H1251">
        <v>1</v>
      </c>
      <c r="I1251">
        <v>1030.0999999999999</v>
      </c>
      <c r="J1251" t="str">
        <f>HYPERLINK("https://climate.onebuilding.org/WMO_Region_6_Europe/CHE_Switzerland/VD_Vaud/CHE_VD_Chateau.d-Oex.066270_TMYx.2004-2018.zip")</f>
        <v>https://climate.onebuilding.org/WMO_Region_6_Europe/CHE_Switzerland/VD_Vaud/CHE_VD_Chateau.d-Oex.066270_TMYx.2004-2018.zip</v>
      </c>
    </row>
    <row r="1252" spans="1:10" x14ac:dyDescent="0.25">
      <c r="A1252" t="s">
        <v>702</v>
      </c>
      <c r="B1252" t="s">
        <v>478</v>
      </c>
      <c r="C1252" t="s">
        <v>778</v>
      </c>
      <c r="D1252" s="1" t="s">
        <v>779</v>
      </c>
      <c r="E1252" t="s">
        <v>14</v>
      </c>
      <c r="F1252">
        <v>46.479700000000001</v>
      </c>
      <c r="G1252">
        <v>7.1397000000000004</v>
      </c>
      <c r="H1252">
        <v>1</v>
      </c>
      <c r="I1252">
        <v>1030.0999999999999</v>
      </c>
      <c r="J1252" t="str">
        <f>HYPERLINK("https://climate.onebuilding.org/WMO_Region_6_Europe/CHE_Switzerland/VD_Vaud/CHE_VD_Chateau.d-Oex.066270_TMYx.2007-2021.zip")</f>
        <v>https://climate.onebuilding.org/WMO_Region_6_Europe/CHE_Switzerland/VD_Vaud/CHE_VD_Chateau.d-Oex.066270_TMYx.2007-2021.zip</v>
      </c>
    </row>
    <row r="1253" spans="1:10" x14ac:dyDescent="0.25">
      <c r="A1253" t="s">
        <v>702</v>
      </c>
      <c r="B1253" t="s">
        <v>478</v>
      </c>
      <c r="C1253" t="s">
        <v>778</v>
      </c>
      <c r="D1253" s="1" t="s">
        <v>779</v>
      </c>
      <c r="E1253" t="s">
        <v>14</v>
      </c>
      <c r="F1253">
        <v>46.479700000000001</v>
      </c>
      <c r="G1253">
        <v>7.1397000000000004</v>
      </c>
      <c r="H1253">
        <v>1</v>
      </c>
      <c r="I1253">
        <v>1030.0999999999999</v>
      </c>
      <c r="J1253" t="str">
        <f>HYPERLINK("https://climate.onebuilding.org/WMO_Region_6_Europe/CHE_Switzerland/VD_Vaud/CHE_VD_Chateau.d-Oex.066270_TMYx.2009-2023.zip")</f>
        <v>https://climate.onebuilding.org/WMO_Region_6_Europe/CHE_Switzerland/VD_Vaud/CHE_VD_Chateau.d-Oex.066270_TMYx.2009-2023.zip</v>
      </c>
    </row>
    <row r="1254" spans="1:10" x14ac:dyDescent="0.25">
      <c r="A1254" t="s">
        <v>702</v>
      </c>
      <c r="B1254" t="s">
        <v>478</v>
      </c>
      <c r="C1254" t="s">
        <v>778</v>
      </c>
      <c r="D1254" s="1" t="s">
        <v>779</v>
      </c>
      <c r="E1254" t="s">
        <v>14</v>
      </c>
      <c r="F1254">
        <v>46.479700000000001</v>
      </c>
      <c r="G1254">
        <v>7.1397000000000004</v>
      </c>
      <c r="H1254">
        <v>1</v>
      </c>
      <c r="I1254">
        <v>1030.0999999999999</v>
      </c>
      <c r="J1254" t="str">
        <f>HYPERLINK("https://climate.onebuilding.org/WMO_Region_6_Europe/CHE_Switzerland/VD_Vaud/CHE_VD_Chateau.d-Oex.066270_TMYx.zip")</f>
        <v>https://climate.onebuilding.org/WMO_Region_6_Europe/CHE_Switzerland/VD_Vaud/CHE_VD_Chateau.d-Oex.066270_TMYx.zip</v>
      </c>
    </row>
    <row r="1255" spans="1:10" x14ac:dyDescent="0.25">
      <c r="A1255" t="s">
        <v>702</v>
      </c>
      <c r="B1255" t="s">
        <v>726</v>
      </c>
      <c r="C1255" t="s">
        <v>781</v>
      </c>
      <c r="D1255" s="1" t="s">
        <v>782</v>
      </c>
      <c r="E1255" t="s">
        <v>783</v>
      </c>
      <c r="F1255">
        <v>46.747799999999998</v>
      </c>
      <c r="G1255">
        <v>7.2660999999999998</v>
      </c>
      <c r="H1255">
        <v>1</v>
      </c>
      <c r="I1255">
        <v>1043.0999999999999</v>
      </c>
      <c r="J1255" t="str">
        <f>HYPERLINK("https://climate.onebuilding.org/WMO_Region_6_Europe/CHE_Switzerland/FR_Fribourg/CHE_FR_Plaffeien.066280_TMYx.2004-2018.zip")</f>
        <v>https://climate.onebuilding.org/WMO_Region_6_Europe/CHE_Switzerland/FR_Fribourg/CHE_FR_Plaffeien.066280_TMYx.2004-2018.zip</v>
      </c>
    </row>
    <row r="1256" spans="1:10" x14ac:dyDescent="0.25">
      <c r="A1256" t="s">
        <v>702</v>
      </c>
      <c r="B1256" t="s">
        <v>726</v>
      </c>
      <c r="C1256" t="s">
        <v>781</v>
      </c>
      <c r="D1256" s="1" t="s">
        <v>782</v>
      </c>
      <c r="E1256" t="s">
        <v>14</v>
      </c>
      <c r="F1256">
        <v>46.747799999999998</v>
      </c>
      <c r="G1256">
        <v>7.2660999999999998</v>
      </c>
      <c r="H1256">
        <v>1</v>
      </c>
      <c r="I1256">
        <v>1043.0999999999999</v>
      </c>
      <c r="J1256" t="str">
        <f>HYPERLINK("https://climate.onebuilding.org/WMO_Region_6_Europe/CHE_Switzerland/FR_Fribourg/CHE_FR_Plaffeien.066280_TMYx.2007-2021.zip")</f>
        <v>https://climate.onebuilding.org/WMO_Region_6_Europe/CHE_Switzerland/FR_Fribourg/CHE_FR_Plaffeien.066280_TMYx.2007-2021.zip</v>
      </c>
    </row>
    <row r="1257" spans="1:10" x14ac:dyDescent="0.25">
      <c r="A1257" t="s">
        <v>702</v>
      </c>
      <c r="B1257" t="s">
        <v>726</v>
      </c>
      <c r="C1257" t="s">
        <v>781</v>
      </c>
      <c r="D1257" s="1" t="s">
        <v>782</v>
      </c>
      <c r="E1257" t="s">
        <v>14</v>
      </c>
      <c r="F1257">
        <v>46.747799999999998</v>
      </c>
      <c r="G1257">
        <v>7.2660999999999998</v>
      </c>
      <c r="H1257">
        <v>1</v>
      </c>
      <c r="I1257">
        <v>1043.0999999999999</v>
      </c>
      <c r="J1257" t="str">
        <f>HYPERLINK("https://climate.onebuilding.org/WMO_Region_6_Europe/CHE_Switzerland/FR_Fribourg/CHE_FR_Plaffeien.066280_TMYx.2009-2023.zip")</f>
        <v>https://climate.onebuilding.org/WMO_Region_6_Europe/CHE_Switzerland/FR_Fribourg/CHE_FR_Plaffeien.066280_TMYx.2009-2023.zip</v>
      </c>
    </row>
    <row r="1258" spans="1:10" x14ac:dyDescent="0.25">
      <c r="A1258" t="s">
        <v>702</v>
      </c>
      <c r="B1258" t="s">
        <v>726</v>
      </c>
      <c r="C1258" t="s">
        <v>781</v>
      </c>
      <c r="D1258" s="1" t="s">
        <v>782</v>
      </c>
      <c r="E1258" t="s">
        <v>14</v>
      </c>
      <c r="F1258">
        <v>46.747799999999998</v>
      </c>
      <c r="G1258">
        <v>7.2660999999999998</v>
      </c>
      <c r="H1258">
        <v>1</v>
      </c>
      <c r="I1258">
        <v>1043.0999999999999</v>
      </c>
      <c r="J1258" t="str">
        <f>HYPERLINK("https://climate.onebuilding.org/WMO_Region_6_Europe/CHE_Switzerland/FR_Fribourg/CHE_FR_Plaffeien.066280_TMYx.zip")</f>
        <v>https://climate.onebuilding.org/WMO_Region_6_Europe/CHE_Switzerland/FR_Fribourg/CHE_FR_Plaffeien.066280_TMYx.zip</v>
      </c>
    </row>
    <row r="1259" spans="1:10" x14ac:dyDescent="0.25">
      <c r="A1259" t="s">
        <v>702</v>
      </c>
      <c r="B1259" t="s">
        <v>65</v>
      </c>
      <c r="C1259" t="s">
        <v>784</v>
      </c>
      <c r="D1259" s="1" t="s">
        <v>785</v>
      </c>
      <c r="E1259" t="s">
        <v>786</v>
      </c>
      <c r="F1259">
        <v>46.906100000000002</v>
      </c>
      <c r="G1259">
        <v>7.5053000000000001</v>
      </c>
      <c r="H1259">
        <v>1</v>
      </c>
      <c r="I1259">
        <v>510</v>
      </c>
      <c r="J1259" t="str">
        <f>HYPERLINK("https://climate.onebuilding.org/WMO_Region_6_Europe/CHE_Switzerland/BE_Bern/CHE_BE_Bern.Belp.AP.066300_TMYx.2004-2018.zip")</f>
        <v>https://climate.onebuilding.org/WMO_Region_6_Europe/CHE_Switzerland/BE_Bern/CHE_BE_Bern.Belp.AP.066300_TMYx.2004-2018.zip</v>
      </c>
    </row>
    <row r="1260" spans="1:10" x14ac:dyDescent="0.25">
      <c r="A1260" t="s">
        <v>702</v>
      </c>
      <c r="B1260" t="s">
        <v>65</v>
      </c>
      <c r="C1260" t="s">
        <v>784</v>
      </c>
      <c r="D1260" s="1" t="s">
        <v>785</v>
      </c>
      <c r="E1260" t="s">
        <v>14</v>
      </c>
      <c r="F1260">
        <v>46.906100000000002</v>
      </c>
      <c r="G1260">
        <v>7.5053000000000001</v>
      </c>
      <c r="H1260">
        <v>1</v>
      </c>
      <c r="I1260">
        <v>510</v>
      </c>
      <c r="J1260" t="str">
        <f>HYPERLINK("https://climate.onebuilding.org/WMO_Region_6_Europe/CHE_Switzerland/BE_Bern/CHE_BE_Bern.Belp.AP.066300_TMYx.2007-2021.zip")</f>
        <v>https://climate.onebuilding.org/WMO_Region_6_Europe/CHE_Switzerland/BE_Bern/CHE_BE_Bern.Belp.AP.066300_TMYx.2007-2021.zip</v>
      </c>
    </row>
    <row r="1261" spans="1:10" x14ac:dyDescent="0.25">
      <c r="A1261" t="s">
        <v>702</v>
      </c>
      <c r="B1261" t="s">
        <v>65</v>
      </c>
      <c r="C1261" t="s">
        <v>784</v>
      </c>
      <c r="D1261" s="1" t="s">
        <v>785</v>
      </c>
      <c r="E1261" t="s">
        <v>14</v>
      </c>
      <c r="F1261">
        <v>46.906100000000002</v>
      </c>
      <c r="G1261">
        <v>7.5053000000000001</v>
      </c>
      <c r="H1261">
        <v>1</v>
      </c>
      <c r="I1261">
        <v>510</v>
      </c>
      <c r="J1261" t="str">
        <f>HYPERLINK("https://climate.onebuilding.org/WMO_Region_6_Europe/CHE_Switzerland/BE_Bern/CHE_BE_Bern.Belp.AP.066300_TMYx.2009-2023.zip")</f>
        <v>https://climate.onebuilding.org/WMO_Region_6_Europe/CHE_Switzerland/BE_Bern/CHE_BE_Bern.Belp.AP.066300_TMYx.2009-2023.zip</v>
      </c>
    </row>
    <row r="1262" spans="1:10" x14ac:dyDescent="0.25">
      <c r="A1262" t="s">
        <v>702</v>
      </c>
      <c r="B1262" t="s">
        <v>65</v>
      </c>
      <c r="C1262" t="s">
        <v>784</v>
      </c>
      <c r="D1262" s="1" t="s">
        <v>785</v>
      </c>
      <c r="E1262" t="s">
        <v>14</v>
      </c>
      <c r="F1262">
        <v>46.906100000000002</v>
      </c>
      <c r="G1262">
        <v>7.5053000000000001</v>
      </c>
      <c r="H1262">
        <v>1</v>
      </c>
      <c r="I1262">
        <v>510</v>
      </c>
      <c r="J1262" t="str">
        <f>HYPERLINK("https://climate.onebuilding.org/WMO_Region_6_Europe/CHE_Switzerland/BE_Bern/CHE_BE_Bern.Belp.AP.066300_TMYx.zip")</f>
        <v>https://climate.onebuilding.org/WMO_Region_6_Europe/CHE_Switzerland/BE_Bern/CHE_BE_Bern.Belp.AP.066300_TMYx.zip</v>
      </c>
    </row>
    <row r="1263" spans="1:10" x14ac:dyDescent="0.25">
      <c r="A1263" t="s">
        <v>702</v>
      </c>
      <c r="B1263" t="s">
        <v>65</v>
      </c>
      <c r="C1263" t="s">
        <v>787</v>
      </c>
      <c r="D1263" s="1" t="s">
        <v>788</v>
      </c>
      <c r="E1263" t="s">
        <v>789</v>
      </c>
      <c r="F1263">
        <v>46.9908</v>
      </c>
      <c r="G1263">
        <v>7.4638999999999998</v>
      </c>
      <c r="H1263">
        <v>1</v>
      </c>
      <c r="I1263">
        <v>554.6</v>
      </c>
      <c r="J1263" t="str">
        <f>HYPERLINK("https://climate.onebuilding.org/WMO_Region_6_Europe/CHE_Switzerland/BE_Bern/CHE_BE_Bern.Zollikofen.066310_TMYx.2004-2018.zip")</f>
        <v>https://climate.onebuilding.org/WMO_Region_6_Europe/CHE_Switzerland/BE_Bern/CHE_BE_Bern.Zollikofen.066310_TMYx.2004-2018.zip</v>
      </c>
    </row>
    <row r="1264" spans="1:10" x14ac:dyDescent="0.25">
      <c r="A1264" t="s">
        <v>702</v>
      </c>
      <c r="B1264" t="s">
        <v>65</v>
      </c>
      <c r="C1264" t="s">
        <v>787</v>
      </c>
      <c r="D1264" s="1" t="s">
        <v>788</v>
      </c>
      <c r="E1264" t="s">
        <v>14</v>
      </c>
      <c r="F1264">
        <v>46.9908</v>
      </c>
      <c r="G1264">
        <v>7.4638999999999998</v>
      </c>
      <c r="H1264">
        <v>1</v>
      </c>
      <c r="I1264">
        <v>554.6</v>
      </c>
      <c r="J1264" t="str">
        <f>HYPERLINK("https://climate.onebuilding.org/WMO_Region_6_Europe/CHE_Switzerland/BE_Bern/CHE_BE_Bern.Zollikofen.066310_TMYx.2007-2021.zip")</f>
        <v>https://climate.onebuilding.org/WMO_Region_6_Europe/CHE_Switzerland/BE_Bern/CHE_BE_Bern.Zollikofen.066310_TMYx.2007-2021.zip</v>
      </c>
    </row>
    <row r="1265" spans="1:10" x14ac:dyDescent="0.25">
      <c r="A1265" t="s">
        <v>702</v>
      </c>
      <c r="B1265" t="s">
        <v>65</v>
      </c>
      <c r="C1265" t="s">
        <v>787</v>
      </c>
      <c r="D1265" s="1" t="s">
        <v>788</v>
      </c>
      <c r="E1265" t="s">
        <v>14</v>
      </c>
      <c r="F1265">
        <v>46.9908</v>
      </c>
      <c r="G1265">
        <v>7.4638999999999998</v>
      </c>
      <c r="H1265">
        <v>1</v>
      </c>
      <c r="I1265">
        <v>554.6</v>
      </c>
      <c r="J1265" t="str">
        <f>HYPERLINK("https://climate.onebuilding.org/WMO_Region_6_Europe/CHE_Switzerland/BE_Bern/CHE_BE_Bern.Zollikofen.066310_TMYx.2009-2023.zip")</f>
        <v>https://climate.onebuilding.org/WMO_Region_6_Europe/CHE_Switzerland/BE_Bern/CHE_BE_Bern.Zollikofen.066310_TMYx.2009-2023.zip</v>
      </c>
    </row>
    <row r="1266" spans="1:10" x14ac:dyDescent="0.25">
      <c r="A1266" t="s">
        <v>702</v>
      </c>
      <c r="B1266" t="s">
        <v>65</v>
      </c>
      <c r="C1266" t="s">
        <v>787</v>
      </c>
      <c r="D1266" s="1" t="s">
        <v>788</v>
      </c>
      <c r="E1266" t="s">
        <v>14</v>
      </c>
      <c r="F1266">
        <v>46.9908</v>
      </c>
      <c r="G1266">
        <v>7.4638999999999998</v>
      </c>
      <c r="H1266">
        <v>1</v>
      </c>
      <c r="I1266">
        <v>554.6</v>
      </c>
      <c r="J1266" t="str">
        <f>HYPERLINK("https://climate.onebuilding.org/WMO_Region_6_Europe/CHE_Switzerland/BE_Bern/CHE_BE_Bern.Zollikofen.066310_TMYx.zip")</f>
        <v>https://climate.onebuilding.org/WMO_Region_6_Europe/CHE_Switzerland/BE_Bern/CHE_BE_Bern.Zollikofen.066310_TMYx.zip</v>
      </c>
    </row>
    <row r="1267" spans="1:10" x14ac:dyDescent="0.25">
      <c r="A1267" t="s">
        <v>702</v>
      </c>
      <c r="B1267" t="s">
        <v>774</v>
      </c>
      <c r="C1267" t="s">
        <v>790</v>
      </c>
      <c r="D1267" s="1" t="s">
        <v>791</v>
      </c>
      <c r="E1267" t="s">
        <v>792</v>
      </c>
      <c r="F1267">
        <v>47.179200000000002</v>
      </c>
      <c r="G1267">
        <v>7.415</v>
      </c>
      <c r="H1267">
        <v>1</v>
      </c>
      <c r="I1267">
        <v>431.4</v>
      </c>
      <c r="J1267" t="str">
        <f>HYPERLINK("https://climate.onebuilding.org/WMO_Region_6_Europe/CHE_Switzerland/SO_Solothurn/CHE_SO_Grenchen.AP.066320_TMYx.2004-2018.zip")</f>
        <v>https://climate.onebuilding.org/WMO_Region_6_Europe/CHE_Switzerland/SO_Solothurn/CHE_SO_Grenchen.AP.066320_TMYx.2004-2018.zip</v>
      </c>
    </row>
    <row r="1268" spans="1:10" x14ac:dyDescent="0.25">
      <c r="A1268" t="s">
        <v>702</v>
      </c>
      <c r="B1268" t="s">
        <v>774</v>
      </c>
      <c r="C1268" t="s">
        <v>790</v>
      </c>
      <c r="D1268" s="1" t="s">
        <v>791</v>
      </c>
      <c r="E1268" t="s">
        <v>14</v>
      </c>
      <c r="F1268">
        <v>47.179200000000002</v>
      </c>
      <c r="G1268">
        <v>7.415</v>
      </c>
      <c r="H1268">
        <v>1</v>
      </c>
      <c r="I1268">
        <v>431.4</v>
      </c>
      <c r="J1268" t="str">
        <f>HYPERLINK("https://climate.onebuilding.org/WMO_Region_6_Europe/CHE_Switzerland/SO_Solothurn/CHE_SO_Grenchen.AP.066320_TMYx.2007-2021.zip")</f>
        <v>https://climate.onebuilding.org/WMO_Region_6_Europe/CHE_Switzerland/SO_Solothurn/CHE_SO_Grenchen.AP.066320_TMYx.2007-2021.zip</v>
      </c>
    </row>
    <row r="1269" spans="1:10" x14ac:dyDescent="0.25">
      <c r="A1269" t="s">
        <v>702</v>
      </c>
      <c r="B1269" t="s">
        <v>774</v>
      </c>
      <c r="C1269" t="s">
        <v>790</v>
      </c>
      <c r="D1269" s="1" t="s">
        <v>791</v>
      </c>
      <c r="E1269" t="s">
        <v>14</v>
      </c>
      <c r="F1269">
        <v>47.179200000000002</v>
      </c>
      <c r="G1269">
        <v>7.415</v>
      </c>
      <c r="H1269">
        <v>1</v>
      </c>
      <c r="I1269">
        <v>431.4</v>
      </c>
      <c r="J1269" t="str">
        <f>HYPERLINK("https://climate.onebuilding.org/WMO_Region_6_Europe/CHE_Switzerland/SO_Solothurn/CHE_SO_Grenchen.AP.066320_TMYx.2009-2023.zip")</f>
        <v>https://climate.onebuilding.org/WMO_Region_6_Europe/CHE_Switzerland/SO_Solothurn/CHE_SO_Grenchen.AP.066320_TMYx.2009-2023.zip</v>
      </c>
    </row>
    <row r="1270" spans="1:10" x14ac:dyDescent="0.25">
      <c r="A1270" t="s">
        <v>702</v>
      </c>
      <c r="B1270" t="s">
        <v>774</v>
      </c>
      <c r="C1270" t="s">
        <v>790</v>
      </c>
      <c r="D1270" s="1" t="s">
        <v>791</v>
      </c>
      <c r="E1270" t="s">
        <v>14</v>
      </c>
      <c r="F1270">
        <v>47.179200000000002</v>
      </c>
      <c r="G1270">
        <v>7.415</v>
      </c>
      <c r="H1270">
        <v>1</v>
      </c>
      <c r="I1270">
        <v>431.4</v>
      </c>
      <c r="J1270" t="str">
        <f>HYPERLINK("https://climate.onebuilding.org/WMO_Region_6_Europe/CHE_Switzerland/SO_Solothurn/CHE_SO_Grenchen.AP.066320_TMYx.zip")</f>
        <v>https://climate.onebuilding.org/WMO_Region_6_Europe/CHE_Switzerland/SO_Solothurn/CHE_SO_Grenchen.AP.066320_TMYx.zip</v>
      </c>
    </row>
    <row r="1271" spans="1:10" x14ac:dyDescent="0.25">
      <c r="A1271" t="s">
        <v>702</v>
      </c>
      <c r="B1271" t="s">
        <v>793</v>
      </c>
      <c r="C1271" t="s">
        <v>794</v>
      </c>
      <c r="D1271" s="1" t="s">
        <v>795</v>
      </c>
      <c r="E1271" t="s">
        <v>796</v>
      </c>
      <c r="F1271">
        <v>47.384399999999999</v>
      </c>
      <c r="G1271">
        <v>8.0793999999999997</v>
      </c>
      <c r="H1271">
        <v>1</v>
      </c>
      <c r="I1271">
        <v>388.4</v>
      </c>
      <c r="J1271" t="str">
        <f>HYPERLINK("https://climate.onebuilding.org/WMO_Region_6_Europe/CHE_Switzerland/SG_Sankt_Gallen/CHE_SG_Buchs.Aarau.066330_TMYx.2004-2018.zip")</f>
        <v>https://climate.onebuilding.org/WMO_Region_6_Europe/CHE_Switzerland/SG_Sankt_Gallen/CHE_SG_Buchs.Aarau.066330_TMYx.2004-2018.zip</v>
      </c>
    </row>
    <row r="1272" spans="1:10" x14ac:dyDescent="0.25">
      <c r="A1272" t="s">
        <v>702</v>
      </c>
      <c r="B1272" t="s">
        <v>793</v>
      </c>
      <c r="C1272" t="s">
        <v>794</v>
      </c>
      <c r="D1272" s="1" t="s">
        <v>795</v>
      </c>
      <c r="E1272" t="s">
        <v>14</v>
      </c>
      <c r="F1272">
        <v>47.384399999999999</v>
      </c>
      <c r="G1272">
        <v>8.0793999999999997</v>
      </c>
      <c r="H1272">
        <v>1</v>
      </c>
      <c r="I1272">
        <v>388.4</v>
      </c>
      <c r="J1272" t="str">
        <f>HYPERLINK("https://climate.onebuilding.org/WMO_Region_6_Europe/CHE_Switzerland/SG_Sankt_Gallen/CHE_SG_Buchs.Aarau.066330_TMYx.2007-2021.zip")</f>
        <v>https://climate.onebuilding.org/WMO_Region_6_Europe/CHE_Switzerland/SG_Sankt_Gallen/CHE_SG_Buchs.Aarau.066330_TMYx.2007-2021.zip</v>
      </c>
    </row>
    <row r="1273" spans="1:10" x14ac:dyDescent="0.25">
      <c r="A1273" t="s">
        <v>702</v>
      </c>
      <c r="B1273" t="s">
        <v>793</v>
      </c>
      <c r="C1273" t="s">
        <v>794</v>
      </c>
      <c r="D1273" s="1" t="s">
        <v>795</v>
      </c>
      <c r="E1273" t="s">
        <v>14</v>
      </c>
      <c r="F1273">
        <v>47.384399999999999</v>
      </c>
      <c r="G1273">
        <v>8.0793999999999997</v>
      </c>
      <c r="H1273">
        <v>1</v>
      </c>
      <c r="I1273">
        <v>388.4</v>
      </c>
      <c r="J1273" t="str">
        <f>HYPERLINK("https://climate.onebuilding.org/WMO_Region_6_Europe/CHE_Switzerland/SG_Sankt_Gallen/CHE_SG_Buchs.Aarau.066330_TMYx.2009-2023.zip")</f>
        <v>https://climate.onebuilding.org/WMO_Region_6_Europe/CHE_Switzerland/SG_Sankt_Gallen/CHE_SG_Buchs.Aarau.066330_TMYx.2009-2023.zip</v>
      </c>
    </row>
    <row r="1274" spans="1:10" x14ac:dyDescent="0.25">
      <c r="A1274" t="s">
        <v>702</v>
      </c>
      <c r="B1274" t="s">
        <v>793</v>
      </c>
      <c r="C1274" t="s">
        <v>794</v>
      </c>
      <c r="D1274" s="1" t="s">
        <v>795</v>
      </c>
      <c r="E1274" t="s">
        <v>14</v>
      </c>
      <c r="F1274">
        <v>47.384399999999999</v>
      </c>
      <c r="G1274">
        <v>8.0793999999999997</v>
      </c>
      <c r="H1274">
        <v>1</v>
      </c>
      <c r="I1274">
        <v>388.4</v>
      </c>
      <c r="J1274" t="str">
        <f>HYPERLINK("https://climate.onebuilding.org/WMO_Region_6_Europe/CHE_Switzerland/SG_Sankt_Gallen/CHE_SG_Buchs.Aarau.066330_TMYx.zip")</f>
        <v>https://climate.onebuilding.org/WMO_Region_6_Europe/CHE_Switzerland/SG_Sankt_Gallen/CHE_SG_Buchs.Aarau.066330_TMYx.zip</v>
      </c>
    </row>
    <row r="1275" spans="1:10" x14ac:dyDescent="0.25">
      <c r="A1275" t="s">
        <v>702</v>
      </c>
      <c r="B1275" t="s">
        <v>65</v>
      </c>
      <c r="C1275" t="s">
        <v>797</v>
      </c>
      <c r="D1275" s="1" t="s">
        <v>798</v>
      </c>
      <c r="E1275" t="s">
        <v>799</v>
      </c>
      <c r="F1275">
        <v>47.118899999999996</v>
      </c>
      <c r="G1275">
        <v>7.6055999999999999</v>
      </c>
      <c r="H1275">
        <v>1</v>
      </c>
      <c r="I1275">
        <v>485.5</v>
      </c>
      <c r="J1275" t="str">
        <f>HYPERLINK("https://climate.onebuilding.org/WMO_Region_6_Europe/CHE_Switzerland/BE_Bern/CHE_BE_Koppigen.066350_TMYx.2004-2018.zip")</f>
        <v>https://climate.onebuilding.org/WMO_Region_6_Europe/CHE_Switzerland/BE_Bern/CHE_BE_Koppigen.066350_TMYx.2004-2018.zip</v>
      </c>
    </row>
    <row r="1276" spans="1:10" x14ac:dyDescent="0.25">
      <c r="A1276" t="s">
        <v>702</v>
      </c>
      <c r="B1276" t="s">
        <v>65</v>
      </c>
      <c r="C1276" t="s">
        <v>797</v>
      </c>
      <c r="D1276" s="1" t="s">
        <v>798</v>
      </c>
      <c r="E1276" t="s">
        <v>14</v>
      </c>
      <c r="F1276">
        <v>47.118899999999996</v>
      </c>
      <c r="G1276">
        <v>7.6055999999999999</v>
      </c>
      <c r="H1276">
        <v>1</v>
      </c>
      <c r="I1276">
        <v>485.5</v>
      </c>
      <c r="J1276" t="str">
        <f>HYPERLINK("https://climate.onebuilding.org/WMO_Region_6_Europe/CHE_Switzerland/BE_Bern/CHE_BE_Koppigen.066350_TMYx.2007-2021.zip")</f>
        <v>https://climate.onebuilding.org/WMO_Region_6_Europe/CHE_Switzerland/BE_Bern/CHE_BE_Koppigen.066350_TMYx.2007-2021.zip</v>
      </c>
    </row>
    <row r="1277" spans="1:10" x14ac:dyDescent="0.25">
      <c r="A1277" t="s">
        <v>702</v>
      </c>
      <c r="B1277" t="s">
        <v>65</v>
      </c>
      <c r="C1277" t="s">
        <v>797</v>
      </c>
      <c r="D1277" s="1" t="s">
        <v>798</v>
      </c>
      <c r="E1277" t="s">
        <v>14</v>
      </c>
      <c r="F1277">
        <v>47.118899999999996</v>
      </c>
      <c r="G1277">
        <v>7.6055999999999999</v>
      </c>
      <c r="H1277">
        <v>1</v>
      </c>
      <c r="I1277">
        <v>485.5</v>
      </c>
      <c r="J1277" t="str">
        <f>HYPERLINK("https://climate.onebuilding.org/WMO_Region_6_Europe/CHE_Switzerland/BE_Bern/CHE_BE_Koppigen.066350_TMYx.2009-2023.zip")</f>
        <v>https://climate.onebuilding.org/WMO_Region_6_Europe/CHE_Switzerland/BE_Bern/CHE_BE_Koppigen.066350_TMYx.2009-2023.zip</v>
      </c>
    </row>
    <row r="1278" spans="1:10" x14ac:dyDescent="0.25">
      <c r="A1278" t="s">
        <v>702</v>
      </c>
      <c r="B1278" t="s">
        <v>65</v>
      </c>
      <c r="C1278" t="s">
        <v>797</v>
      </c>
      <c r="D1278" s="1" t="s">
        <v>798</v>
      </c>
      <c r="E1278" t="s">
        <v>14</v>
      </c>
      <c r="F1278">
        <v>47.118899999999996</v>
      </c>
      <c r="G1278">
        <v>7.6055999999999999</v>
      </c>
      <c r="H1278">
        <v>1</v>
      </c>
      <c r="I1278">
        <v>485.5</v>
      </c>
      <c r="J1278" t="str">
        <f>HYPERLINK("https://climate.onebuilding.org/WMO_Region_6_Europe/CHE_Switzerland/BE_Bern/CHE_BE_Koppigen.066350_TMYx.zip")</f>
        <v>https://climate.onebuilding.org/WMO_Region_6_Europe/CHE_Switzerland/BE_Bern/CHE_BE_Koppigen.066350_TMYx.zip</v>
      </c>
    </row>
    <row r="1279" spans="1:10" x14ac:dyDescent="0.25">
      <c r="A1279" t="s">
        <v>702</v>
      </c>
      <c r="B1279" t="s">
        <v>65</v>
      </c>
      <c r="C1279" t="s">
        <v>800</v>
      </c>
      <c r="D1279" s="1" t="s">
        <v>801</v>
      </c>
      <c r="E1279" t="s">
        <v>802</v>
      </c>
      <c r="F1279">
        <v>46.973300000000002</v>
      </c>
      <c r="G1279">
        <v>7.2781000000000002</v>
      </c>
      <c r="H1279">
        <v>1</v>
      </c>
      <c r="I1279">
        <v>481.5</v>
      </c>
      <c r="J1279" t="str">
        <f>HYPERLINK("https://climate.onebuilding.org/WMO_Region_6_Europe/CHE_Switzerland/BE_Bern/CHE_BE_Muhleberg.066360_TMYx.2004-2018.zip")</f>
        <v>https://climate.onebuilding.org/WMO_Region_6_Europe/CHE_Switzerland/BE_Bern/CHE_BE_Muhleberg.066360_TMYx.2004-2018.zip</v>
      </c>
    </row>
    <row r="1280" spans="1:10" x14ac:dyDescent="0.25">
      <c r="A1280" t="s">
        <v>702</v>
      </c>
      <c r="B1280" t="s">
        <v>65</v>
      </c>
      <c r="C1280" t="s">
        <v>800</v>
      </c>
      <c r="D1280" s="1" t="s">
        <v>801</v>
      </c>
      <c r="E1280" t="s">
        <v>14</v>
      </c>
      <c r="F1280">
        <v>46.973300000000002</v>
      </c>
      <c r="G1280">
        <v>7.2781000000000002</v>
      </c>
      <c r="H1280">
        <v>1</v>
      </c>
      <c r="I1280">
        <v>481.5</v>
      </c>
      <c r="J1280" t="str">
        <f>HYPERLINK("https://climate.onebuilding.org/WMO_Region_6_Europe/CHE_Switzerland/BE_Bern/CHE_BE_Muhleberg.066360_TMYx.2007-2021.zip")</f>
        <v>https://climate.onebuilding.org/WMO_Region_6_Europe/CHE_Switzerland/BE_Bern/CHE_BE_Muhleberg.066360_TMYx.2007-2021.zip</v>
      </c>
    </row>
    <row r="1281" spans="1:10" x14ac:dyDescent="0.25">
      <c r="A1281" t="s">
        <v>702</v>
      </c>
      <c r="B1281" t="s">
        <v>65</v>
      </c>
      <c r="C1281" t="s">
        <v>800</v>
      </c>
      <c r="D1281" s="1" t="s">
        <v>801</v>
      </c>
      <c r="E1281" t="s">
        <v>14</v>
      </c>
      <c r="F1281">
        <v>46.973300000000002</v>
      </c>
      <c r="G1281">
        <v>7.2781000000000002</v>
      </c>
      <c r="H1281">
        <v>1</v>
      </c>
      <c r="I1281">
        <v>481.5</v>
      </c>
      <c r="J1281" t="str">
        <f>HYPERLINK("https://climate.onebuilding.org/WMO_Region_6_Europe/CHE_Switzerland/BE_Bern/CHE_BE_Muhleberg.066360_TMYx.2009-2023.zip")</f>
        <v>https://climate.onebuilding.org/WMO_Region_6_Europe/CHE_Switzerland/BE_Bern/CHE_BE_Muhleberg.066360_TMYx.2009-2023.zip</v>
      </c>
    </row>
    <row r="1282" spans="1:10" x14ac:dyDescent="0.25">
      <c r="A1282" t="s">
        <v>702</v>
      </c>
      <c r="B1282" t="s">
        <v>65</v>
      </c>
      <c r="C1282" t="s">
        <v>800</v>
      </c>
      <c r="D1282" s="1" t="s">
        <v>801</v>
      </c>
      <c r="E1282" t="s">
        <v>14</v>
      </c>
      <c r="F1282">
        <v>46.973300000000002</v>
      </c>
      <c r="G1282">
        <v>7.2781000000000002</v>
      </c>
      <c r="H1282">
        <v>1</v>
      </c>
      <c r="I1282">
        <v>481.5</v>
      </c>
      <c r="J1282" t="str">
        <f>HYPERLINK("https://climate.onebuilding.org/WMO_Region_6_Europe/CHE_Switzerland/BE_Bern/CHE_BE_Muhleberg.066360_TMYx.zip")</f>
        <v>https://climate.onebuilding.org/WMO_Region_6_Europe/CHE_Switzerland/BE_Bern/CHE_BE_Muhleberg.066360_TMYx.zip</v>
      </c>
    </row>
    <row r="1283" spans="1:10" x14ac:dyDescent="0.25">
      <c r="A1283" t="s">
        <v>702</v>
      </c>
      <c r="B1283" t="s">
        <v>65</v>
      </c>
      <c r="C1283" t="s">
        <v>803</v>
      </c>
      <c r="D1283" s="1" t="s">
        <v>804</v>
      </c>
      <c r="E1283" t="s">
        <v>805</v>
      </c>
      <c r="F1283">
        <v>46.732199999999999</v>
      </c>
      <c r="G1283">
        <v>8.1692</v>
      </c>
      <c r="H1283">
        <v>1</v>
      </c>
      <c r="I1283">
        <v>590.6</v>
      </c>
      <c r="J1283" t="str">
        <f>HYPERLINK("https://climate.onebuilding.org/WMO_Region_6_Europe/CHE_Switzerland/BE_Bern/CHE_BE_Meiringen.066370_TMYx.2004-2018.zip")</f>
        <v>https://climate.onebuilding.org/WMO_Region_6_Europe/CHE_Switzerland/BE_Bern/CHE_BE_Meiringen.066370_TMYx.2004-2018.zip</v>
      </c>
    </row>
    <row r="1284" spans="1:10" x14ac:dyDescent="0.25">
      <c r="A1284" t="s">
        <v>702</v>
      </c>
      <c r="B1284" t="s">
        <v>65</v>
      </c>
      <c r="C1284" t="s">
        <v>803</v>
      </c>
      <c r="D1284" s="1" t="s">
        <v>804</v>
      </c>
      <c r="E1284" t="s">
        <v>14</v>
      </c>
      <c r="F1284">
        <v>46.732199999999999</v>
      </c>
      <c r="G1284">
        <v>8.1692</v>
      </c>
      <c r="H1284">
        <v>1</v>
      </c>
      <c r="I1284">
        <v>590.6</v>
      </c>
      <c r="J1284" t="str">
        <f>HYPERLINK("https://climate.onebuilding.org/WMO_Region_6_Europe/CHE_Switzerland/BE_Bern/CHE_BE_Meiringen.066370_TMYx.2007-2021.zip")</f>
        <v>https://climate.onebuilding.org/WMO_Region_6_Europe/CHE_Switzerland/BE_Bern/CHE_BE_Meiringen.066370_TMYx.2007-2021.zip</v>
      </c>
    </row>
    <row r="1285" spans="1:10" x14ac:dyDescent="0.25">
      <c r="A1285" t="s">
        <v>702</v>
      </c>
      <c r="B1285" t="s">
        <v>65</v>
      </c>
      <c r="C1285" t="s">
        <v>803</v>
      </c>
      <c r="D1285" s="1" t="s">
        <v>804</v>
      </c>
      <c r="E1285" t="s">
        <v>14</v>
      </c>
      <c r="F1285">
        <v>46.732199999999999</v>
      </c>
      <c r="G1285">
        <v>8.1692</v>
      </c>
      <c r="H1285">
        <v>1</v>
      </c>
      <c r="I1285">
        <v>590.6</v>
      </c>
      <c r="J1285" t="str">
        <f>HYPERLINK("https://climate.onebuilding.org/WMO_Region_6_Europe/CHE_Switzerland/BE_Bern/CHE_BE_Meiringen.066370_TMYx.2009-2023.zip")</f>
        <v>https://climate.onebuilding.org/WMO_Region_6_Europe/CHE_Switzerland/BE_Bern/CHE_BE_Meiringen.066370_TMYx.2009-2023.zip</v>
      </c>
    </row>
    <row r="1286" spans="1:10" x14ac:dyDescent="0.25">
      <c r="A1286" t="s">
        <v>702</v>
      </c>
      <c r="B1286" t="s">
        <v>65</v>
      </c>
      <c r="C1286" t="s">
        <v>803</v>
      </c>
      <c r="D1286" s="1" t="s">
        <v>804</v>
      </c>
      <c r="E1286" t="s">
        <v>14</v>
      </c>
      <c r="F1286">
        <v>46.732199999999999</v>
      </c>
      <c r="G1286">
        <v>8.1692</v>
      </c>
      <c r="H1286">
        <v>1</v>
      </c>
      <c r="I1286">
        <v>590.6</v>
      </c>
      <c r="J1286" t="str">
        <f>HYPERLINK("https://climate.onebuilding.org/WMO_Region_6_Europe/CHE_Switzerland/BE_Bern/CHE_BE_Meiringen.066370_TMYx.zip")</f>
        <v>https://climate.onebuilding.org/WMO_Region_6_Europe/CHE_Switzerland/BE_Bern/CHE_BE_Meiringen.066370_TMYx.zip</v>
      </c>
    </row>
    <row r="1287" spans="1:10" x14ac:dyDescent="0.25">
      <c r="A1287" t="s">
        <v>702</v>
      </c>
      <c r="B1287" t="s">
        <v>65</v>
      </c>
      <c r="C1287" t="s">
        <v>806</v>
      </c>
      <c r="D1287" s="1" t="s">
        <v>807</v>
      </c>
      <c r="E1287" t="s">
        <v>808</v>
      </c>
      <c r="F1287">
        <v>46.939700000000002</v>
      </c>
      <c r="G1287">
        <v>7.8064</v>
      </c>
      <c r="H1287">
        <v>1</v>
      </c>
      <c r="I1287">
        <v>746.7</v>
      </c>
      <c r="J1287" t="str">
        <f>HYPERLINK("https://climate.onebuilding.org/WMO_Region_6_Europe/CHE_Switzerland/BE_Bern/CHE_BE_Langnau.im.Emmental.066380_TMYx.2004-2018.zip")</f>
        <v>https://climate.onebuilding.org/WMO_Region_6_Europe/CHE_Switzerland/BE_Bern/CHE_BE_Langnau.im.Emmental.066380_TMYx.2004-2018.zip</v>
      </c>
    </row>
    <row r="1288" spans="1:10" x14ac:dyDescent="0.25">
      <c r="A1288" t="s">
        <v>702</v>
      </c>
      <c r="B1288" t="s">
        <v>65</v>
      </c>
      <c r="C1288" t="s">
        <v>806</v>
      </c>
      <c r="D1288" s="1" t="s">
        <v>807</v>
      </c>
      <c r="E1288" t="s">
        <v>14</v>
      </c>
      <c r="F1288">
        <v>46.939700000000002</v>
      </c>
      <c r="G1288">
        <v>7.8064</v>
      </c>
      <c r="H1288">
        <v>1</v>
      </c>
      <c r="I1288">
        <v>746.7</v>
      </c>
      <c r="J1288" t="str">
        <f>HYPERLINK("https://climate.onebuilding.org/WMO_Region_6_Europe/CHE_Switzerland/BE_Bern/CHE_BE_Langnau.im.Emmental.066380_TMYx.2007-2021.zip")</f>
        <v>https://climate.onebuilding.org/WMO_Region_6_Europe/CHE_Switzerland/BE_Bern/CHE_BE_Langnau.im.Emmental.066380_TMYx.2007-2021.zip</v>
      </c>
    </row>
    <row r="1289" spans="1:10" x14ac:dyDescent="0.25">
      <c r="A1289" t="s">
        <v>702</v>
      </c>
      <c r="B1289" t="s">
        <v>65</v>
      </c>
      <c r="C1289" t="s">
        <v>806</v>
      </c>
      <c r="D1289" s="1" t="s">
        <v>807</v>
      </c>
      <c r="E1289" t="s">
        <v>14</v>
      </c>
      <c r="F1289">
        <v>46.939700000000002</v>
      </c>
      <c r="G1289">
        <v>7.8064</v>
      </c>
      <c r="H1289">
        <v>1</v>
      </c>
      <c r="I1289">
        <v>746.7</v>
      </c>
      <c r="J1289" t="str">
        <f>HYPERLINK("https://climate.onebuilding.org/WMO_Region_6_Europe/CHE_Switzerland/BE_Bern/CHE_BE_Langnau.im.Emmental.066380_TMYx.2009-2023.zip")</f>
        <v>https://climate.onebuilding.org/WMO_Region_6_Europe/CHE_Switzerland/BE_Bern/CHE_BE_Langnau.im.Emmental.066380_TMYx.2009-2023.zip</v>
      </c>
    </row>
    <row r="1290" spans="1:10" x14ac:dyDescent="0.25">
      <c r="A1290" t="s">
        <v>702</v>
      </c>
      <c r="B1290" t="s">
        <v>65</v>
      </c>
      <c r="C1290" t="s">
        <v>806</v>
      </c>
      <c r="D1290" s="1" t="s">
        <v>807</v>
      </c>
      <c r="E1290" t="s">
        <v>14</v>
      </c>
      <c r="F1290">
        <v>46.939700000000002</v>
      </c>
      <c r="G1290">
        <v>7.8064</v>
      </c>
      <c r="H1290">
        <v>1</v>
      </c>
      <c r="I1290">
        <v>746.7</v>
      </c>
      <c r="J1290" t="str">
        <f>HYPERLINK("https://climate.onebuilding.org/WMO_Region_6_Europe/CHE_Switzerland/BE_Bern/CHE_BE_Langnau.im.Emmental.066380_TMYx.zip")</f>
        <v>https://climate.onebuilding.org/WMO_Region_6_Europe/CHE_Switzerland/BE_Bern/CHE_BE_Langnau.im.Emmental.066380_TMYx.zip</v>
      </c>
    </row>
    <row r="1291" spans="1:10" x14ac:dyDescent="0.25">
      <c r="A1291" t="s">
        <v>702</v>
      </c>
      <c r="B1291" t="s">
        <v>65</v>
      </c>
      <c r="C1291" t="s">
        <v>809</v>
      </c>
      <c r="D1291" s="1" t="s">
        <v>810</v>
      </c>
      <c r="E1291" t="s">
        <v>811</v>
      </c>
      <c r="F1291">
        <v>47.0047</v>
      </c>
      <c r="G1291">
        <v>7.94</v>
      </c>
      <c r="H1291">
        <v>1</v>
      </c>
      <c r="I1291">
        <v>1405.1</v>
      </c>
      <c r="J1291" t="str">
        <f>HYPERLINK("https://climate.onebuilding.org/WMO_Region_6_Europe/CHE_Switzerland/BE_Bern/CHE_BE_Napf.066390_TMYx.2004-2018.zip")</f>
        <v>https://climate.onebuilding.org/WMO_Region_6_Europe/CHE_Switzerland/BE_Bern/CHE_BE_Napf.066390_TMYx.2004-2018.zip</v>
      </c>
    </row>
    <row r="1292" spans="1:10" x14ac:dyDescent="0.25">
      <c r="A1292" t="s">
        <v>702</v>
      </c>
      <c r="B1292" t="s">
        <v>65</v>
      </c>
      <c r="C1292" t="s">
        <v>809</v>
      </c>
      <c r="D1292" s="1" t="s">
        <v>810</v>
      </c>
      <c r="E1292" t="s">
        <v>14</v>
      </c>
      <c r="F1292">
        <v>47.0047</v>
      </c>
      <c r="G1292">
        <v>7.94</v>
      </c>
      <c r="H1292">
        <v>1</v>
      </c>
      <c r="I1292">
        <v>1405.1</v>
      </c>
      <c r="J1292" t="str">
        <f>HYPERLINK("https://climate.onebuilding.org/WMO_Region_6_Europe/CHE_Switzerland/BE_Bern/CHE_BE_Napf.066390_TMYx.2007-2021.zip")</f>
        <v>https://climate.onebuilding.org/WMO_Region_6_Europe/CHE_Switzerland/BE_Bern/CHE_BE_Napf.066390_TMYx.2007-2021.zip</v>
      </c>
    </row>
    <row r="1293" spans="1:10" x14ac:dyDescent="0.25">
      <c r="A1293" t="s">
        <v>702</v>
      </c>
      <c r="B1293" t="s">
        <v>65</v>
      </c>
      <c r="C1293" t="s">
        <v>809</v>
      </c>
      <c r="D1293" s="1" t="s">
        <v>810</v>
      </c>
      <c r="E1293" t="s">
        <v>14</v>
      </c>
      <c r="F1293">
        <v>47.0047</v>
      </c>
      <c r="G1293">
        <v>7.94</v>
      </c>
      <c r="H1293">
        <v>1</v>
      </c>
      <c r="I1293">
        <v>1405.1</v>
      </c>
      <c r="J1293" t="str">
        <f>HYPERLINK("https://climate.onebuilding.org/WMO_Region_6_Europe/CHE_Switzerland/BE_Bern/CHE_BE_Napf.066390_TMYx.2009-2023.zip")</f>
        <v>https://climate.onebuilding.org/WMO_Region_6_Europe/CHE_Switzerland/BE_Bern/CHE_BE_Napf.066390_TMYx.2009-2023.zip</v>
      </c>
    </row>
    <row r="1294" spans="1:10" x14ac:dyDescent="0.25">
      <c r="A1294" t="s">
        <v>702</v>
      </c>
      <c r="B1294" t="s">
        <v>65</v>
      </c>
      <c r="C1294" t="s">
        <v>809</v>
      </c>
      <c r="D1294" s="1" t="s">
        <v>810</v>
      </c>
      <c r="E1294" t="s">
        <v>14</v>
      </c>
      <c r="F1294">
        <v>47.0047</v>
      </c>
      <c r="G1294">
        <v>7.94</v>
      </c>
      <c r="H1294">
        <v>1</v>
      </c>
      <c r="I1294">
        <v>1405.1</v>
      </c>
      <c r="J1294" t="str">
        <f>HYPERLINK("https://climate.onebuilding.org/WMO_Region_6_Europe/CHE_Switzerland/BE_Bern/CHE_BE_Napf.066390_TMYx.zip")</f>
        <v>https://climate.onebuilding.org/WMO_Region_6_Europe/CHE_Switzerland/BE_Bern/CHE_BE_Napf.066390_TMYx.zip</v>
      </c>
    </row>
    <row r="1295" spans="1:10" x14ac:dyDescent="0.25">
      <c r="A1295" t="s">
        <v>702</v>
      </c>
      <c r="B1295" t="s">
        <v>726</v>
      </c>
      <c r="C1295" t="s">
        <v>812</v>
      </c>
      <c r="D1295" s="1" t="s">
        <v>813</v>
      </c>
      <c r="E1295" t="s">
        <v>14</v>
      </c>
      <c r="F1295">
        <v>46.656399999999998</v>
      </c>
      <c r="G1295">
        <v>7.0697000000000001</v>
      </c>
      <c r="H1295">
        <v>1</v>
      </c>
      <c r="I1295">
        <v>714.5</v>
      </c>
      <c r="J1295" t="str">
        <f>HYPERLINK("https://climate.onebuilding.org/WMO_Region_6_Europe/CHE_Switzerland/FR_Fribourg/CHE_FR_Marsens.066400_TMYx.2007-2021.zip")</f>
        <v>https://climate.onebuilding.org/WMO_Region_6_Europe/CHE_Switzerland/FR_Fribourg/CHE_FR_Marsens.066400_TMYx.2007-2021.zip</v>
      </c>
    </row>
    <row r="1296" spans="1:10" x14ac:dyDescent="0.25">
      <c r="A1296" t="s">
        <v>702</v>
      </c>
      <c r="B1296" t="s">
        <v>726</v>
      </c>
      <c r="C1296" t="s">
        <v>812</v>
      </c>
      <c r="D1296" s="1" t="s">
        <v>813</v>
      </c>
      <c r="E1296" t="s">
        <v>14</v>
      </c>
      <c r="F1296">
        <v>46.656399999999998</v>
      </c>
      <c r="G1296">
        <v>7.0697000000000001</v>
      </c>
      <c r="H1296">
        <v>1</v>
      </c>
      <c r="I1296">
        <v>714.5</v>
      </c>
      <c r="J1296" t="str">
        <f>HYPERLINK("https://climate.onebuilding.org/WMO_Region_6_Europe/CHE_Switzerland/FR_Fribourg/CHE_FR_Marsens.066400_TMYx.2009-2023.zip")</f>
        <v>https://climate.onebuilding.org/WMO_Region_6_Europe/CHE_Switzerland/FR_Fribourg/CHE_FR_Marsens.066400_TMYx.2009-2023.zip</v>
      </c>
    </row>
    <row r="1297" spans="1:10" x14ac:dyDescent="0.25">
      <c r="A1297" t="s">
        <v>702</v>
      </c>
      <c r="B1297" t="s">
        <v>726</v>
      </c>
      <c r="C1297" t="s">
        <v>812</v>
      </c>
      <c r="D1297" s="1" t="s">
        <v>813</v>
      </c>
      <c r="E1297" t="s">
        <v>14</v>
      </c>
      <c r="F1297">
        <v>46.656399999999998</v>
      </c>
      <c r="G1297">
        <v>7.0697000000000001</v>
      </c>
      <c r="H1297">
        <v>1</v>
      </c>
      <c r="I1297">
        <v>714.5</v>
      </c>
      <c r="J1297" t="str">
        <f>HYPERLINK("https://climate.onebuilding.org/WMO_Region_6_Europe/CHE_Switzerland/FR_Fribourg/CHE_FR_Marsens.066400_TMYx.zip")</f>
        <v>https://climate.onebuilding.org/WMO_Region_6_Europe/CHE_Switzerland/FR_Fribourg/CHE_FR_Marsens.066400_TMYx.zip</v>
      </c>
    </row>
    <row r="1298" spans="1:10" x14ac:dyDescent="0.25">
      <c r="A1298" t="s">
        <v>702</v>
      </c>
      <c r="B1298" t="s">
        <v>814</v>
      </c>
      <c r="C1298" t="s">
        <v>815</v>
      </c>
      <c r="D1298" s="1" t="s">
        <v>816</v>
      </c>
      <c r="E1298" t="s">
        <v>817</v>
      </c>
      <c r="F1298">
        <v>47.572200000000002</v>
      </c>
      <c r="G1298">
        <v>7.8777999999999997</v>
      </c>
      <c r="H1298">
        <v>1</v>
      </c>
      <c r="I1298">
        <v>345.3</v>
      </c>
      <c r="J1298" t="str">
        <f>HYPERLINK("https://climate.onebuilding.org/WMO_Region_6_Europe/CHE_Switzerland/AG_Aargau/CHE_AG_Mohlin.066410_TMYx.2004-2018.zip")</f>
        <v>https://climate.onebuilding.org/WMO_Region_6_Europe/CHE_Switzerland/AG_Aargau/CHE_AG_Mohlin.066410_TMYx.2004-2018.zip</v>
      </c>
    </row>
    <row r="1299" spans="1:10" x14ac:dyDescent="0.25">
      <c r="A1299" t="s">
        <v>702</v>
      </c>
      <c r="B1299" t="s">
        <v>814</v>
      </c>
      <c r="C1299" t="s">
        <v>815</v>
      </c>
      <c r="D1299" s="1" t="s">
        <v>816</v>
      </c>
      <c r="E1299" t="s">
        <v>14</v>
      </c>
      <c r="F1299">
        <v>47.572200000000002</v>
      </c>
      <c r="G1299">
        <v>7.8777999999999997</v>
      </c>
      <c r="H1299">
        <v>1</v>
      </c>
      <c r="I1299">
        <v>345.3</v>
      </c>
      <c r="J1299" t="str">
        <f>HYPERLINK("https://climate.onebuilding.org/WMO_Region_6_Europe/CHE_Switzerland/AG_Aargau/CHE_AG_Mohlin.066410_TMYx.2007-2021.zip")</f>
        <v>https://climate.onebuilding.org/WMO_Region_6_Europe/CHE_Switzerland/AG_Aargau/CHE_AG_Mohlin.066410_TMYx.2007-2021.zip</v>
      </c>
    </row>
    <row r="1300" spans="1:10" x14ac:dyDescent="0.25">
      <c r="A1300" t="s">
        <v>702</v>
      </c>
      <c r="B1300" t="s">
        <v>814</v>
      </c>
      <c r="C1300" t="s">
        <v>815</v>
      </c>
      <c r="D1300" s="1" t="s">
        <v>816</v>
      </c>
      <c r="E1300" t="s">
        <v>14</v>
      </c>
      <c r="F1300">
        <v>47.572200000000002</v>
      </c>
      <c r="G1300">
        <v>7.8777999999999997</v>
      </c>
      <c r="H1300">
        <v>1</v>
      </c>
      <c r="I1300">
        <v>345.3</v>
      </c>
      <c r="J1300" t="str">
        <f>HYPERLINK("https://climate.onebuilding.org/WMO_Region_6_Europe/CHE_Switzerland/AG_Aargau/CHE_AG_Mohlin.066410_TMYx.2009-2023.zip")</f>
        <v>https://climate.onebuilding.org/WMO_Region_6_Europe/CHE_Switzerland/AG_Aargau/CHE_AG_Mohlin.066410_TMYx.2009-2023.zip</v>
      </c>
    </row>
    <row r="1301" spans="1:10" x14ac:dyDescent="0.25">
      <c r="A1301" t="s">
        <v>702</v>
      </c>
      <c r="B1301" t="s">
        <v>814</v>
      </c>
      <c r="C1301" t="s">
        <v>815</v>
      </c>
      <c r="D1301" s="1" t="s">
        <v>816</v>
      </c>
      <c r="E1301" t="s">
        <v>14</v>
      </c>
      <c r="F1301">
        <v>47.572200000000002</v>
      </c>
      <c r="G1301">
        <v>7.8777999999999997</v>
      </c>
      <c r="H1301">
        <v>1</v>
      </c>
      <c r="I1301">
        <v>345.3</v>
      </c>
      <c r="J1301" t="str">
        <f>HYPERLINK("https://climate.onebuilding.org/WMO_Region_6_Europe/CHE_Switzerland/AG_Aargau/CHE_AG_Mohlin.066410_TMYx.zip")</f>
        <v>https://climate.onebuilding.org/WMO_Region_6_Europe/CHE_Switzerland/AG_Aargau/CHE_AG_Mohlin.066410_TMYx.zip</v>
      </c>
    </row>
    <row r="1302" spans="1:10" x14ac:dyDescent="0.25">
      <c r="A1302" t="s">
        <v>702</v>
      </c>
      <c r="B1302" t="s">
        <v>65</v>
      </c>
      <c r="C1302" t="s">
        <v>818</v>
      </c>
      <c r="D1302" s="1" t="s">
        <v>819</v>
      </c>
      <c r="E1302" t="s">
        <v>820</v>
      </c>
      <c r="F1302">
        <v>47.255000000000003</v>
      </c>
      <c r="G1302">
        <v>7.7874999999999996</v>
      </c>
      <c r="H1302">
        <v>1</v>
      </c>
      <c r="I1302">
        <v>423.4</v>
      </c>
      <c r="J1302" t="str">
        <f>HYPERLINK("https://climate.onebuilding.org/WMO_Region_6_Europe/CHE_Switzerland/BE_Bern/CHE_BE_Wynau.066430_TMYx.2004-2018.zip")</f>
        <v>https://climate.onebuilding.org/WMO_Region_6_Europe/CHE_Switzerland/BE_Bern/CHE_BE_Wynau.066430_TMYx.2004-2018.zip</v>
      </c>
    </row>
    <row r="1303" spans="1:10" x14ac:dyDescent="0.25">
      <c r="A1303" t="s">
        <v>702</v>
      </c>
      <c r="B1303" t="s">
        <v>65</v>
      </c>
      <c r="C1303" t="s">
        <v>818</v>
      </c>
      <c r="D1303" s="1" t="s">
        <v>819</v>
      </c>
      <c r="E1303" t="s">
        <v>14</v>
      </c>
      <c r="F1303">
        <v>47.255000000000003</v>
      </c>
      <c r="G1303">
        <v>7.7874999999999996</v>
      </c>
      <c r="H1303">
        <v>1</v>
      </c>
      <c r="I1303">
        <v>423.4</v>
      </c>
      <c r="J1303" t="str">
        <f>HYPERLINK("https://climate.onebuilding.org/WMO_Region_6_Europe/CHE_Switzerland/BE_Bern/CHE_BE_Wynau.066430_TMYx.2007-2021.zip")</f>
        <v>https://climate.onebuilding.org/WMO_Region_6_Europe/CHE_Switzerland/BE_Bern/CHE_BE_Wynau.066430_TMYx.2007-2021.zip</v>
      </c>
    </row>
    <row r="1304" spans="1:10" x14ac:dyDescent="0.25">
      <c r="A1304" t="s">
        <v>702</v>
      </c>
      <c r="B1304" t="s">
        <v>65</v>
      </c>
      <c r="C1304" t="s">
        <v>818</v>
      </c>
      <c r="D1304" s="1" t="s">
        <v>819</v>
      </c>
      <c r="E1304" t="s">
        <v>14</v>
      </c>
      <c r="F1304">
        <v>47.255000000000003</v>
      </c>
      <c r="G1304">
        <v>7.7874999999999996</v>
      </c>
      <c r="H1304">
        <v>1</v>
      </c>
      <c r="I1304">
        <v>423.4</v>
      </c>
      <c r="J1304" t="str">
        <f>HYPERLINK("https://climate.onebuilding.org/WMO_Region_6_Europe/CHE_Switzerland/BE_Bern/CHE_BE_Wynau.066430_TMYx.2009-2023.zip")</f>
        <v>https://climate.onebuilding.org/WMO_Region_6_Europe/CHE_Switzerland/BE_Bern/CHE_BE_Wynau.066430_TMYx.2009-2023.zip</v>
      </c>
    </row>
    <row r="1305" spans="1:10" x14ac:dyDescent="0.25">
      <c r="A1305" t="s">
        <v>702</v>
      </c>
      <c r="B1305" t="s">
        <v>65</v>
      </c>
      <c r="C1305" t="s">
        <v>818</v>
      </c>
      <c r="D1305" s="1" t="s">
        <v>819</v>
      </c>
      <c r="E1305" t="s">
        <v>14</v>
      </c>
      <c r="F1305">
        <v>47.255000000000003</v>
      </c>
      <c r="G1305">
        <v>7.7874999999999996</v>
      </c>
      <c r="H1305">
        <v>1</v>
      </c>
      <c r="I1305">
        <v>423.4</v>
      </c>
      <c r="J1305" t="str">
        <f>HYPERLINK("https://climate.onebuilding.org/WMO_Region_6_Europe/CHE_Switzerland/BE_Bern/CHE_BE_Wynau.066430_TMYx.zip")</f>
        <v>https://climate.onebuilding.org/WMO_Region_6_Europe/CHE_Switzerland/BE_Bern/CHE_BE_Wynau.066430_TMYx.zip</v>
      </c>
    </row>
    <row r="1306" spans="1:10" x14ac:dyDescent="0.25">
      <c r="A1306" t="s">
        <v>702</v>
      </c>
      <c r="B1306" t="s">
        <v>11</v>
      </c>
      <c r="C1306" t="s">
        <v>821</v>
      </c>
      <c r="D1306" s="1" t="s">
        <v>822</v>
      </c>
      <c r="E1306" t="s">
        <v>823</v>
      </c>
      <c r="F1306">
        <v>47.243899999999996</v>
      </c>
      <c r="G1306">
        <v>8.2327999999999992</v>
      </c>
      <c r="H1306">
        <v>1</v>
      </c>
      <c r="I1306">
        <v>453.5</v>
      </c>
      <c r="J1306" t="str">
        <f>HYPERLINK("https://climate.onebuilding.org/WMO_Region_6_Europe/CHE_Switzerland/LU_Lucerne/CHE_LU_Mosen.066440_TMYx.2004-2018.zip")</f>
        <v>https://climate.onebuilding.org/WMO_Region_6_Europe/CHE_Switzerland/LU_Lucerne/CHE_LU_Mosen.066440_TMYx.2004-2018.zip</v>
      </c>
    </row>
    <row r="1307" spans="1:10" x14ac:dyDescent="0.25">
      <c r="A1307" t="s">
        <v>702</v>
      </c>
      <c r="B1307" t="s">
        <v>11</v>
      </c>
      <c r="C1307" t="s">
        <v>821</v>
      </c>
      <c r="D1307" s="1" t="s">
        <v>822</v>
      </c>
      <c r="E1307" t="s">
        <v>14</v>
      </c>
      <c r="F1307">
        <v>47.243899999999996</v>
      </c>
      <c r="G1307">
        <v>8.2327999999999992</v>
      </c>
      <c r="H1307">
        <v>1</v>
      </c>
      <c r="I1307">
        <v>453.5</v>
      </c>
      <c r="J1307" t="str">
        <f>HYPERLINK("https://climate.onebuilding.org/WMO_Region_6_Europe/CHE_Switzerland/LU_Lucerne/CHE_LU_Mosen.066440_TMYx.2007-2021.zip")</f>
        <v>https://climate.onebuilding.org/WMO_Region_6_Europe/CHE_Switzerland/LU_Lucerne/CHE_LU_Mosen.066440_TMYx.2007-2021.zip</v>
      </c>
    </row>
    <row r="1308" spans="1:10" x14ac:dyDescent="0.25">
      <c r="A1308" t="s">
        <v>702</v>
      </c>
      <c r="B1308" t="s">
        <v>11</v>
      </c>
      <c r="C1308" t="s">
        <v>821</v>
      </c>
      <c r="D1308" s="1" t="s">
        <v>822</v>
      </c>
      <c r="E1308" t="s">
        <v>14</v>
      </c>
      <c r="F1308">
        <v>47.243899999999996</v>
      </c>
      <c r="G1308">
        <v>8.2327999999999992</v>
      </c>
      <c r="H1308">
        <v>1</v>
      </c>
      <c r="I1308">
        <v>453.5</v>
      </c>
      <c r="J1308" t="str">
        <f>HYPERLINK("https://climate.onebuilding.org/WMO_Region_6_Europe/CHE_Switzerland/LU_Lucerne/CHE_LU_Mosen.066440_TMYx.2009-2023.zip")</f>
        <v>https://climate.onebuilding.org/WMO_Region_6_Europe/CHE_Switzerland/LU_Lucerne/CHE_LU_Mosen.066440_TMYx.2009-2023.zip</v>
      </c>
    </row>
    <row r="1309" spans="1:10" x14ac:dyDescent="0.25">
      <c r="A1309" t="s">
        <v>702</v>
      </c>
      <c r="B1309" t="s">
        <v>11</v>
      </c>
      <c r="C1309" t="s">
        <v>821</v>
      </c>
      <c r="D1309" s="1" t="s">
        <v>822</v>
      </c>
      <c r="E1309" t="s">
        <v>14</v>
      </c>
      <c r="F1309">
        <v>47.243899999999996</v>
      </c>
      <c r="G1309">
        <v>8.2327999999999992</v>
      </c>
      <c r="H1309">
        <v>1</v>
      </c>
      <c r="I1309">
        <v>453.5</v>
      </c>
      <c r="J1309" t="str">
        <f>HYPERLINK("https://climate.onebuilding.org/WMO_Region_6_Europe/CHE_Switzerland/LU_Lucerne/CHE_LU_Mosen.066440_TMYx.zip")</f>
        <v>https://climate.onebuilding.org/WMO_Region_6_Europe/CHE_Switzerland/LU_Lucerne/CHE_LU_Mosen.066440_TMYx.zip</v>
      </c>
    </row>
    <row r="1310" spans="1:10" x14ac:dyDescent="0.25">
      <c r="A1310" t="s">
        <v>702</v>
      </c>
      <c r="B1310" t="s">
        <v>564</v>
      </c>
      <c r="C1310" t="s">
        <v>824</v>
      </c>
      <c r="D1310" s="1" t="s">
        <v>825</v>
      </c>
      <c r="E1310" t="s">
        <v>826</v>
      </c>
      <c r="F1310">
        <v>47.434399999999997</v>
      </c>
      <c r="G1310">
        <v>7.8794000000000004</v>
      </c>
      <c r="H1310">
        <v>1</v>
      </c>
      <c r="I1310">
        <v>612.6</v>
      </c>
      <c r="J1310" t="str">
        <f>HYPERLINK("https://climate.onebuilding.org/WMO_Region_6_Europe/CHE_Switzerland/BL_Basel-Landschaft/CHE_BL_Runenberg.066450_TMYx.2004-2018.zip")</f>
        <v>https://climate.onebuilding.org/WMO_Region_6_Europe/CHE_Switzerland/BL_Basel-Landschaft/CHE_BL_Runenberg.066450_TMYx.2004-2018.zip</v>
      </c>
    </row>
    <row r="1311" spans="1:10" x14ac:dyDescent="0.25">
      <c r="A1311" t="s">
        <v>702</v>
      </c>
      <c r="B1311" t="s">
        <v>564</v>
      </c>
      <c r="C1311" t="s">
        <v>824</v>
      </c>
      <c r="D1311" s="1" t="s">
        <v>825</v>
      </c>
      <c r="E1311" t="s">
        <v>14</v>
      </c>
      <c r="F1311">
        <v>47.434399999999997</v>
      </c>
      <c r="G1311">
        <v>7.8794000000000004</v>
      </c>
      <c r="H1311">
        <v>1</v>
      </c>
      <c r="I1311">
        <v>612.6</v>
      </c>
      <c r="J1311" t="str">
        <f>HYPERLINK("https://climate.onebuilding.org/WMO_Region_6_Europe/CHE_Switzerland/BL_Basel-Landschaft/CHE_BL_Runenberg.066450_TMYx.2007-2021.zip")</f>
        <v>https://climate.onebuilding.org/WMO_Region_6_Europe/CHE_Switzerland/BL_Basel-Landschaft/CHE_BL_Runenberg.066450_TMYx.2007-2021.zip</v>
      </c>
    </row>
    <row r="1312" spans="1:10" x14ac:dyDescent="0.25">
      <c r="A1312" t="s">
        <v>702</v>
      </c>
      <c r="B1312" t="s">
        <v>564</v>
      </c>
      <c r="C1312" t="s">
        <v>824</v>
      </c>
      <c r="D1312" s="1" t="s">
        <v>825</v>
      </c>
      <c r="E1312" t="s">
        <v>14</v>
      </c>
      <c r="F1312">
        <v>47.434399999999997</v>
      </c>
      <c r="G1312">
        <v>7.8794000000000004</v>
      </c>
      <c r="H1312">
        <v>1</v>
      </c>
      <c r="I1312">
        <v>612.6</v>
      </c>
      <c r="J1312" t="str">
        <f>HYPERLINK("https://climate.onebuilding.org/WMO_Region_6_Europe/CHE_Switzerland/BL_Basel-Landschaft/CHE_BL_Runenberg.066450_TMYx.2009-2023.zip")</f>
        <v>https://climate.onebuilding.org/WMO_Region_6_Europe/CHE_Switzerland/BL_Basel-Landschaft/CHE_BL_Runenberg.066450_TMYx.2009-2023.zip</v>
      </c>
    </row>
    <row r="1313" spans="1:10" x14ac:dyDescent="0.25">
      <c r="A1313" t="s">
        <v>702</v>
      </c>
      <c r="B1313" t="s">
        <v>564</v>
      </c>
      <c r="C1313" t="s">
        <v>824</v>
      </c>
      <c r="D1313" s="1" t="s">
        <v>825</v>
      </c>
      <c r="E1313" t="s">
        <v>14</v>
      </c>
      <c r="F1313">
        <v>47.434399999999997</v>
      </c>
      <c r="G1313">
        <v>7.8794000000000004</v>
      </c>
      <c r="H1313">
        <v>1</v>
      </c>
      <c r="I1313">
        <v>612.6</v>
      </c>
      <c r="J1313" t="str">
        <f>HYPERLINK("https://climate.onebuilding.org/WMO_Region_6_Europe/CHE_Switzerland/BL_Basel-Landschaft/CHE_BL_Runenberg.066450_TMYx.zip")</f>
        <v>https://climate.onebuilding.org/WMO_Region_6_Europe/CHE_Switzerland/BL_Basel-Landschaft/CHE_BL_Runenberg.066450_TMYx.zip</v>
      </c>
    </row>
    <row r="1314" spans="1:10" x14ac:dyDescent="0.25">
      <c r="A1314" t="s">
        <v>702</v>
      </c>
      <c r="B1314" t="s">
        <v>814</v>
      </c>
      <c r="C1314" t="s">
        <v>827</v>
      </c>
      <c r="D1314" s="1" t="s">
        <v>828</v>
      </c>
      <c r="E1314" t="s">
        <v>829</v>
      </c>
      <c r="F1314">
        <v>47.557200000000002</v>
      </c>
      <c r="G1314">
        <v>8.2332999999999998</v>
      </c>
      <c r="H1314">
        <v>1</v>
      </c>
      <c r="I1314">
        <v>327.3</v>
      </c>
      <c r="J1314" t="str">
        <f>HYPERLINK("https://climate.onebuilding.org/WMO_Region_6_Europe/CHE_Switzerland/AG_Aargau/CHE_AG_Beznau.066460_TMYx.2004-2018.zip")</f>
        <v>https://climate.onebuilding.org/WMO_Region_6_Europe/CHE_Switzerland/AG_Aargau/CHE_AG_Beznau.066460_TMYx.2004-2018.zip</v>
      </c>
    </row>
    <row r="1315" spans="1:10" x14ac:dyDescent="0.25">
      <c r="A1315" t="s">
        <v>702</v>
      </c>
      <c r="B1315" t="s">
        <v>814</v>
      </c>
      <c r="C1315" t="s">
        <v>827</v>
      </c>
      <c r="D1315" s="1" t="s">
        <v>828</v>
      </c>
      <c r="E1315" t="s">
        <v>14</v>
      </c>
      <c r="F1315">
        <v>47.557200000000002</v>
      </c>
      <c r="G1315">
        <v>8.2332999999999998</v>
      </c>
      <c r="H1315">
        <v>1</v>
      </c>
      <c r="I1315">
        <v>327.3</v>
      </c>
      <c r="J1315" t="str">
        <f>HYPERLINK("https://climate.onebuilding.org/WMO_Region_6_Europe/CHE_Switzerland/AG_Aargau/CHE_AG_Beznau.066460_TMYx.2007-2021.zip")</f>
        <v>https://climate.onebuilding.org/WMO_Region_6_Europe/CHE_Switzerland/AG_Aargau/CHE_AG_Beznau.066460_TMYx.2007-2021.zip</v>
      </c>
    </row>
    <row r="1316" spans="1:10" x14ac:dyDescent="0.25">
      <c r="A1316" t="s">
        <v>702</v>
      </c>
      <c r="B1316" t="s">
        <v>814</v>
      </c>
      <c r="C1316" t="s">
        <v>827</v>
      </c>
      <c r="D1316" s="1" t="s">
        <v>828</v>
      </c>
      <c r="E1316" t="s">
        <v>14</v>
      </c>
      <c r="F1316">
        <v>47.557200000000002</v>
      </c>
      <c r="G1316">
        <v>8.2332999999999998</v>
      </c>
      <c r="H1316">
        <v>1</v>
      </c>
      <c r="I1316">
        <v>327.3</v>
      </c>
      <c r="J1316" t="str">
        <f>HYPERLINK("https://climate.onebuilding.org/WMO_Region_6_Europe/CHE_Switzerland/AG_Aargau/CHE_AG_Beznau.066460_TMYx.2009-2023.zip")</f>
        <v>https://climate.onebuilding.org/WMO_Region_6_Europe/CHE_Switzerland/AG_Aargau/CHE_AG_Beznau.066460_TMYx.2009-2023.zip</v>
      </c>
    </row>
    <row r="1317" spans="1:10" x14ac:dyDescent="0.25">
      <c r="A1317" t="s">
        <v>702</v>
      </c>
      <c r="B1317" t="s">
        <v>814</v>
      </c>
      <c r="C1317" t="s">
        <v>827</v>
      </c>
      <c r="D1317" s="1" t="s">
        <v>828</v>
      </c>
      <c r="E1317" t="s">
        <v>14</v>
      </c>
      <c r="F1317">
        <v>47.557200000000002</v>
      </c>
      <c r="G1317">
        <v>8.2332999999999998</v>
      </c>
      <c r="H1317">
        <v>1</v>
      </c>
      <c r="I1317">
        <v>327.3</v>
      </c>
      <c r="J1317" t="str">
        <f>HYPERLINK("https://climate.onebuilding.org/WMO_Region_6_Europe/CHE_Switzerland/AG_Aargau/CHE_AG_Beznau.066460_TMYx.zip")</f>
        <v>https://climate.onebuilding.org/WMO_Region_6_Europe/CHE_Switzerland/AG_Aargau/CHE_AG_Beznau.066460_TMYx.zip</v>
      </c>
    </row>
    <row r="1318" spans="1:10" x14ac:dyDescent="0.25">
      <c r="A1318" t="s">
        <v>702</v>
      </c>
      <c r="B1318" t="s">
        <v>814</v>
      </c>
      <c r="C1318" t="s">
        <v>830</v>
      </c>
      <c r="D1318" s="1" t="s">
        <v>831</v>
      </c>
      <c r="E1318" t="s">
        <v>14</v>
      </c>
      <c r="F1318">
        <v>47.5383</v>
      </c>
      <c r="G1318">
        <v>8.2294</v>
      </c>
      <c r="H1318">
        <v>1</v>
      </c>
      <c r="I1318">
        <v>337</v>
      </c>
      <c r="J1318" t="str">
        <f>HYPERLINK("https://climate.onebuilding.org/WMO_Region_6_Europe/CHE_Switzerland/AG_Aargau/CHE_AG_Wuerenlingen.066470_TMYx.2007-2021.zip")</f>
        <v>https://climate.onebuilding.org/WMO_Region_6_Europe/CHE_Switzerland/AG_Aargau/CHE_AG_Wuerenlingen.066470_TMYx.2007-2021.zip</v>
      </c>
    </row>
    <row r="1319" spans="1:10" x14ac:dyDescent="0.25">
      <c r="A1319" t="s">
        <v>702</v>
      </c>
      <c r="B1319" t="s">
        <v>814</v>
      </c>
      <c r="C1319" t="s">
        <v>830</v>
      </c>
      <c r="D1319" s="1" t="s">
        <v>831</v>
      </c>
      <c r="E1319" t="s">
        <v>14</v>
      </c>
      <c r="F1319">
        <v>47.5383</v>
      </c>
      <c r="G1319">
        <v>8.2294</v>
      </c>
      <c r="H1319">
        <v>1</v>
      </c>
      <c r="I1319">
        <v>337</v>
      </c>
      <c r="J1319" t="str">
        <f>HYPERLINK("https://climate.onebuilding.org/WMO_Region_6_Europe/CHE_Switzerland/AG_Aargau/CHE_AG_Wuerenlingen.066470_TMYx.2009-2023.zip")</f>
        <v>https://climate.onebuilding.org/WMO_Region_6_Europe/CHE_Switzerland/AG_Aargau/CHE_AG_Wuerenlingen.066470_TMYx.2009-2023.zip</v>
      </c>
    </row>
    <row r="1320" spans="1:10" x14ac:dyDescent="0.25">
      <c r="A1320" t="s">
        <v>702</v>
      </c>
      <c r="B1320" t="s">
        <v>814</v>
      </c>
      <c r="C1320" t="s">
        <v>830</v>
      </c>
      <c r="D1320" s="1" t="s">
        <v>831</v>
      </c>
      <c r="E1320" t="s">
        <v>14</v>
      </c>
      <c r="F1320">
        <v>47.5383</v>
      </c>
      <c r="G1320">
        <v>8.2294</v>
      </c>
      <c r="H1320">
        <v>1</v>
      </c>
      <c r="I1320">
        <v>337</v>
      </c>
      <c r="J1320" t="str">
        <f>HYPERLINK("https://climate.onebuilding.org/WMO_Region_6_Europe/CHE_Switzerland/AG_Aargau/CHE_AG_Wuerenlingen.066470_TMYx.zip")</f>
        <v>https://climate.onebuilding.org/WMO_Region_6_Europe/CHE_Switzerland/AG_Aargau/CHE_AG_Wuerenlingen.066470_TMYx.zip</v>
      </c>
    </row>
    <row r="1321" spans="1:10" x14ac:dyDescent="0.25">
      <c r="A1321" t="s">
        <v>702</v>
      </c>
      <c r="B1321" t="s">
        <v>11</v>
      </c>
      <c r="C1321" t="s">
        <v>832</v>
      </c>
      <c r="D1321" s="1" t="s">
        <v>833</v>
      </c>
      <c r="E1321" t="s">
        <v>834</v>
      </c>
      <c r="F1321">
        <v>47.179499999999997</v>
      </c>
      <c r="G1321">
        <v>8.0046999999999997</v>
      </c>
      <c r="H1321">
        <v>1</v>
      </c>
      <c r="I1321">
        <v>522.5</v>
      </c>
      <c r="J1321" t="str">
        <f>HYPERLINK("https://climate.onebuilding.org/WMO_Region_6_Europe/CHE_Switzerland/LU_Lucerne/CHE_LU_Egolzwil.066480_TMYx.2004-2018.zip")</f>
        <v>https://climate.onebuilding.org/WMO_Region_6_Europe/CHE_Switzerland/LU_Lucerne/CHE_LU_Egolzwil.066480_TMYx.2004-2018.zip</v>
      </c>
    </row>
    <row r="1322" spans="1:10" x14ac:dyDescent="0.25">
      <c r="A1322" t="s">
        <v>702</v>
      </c>
      <c r="B1322" t="s">
        <v>11</v>
      </c>
      <c r="C1322" t="s">
        <v>832</v>
      </c>
      <c r="D1322" s="1" t="s">
        <v>833</v>
      </c>
      <c r="E1322" t="s">
        <v>14</v>
      </c>
      <c r="F1322">
        <v>47.179499999999997</v>
      </c>
      <c r="G1322">
        <v>8.0046999999999997</v>
      </c>
      <c r="H1322">
        <v>1</v>
      </c>
      <c r="I1322">
        <v>522.5</v>
      </c>
      <c r="J1322" t="str">
        <f>HYPERLINK("https://climate.onebuilding.org/WMO_Region_6_Europe/CHE_Switzerland/LU_Lucerne/CHE_LU_Egolzwil.066480_TMYx.2007-2021.zip")</f>
        <v>https://climate.onebuilding.org/WMO_Region_6_Europe/CHE_Switzerland/LU_Lucerne/CHE_LU_Egolzwil.066480_TMYx.2007-2021.zip</v>
      </c>
    </row>
    <row r="1323" spans="1:10" x14ac:dyDescent="0.25">
      <c r="A1323" t="s">
        <v>702</v>
      </c>
      <c r="B1323" t="s">
        <v>11</v>
      </c>
      <c r="C1323" t="s">
        <v>832</v>
      </c>
      <c r="D1323" s="1" t="s">
        <v>833</v>
      </c>
      <c r="E1323" t="s">
        <v>14</v>
      </c>
      <c r="F1323">
        <v>47.179499999999997</v>
      </c>
      <c r="G1323">
        <v>8.0046999999999997</v>
      </c>
      <c r="H1323">
        <v>1</v>
      </c>
      <c r="I1323">
        <v>522.5</v>
      </c>
      <c r="J1323" t="str">
        <f>HYPERLINK("https://climate.onebuilding.org/WMO_Region_6_Europe/CHE_Switzerland/LU_Lucerne/CHE_LU_Egolzwil.066480_TMYx.2009-2023.zip")</f>
        <v>https://climate.onebuilding.org/WMO_Region_6_Europe/CHE_Switzerland/LU_Lucerne/CHE_LU_Egolzwil.066480_TMYx.2009-2023.zip</v>
      </c>
    </row>
    <row r="1324" spans="1:10" x14ac:dyDescent="0.25">
      <c r="A1324" t="s">
        <v>702</v>
      </c>
      <c r="B1324" t="s">
        <v>11</v>
      </c>
      <c r="C1324" t="s">
        <v>832</v>
      </c>
      <c r="D1324" s="1" t="s">
        <v>833</v>
      </c>
      <c r="E1324" t="s">
        <v>14</v>
      </c>
      <c r="F1324">
        <v>47.179499999999997</v>
      </c>
      <c r="G1324">
        <v>8.0046999999999997</v>
      </c>
      <c r="H1324">
        <v>1</v>
      </c>
      <c r="I1324">
        <v>522.5</v>
      </c>
      <c r="J1324" t="str">
        <f>HYPERLINK("https://climate.onebuilding.org/WMO_Region_6_Europe/CHE_Switzerland/LU_Lucerne/CHE_LU_Egolzwil.066480_TMYx.zip")</f>
        <v>https://climate.onebuilding.org/WMO_Region_6_Europe/CHE_Switzerland/LU_Lucerne/CHE_LU_Egolzwil.066480_TMYx.zip</v>
      </c>
    </row>
    <row r="1325" spans="1:10" x14ac:dyDescent="0.25">
      <c r="A1325" t="s">
        <v>702</v>
      </c>
      <c r="B1325" t="s">
        <v>11</v>
      </c>
      <c r="C1325" t="s">
        <v>835</v>
      </c>
      <c r="D1325" s="1" t="s">
        <v>836</v>
      </c>
      <c r="E1325" t="s">
        <v>837</v>
      </c>
      <c r="F1325">
        <v>47.0364</v>
      </c>
      <c r="G1325">
        <v>8.3008000000000006</v>
      </c>
      <c r="H1325">
        <v>1</v>
      </c>
      <c r="I1325">
        <v>455.5</v>
      </c>
      <c r="J1325" t="str">
        <f>HYPERLINK("https://climate.onebuilding.org/WMO_Region_6_Europe/CHE_Switzerland/LU_Lucerne/CHE_LU_Luzern.066500_TMYx.2004-2018.zip")</f>
        <v>https://climate.onebuilding.org/WMO_Region_6_Europe/CHE_Switzerland/LU_Lucerne/CHE_LU_Luzern.066500_TMYx.2004-2018.zip</v>
      </c>
    </row>
    <row r="1326" spans="1:10" x14ac:dyDescent="0.25">
      <c r="A1326" t="s">
        <v>702</v>
      </c>
      <c r="B1326" t="s">
        <v>11</v>
      </c>
      <c r="C1326" t="s">
        <v>835</v>
      </c>
      <c r="D1326" s="1" t="s">
        <v>836</v>
      </c>
      <c r="E1326" t="s">
        <v>14</v>
      </c>
      <c r="F1326">
        <v>47.0364</v>
      </c>
      <c r="G1326">
        <v>8.3008000000000006</v>
      </c>
      <c r="H1326">
        <v>1</v>
      </c>
      <c r="I1326">
        <v>455.5</v>
      </c>
      <c r="J1326" t="str">
        <f>HYPERLINK("https://climate.onebuilding.org/WMO_Region_6_Europe/CHE_Switzerland/LU_Lucerne/CHE_LU_Luzern.066500_TMYx.2007-2021.zip")</f>
        <v>https://climate.onebuilding.org/WMO_Region_6_Europe/CHE_Switzerland/LU_Lucerne/CHE_LU_Luzern.066500_TMYx.2007-2021.zip</v>
      </c>
    </row>
    <row r="1327" spans="1:10" x14ac:dyDescent="0.25">
      <c r="A1327" t="s">
        <v>702</v>
      </c>
      <c r="B1327" t="s">
        <v>11</v>
      </c>
      <c r="C1327" t="s">
        <v>835</v>
      </c>
      <c r="D1327" s="1" t="s">
        <v>836</v>
      </c>
      <c r="E1327" t="s">
        <v>14</v>
      </c>
      <c r="F1327">
        <v>47.0364</v>
      </c>
      <c r="G1327">
        <v>8.3008000000000006</v>
      </c>
      <c r="H1327">
        <v>1</v>
      </c>
      <c r="I1327">
        <v>455.5</v>
      </c>
      <c r="J1327" t="str">
        <f>HYPERLINK("https://climate.onebuilding.org/WMO_Region_6_Europe/CHE_Switzerland/LU_Lucerne/CHE_LU_Luzern.066500_TMYx.2009-2023.zip")</f>
        <v>https://climate.onebuilding.org/WMO_Region_6_Europe/CHE_Switzerland/LU_Lucerne/CHE_LU_Luzern.066500_TMYx.2009-2023.zip</v>
      </c>
    </row>
    <row r="1328" spans="1:10" x14ac:dyDescent="0.25">
      <c r="A1328" t="s">
        <v>702</v>
      </c>
      <c r="B1328" t="s">
        <v>11</v>
      </c>
      <c r="C1328" t="s">
        <v>835</v>
      </c>
      <c r="D1328" s="1" t="s">
        <v>836</v>
      </c>
      <c r="E1328" t="s">
        <v>14</v>
      </c>
      <c r="F1328">
        <v>47.0364</v>
      </c>
      <c r="G1328">
        <v>8.3008000000000006</v>
      </c>
      <c r="H1328">
        <v>1</v>
      </c>
      <c r="I1328">
        <v>455.5</v>
      </c>
      <c r="J1328" t="str">
        <f>HYPERLINK("https://climate.onebuilding.org/WMO_Region_6_Europe/CHE_Switzerland/LU_Lucerne/CHE_LU_Luzern.066500_TMYx.zip")</f>
        <v>https://climate.onebuilding.org/WMO_Region_6_Europe/CHE_Switzerland/LU_Lucerne/CHE_LU_Luzern.066500_TMYx.zip</v>
      </c>
    </row>
    <row r="1329" spans="1:10" x14ac:dyDescent="0.25">
      <c r="A1329" t="s">
        <v>702</v>
      </c>
      <c r="B1329" t="s">
        <v>11</v>
      </c>
      <c r="C1329" t="s">
        <v>838</v>
      </c>
      <c r="D1329" s="1" t="s">
        <v>839</v>
      </c>
      <c r="E1329" t="s">
        <v>840</v>
      </c>
      <c r="F1329">
        <v>46.946899999999999</v>
      </c>
      <c r="G1329">
        <v>8.0124999999999993</v>
      </c>
      <c r="H1329">
        <v>1</v>
      </c>
      <c r="I1329">
        <v>743.7</v>
      </c>
      <c r="J1329" t="str">
        <f>HYPERLINK("https://climate.onebuilding.org/WMO_Region_6_Europe/CHE_Switzerland/LU_Lucerne/CHE_LU_Schupfheim.066510_TMYx.2004-2018.zip")</f>
        <v>https://climate.onebuilding.org/WMO_Region_6_Europe/CHE_Switzerland/LU_Lucerne/CHE_LU_Schupfheim.066510_TMYx.2004-2018.zip</v>
      </c>
    </row>
    <row r="1330" spans="1:10" x14ac:dyDescent="0.25">
      <c r="A1330" t="s">
        <v>702</v>
      </c>
      <c r="B1330" t="s">
        <v>11</v>
      </c>
      <c r="C1330" t="s">
        <v>838</v>
      </c>
      <c r="D1330" s="1" t="s">
        <v>839</v>
      </c>
      <c r="E1330" t="s">
        <v>14</v>
      </c>
      <c r="F1330">
        <v>46.946899999999999</v>
      </c>
      <c r="G1330">
        <v>8.0124999999999993</v>
      </c>
      <c r="H1330">
        <v>1</v>
      </c>
      <c r="I1330">
        <v>743.7</v>
      </c>
      <c r="J1330" t="str">
        <f>HYPERLINK("https://climate.onebuilding.org/WMO_Region_6_Europe/CHE_Switzerland/LU_Lucerne/CHE_LU_Schupfheim.066510_TMYx.2007-2021.zip")</f>
        <v>https://climate.onebuilding.org/WMO_Region_6_Europe/CHE_Switzerland/LU_Lucerne/CHE_LU_Schupfheim.066510_TMYx.2007-2021.zip</v>
      </c>
    </row>
    <row r="1331" spans="1:10" x14ac:dyDescent="0.25">
      <c r="A1331" t="s">
        <v>702</v>
      </c>
      <c r="B1331" t="s">
        <v>11</v>
      </c>
      <c r="C1331" t="s">
        <v>838</v>
      </c>
      <c r="D1331" s="1" t="s">
        <v>839</v>
      </c>
      <c r="E1331" t="s">
        <v>14</v>
      </c>
      <c r="F1331">
        <v>46.946899999999999</v>
      </c>
      <c r="G1331">
        <v>8.0124999999999993</v>
      </c>
      <c r="H1331">
        <v>1</v>
      </c>
      <c r="I1331">
        <v>743.7</v>
      </c>
      <c r="J1331" t="str">
        <f>HYPERLINK("https://climate.onebuilding.org/WMO_Region_6_Europe/CHE_Switzerland/LU_Lucerne/CHE_LU_Schupfheim.066510_TMYx.2009-2023.zip")</f>
        <v>https://climate.onebuilding.org/WMO_Region_6_Europe/CHE_Switzerland/LU_Lucerne/CHE_LU_Schupfheim.066510_TMYx.2009-2023.zip</v>
      </c>
    </row>
    <row r="1332" spans="1:10" x14ac:dyDescent="0.25">
      <c r="A1332" t="s">
        <v>702</v>
      </c>
      <c r="B1332" t="s">
        <v>11</v>
      </c>
      <c r="C1332" t="s">
        <v>838</v>
      </c>
      <c r="D1332" s="1" t="s">
        <v>839</v>
      </c>
      <c r="E1332" t="s">
        <v>14</v>
      </c>
      <c r="F1332">
        <v>46.946899999999999</v>
      </c>
      <c r="G1332">
        <v>8.0124999999999993</v>
      </c>
      <c r="H1332">
        <v>1</v>
      </c>
      <c r="I1332">
        <v>743.7</v>
      </c>
      <c r="J1332" t="str">
        <f>HYPERLINK("https://climate.onebuilding.org/WMO_Region_6_Europe/CHE_Switzerland/LU_Lucerne/CHE_LU_Schupfheim.066510_TMYx.zip")</f>
        <v>https://climate.onebuilding.org/WMO_Region_6_Europe/CHE_Switzerland/LU_Lucerne/CHE_LU_Schupfheim.066510_TMYx.zip</v>
      </c>
    </row>
    <row r="1333" spans="1:10" x14ac:dyDescent="0.25">
      <c r="A1333" t="s">
        <v>702</v>
      </c>
      <c r="B1333" t="s">
        <v>11</v>
      </c>
      <c r="C1333" t="s">
        <v>841</v>
      </c>
      <c r="D1333" s="1" t="s">
        <v>842</v>
      </c>
      <c r="E1333" t="s">
        <v>14</v>
      </c>
      <c r="F1333">
        <v>46.889499999999998</v>
      </c>
      <c r="G1333">
        <v>8.0203000000000007</v>
      </c>
      <c r="H1333">
        <v>1</v>
      </c>
      <c r="I1333">
        <v>939.8</v>
      </c>
      <c r="J1333" t="str">
        <f>HYPERLINK("https://climate.onebuilding.org/WMO_Region_6_Europe/CHE_Switzerland/LU_Lucerne/CHE_LU_Fluehli.066520_TMYx.2007-2021.zip")</f>
        <v>https://climate.onebuilding.org/WMO_Region_6_Europe/CHE_Switzerland/LU_Lucerne/CHE_LU_Fluehli.066520_TMYx.2007-2021.zip</v>
      </c>
    </row>
    <row r="1334" spans="1:10" x14ac:dyDescent="0.25">
      <c r="A1334" t="s">
        <v>702</v>
      </c>
      <c r="B1334" t="s">
        <v>11</v>
      </c>
      <c r="C1334" t="s">
        <v>841</v>
      </c>
      <c r="D1334" s="1" t="s">
        <v>842</v>
      </c>
      <c r="E1334" t="s">
        <v>14</v>
      </c>
      <c r="F1334">
        <v>46.889499999999998</v>
      </c>
      <c r="G1334">
        <v>8.0203000000000007</v>
      </c>
      <c r="H1334">
        <v>1</v>
      </c>
      <c r="I1334">
        <v>939.8</v>
      </c>
      <c r="J1334" t="str">
        <f>HYPERLINK("https://climate.onebuilding.org/WMO_Region_6_Europe/CHE_Switzerland/LU_Lucerne/CHE_LU_Fluehli.066520_TMYx.2009-2023.zip")</f>
        <v>https://climate.onebuilding.org/WMO_Region_6_Europe/CHE_Switzerland/LU_Lucerne/CHE_LU_Fluehli.066520_TMYx.2009-2023.zip</v>
      </c>
    </row>
    <row r="1335" spans="1:10" x14ac:dyDescent="0.25">
      <c r="A1335" t="s">
        <v>702</v>
      </c>
      <c r="B1335" t="s">
        <v>11</v>
      </c>
      <c r="C1335" t="s">
        <v>841</v>
      </c>
      <c r="D1335" s="1" t="s">
        <v>842</v>
      </c>
      <c r="E1335" t="s">
        <v>14</v>
      </c>
      <c r="F1335">
        <v>46.889499999999998</v>
      </c>
      <c r="G1335">
        <v>8.0203000000000007</v>
      </c>
      <c r="H1335">
        <v>1</v>
      </c>
      <c r="I1335">
        <v>939.8</v>
      </c>
      <c r="J1335" t="str">
        <f>HYPERLINK("https://climate.onebuilding.org/WMO_Region_6_Europe/CHE_Switzerland/LU_Lucerne/CHE_LU_Fluehli.066520_TMYx.zip")</f>
        <v>https://climate.onebuilding.org/WMO_Region_6_Europe/CHE_Switzerland/LU_Lucerne/CHE_LU_Fluehli.066520_TMYx.zip</v>
      </c>
    </row>
    <row r="1336" spans="1:10" x14ac:dyDescent="0.25">
      <c r="A1336" t="s">
        <v>702</v>
      </c>
      <c r="B1336" t="s">
        <v>843</v>
      </c>
      <c r="C1336" t="s">
        <v>844</v>
      </c>
      <c r="D1336" s="1" t="s">
        <v>845</v>
      </c>
      <c r="E1336" t="s">
        <v>846</v>
      </c>
      <c r="F1336">
        <v>46.821899999999999</v>
      </c>
      <c r="G1336">
        <v>8.4106000000000005</v>
      </c>
      <c r="H1336">
        <v>1</v>
      </c>
      <c r="I1336">
        <v>1036.0999999999999</v>
      </c>
      <c r="J1336" t="str">
        <f>HYPERLINK("https://climate.onebuilding.org/WMO_Region_6_Europe/CHE_Switzerland/OW_Obwalden/CHE_OW_Engelberg.066550_TMYx.2004-2018.zip")</f>
        <v>https://climate.onebuilding.org/WMO_Region_6_Europe/CHE_Switzerland/OW_Obwalden/CHE_OW_Engelberg.066550_TMYx.2004-2018.zip</v>
      </c>
    </row>
    <row r="1337" spans="1:10" x14ac:dyDescent="0.25">
      <c r="A1337" t="s">
        <v>702</v>
      </c>
      <c r="B1337" t="s">
        <v>843</v>
      </c>
      <c r="C1337" t="s">
        <v>844</v>
      </c>
      <c r="D1337" s="1" t="s">
        <v>845</v>
      </c>
      <c r="E1337" t="s">
        <v>14</v>
      </c>
      <c r="F1337">
        <v>46.821899999999999</v>
      </c>
      <c r="G1337">
        <v>8.4106000000000005</v>
      </c>
      <c r="H1337">
        <v>1</v>
      </c>
      <c r="I1337">
        <v>1036.0999999999999</v>
      </c>
      <c r="J1337" t="str">
        <f>HYPERLINK("https://climate.onebuilding.org/WMO_Region_6_Europe/CHE_Switzerland/OW_Obwalden/CHE_OW_Engelberg.066550_TMYx.2007-2021.zip")</f>
        <v>https://climate.onebuilding.org/WMO_Region_6_Europe/CHE_Switzerland/OW_Obwalden/CHE_OW_Engelberg.066550_TMYx.2007-2021.zip</v>
      </c>
    </row>
    <row r="1338" spans="1:10" x14ac:dyDescent="0.25">
      <c r="A1338" t="s">
        <v>702</v>
      </c>
      <c r="B1338" t="s">
        <v>843</v>
      </c>
      <c r="C1338" t="s">
        <v>844</v>
      </c>
      <c r="D1338" s="1" t="s">
        <v>845</v>
      </c>
      <c r="E1338" t="s">
        <v>14</v>
      </c>
      <c r="F1338">
        <v>46.821899999999999</v>
      </c>
      <c r="G1338">
        <v>8.4106000000000005</v>
      </c>
      <c r="H1338">
        <v>1</v>
      </c>
      <c r="I1338">
        <v>1036.0999999999999</v>
      </c>
      <c r="J1338" t="str">
        <f>HYPERLINK("https://climate.onebuilding.org/WMO_Region_6_Europe/CHE_Switzerland/OW_Obwalden/CHE_OW_Engelberg.066550_TMYx.2009-2023.zip")</f>
        <v>https://climate.onebuilding.org/WMO_Region_6_Europe/CHE_Switzerland/OW_Obwalden/CHE_OW_Engelberg.066550_TMYx.2009-2023.zip</v>
      </c>
    </row>
    <row r="1339" spans="1:10" x14ac:dyDescent="0.25">
      <c r="A1339" t="s">
        <v>702</v>
      </c>
      <c r="B1339" t="s">
        <v>843</v>
      </c>
      <c r="C1339" t="s">
        <v>844</v>
      </c>
      <c r="D1339" s="1" t="s">
        <v>845</v>
      </c>
      <c r="E1339" t="s">
        <v>14</v>
      </c>
      <c r="F1339">
        <v>46.821899999999999</v>
      </c>
      <c r="G1339">
        <v>8.4106000000000005</v>
      </c>
      <c r="H1339">
        <v>1</v>
      </c>
      <c r="I1339">
        <v>1036.0999999999999</v>
      </c>
      <c r="J1339" t="str">
        <f>HYPERLINK("https://climate.onebuilding.org/WMO_Region_6_Europe/CHE_Switzerland/OW_Obwalden/CHE_OW_Engelberg.066550_TMYx.zip")</f>
        <v>https://climate.onebuilding.org/WMO_Region_6_Europe/CHE_Switzerland/OW_Obwalden/CHE_OW_Engelberg.066550_TMYx.zip</v>
      </c>
    </row>
    <row r="1340" spans="1:10" x14ac:dyDescent="0.25">
      <c r="A1340" t="s">
        <v>702</v>
      </c>
      <c r="B1340" t="s">
        <v>65</v>
      </c>
      <c r="C1340" t="s">
        <v>847</v>
      </c>
      <c r="D1340" s="1" t="s">
        <v>848</v>
      </c>
      <c r="E1340" t="s">
        <v>78</v>
      </c>
      <c r="F1340">
        <v>46.7408</v>
      </c>
      <c r="G1340">
        <v>8.0608000000000004</v>
      </c>
      <c r="H1340">
        <v>1</v>
      </c>
      <c r="I1340">
        <v>580</v>
      </c>
      <c r="J1340" t="str">
        <f>HYPERLINK("https://climate.onebuilding.org/WMO_Region_6_Europe/CHE_Switzerland/BE_Bern/CHE_BE_Brienz.066560_TMYx.2007-2021.zip")</f>
        <v>https://climate.onebuilding.org/WMO_Region_6_Europe/CHE_Switzerland/BE_Bern/CHE_BE_Brienz.066560_TMYx.2007-2021.zip</v>
      </c>
    </row>
    <row r="1341" spans="1:10" x14ac:dyDescent="0.25">
      <c r="A1341" t="s">
        <v>702</v>
      </c>
      <c r="B1341" t="s">
        <v>65</v>
      </c>
      <c r="C1341" t="s">
        <v>847</v>
      </c>
      <c r="D1341" s="1" t="s">
        <v>848</v>
      </c>
      <c r="E1341" t="s">
        <v>78</v>
      </c>
      <c r="F1341">
        <v>46.7408</v>
      </c>
      <c r="G1341">
        <v>8.0608000000000004</v>
      </c>
      <c r="H1341">
        <v>1</v>
      </c>
      <c r="I1341">
        <v>580</v>
      </c>
      <c r="J1341" t="str">
        <f>HYPERLINK("https://climate.onebuilding.org/WMO_Region_6_Europe/CHE_Switzerland/BE_Bern/CHE_BE_Brienz.066560_TMYx.2009-2023.zip")</f>
        <v>https://climate.onebuilding.org/WMO_Region_6_Europe/CHE_Switzerland/BE_Bern/CHE_BE_Brienz.066560_TMYx.2009-2023.zip</v>
      </c>
    </row>
    <row r="1342" spans="1:10" x14ac:dyDescent="0.25">
      <c r="A1342" t="s">
        <v>702</v>
      </c>
      <c r="B1342" t="s">
        <v>65</v>
      </c>
      <c r="C1342" t="s">
        <v>847</v>
      </c>
      <c r="D1342" s="1" t="s">
        <v>848</v>
      </c>
      <c r="E1342" t="s">
        <v>78</v>
      </c>
      <c r="F1342">
        <v>46.7408</v>
      </c>
      <c r="G1342">
        <v>8.0608000000000004</v>
      </c>
      <c r="H1342">
        <v>1</v>
      </c>
      <c r="I1342">
        <v>580</v>
      </c>
      <c r="J1342" t="str">
        <f>HYPERLINK("https://climate.onebuilding.org/WMO_Region_6_Europe/CHE_Switzerland/BE_Bern/CHE_BE_Brienz.066560_TMYx.zip")</f>
        <v>https://climate.onebuilding.org/WMO_Region_6_Europe/CHE_Switzerland/BE_Bern/CHE_BE_Brienz.066560_TMYx.zip</v>
      </c>
    </row>
    <row r="1343" spans="1:10" x14ac:dyDescent="0.25">
      <c r="A1343" t="s">
        <v>702</v>
      </c>
      <c r="B1343" t="s">
        <v>843</v>
      </c>
      <c r="C1343" t="s">
        <v>849</v>
      </c>
      <c r="D1343" s="1" t="s">
        <v>850</v>
      </c>
      <c r="E1343" t="s">
        <v>851</v>
      </c>
      <c r="F1343">
        <v>46.849400000000003</v>
      </c>
      <c r="G1343">
        <v>8.1903000000000006</v>
      </c>
      <c r="H1343">
        <v>1</v>
      </c>
      <c r="I1343">
        <v>471.5</v>
      </c>
      <c r="J1343" t="str">
        <f>HYPERLINK("https://climate.onebuilding.org/WMO_Region_6_Europe/CHE_Switzerland/OW_Obwalden/CHE_OW_Giswil.066570_TMYx.2004-2018.zip")</f>
        <v>https://climate.onebuilding.org/WMO_Region_6_Europe/CHE_Switzerland/OW_Obwalden/CHE_OW_Giswil.066570_TMYx.2004-2018.zip</v>
      </c>
    </row>
    <row r="1344" spans="1:10" x14ac:dyDescent="0.25">
      <c r="A1344" t="s">
        <v>702</v>
      </c>
      <c r="B1344" t="s">
        <v>843</v>
      </c>
      <c r="C1344" t="s">
        <v>849</v>
      </c>
      <c r="D1344" s="1" t="s">
        <v>850</v>
      </c>
      <c r="E1344" t="s">
        <v>14</v>
      </c>
      <c r="F1344">
        <v>46.849400000000003</v>
      </c>
      <c r="G1344">
        <v>8.1903000000000006</v>
      </c>
      <c r="H1344">
        <v>1</v>
      </c>
      <c r="I1344">
        <v>471.5</v>
      </c>
      <c r="J1344" t="str">
        <f>HYPERLINK("https://climate.onebuilding.org/WMO_Region_6_Europe/CHE_Switzerland/OW_Obwalden/CHE_OW_Giswil.066570_TMYx.2007-2021.zip")</f>
        <v>https://climate.onebuilding.org/WMO_Region_6_Europe/CHE_Switzerland/OW_Obwalden/CHE_OW_Giswil.066570_TMYx.2007-2021.zip</v>
      </c>
    </row>
    <row r="1345" spans="1:10" x14ac:dyDescent="0.25">
      <c r="A1345" t="s">
        <v>702</v>
      </c>
      <c r="B1345" t="s">
        <v>843</v>
      </c>
      <c r="C1345" t="s">
        <v>849</v>
      </c>
      <c r="D1345" s="1" t="s">
        <v>850</v>
      </c>
      <c r="E1345" t="s">
        <v>14</v>
      </c>
      <c r="F1345">
        <v>46.849400000000003</v>
      </c>
      <c r="G1345">
        <v>8.1903000000000006</v>
      </c>
      <c r="H1345">
        <v>1</v>
      </c>
      <c r="I1345">
        <v>471.5</v>
      </c>
      <c r="J1345" t="str">
        <f>HYPERLINK("https://climate.onebuilding.org/WMO_Region_6_Europe/CHE_Switzerland/OW_Obwalden/CHE_OW_Giswil.066570_TMYx.2009-2023.zip")</f>
        <v>https://climate.onebuilding.org/WMO_Region_6_Europe/CHE_Switzerland/OW_Obwalden/CHE_OW_Giswil.066570_TMYx.2009-2023.zip</v>
      </c>
    </row>
    <row r="1346" spans="1:10" x14ac:dyDescent="0.25">
      <c r="A1346" t="s">
        <v>702</v>
      </c>
      <c r="B1346" t="s">
        <v>843</v>
      </c>
      <c r="C1346" t="s">
        <v>849</v>
      </c>
      <c r="D1346" s="1" t="s">
        <v>850</v>
      </c>
      <c r="E1346" t="s">
        <v>14</v>
      </c>
      <c r="F1346">
        <v>46.849400000000003</v>
      </c>
      <c r="G1346">
        <v>8.1903000000000006</v>
      </c>
      <c r="H1346">
        <v>1</v>
      </c>
      <c r="I1346">
        <v>471.5</v>
      </c>
      <c r="J1346" t="str">
        <f>HYPERLINK("https://climate.onebuilding.org/WMO_Region_6_Europe/CHE_Switzerland/OW_Obwalden/CHE_OW_Giswil.066570_TMYx.zip")</f>
        <v>https://climate.onebuilding.org/WMO_Region_6_Europe/CHE_Switzerland/OW_Obwalden/CHE_OW_Giswil.066570_TMYx.zip</v>
      </c>
    </row>
    <row r="1347" spans="1:10" x14ac:dyDescent="0.25">
      <c r="A1347" t="s">
        <v>702</v>
      </c>
      <c r="B1347" t="s">
        <v>843</v>
      </c>
      <c r="C1347" t="s">
        <v>852</v>
      </c>
      <c r="D1347" s="1" t="s">
        <v>853</v>
      </c>
      <c r="E1347" t="s">
        <v>854</v>
      </c>
      <c r="F1347">
        <v>46.943100000000001</v>
      </c>
      <c r="G1347">
        <v>8.2858000000000001</v>
      </c>
      <c r="H1347">
        <v>1</v>
      </c>
      <c r="I1347">
        <v>436</v>
      </c>
      <c r="J1347" t="str">
        <f>HYPERLINK("https://climate.onebuilding.org/WMO_Region_6_Europe/CHE_Switzerland/OW_Obwalden/CHE_OW_Alpnach.AB.066580_TMYx.2004-2018.zip")</f>
        <v>https://climate.onebuilding.org/WMO_Region_6_Europe/CHE_Switzerland/OW_Obwalden/CHE_OW_Alpnach.AB.066580_TMYx.2004-2018.zip</v>
      </c>
    </row>
    <row r="1348" spans="1:10" x14ac:dyDescent="0.25">
      <c r="A1348" t="s">
        <v>702</v>
      </c>
      <c r="B1348" t="s">
        <v>843</v>
      </c>
      <c r="C1348" t="s">
        <v>852</v>
      </c>
      <c r="D1348" s="1" t="s">
        <v>853</v>
      </c>
      <c r="E1348" t="s">
        <v>14</v>
      </c>
      <c r="F1348">
        <v>46.943100000000001</v>
      </c>
      <c r="G1348">
        <v>8.2858000000000001</v>
      </c>
      <c r="H1348">
        <v>1</v>
      </c>
      <c r="I1348">
        <v>436</v>
      </c>
      <c r="J1348" t="str">
        <f>HYPERLINK("https://climate.onebuilding.org/WMO_Region_6_Europe/CHE_Switzerland/OW_Obwalden/CHE_OW_Alpnach.AB.066580_TMYx.2007-2021.zip")</f>
        <v>https://climate.onebuilding.org/WMO_Region_6_Europe/CHE_Switzerland/OW_Obwalden/CHE_OW_Alpnach.AB.066580_TMYx.2007-2021.zip</v>
      </c>
    </row>
    <row r="1349" spans="1:10" x14ac:dyDescent="0.25">
      <c r="A1349" t="s">
        <v>702</v>
      </c>
      <c r="B1349" t="s">
        <v>843</v>
      </c>
      <c r="C1349" t="s">
        <v>852</v>
      </c>
      <c r="D1349" s="1" t="s">
        <v>853</v>
      </c>
      <c r="E1349" t="s">
        <v>14</v>
      </c>
      <c r="F1349">
        <v>46.943100000000001</v>
      </c>
      <c r="G1349">
        <v>8.2858000000000001</v>
      </c>
      <c r="H1349">
        <v>1</v>
      </c>
      <c r="I1349">
        <v>436</v>
      </c>
      <c r="J1349" t="str">
        <f>HYPERLINK("https://climate.onebuilding.org/WMO_Region_6_Europe/CHE_Switzerland/OW_Obwalden/CHE_OW_Alpnach.AB.066580_TMYx.2009-2023.zip")</f>
        <v>https://climate.onebuilding.org/WMO_Region_6_Europe/CHE_Switzerland/OW_Obwalden/CHE_OW_Alpnach.AB.066580_TMYx.2009-2023.zip</v>
      </c>
    </row>
    <row r="1350" spans="1:10" x14ac:dyDescent="0.25">
      <c r="A1350" t="s">
        <v>702</v>
      </c>
      <c r="B1350" t="s">
        <v>843</v>
      </c>
      <c r="C1350" t="s">
        <v>852</v>
      </c>
      <c r="D1350" s="1" t="s">
        <v>853</v>
      </c>
      <c r="E1350" t="s">
        <v>14</v>
      </c>
      <c r="F1350">
        <v>46.943100000000001</v>
      </c>
      <c r="G1350">
        <v>8.2858000000000001</v>
      </c>
      <c r="H1350">
        <v>1</v>
      </c>
      <c r="I1350">
        <v>436</v>
      </c>
      <c r="J1350" t="str">
        <f>HYPERLINK("https://climate.onebuilding.org/WMO_Region_6_Europe/CHE_Switzerland/OW_Obwalden/CHE_OW_Alpnach.AB.066580_TMYx.zip")</f>
        <v>https://climate.onebuilding.org/WMO_Region_6_Europe/CHE_Switzerland/OW_Obwalden/CHE_OW_Alpnach.AB.066580_TMYx.zip</v>
      </c>
    </row>
    <row r="1351" spans="1:10" x14ac:dyDescent="0.25">
      <c r="A1351" t="s">
        <v>702</v>
      </c>
      <c r="B1351" t="s">
        <v>855</v>
      </c>
      <c r="C1351" t="s">
        <v>856</v>
      </c>
      <c r="D1351" s="1" t="s">
        <v>857</v>
      </c>
      <c r="E1351" t="s">
        <v>858</v>
      </c>
      <c r="F1351">
        <v>46.978900000000003</v>
      </c>
      <c r="G1351">
        <v>8.2522000000000002</v>
      </c>
      <c r="H1351">
        <v>1</v>
      </c>
      <c r="I1351">
        <v>2103.1999999999998</v>
      </c>
      <c r="J1351" t="str">
        <f>HYPERLINK("https://climate.onebuilding.org/WMO_Region_6_Europe/CHE_Switzerland/NW_Nidwalden/CHE_NW_Pilatus.066590_TMYx.2004-2018.zip")</f>
        <v>https://climate.onebuilding.org/WMO_Region_6_Europe/CHE_Switzerland/NW_Nidwalden/CHE_NW_Pilatus.066590_TMYx.2004-2018.zip</v>
      </c>
    </row>
    <row r="1352" spans="1:10" x14ac:dyDescent="0.25">
      <c r="A1352" t="s">
        <v>702</v>
      </c>
      <c r="B1352" t="s">
        <v>855</v>
      </c>
      <c r="C1352" t="s">
        <v>856</v>
      </c>
      <c r="D1352" s="1" t="s">
        <v>857</v>
      </c>
      <c r="E1352" t="s">
        <v>14</v>
      </c>
      <c r="F1352">
        <v>46.978900000000003</v>
      </c>
      <c r="G1352">
        <v>8.2522000000000002</v>
      </c>
      <c r="H1352">
        <v>1</v>
      </c>
      <c r="I1352">
        <v>2103.1999999999998</v>
      </c>
      <c r="J1352" t="str">
        <f>HYPERLINK("https://climate.onebuilding.org/WMO_Region_6_Europe/CHE_Switzerland/NW_Nidwalden/CHE_NW_Pilatus.066590_TMYx.2007-2021.zip")</f>
        <v>https://climate.onebuilding.org/WMO_Region_6_Europe/CHE_Switzerland/NW_Nidwalden/CHE_NW_Pilatus.066590_TMYx.2007-2021.zip</v>
      </c>
    </row>
    <row r="1353" spans="1:10" x14ac:dyDescent="0.25">
      <c r="A1353" t="s">
        <v>702</v>
      </c>
      <c r="B1353" t="s">
        <v>855</v>
      </c>
      <c r="C1353" t="s">
        <v>856</v>
      </c>
      <c r="D1353" s="1" t="s">
        <v>857</v>
      </c>
      <c r="E1353" t="s">
        <v>14</v>
      </c>
      <c r="F1353">
        <v>46.978900000000003</v>
      </c>
      <c r="G1353">
        <v>8.2522000000000002</v>
      </c>
      <c r="H1353">
        <v>1</v>
      </c>
      <c r="I1353">
        <v>2103.1999999999998</v>
      </c>
      <c r="J1353" t="str">
        <f>HYPERLINK("https://climate.onebuilding.org/WMO_Region_6_Europe/CHE_Switzerland/NW_Nidwalden/CHE_NW_Pilatus.066590_TMYx.2009-2023.zip")</f>
        <v>https://climate.onebuilding.org/WMO_Region_6_Europe/CHE_Switzerland/NW_Nidwalden/CHE_NW_Pilatus.066590_TMYx.2009-2023.zip</v>
      </c>
    </row>
    <row r="1354" spans="1:10" x14ac:dyDescent="0.25">
      <c r="A1354" t="s">
        <v>702</v>
      </c>
      <c r="B1354" t="s">
        <v>855</v>
      </c>
      <c r="C1354" t="s">
        <v>856</v>
      </c>
      <c r="D1354" s="1" t="s">
        <v>857</v>
      </c>
      <c r="E1354" t="s">
        <v>14</v>
      </c>
      <c r="F1354">
        <v>46.978900000000003</v>
      </c>
      <c r="G1354">
        <v>8.2522000000000002</v>
      </c>
      <c r="H1354">
        <v>1</v>
      </c>
      <c r="I1354">
        <v>2103.1999999999998</v>
      </c>
      <c r="J1354" t="str">
        <f>HYPERLINK("https://climate.onebuilding.org/WMO_Region_6_Europe/CHE_Switzerland/NW_Nidwalden/CHE_NW_Pilatus.066590_TMYx.zip")</f>
        <v>https://climate.onebuilding.org/WMO_Region_6_Europe/CHE_Switzerland/NW_Nidwalden/CHE_NW_Pilatus.066590_TMYx.zip</v>
      </c>
    </row>
    <row r="1355" spans="1:10" x14ac:dyDescent="0.25">
      <c r="A1355" t="s">
        <v>702</v>
      </c>
      <c r="B1355" t="s">
        <v>730</v>
      </c>
      <c r="C1355" t="s">
        <v>859</v>
      </c>
      <c r="D1355" s="1" t="s">
        <v>860</v>
      </c>
      <c r="E1355" t="s">
        <v>861</v>
      </c>
      <c r="F1355">
        <v>47.378100000000003</v>
      </c>
      <c r="G1355">
        <v>8.5657999999999994</v>
      </c>
      <c r="H1355">
        <v>1</v>
      </c>
      <c r="I1355">
        <v>557.6</v>
      </c>
      <c r="J1355" t="str">
        <f>HYPERLINK("https://climate.onebuilding.org/WMO_Region_6_Europe/CHE_Switzerland/ZH_Zurich/CHE_ZH_Zurich.Fluntern.066600_TMYx.2004-2018.zip")</f>
        <v>https://climate.onebuilding.org/WMO_Region_6_Europe/CHE_Switzerland/ZH_Zurich/CHE_ZH_Zurich.Fluntern.066600_TMYx.2004-2018.zip</v>
      </c>
    </row>
    <row r="1356" spans="1:10" x14ac:dyDescent="0.25">
      <c r="A1356" t="s">
        <v>702</v>
      </c>
      <c r="B1356" t="s">
        <v>730</v>
      </c>
      <c r="C1356" t="s">
        <v>859</v>
      </c>
      <c r="D1356" s="1" t="s">
        <v>860</v>
      </c>
      <c r="E1356" t="s">
        <v>14</v>
      </c>
      <c r="F1356">
        <v>47.378100000000003</v>
      </c>
      <c r="G1356">
        <v>8.5657999999999994</v>
      </c>
      <c r="H1356">
        <v>1</v>
      </c>
      <c r="I1356">
        <v>557.6</v>
      </c>
      <c r="J1356" t="str">
        <f>HYPERLINK("https://climate.onebuilding.org/WMO_Region_6_Europe/CHE_Switzerland/ZH_Zurich/CHE_ZH_Zurich.Fluntern.066600_TMYx.2007-2021.zip")</f>
        <v>https://climate.onebuilding.org/WMO_Region_6_Europe/CHE_Switzerland/ZH_Zurich/CHE_ZH_Zurich.Fluntern.066600_TMYx.2007-2021.zip</v>
      </c>
    </row>
    <row r="1357" spans="1:10" x14ac:dyDescent="0.25">
      <c r="A1357" t="s">
        <v>702</v>
      </c>
      <c r="B1357" t="s">
        <v>730</v>
      </c>
      <c r="C1357" t="s">
        <v>859</v>
      </c>
      <c r="D1357" s="1" t="s">
        <v>860</v>
      </c>
      <c r="E1357" t="s">
        <v>14</v>
      </c>
      <c r="F1357">
        <v>47.378100000000003</v>
      </c>
      <c r="G1357">
        <v>8.5657999999999994</v>
      </c>
      <c r="H1357">
        <v>1</v>
      </c>
      <c r="I1357">
        <v>557.6</v>
      </c>
      <c r="J1357" t="str">
        <f>HYPERLINK("https://climate.onebuilding.org/WMO_Region_6_Europe/CHE_Switzerland/ZH_Zurich/CHE_ZH_Zurich.Fluntern.066600_TMYx.2009-2023.zip")</f>
        <v>https://climate.onebuilding.org/WMO_Region_6_Europe/CHE_Switzerland/ZH_Zurich/CHE_ZH_Zurich.Fluntern.066600_TMYx.2009-2023.zip</v>
      </c>
    </row>
    <row r="1358" spans="1:10" x14ac:dyDescent="0.25">
      <c r="A1358" t="s">
        <v>702</v>
      </c>
      <c r="B1358" t="s">
        <v>730</v>
      </c>
      <c r="C1358" t="s">
        <v>859</v>
      </c>
      <c r="D1358" s="1" t="s">
        <v>860</v>
      </c>
      <c r="E1358" t="s">
        <v>14</v>
      </c>
      <c r="F1358">
        <v>47.378100000000003</v>
      </c>
      <c r="G1358">
        <v>8.5657999999999994</v>
      </c>
      <c r="H1358">
        <v>1</v>
      </c>
      <c r="I1358">
        <v>557.6</v>
      </c>
      <c r="J1358" t="str">
        <f>HYPERLINK("https://climate.onebuilding.org/WMO_Region_6_Europe/CHE_Switzerland/ZH_Zurich/CHE_ZH_Zurich.Fluntern.066600_TMYx.zip")</f>
        <v>https://climate.onebuilding.org/WMO_Region_6_Europe/CHE_Switzerland/ZH_Zurich/CHE_ZH_Zurich.Fluntern.066600_TMYx.zip</v>
      </c>
    </row>
    <row r="1359" spans="1:10" x14ac:dyDescent="0.25">
      <c r="A1359" t="s">
        <v>702</v>
      </c>
      <c r="B1359" t="s">
        <v>730</v>
      </c>
      <c r="C1359" t="s">
        <v>862</v>
      </c>
      <c r="D1359" s="1" t="s">
        <v>863</v>
      </c>
      <c r="E1359" t="s">
        <v>864</v>
      </c>
      <c r="F1359">
        <v>47.427799999999998</v>
      </c>
      <c r="G1359">
        <v>8.5177999999999994</v>
      </c>
      <c r="H1359">
        <v>1</v>
      </c>
      <c r="I1359">
        <v>444.4</v>
      </c>
      <c r="J1359" t="str">
        <f>HYPERLINK("https://climate.onebuilding.org/WMO_Region_6_Europe/CHE_Switzerland/ZH_Zurich/CHE_ZH_Zurich.Affoltern.066640_TMYx.2004-2018.zip")</f>
        <v>https://climate.onebuilding.org/WMO_Region_6_Europe/CHE_Switzerland/ZH_Zurich/CHE_ZH_Zurich.Affoltern.066640_TMYx.2004-2018.zip</v>
      </c>
    </row>
    <row r="1360" spans="1:10" x14ac:dyDescent="0.25">
      <c r="A1360" t="s">
        <v>702</v>
      </c>
      <c r="B1360" t="s">
        <v>730</v>
      </c>
      <c r="C1360" t="s">
        <v>862</v>
      </c>
      <c r="D1360" s="1" t="s">
        <v>863</v>
      </c>
      <c r="E1360" t="s">
        <v>14</v>
      </c>
      <c r="F1360">
        <v>47.427799999999998</v>
      </c>
      <c r="G1360">
        <v>8.5177999999999994</v>
      </c>
      <c r="H1360">
        <v>1</v>
      </c>
      <c r="I1360">
        <v>444.4</v>
      </c>
      <c r="J1360" t="str">
        <f>HYPERLINK("https://climate.onebuilding.org/WMO_Region_6_Europe/CHE_Switzerland/ZH_Zurich/CHE_ZH_Zurich.Affoltern.066640_TMYx.2007-2021.zip")</f>
        <v>https://climate.onebuilding.org/WMO_Region_6_Europe/CHE_Switzerland/ZH_Zurich/CHE_ZH_Zurich.Affoltern.066640_TMYx.2007-2021.zip</v>
      </c>
    </row>
    <row r="1361" spans="1:10" x14ac:dyDescent="0.25">
      <c r="A1361" t="s">
        <v>702</v>
      </c>
      <c r="B1361" t="s">
        <v>730</v>
      </c>
      <c r="C1361" t="s">
        <v>862</v>
      </c>
      <c r="D1361" s="1" t="s">
        <v>863</v>
      </c>
      <c r="E1361" t="s">
        <v>14</v>
      </c>
      <c r="F1361">
        <v>47.427799999999998</v>
      </c>
      <c r="G1361">
        <v>8.5177999999999994</v>
      </c>
      <c r="H1361">
        <v>1</v>
      </c>
      <c r="I1361">
        <v>444.4</v>
      </c>
      <c r="J1361" t="str">
        <f>HYPERLINK("https://climate.onebuilding.org/WMO_Region_6_Europe/CHE_Switzerland/ZH_Zurich/CHE_ZH_Zurich.Affoltern.066640_TMYx.2009-2023.zip")</f>
        <v>https://climate.onebuilding.org/WMO_Region_6_Europe/CHE_Switzerland/ZH_Zurich/CHE_ZH_Zurich.Affoltern.066640_TMYx.2009-2023.zip</v>
      </c>
    </row>
    <row r="1362" spans="1:10" x14ac:dyDescent="0.25">
      <c r="A1362" t="s">
        <v>702</v>
      </c>
      <c r="B1362" t="s">
        <v>730</v>
      </c>
      <c r="C1362" t="s">
        <v>862</v>
      </c>
      <c r="D1362" s="1" t="s">
        <v>863</v>
      </c>
      <c r="E1362" t="s">
        <v>14</v>
      </c>
      <c r="F1362">
        <v>47.427799999999998</v>
      </c>
      <c r="G1362">
        <v>8.5177999999999994</v>
      </c>
      <c r="H1362">
        <v>1</v>
      </c>
      <c r="I1362">
        <v>444.4</v>
      </c>
      <c r="J1362" t="str">
        <f>HYPERLINK("https://climate.onebuilding.org/WMO_Region_6_Europe/CHE_Switzerland/ZH_Zurich/CHE_ZH_Zurich.Affoltern.066640_TMYx.zip")</f>
        <v>https://climate.onebuilding.org/WMO_Region_6_Europe/CHE_Switzerland/ZH_Zurich/CHE_ZH_Zurich.Affoltern.066640_TMYx.zip</v>
      </c>
    </row>
    <row r="1363" spans="1:10" x14ac:dyDescent="0.25">
      <c r="A1363" t="s">
        <v>702</v>
      </c>
      <c r="B1363" t="s">
        <v>814</v>
      </c>
      <c r="C1363" t="s">
        <v>865</v>
      </c>
      <c r="D1363" s="1" t="s">
        <v>866</v>
      </c>
      <c r="E1363" t="s">
        <v>867</v>
      </c>
      <c r="F1363">
        <v>47.597200000000001</v>
      </c>
      <c r="G1363">
        <v>8.1882999999999999</v>
      </c>
      <c r="H1363">
        <v>1</v>
      </c>
      <c r="I1363">
        <v>342.3</v>
      </c>
      <c r="J1363" t="str">
        <f>HYPERLINK("https://climate.onebuilding.org/WMO_Region_6_Europe/CHE_Switzerland/AG_Aargau/CHE_AG_Leibstadt.066660_TMYx.2004-2018.zip")</f>
        <v>https://climate.onebuilding.org/WMO_Region_6_Europe/CHE_Switzerland/AG_Aargau/CHE_AG_Leibstadt.066660_TMYx.2004-2018.zip</v>
      </c>
    </row>
    <row r="1364" spans="1:10" x14ac:dyDescent="0.25">
      <c r="A1364" t="s">
        <v>702</v>
      </c>
      <c r="B1364" t="s">
        <v>814</v>
      </c>
      <c r="C1364" t="s">
        <v>865</v>
      </c>
      <c r="D1364" s="1" t="s">
        <v>866</v>
      </c>
      <c r="E1364" t="s">
        <v>14</v>
      </c>
      <c r="F1364">
        <v>47.597200000000001</v>
      </c>
      <c r="G1364">
        <v>8.1882999999999999</v>
      </c>
      <c r="H1364">
        <v>1</v>
      </c>
      <c r="I1364">
        <v>342.3</v>
      </c>
      <c r="J1364" t="str">
        <f>HYPERLINK("https://climate.onebuilding.org/WMO_Region_6_Europe/CHE_Switzerland/AG_Aargau/CHE_AG_Leibstadt.066660_TMYx.2007-2021.zip")</f>
        <v>https://climate.onebuilding.org/WMO_Region_6_Europe/CHE_Switzerland/AG_Aargau/CHE_AG_Leibstadt.066660_TMYx.2007-2021.zip</v>
      </c>
    </row>
    <row r="1365" spans="1:10" x14ac:dyDescent="0.25">
      <c r="A1365" t="s">
        <v>702</v>
      </c>
      <c r="B1365" t="s">
        <v>814</v>
      </c>
      <c r="C1365" t="s">
        <v>865</v>
      </c>
      <c r="D1365" s="1" t="s">
        <v>866</v>
      </c>
      <c r="E1365" t="s">
        <v>14</v>
      </c>
      <c r="F1365">
        <v>47.597200000000001</v>
      </c>
      <c r="G1365">
        <v>8.1882999999999999</v>
      </c>
      <c r="H1365">
        <v>1</v>
      </c>
      <c r="I1365">
        <v>342.3</v>
      </c>
      <c r="J1365" t="str">
        <f>HYPERLINK("https://climate.onebuilding.org/WMO_Region_6_Europe/CHE_Switzerland/AG_Aargau/CHE_AG_Leibstadt.066660_TMYx.2009-2023.zip")</f>
        <v>https://climate.onebuilding.org/WMO_Region_6_Europe/CHE_Switzerland/AG_Aargau/CHE_AG_Leibstadt.066660_TMYx.2009-2023.zip</v>
      </c>
    </row>
    <row r="1366" spans="1:10" x14ac:dyDescent="0.25">
      <c r="A1366" t="s">
        <v>702</v>
      </c>
      <c r="B1366" t="s">
        <v>814</v>
      </c>
      <c r="C1366" t="s">
        <v>865</v>
      </c>
      <c r="D1366" s="1" t="s">
        <v>866</v>
      </c>
      <c r="E1366" t="s">
        <v>14</v>
      </c>
      <c r="F1366">
        <v>47.597200000000001</v>
      </c>
      <c r="G1366">
        <v>8.1882999999999999</v>
      </c>
      <c r="H1366">
        <v>1</v>
      </c>
      <c r="I1366">
        <v>342.3</v>
      </c>
      <c r="J1366" t="str">
        <f>HYPERLINK("https://climate.onebuilding.org/WMO_Region_6_Europe/CHE_Switzerland/AG_Aargau/CHE_AG_Leibstadt.066660_TMYx.zip")</f>
        <v>https://climate.onebuilding.org/WMO_Region_6_Europe/CHE_Switzerland/AG_Aargau/CHE_AG_Leibstadt.066660_TMYx.zip</v>
      </c>
    </row>
    <row r="1367" spans="1:10" x14ac:dyDescent="0.25">
      <c r="A1367" t="s">
        <v>702</v>
      </c>
      <c r="B1367" t="s">
        <v>730</v>
      </c>
      <c r="C1367" t="s">
        <v>868</v>
      </c>
      <c r="D1367" s="1" t="s">
        <v>869</v>
      </c>
      <c r="E1367" t="s">
        <v>870</v>
      </c>
      <c r="F1367">
        <v>47.481900000000003</v>
      </c>
      <c r="G1367">
        <v>8.3971999999999998</v>
      </c>
      <c r="H1367">
        <v>1</v>
      </c>
      <c r="I1367">
        <v>843</v>
      </c>
      <c r="J1367" t="str">
        <f>HYPERLINK("https://climate.onebuilding.org/WMO_Region_6_Europe/CHE_Switzerland/ZH_Zurich/CHE_ZH_Lageren.066690_TMYx.2004-2018.zip")</f>
        <v>https://climate.onebuilding.org/WMO_Region_6_Europe/CHE_Switzerland/ZH_Zurich/CHE_ZH_Lageren.066690_TMYx.2004-2018.zip</v>
      </c>
    </row>
    <row r="1368" spans="1:10" x14ac:dyDescent="0.25">
      <c r="A1368" t="s">
        <v>702</v>
      </c>
      <c r="B1368" t="s">
        <v>730</v>
      </c>
      <c r="C1368" t="s">
        <v>868</v>
      </c>
      <c r="D1368" s="1" t="s">
        <v>869</v>
      </c>
      <c r="E1368" t="s">
        <v>14</v>
      </c>
      <c r="F1368">
        <v>47.481900000000003</v>
      </c>
      <c r="G1368">
        <v>8.3971999999999998</v>
      </c>
      <c r="H1368">
        <v>1</v>
      </c>
      <c r="I1368">
        <v>843</v>
      </c>
      <c r="J1368" t="str">
        <f>HYPERLINK("https://climate.onebuilding.org/WMO_Region_6_Europe/CHE_Switzerland/ZH_Zurich/CHE_ZH_Lageren.066690_TMYx.2007-2021.zip")</f>
        <v>https://climate.onebuilding.org/WMO_Region_6_Europe/CHE_Switzerland/ZH_Zurich/CHE_ZH_Lageren.066690_TMYx.2007-2021.zip</v>
      </c>
    </row>
    <row r="1369" spans="1:10" x14ac:dyDescent="0.25">
      <c r="A1369" t="s">
        <v>702</v>
      </c>
      <c r="B1369" t="s">
        <v>730</v>
      </c>
      <c r="C1369" t="s">
        <v>868</v>
      </c>
      <c r="D1369" s="1" t="s">
        <v>869</v>
      </c>
      <c r="E1369" t="s">
        <v>14</v>
      </c>
      <c r="F1369">
        <v>47.481900000000003</v>
      </c>
      <c r="G1369">
        <v>8.3971999999999998</v>
      </c>
      <c r="H1369">
        <v>1</v>
      </c>
      <c r="I1369">
        <v>843</v>
      </c>
      <c r="J1369" t="str">
        <f>HYPERLINK("https://climate.onebuilding.org/WMO_Region_6_Europe/CHE_Switzerland/ZH_Zurich/CHE_ZH_Lageren.066690_TMYx.2009-2023.zip")</f>
        <v>https://climate.onebuilding.org/WMO_Region_6_Europe/CHE_Switzerland/ZH_Zurich/CHE_ZH_Lageren.066690_TMYx.2009-2023.zip</v>
      </c>
    </row>
    <row r="1370" spans="1:10" x14ac:dyDescent="0.25">
      <c r="A1370" t="s">
        <v>702</v>
      </c>
      <c r="B1370" t="s">
        <v>730</v>
      </c>
      <c r="C1370" t="s">
        <v>868</v>
      </c>
      <c r="D1370" s="1" t="s">
        <v>869</v>
      </c>
      <c r="E1370" t="s">
        <v>14</v>
      </c>
      <c r="F1370">
        <v>47.481900000000003</v>
      </c>
      <c r="G1370">
        <v>8.3971999999999998</v>
      </c>
      <c r="H1370">
        <v>1</v>
      </c>
      <c r="I1370">
        <v>843</v>
      </c>
      <c r="J1370" t="str">
        <f>HYPERLINK("https://climate.onebuilding.org/WMO_Region_6_Europe/CHE_Switzerland/ZH_Zurich/CHE_ZH_Lageren.066690_TMYx.zip")</f>
        <v>https://climate.onebuilding.org/WMO_Region_6_Europe/CHE_Switzerland/ZH_Zurich/CHE_ZH_Lageren.066690_TMYx.zip</v>
      </c>
    </row>
    <row r="1371" spans="1:10" x14ac:dyDescent="0.25">
      <c r="A1371" t="s">
        <v>702</v>
      </c>
      <c r="B1371" t="s">
        <v>730</v>
      </c>
      <c r="C1371" t="s">
        <v>871</v>
      </c>
      <c r="D1371" s="1" t="s">
        <v>872</v>
      </c>
      <c r="E1371" t="s">
        <v>873</v>
      </c>
      <c r="F1371">
        <v>47.479700000000001</v>
      </c>
      <c r="G1371">
        <v>8.5358000000000001</v>
      </c>
      <c r="H1371">
        <v>1</v>
      </c>
      <c r="I1371">
        <v>427.4</v>
      </c>
      <c r="J1371" t="str">
        <f>HYPERLINK("https://climate.onebuilding.org/WMO_Region_6_Europe/CHE_Switzerland/ZH_Zurich/CHE_ZH_Zurich.AP.066700_TMYx.2004-2018.zip")</f>
        <v>https://climate.onebuilding.org/WMO_Region_6_Europe/CHE_Switzerland/ZH_Zurich/CHE_ZH_Zurich.AP.066700_TMYx.2004-2018.zip</v>
      </c>
    </row>
    <row r="1372" spans="1:10" x14ac:dyDescent="0.25">
      <c r="A1372" t="s">
        <v>702</v>
      </c>
      <c r="B1372" t="s">
        <v>730</v>
      </c>
      <c r="C1372" t="s">
        <v>871</v>
      </c>
      <c r="D1372" s="1" t="s">
        <v>872</v>
      </c>
      <c r="E1372" t="s">
        <v>14</v>
      </c>
      <c r="F1372">
        <v>47.479700000000001</v>
      </c>
      <c r="G1372">
        <v>8.5358000000000001</v>
      </c>
      <c r="H1372">
        <v>1</v>
      </c>
      <c r="I1372">
        <v>427.4</v>
      </c>
      <c r="J1372" t="str">
        <f>HYPERLINK("https://climate.onebuilding.org/WMO_Region_6_Europe/CHE_Switzerland/ZH_Zurich/CHE_ZH_Zurich.AP.066700_TMYx.2007-2021.zip")</f>
        <v>https://climate.onebuilding.org/WMO_Region_6_Europe/CHE_Switzerland/ZH_Zurich/CHE_ZH_Zurich.AP.066700_TMYx.2007-2021.zip</v>
      </c>
    </row>
    <row r="1373" spans="1:10" x14ac:dyDescent="0.25">
      <c r="A1373" t="s">
        <v>702</v>
      </c>
      <c r="B1373" t="s">
        <v>730</v>
      </c>
      <c r="C1373" t="s">
        <v>871</v>
      </c>
      <c r="D1373" s="1" t="s">
        <v>872</v>
      </c>
      <c r="E1373" t="s">
        <v>14</v>
      </c>
      <c r="F1373">
        <v>47.479700000000001</v>
      </c>
      <c r="G1373">
        <v>8.5358000000000001</v>
      </c>
      <c r="H1373">
        <v>1</v>
      </c>
      <c r="I1373">
        <v>427.4</v>
      </c>
      <c r="J1373" t="str">
        <f>HYPERLINK("https://climate.onebuilding.org/WMO_Region_6_Europe/CHE_Switzerland/ZH_Zurich/CHE_ZH_Zurich.AP.066700_TMYx.2009-2023.zip")</f>
        <v>https://climate.onebuilding.org/WMO_Region_6_Europe/CHE_Switzerland/ZH_Zurich/CHE_ZH_Zurich.AP.066700_TMYx.2009-2023.zip</v>
      </c>
    </row>
    <row r="1374" spans="1:10" x14ac:dyDescent="0.25">
      <c r="A1374" t="s">
        <v>702</v>
      </c>
      <c r="B1374" t="s">
        <v>730</v>
      </c>
      <c r="C1374" t="s">
        <v>871</v>
      </c>
      <c r="D1374" s="1" t="s">
        <v>872</v>
      </c>
      <c r="E1374" t="s">
        <v>14</v>
      </c>
      <c r="F1374">
        <v>47.479700000000001</v>
      </c>
      <c r="G1374">
        <v>8.5358000000000001</v>
      </c>
      <c r="H1374">
        <v>1</v>
      </c>
      <c r="I1374">
        <v>427.4</v>
      </c>
      <c r="J1374" t="str">
        <f>HYPERLINK("https://climate.onebuilding.org/WMO_Region_6_Europe/CHE_Switzerland/ZH_Zurich/CHE_ZH_Zurich.AP.066700_TMYx.zip")</f>
        <v>https://climate.onebuilding.org/WMO_Region_6_Europe/CHE_Switzerland/ZH_Zurich/CHE_ZH_Zurich.AP.066700_TMYx.zip</v>
      </c>
    </row>
    <row r="1375" spans="1:10" x14ac:dyDescent="0.25">
      <c r="A1375" t="s">
        <v>702</v>
      </c>
      <c r="B1375" t="s">
        <v>761</v>
      </c>
      <c r="C1375" t="s">
        <v>874</v>
      </c>
      <c r="D1375" s="1" t="s">
        <v>875</v>
      </c>
      <c r="E1375" t="s">
        <v>78</v>
      </c>
      <c r="F1375">
        <v>47.668610000000001</v>
      </c>
      <c r="G1375">
        <v>8.9813899999999993</v>
      </c>
      <c r="H1375">
        <v>1</v>
      </c>
      <c r="I1375">
        <v>400</v>
      </c>
      <c r="J1375" t="str">
        <f>HYPERLINK("https://climate.onebuilding.org/WMO_Region_6_Europe/CHE_Switzerland/TG_Thurgau/CHE_TG_Steckborn.066710_TMYx.2007-2021.zip")</f>
        <v>https://climate.onebuilding.org/WMO_Region_6_Europe/CHE_Switzerland/TG_Thurgau/CHE_TG_Steckborn.066710_TMYx.2007-2021.zip</v>
      </c>
    </row>
    <row r="1376" spans="1:10" x14ac:dyDescent="0.25">
      <c r="A1376" t="s">
        <v>702</v>
      </c>
      <c r="B1376" t="s">
        <v>761</v>
      </c>
      <c r="C1376" t="s">
        <v>874</v>
      </c>
      <c r="D1376" s="1" t="s">
        <v>875</v>
      </c>
      <c r="E1376" t="s">
        <v>78</v>
      </c>
      <c r="F1376">
        <v>47.668610000000001</v>
      </c>
      <c r="G1376">
        <v>8.9813899999999993</v>
      </c>
      <c r="H1376">
        <v>1</v>
      </c>
      <c r="I1376">
        <v>400</v>
      </c>
      <c r="J1376" t="str">
        <f>HYPERLINK("https://climate.onebuilding.org/WMO_Region_6_Europe/CHE_Switzerland/TG_Thurgau/CHE_TG_Steckborn.066710_TMYx.2009-2023.zip")</f>
        <v>https://climate.onebuilding.org/WMO_Region_6_Europe/CHE_Switzerland/TG_Thurgau/CHE_TG_Steckborn.066710_TMYx.2009-2023.zip</v>
      </c>
    </row>
    <row r="1377" spans="1:10" x14ac:dyDescent="0.25">
      <c r="A1377" t="s">
        <v>702</v>
      </c>
      <c r="B1377" t="s">
        <v>761</v>
      </c>
      <c r="C1377" t="s">
        <v>874</v>
      </c>
      <c r="D1377" s="1" t="s">
        <v>875</v>
      </c>
      <c r="E1377" t="s">
        <v>78</v>
      </c>
      <c r="F1377">
        <v>47.668610000000001</v>
      </c>
      <c r="G1377">
        <v>8.9813899999999993</v>
      </c>
      <c r="H1377">
        <v>1</v>
      </c>
      <c r="I1377">
        <v>400</v>
      </c>
      <c r="J1377" t="str">
        <f>HYPERLINK("https://climate.onebuilding.org/WMO_Region_6_Europe/CHE_Switzerland/TG_Thurgau/CHE_TG_Steckborn.066710_TMYx.zip")</f>
        <v>https://climate.onebuilding.org/WMO_Region_6_Europe/CHE_Switzerland/TG_Thurgau/CHE_TG_Steckborn.066710_TMYx.zip</v>
      </c>
    </row>
    <row r="1378" spans="1:10" x14ac:dyDescent="0.25">
      <c r="A1378" t="s">
        <v>702</v>
      </c>
      <c r="B1378" t="s">
        <v>876</v>
      </c>
      <c r="C1378" t="s">
        <v>877</v>
      </c>
      <c r="D1378" s="1" t="s">
        <v>878</v>
      </c>
      <c r="E1378" t="s">
        <v>879</v>
      </c>
      <c r="F1378">
        <v>46.887</v>
      </c>
      <c r="G1378">
        <v>8.6217000000000006</v>
      </c>
      <c r="H1378">
        <v>1</v>
      </c>
      <c r="I1378">
        <v>439.4</v>
      </c>
      <c r="J1378" t="str">
        <f>HYPERLINK("https://climate.onebuilding.org/WMO_Region_6_Europe/CHE_Switzerland/UR_Uri/CHE_UR_Altdorf.066720_TMYx.2004-2018.zip")</f>
        <v>https://climate.onebuilding.org/WMO_Region_6_Europe/CHE_Switzerland/UR_Uri/CHE_UR_Altdorf.066720_TMYx.2004-2018.zip</v>
      </c>
    </row>
    <row r="1379" spans="1:10" x14ac:dyDescent="0.25">
      <c r="A1379" t="s">
        <v>702</v>
      </c>
      <c r="B1379" t="s">
        <v>876</v>
      </c>
      <c r="C1379" t="s">
        <v>877</v>
      </c>
      <c r="D1379" s="1" t="s">
        <v>878</v>
      </c>
      <c r="E1379" t="s">
        <v>14</v>
      </c>
      <c r="F1379">
        <v>46.887</v>
      </c>
      <c r="G1379">
        <v>8.6217000000000006</v>
      </c>
      <c r="H1379">
        <v>1</v>
      </c>
      <c r="I1379">
        <v>439.4</v>
      </c>
      <c r="J1379" t="str">
        <f>HYPERLINK("https://climate.onebuilding.org/WMO_Region_6_Europe/CHE_Switzerland/UR_Uri/CHE_UR_Altdorf.066720_TMYx.2007-2021.zip")</f>
        <v>https://climate.onebuilding.org/WMO_Region_6_Europe/CHE_Switzerland/UR_Uri/CHE_UR_Altdorf.066720_TMYx.2007-2021.zip</v>
      </c>
    </row>
    <row r="1380" spans="1:10" x14ac:dyDescent="0.25">
      <c r="A1380" t="s">
        <v>702</v>
      </c>
      <c r="B1380" t="s">
        <v>876</v>
      </c>
      <c r="C1380" t="s">
        <v>877</v>
      </c>
      <c r="D1380" s="1" t="s">
        <v>878</v>
      </c>
      <c r="E1380" t="s">
        <v>14</v>
      </c>
      <c r="F1380">
        <v>46.887</v>
      </c>
      <c r="G1380">
        <v>8.6217000000000006</v>
      </c>
      <c r="H1380">
        <v>1</v>
      </c>
      <c r="I1380">
        <v>439.4</v>
      </c>
      <c r="J1380" t="str">
        <f>HYPERLINK("https://climate.onebuilding.org/WMO_Region_6_Europe/CHE_Switzerland/UR_Uri/CHE_UR_Altdorf.066720_TMYx.2009-2023.zip")</f>
        <v>https://climate.onebuilding.org/WMO_Region_6_Europe/CHE_Switzerland/UR_Uri/CHE_UR_Altdorf.066720_TMYx.2009-2023.zip</v>
      </c>
    </row>
    <row r="1381" spans="1:10" x14ac:dyDescent="0.25">
      <c r="A1381" t="s">
        <v>702</v>
      </c>
      <c r="B1381" t="s">
        <v>876</v>
      </c>
      <c r="C1381" t="s">
        <v>877</v>
      </c>
      <c r="D1381" s="1" t="s">
        <v>878</v>
      </c>
      <c r="E1381" t="s">
        <v>14</v>
      </c>
      <c r="F1381">
        <v>46.887</v>
      </c>
      <c r="G1381">
        <v>8.6217000000000006</v>
      </c>
      <c r="H1381">
        <v>1</v>
      </c>
      <c r="I1381">
        <v>439.4</v>
      </c>
      <c r="J1381" t="str">
        <f>HYPERLINK("https://climate.onebuilding.org/WMO_Region_6_Europe/CHE_Switzerland/UR_Uri/CHE_UR_Altdorf.066720_TMYx.zip")</f>
        <v>https://climate.onebuilding.org/WMO_Region_6_Europe/CHE_Switzerland/UR_Uri/CHE_UR_Altdorf.066720_TMYx.zip</v>
      </c>
    </row>
    <row r="1382" spans="1:10" x14ac:dyDescent="0.25">
      <c r="A1382" t="s">
        <v>702</v>
      </c>
      <c r="B1382" t="s">
        <v>730</v>
      </c>
      <c r="C1382" t="s">
        <v>880</v>
      </c>
      <c r="D1382" s="1" t="s">
        <v>881</v>
      </c>
      <c r="E1382" t="s">
        <v>882</v>
      </c>
      <c r="F1382">
        <v>47.220799999999997</v>
      </c>
      <c r="G1382">
        <v>8.6777999999999995</v>
      </c>
      <c r="H1382">
        <v>1</v>
      </c>
      <c r="I1382">
        <v>486.5</v>
      </c>
      <c r="J1382" t="str">
        <f>HYPERLINK("https://climate.onebuilding.org/WMO_Region_6_Europe/CHE_Switzerland/ZH_Zurich/CHE_ZH_Wadenswil.066730_TMYx.2004-2018.zip")</f>
        <v>https://climate.onebuilding.org/WMO_Region_6_Europe/CHE_Switzerland/ZH_Zurich/CHE_ZH_Wadenswil.066730_TMYx.2004-2018.zip</v>
      </c>
    </row>
    <row r="1383" spans="1:10" x14ac:dyDescent="0.25">
      <c r="A1383" t="s">
        <v>702</v>
      </c>
      <c r="B1383" t="s">
        <v>730</v>
      </c>
      <c r="C1383" t="s">
        <v>880</v>
      </c>
      <c r="D1383" s="1" t="s">
        <v>881</v>
      </c>
      <c r="E1383" t="s">
        <v>14</v>
      </c>
      <c r="F1383">
        <v>47.220799999999997</v>
      </c>
      <c r="G1383">
        <v>8.6777999999999995</v>
      </c>
      <c r="H1383">
        <v>1</v>
      </c>
      <c r="I1383">
        <v>486.5</v>
      </c>
      <c r="J1383" t="str">
        <f>HYPERLINK("https://climate.onebuilding.org/WMO_Region_6_Europe/CHE_Switzerland/ZH_Zurich/CHE_ZH_Wadenswil.066730_TMYx.2007-2021.zip")</f>
        <v>https://climate.onebuilding.org/WMO_Region_6_Europe/CHE_Switzerland/ZH_Zurich/CHE_ZH_Wadenswil.066730_TMYx.2007-2021.zip</v>
      </c>
    </row>
    <row r="1384" spans="1:10" x14ac:dyDescent="0.25">
      <c r="A1384" t="s">
        <v>702</v>
      </c>
      <c r="B1384" t="s">
        <v>730</v>
      </c>
      <c r="C1384" t="s">
        <v>880</v>
      </c>
      <c r="D1384" s="1" t="s">
        <v>881</v>
      </c>
      <c r="E1384" t="s">
        <v>14</v>
      </c>
      <c r="F1384">
        <v>47.220799999999997</v>
      </c>
      <c r="G1384">
        <v>8.6777999999999995</v>
      </c>
      <c r="H1384">
        <v>1</v>
      </c>
      <c r="I1384">
        <v>486.5</v>
      </c>
      <c r="J1384" t="str">
        <f>HYPERLINK("https://climate.onebuilding.org/WMO_Region_6_Europe/CHE_Switzerland/ZH_Zurich/CHE_ZH_Wadenswil.066730_TMYx.2009-2023.zip")</f>
        <v>https://climate.onebuilding.org/WMO_Region_6_Europe/CHE_Switzerland/ZH_Zurich/CHE_ZH_Wadenswil.066730_TMYx.2009-2023.zip</v>
      </c>
    </row>
    <row r="1385" spans="1:10" x14ac:dyDescent="0.25">
      <c r="A1385" t="s">
        <v>702</v>
      </c>
      <c r="B1385" t="s">
        <v>730</v>
      </c>
      <c r="C1385" t="s">
        <v>880</v>
      </c>
      <c r="D1385" s="1" t="s">
        <v>881</v>
      </c>
      <c r="E1385" t="s">
        <v>14</v>
      </c>
      <c r="F1385">
        <v>47.220799999999997</v>
      </c>
      <c r="G1385">
        <v>8.6777999999999995</v>
      </c>
      <c r="H1385">
        <v>1</v>
      </c>
      <c r="I1385">
        <v>486.5</v>
      </c>
      <c r="J1385" t="str">
        <f>HYPERLINK("https://climate.onebuilding.org/WMO_Region_6_Europe/CHE_Switzerland/ZH_Zurich/CHE_ZH_Wadenswil.066730_TMYx.zip")</f>
        <v>https://climate.onebuilding.org/WMO_Region_6_Europe/CHE_Switzerland/ZH_Zurich/CHE_ZH_Wadenswil.066730_TMYx.zip</v>
      </c>
    </row>
    <row r="1386" spans="1:10" x14ac:dyDescent="0.25">
      <c r="A1386" t="s">
        <v>702</v>
      </c>
      <c r="B1386" t="s">
        <v>883</v>
      </c>
      <c r="C1386" t="s">
        <v>884</v>
      </c>
      <c r="D1386" s="1" t="s">
        <v>885</v>
      </c>
      <c r="E1386" t="s">
        <v>14</v>
      </c>
      <c r="F1386">
        <v>47.188299999999998</v>
      </c>
      <c r="G1386">
        <v>8.4647000000000006</v>
      </c>
      <c r="H1386">
        <v>1</v>
      </c>
      <c r="I1386">
        <v>443.4</v>
      </c>
      <c r="J1386" t="str">
        <f>HYPERLINK("https://climate.onebuilding.org/WMO_Region_6_Europe/CHE_Switzerland/ZG_Zug/CHE_ZG_Cham.066740_TMYx.2007-2021.zip")</f>
        <v>https://climate.onebuilding.org/WMO_Region_6_Europe/CHE_Switzerland/ZG_Zug/CHE_ZG_Cham.066740_TMYx.2007-2021.zip</v>
      </c>
    </row>
    <row r="1387" spans="1:10" x14ac:dyDescent="0.25">
      <c r="A1387" t="s">
        <v>702</v>
      </c>
      <c r="B1387" t="s">
        <v>883</v>
      </c>
      <c r="C1387" t="s">
        <v>884</v>
      </c>
      <c r="D1387" s="1" t="s">
        <v>885</v>
      </c>
      <c r="E1387" t="s">
        <v>14</v>
      </c>
      <c r="F1387">
        <v>47.188299999999998</v>
      </c>
      <c r="G1387">
        <v>8.4647000000000006</v>
      </c>
      <c r="H1387">
        <v>1</v>
      </c>
      <c r="I1387">
        <v>443.4</v>
      </c>
      <c r="J1387" t="str">
        <f>HYPERLINK("https://climate.onebuilding.org/WMO_Region_6_Europe/CHE_Switzerland/ZG_Zug/CHE_ZG_Cham.066740_TMYx.2009-2023.zip")</f>
        <v>https://climate.onebuilding.org/WMO_Region_6_Europe/CHE_Switzerland/ZG_Zug/CHE_ZG_Cham.066740_TMYx.2009-2023.zip</v>
      </c>
    </row>
    <row r="1388" spans="1:10" x14ac:dyDescent="0.25">
      <c r="A1388" t="s">
        <v>702</v>
      </c>
      <c r="B1388" t="s">
        <v>883</v>
      </c>
      <c r="C1388" t="s">
        <v>884</v>
      </c>
      <c r="D1388" s="1" t="s">
        <v>885</v>
      </c>
      <c r="E1388" t="s">
        <v>14</v>
      </c>
      <c r="F1388">
        <v>47.188299999999998</v>
      </c>
      <c r="G1388">
        <v>8.4647000000000006</v>
      </c>
      <c r="H1388">
        <v>1</v>
      </c>
      <c r="I1388">
        <v>443.4</v>
      </c>
      <c r="J1388" t="str">
        <f>HYPERLINK("https://climate.onebuilding.org/WMO_Region_6_Europe/CHE_Switzerland/ZG_Zug/CHE_ZG_Cham.066740_TMYx.zip")</f>
        <v>https://climate.onebuilding.org/WMO_Region_6_Europe/CHE_Switzerland/ZG_Zug/CHE_ZG_Cham.066740_TMYx.zip</v>
      </c>
    </row>
    <row r="1389" spans="1:10" x14ac:dyDescent="0.25">
      <c r="A1389" t="s">
        <v>702</v>
      </c>
      <c r="B1389" t="s">
        <v>178</v>
      </c>
      <c r="C1389" t="s">
        <v>886</v>
      </c>
      <c r="D1389" s="1" t="s">
        <v>887</v>
      </c>
      <c r="E1389" t="s">
        <v>888</v>
      </c>
      <c r="F1389">
        <v>47.133000000000003</v>
      </c>
      <c r="G1389">
        <v>8.7567000000000004</v>
      </c>
      <c r="H1389">
        <v>1</v>
      </c>
      <c r="I1389">
        <v>911.9</v>
      </c>
      <c r="J1389" t="str">
        <f>HYPERLINK("https://climate.onebuilding.org/WMO_Region_6_Europe/CHE_Switzerland/SZ_Schwyz/CHE_SZ_Einsiedeln.066750_TMYx.2004-2018.zip")</f>
        <v>https://climate.onebuilding.org/WMO_Region_6_Europe/CHE_Switzerland/SZ_Schwyz/CHE_SZ_Einsiedeln.066750_TMYx.2004-2018.zip</v>
      </c>
    </row>
    <row r="1390" spans="1:10" x14ac:dyDescent="0.25">
      <c r="A1390" t="s">
        <v>702</v>
      </c>
      <c r="B1390" t="s">
        <v>178</v>
      </c>
      <c r="C1390" t="s">
        <v>886</v>
      </c>
      <c r="D1390" s="1" t="s">
        <v>887</v>
      </c>
      <c r="E1390" t="s">
        <v>14</v>
      </c>
      <c r="F1390">
        <v>47.133000000000003</v>
      </c>
      <c r="G1390">
        <v>8.7567000000000004</v>
      </c>
      <c r="H1390">
        <v>1</v>
      </c>
      <c r="I1390">
        <v>911.9</v>
      </c>
      <c r="J1390" t="str">
        <f>HYPERLINK("https://climate.onebuilding.org/WMO_Region_6_Europe/CHE_Switzerland/SZ_Schwyz/CHE_SZ_Einsiedeln.066750_TMYx.2007-2021.zip")</f>
        <v>https://climate.onebuilding.org/WMO_Region_6_Europe/CHE_Switzerland/SZ_Schwyz/CHE_SZ_Einsiedeln.066750_TMYx.2007-2021.zip</v>
      </c>
    </row>
    <row r="1391" spans="1:10" x14ac:dyDescent="0.25">
      <c r="A1391" t="s">
        <v>702</v>
      </c>
      <c r="B1391" t="s">
        <v>178</v>
      </c>
      <c r="C1391" t="s">
        <v>886</v>
      </c>
      <c r="D1391" s="1" t="s">
        <v>887</v>
      </c>
      <c r="E1391" t="s">
        <v>14</v>
      </c>
      <c r="F1391">
        <v>47.133000000000003</v>
      </c>
      <c r="G1391">
        <v>8.7567000000000004</v>
      </c>
      <c r="H1391">
        <v>1</v>
      </c>
      <c r="I1391">
        <v>911.9</v>
      </c>
      <c r="J1391" t="str">
        <f>HYPERLINK("https://climate.onebuilding.org/WMO_Region_6_Europe/CHE_Switzerland/SZ_Schwyz/CHE_SZ_Einsiedeln.066750_TMYx.2009-2023.zip")</f>
        <v>https://climate.onebuilding.org/WMO_Region_6_Europe/CHE_Switzerland/SZ_Schwyz/CHE_SZ_Einsiedeln.066750_TMYx.2009-2023.zip</v>
      </c>
    </row>
    <row r="1392" spans="1:10" x14ac:dyDescent="0.25">
      <c r="A1392" t="s">
        <v>702</v>
      </c>
      <c r="B1392" t="s">
        <v>178</v>
      </c>
      <c r="C1392" t="s">
        <v>886</v>
      </c>
      <c r="D1392" s="1" t="s">
        <v>887</v>
      </c>
      <c r="E1392" t="s">
        <v>14</v>
      </c>
      <c r="F1392">
        <v>47.133000000000003</v>
      </c>
      <c r="G1392">
        <v>8.7567000000000004</v>
      </c>
      <c r="H1392">
        <v>1</v>
      </c>
      <c r="I1392">
        <v>911.9</v>
      </c>
      <c r="J1392" t="str">
        <f>HYPERLINK("https://climate.onebuilding.org/WMO_Region_6_Europe/CHE_Switzerland/SZ_Schwyz/CHE_SZ_Einsiedeln.066750_TMYx.zip")</f>
        <v>https://climate.onebuilding.org/WMO_Region_6_Europe/CHE_Switzerland/SZ_Schwyz/CHE_SZ_Einsiedeln.066750_TMYx.zip</v>
      </c>
    </row>
    <row r="1393" spans="1:10" x14ac:dyDescent="0.25">
      <c r="A1393" t="s">
        <v>702</v>
      </c>
      <c r="B1393" t="s">
        <v>883</v>
      </c>
      <c r="C1393" t="s">
        <v>889</v>
      </c>
      <c r="D1393" s="1" t="s">
        <v>890</v>
      </c>
      <c r="E1393" t="s">
        <v>78</v>
      </c>
      <c r="F1393">
        <v>47.133899999999997</v>
      </c>
      <c r="G1393">
        <v>8.61</v>
      </c>
      <c r="H1393">
        <v>1</v>
      </c>
      <c r="I1393">
        <v>726</v>
      </c>
      <c r="J1393" t="str">
        <f>HYPERLINK("https://climate.onebuilding.org/WMO_Region_6_Europe/CHE_Switzerland/ZG_Zug/CHE_ZG_Oberaegeri.066760_TMYx.2007-2021.zip")</f>
        <v>https://climate.onebuilding.org/WMO_Region_6_Europe/CHE_Switzerland/ZG_Zug/CHE_ZG_Oberaegeri.066760_TMYx.2007-2021.zip</v>
      </c>
    </row>
    <row r="1394" spans="1:10" x14ac:dyDescent="0.25">
      <c r="A1394" t="s">
        <v>702</v>
      </c>
      <c r="B1394" t="s">
        <v>883</v>
      </c>
      <c r="C1394" t="s">
        <v>889</v>
      </c>
      <c r="D1394" s="1" t="s">
        <v>890</v>
      </c>
      <c r="E1394" t="s">
        <v>78</v>
      </c>
      <c r="F1394">
        <v>47.133899999999997</v>
      </c>
      <c r="G1394">
        <v>8.61</v>
      </c>
      <c r="H1394">
        <v>1</v>
      </c>
      <c r="I1394">
        <v>726</v>
      </c>
      <c r="J1394" t="str">
        <f>HYPERLINK("https://climate.onebuilding.org/WMO_Region_6_Europe/CHE_Switzerland/ZG_Zug/CHE_ZG_Oberaegeri.066760_TMYx.2009-2023.zip")</f>
        <v>https://climate.onebuilding.org/WMO_Region_6_Europe/CHE_Switzerland/ZG_Zug/CHE_ZG_Oberaegeri.066760_TMYx.2009-2023.zip</v>
      </c>
    </row>
    <row r="1395" spans="1:10" x14ac:dyDescent="0.25">
      <c r="A1395" t="s">
        <v>702</v>
      </c>
      <c r="B1395" t="s">
        <v>883</v>
      </c>
      <c r="C1395" t="s">
        <v>889</v>
      </c>
      <c r="D1395" s="1" t="s">
        <v>890</v>
      </c>
      <c r="E1395" t="s">
        <v>78</v>
      </c>
      <c r="F1395">
        <v>47.133899999999997</v>
      </c>
      <c r="G1395">
        <v>8.61</v>
      </c>
      <c r="H1395">
        <v>1</v>
      </c>
      <c r="I1395">
        <v>726</v>
      </c>
      <c r="J1395" t="str">
        <f>HYPERLINK("https://climate.onebuilding.org/WMO_Region_6_Europe/CHE_Switzerland/ZG_Zug/CHE_ZG_Oberaegeri.066760_TMYx.zip")</f>
        <v>https://climate.onebuilding.org/WMO_Region_6_Europe/CHE_Switzerland/ZG_Zug/CHE_ZG_Oberaegeri.066760_TMYx.zip</v>
      </c>
    </row>
    <row r="1396" spans="1:10" x14ac:dyDescent="0.25">
      <c r="A1396" t="s">
        <v>702</v>
      </c>
      <c r="B1396" t="s">
        <v>761</v>
      </c>
      <c r="C1396" t="s">
        <v>891</v>
      </c>
      <c r="D1396" s="1" t="s">
        <v>892</v>
      </c>
      <c r="E1396" t="s">
        <v>14</v>
      </c>
      <c r="F1396">
        <v>47.497500000000002</v>
      </c>
      <c r="G1396">
        <v>9.2347000000000001</v>
      </c>
      <c r="H1396">
        <v>1</v>
      </c>
      <c r="I1396">
        <v>468.5</v>
      </c>
      <c r="J1396" t="str">
        <f>HYPERLINK("https://climate.onebuilding.org/WMO_Region_6_Europe/CHE_Switzerland/TG_Thurgau/CHE_TG_Bischofszell.066780_TMYx.2007-2021.zip")</f>
        <v>https://climate.onebuilding.org/WMO_Region_6_Europe/CHE_Switzerland/TG_Thurgau/CHE_TG_Bischofszell.066780_TMYx.2007-2021.zip</v>
      </c>
    </row>
    <row r="1397" spans="1:10" x14ac:dyDescent="0.25">
      <c r="A1397" t="s">
        <v>702</v>
      </c>
      <c r="B1397" t="s">
        <v>761</v>
      </c>
      <c r="C1397" t="s">
        <v>891</v>
      </c>
      <c r="D1397" s="1" t="s">
        <v>892</v>
      </c>
      <c r="E1397" t="s">
        <v>14</v>
      </c>
      <c r="F1397">
        <v>47.497500000000002</v>
      </c>
      <c r="G1397">
        <v>9.2347000000000001</v>
      </c>
      <c r="H1397">
        <v>1</v>
      </c>
      <c r="I1397">
        <v>468.5</v>
      </c>
      <c r="J1397" t="str">
        <f>HYPERLINK("https://climate.onebuilding.org/WMO_Region_6_Europe/CHE_Switzerland/TG_Thurgau/CHE_TG_Bischofszell.066780_TMYx.2009-2023.zip")</f>
        <v>https://climate.onebuilding.org/WMO_Region_6_Europe/CHE_Switzerland/TG_Thurgau/CHE_TG_Bischofszell.066780_TMYx.2009-2023.zip</v>
      </c>
    </row>
    <row r="1398" spans="1:10" x14ac:dyDescent="0.25">
      <c r="A1398" t="s">
        <v>702</v>
      </c>
      <c r="B1398" t="s">
        <v>761</v>
      </c>
      <c r="C1398" t="s">
        <v>891</v>
      </c>
      <c r="D1398" s="1" t="s">
        <v>892</v>
      </c>
      <c r="E1398" t="s">
        <v>14</v>
      </c>
      <c r="F1398">
        <v>47.497500000000002</v>
      </c>
      <c r="G1398">
        <v>9.2347000000000001</v>
      </c>
      <c r="H1398">
        <v>1</v>
      </c>
      <c r="I1398">
        <v>468.5</v>
      </c>
      <c r="J1398" t="str">
        <f>HYPERLINK("https://climate.onebuilding.org/WMO_Region_6_Europe/CHE_Switzerland/TG_Thurgau/CHE_TG_Bischofszell.066780_TMYx.zip")</f>
        <v>https://climate.onebuilding.org/WMO_Region_6_Europe/CHE_Switzerland/TG_Thurgau/CHE_TG_Bischofszell.066780_TMYx.zip</v>
      </c>
    </row>
    <row r="1399" spans="1:10" x14ac:dyDescent="0.25">
      <c r="A1399" t="s">
        <v>702</v>
      </c>
      <c r="B1399" t="s">
        <v>761</v>
      </c>
      <c r="C1399" t="s">
        <v>893</v>
      </c>
      <c r="D1399" s="1" t="s">
        <v>894</v>
      </c>
      <c r="E1399" t="s">
        <v>895</v>
      </c>
      <c r="F1399">
        <v>47.48</v>
      </c>
      <c r="G1399">
        <v>8.9049999999999994</v>
      </c>
      <c r="H1399">
        <v>1</v>
      </c>
      <c r="I1399">
        <v>539.5</v>
      </c>
      <c r="J1399" t="str">
        <f>HYPERLINK("https://climate.onebuilding.org/WMO_Region_6_Europe/CHE_Switzerland/TG_Thurgau/CHE_TG_Aadorf.Tanikon.066790_TMYx.2004-2018.zip")</f>
        <v>https://climate.onebuilding.org/WMO_Region_6_Europe/CHE_Switzerland/TG_Thurgau/CHE_TG_Aadorf.Tanikon.066790_TMYx.2004-2018.zip</v>
      </c>
    </row>
    <row r="1400" spans="1:10" x14ac:dyDescent="0.25">
      <c r="A1400" t="s">
        <v>702</v>
      </c>
      <c r="B1400" t="s">
        <v>761</v>
      </c>
      <c r="C1400" t="s">
        <v>893</v>
      </c>
      <c r="D1400" s="1" t="s">
        <v>894</v>
      </c>
      <c r="E1400" t="s">
        <v>14</v>
      </c>
      <c r="F1400">
        <v>47.48</v>
      </c>
      <c r="G1400">
        <v>8.9049999999999994</v>
      </c>
      <c r="H1400">
        <v>1</v>
      </c>
      <c r="I1400">
        <v>539.5</v>
      </c>
      <c r="J1400" t="str">
        <f>HYPERLINK("https://climate.onebuilding.org/WMO_Region_6_Europe/CHE_Switzerland/TG_Thurgau/CHE_TG_Aadorf.Tanikon.066790_TMYx.2007-2021.zip")</f>
        <v>https://climate.onebuilding.org/WMO_Region_6_Europe/CHE_Switzerland/TG_Thurgau/CHE_TG_Aadorf.Tanikon.066790_TMYx.2007-2021.zip</v>
      </c>
    </row>
    <row r="1401" spans="1:10" x14ac:dyDescent="0.25">
      <c r="A1401" t="s">
        <v>702</v>
      </c>
      <c r="B1401" t="s">
        <v>761</v>
      </c>
      <c r="C1401" t="s">
        <v>893</v>
      </c>
      <c r="D1401" s="1" t="s">
        <v>894</v>
      </c>
      <c r="E1401" t="s">
        <v>14</v>
      </c>
      <c r="F1401">
        <v>47.48</v>
      </c>
      <c r="G1401">
        <v>8.9049999999999994</v>
      </c>
      <c r="H1401">
        <v>1</v>
      </c>
      <c r="I1401">
        <v>539.5</v>
      </c>
      <c r="J1401" t="str">
        <f>HYPERLINK("https://climate.onebuilding.org/WMO_Region_6_Europe/CHE_Switzerland/TG_Thurgau/CHE_TG_Aadorf.Tanikon.066790_TMYx.2009-2023.zip")</f>
        <v>https://climate.onebuilding.org/WMO_Region_6_Europe/CHE_Switzerland/TG_Thurgau/CHE_TG_Aadorf.Tanikon.066790_TMYx.2009-2023.zip</v>
      </c>
    </row>
    <row r="1402" spans="1:10" x14ac:dyDescent="0.25">
      <c r="A1402" t="s">
        <v>702</v>
      </c>
      <c r="B1402" t="s">
        <v>761</v>
      </c>
      <c r="C1402" t="s">
        <v>893</v>
      </c>
      <c r="D1402" s="1" t="s">
        <v>894</v>
      </c>
      <c r="E1402" t="s">
        <v>14</v>
      </c>
      <c r="F1402">
        <v>47.48</v>
      </c>
      <c r="G1402">
        <v>8.9049999999999994</v>
      </c>
      <c r="H1402">
        <v>1</v>
      </c>
      <c r="I1402">
        <v>539.5</v>
      </c>
      <c r="J1402" t="str">
        <f>HYPERLINK("https://climate.onebuilding.org/WMO_Region_6_Europe/CHE_Switzerland/TG_Thurgau/CHE_TG_Aadorf.Tanikon.066790_TMYx.zip")</f>
        <v>https://climate.onebuilding.org/WMO_Region_6_Europe/CHE_Switzerland/TG_Thurgau/CHE_TG_Aadorf.Tanikon.066790_TMYx.zip</v>
      </c>
    </row>
    <row r="1403" spans="1:10" x14ac:dyDescent="0.25">
      <c r="A1403" t="s">
        <v>702</v>
      </c>
      <c r="B1403" t="s">
        <v>896</v>
      </c>
      <c r="C1403" t="s">
        <v>897</v>
      </c>
      <c r="D1403" s="1" t="s">
        <v>898</v>
      </c>
      <c r="E1403" t="s">
        <v>899</v>
      </c>
      <c r="F1403">
        <v>47.249400000000001</v>
      </c>
      <c r="G1403">
        <v>9.3436000000000003</v>
      </c>
      <c r="H1403">
        <v>1</v>
      </c>
      <c r="I1403">
        <v>2494.1999999999998</v>
      </c>
      <c r="J1403" t="str">
        <f>HYPERLINK("https://climate.onebuilding.org/WMO_Region_6_Europe/CHE_Switzerland/AI_Appenzell_Inner_Rhodes/CHE_AI_Santis.066800_TMYx.2004-2018.zip")</f>
        <v>https://climate.onebuilding.org/WMO_Region_6_Europe/CHE_Switzerland/AI_Appenzell_Inner_Rhodes/CHE_AI_Santis.066800_TMYx.2004-2018.zip</v>
      </c>
    </row>
    <row r="1404" spans="1:10" x14ac:dyDescent="0.25">
      <c r="A1404" t="s">
        <v>702</v>
      </c>
      <c r="B1404" t="s">
        <v>896</v>
      </c>
      <c r="C1404" t="s">
        <v>897</v>
      </c>
      <c r="D1404" s="1" t="s">
        <v>898</v>
      </c>
      <c r="E1404" t="s">
        <v>14</v>
      </c>
      <c r="F1404">
        <v>47.249400000000001</v>
      </c>
      <c r="G1404">
        <v>9.3436000000000003</v>
      </c>
      <c r="H1404">
        <v>1</v>
      </c>
      <c r="I1404">
        <v>2494.1999999999998</v>
      </c>
      <c r="J1404" t="str">
        <f>HYPERLINK("https://climate.onebuilding.org/WMO_Region_6_Europe/CHE_Switzerland/AI_Appenzell_Inner_Rhodes/CHE_AI_Santis.066800_TMYx.2007-2021.zip")</f>
        <v>https://climate.onebuilding.org/WMO_Region_6_Europe/CHE_Switzerland/AI_Appenzell_Inner_Rhodes/CHE_AI_Santis.066800_TMYx.2007-2021.zip</v>
      </c>
    </row>
    <row r="1405" spans="1:10" x14ac:dyDescent="0.25">
      <c r="A1405" t="s">
        <v>702</v>
      </c>
      <c r="B1405" t="s">
        <v>896</v>
      </c>
      <c r="C1405" t="s">
        <v>897</v>
      </c>
      <c r="D1405" s="1" t="s">
        <v>898</v>
      </c>
      <c r="E1405" t="s">
        <v>14</v>
      </c>
      <c r="F1405">
        <v>47.249400000000001</v>
      </c>
      <c r="G1405">
        <v>9.3436000000000003</v>
      </c>
      <c r="H1405">
        <v>1</v>
      </c>
      <c r="I1405">
        <v>2494.1999999999998</v>
      </c>
      <c r="J1405" t="str">
        <f>HYPERLINK("https://climate.onebuilding.org/WMO_Region_6_Europe/CHE_Switzerland/AI_Appenzell_Inner_Rhodes/CHE_AI_Santis.066800_TMYx.2009-2023.zip")</f>
        <v>https://climate.onebuilding.org/WMO_Region_6_Europe/CHE_Switzerland/AI_Appenzell_Inner_Rhodes/CHE_AI_Santis.066800_TMYx.2009-2023.zip</v>
      </c>
    </row>
    <row r="1406" spans="1:10" x14ac:dyDescent="0.25">
      <c r="A1406" t="s">
        <v>702</v>
      </c>
      <c r="B1406" t="s">
        <v>896</v>
      </c>
      <c r="C1406" t="s">
        <v>897</v>
      </c>
      <c r="D1406" s="1" t="s">
        <v>898</v>
      </c>
      <c r="E1406" t="s">
        <v>14</v>
      </c>
      <c r="F1406">
        <v>47.249400000000001</v>
      </c>
      <c r="G1406">
        <v>9.3436000000000003</v>
      </c>
      <c r="H1406">
        <v>1</v>
      </c>
      <c r="I1406">
        <v>2494.1999999999998</v>
      </c>
      <c r="J1406" t="str">
        <f>HYPERLINK("https://climate.onebuilding.org/WMO_Region_6_Europe/CHE_Switzerland/AI_Appenzell_Inner_Rhodes/CHE_AI_Santis.066800_TMYx.zip")</f>
        <v>https://climate.onebuilding.org/WMO_Region_6_Europe/CHE_Switzerland/AI_Appenzell_Inner_Rhodes/CHE_AI_Santis.066800_TMYx.zip</v>
      </c>
    </row>
    <row r="1407" spans="1:10" x14ac:dyDescent="0.25">
      <c r="A1407" t="s">
        <v>702</v>
      </c>
      <c r="B1407" t="s">
        <v>793</v>
      </c>
      <c r="C1407" t="s">
        <v>900</v>
      </c>
      <c r="D1407" s="1" t="s">
        <v>901</v>
      </c>
      <c r="E1407" t="s">
        <v>902</v>
      </c>
      <c r="F1407">
        <v>47.425600000000003</v>
      </c>
      <c r="G1407">
        <v>9.3986000000000001</v>
      </c>
      <c r="H1407">
        <v>1</v>
      </c>
      <c r="I1407">
        <v>777.8</v>
      </c>
      <c r="J1407" t="str">
        <f>HYPERLINK("https://climate.onebuilding.org/WMO_Region_6_Europe/CHE_Switzerland/SG_Sankt_Gallen/CHE_SG_St.Gallen.066810_TMYx.2004-2018.zip")</f>
        <v>https://climate.onebuilding.org/WMO_Region_6_Europe/CHE_Switzerland/SG_Sankt_Gallen/CHE_SG_St.Gallen.066810_TMYx.2004-2018.zip</v>
      </c>
    </row>
    <row r="1408" spans="1:10" x14ac:dyDescent="0.25">
      <c r="A1408" t="s">
        <v>702</v>
      </c>
      <c r="B1408" t="s">
        <v>793</v>
      </c>
      <c r="C1408" t="s">
        <v>900</v>
      </c>
      <c r="D1408" s="1" t="s">
        <v>901</v>
      </c>
      <c r="E1408" t="s">
        <v>14</v>
      </c>
      <c r="F1408">
        <v>47.425600000000003</v>
      </c>
      <c r="G1408">
        <v>9.3986000000000001</v>
      </c>
      <c r="H1408">
        <v>1</v>
      </c>
      <c r="I1408">
        <v>777.8</v>
      </c>
      <c r="J1408" t="str">
        <f>HYPERLINK("https://climate.onebuilding.org/WMO_Region_6_Europe/CHE_Switzerland/SG_Sankt_Gallen/CHE_SG_St.Gallen.066810_TMYx.2007-2021.zip")</f>
        <v>https://climate.onebuilding.org/WMO_Region_6_Europe/CHE_Switzerland/SG_Sankt_Gallen/CHE_SG_St.Gallen.066810_TMYx.2007-2021.zip</v>
      </c>
    </row>
    <row r="1409" spans="1:10" x14ac:dyDescent="0.25">
      <c r="A1409" t="s">
        <v>702</v>
      </c>
      <c r="B1409" t="s">
        <v>793</v>
      </c>
      <c r="C1409" t="s">
        <v>900</v>
      </c>
      <c r="D1409" s="1" t="s">
        <v>901</v>
      </c>
      <c r="E1409" t="s">
        <v>14</v>
      </c>
      <c r="F1409">
        <v>47.425600000000003</v>
      </c>
      <c r="G1409">
        <v>9.3986000000000001</v>
      </c>
      <c r="H1409">
        <v>1</v>
      </c>
      <c r="I1409">
        <v>777.8</v>
      </c>
      <c r="J1409" t="str">
        <f>HYPERLINK("https://climate.onebuilding.org/WMO_Region_6_Europe/CHE_Switzerland/SG_Sankt_Gallen/CHE_SG_St.Gallen.066810_TMYx.2009-2023.zip")</f>
        <v>https://climate.onebuilding.org/WMO_Region_6_Europe/CHE_Switzerland/SG_Sankt_Gallen/CHE_SG_St.Gallen.066810_TMYx.2009-2023.zip</v>
      </c>
    </row>
    <row r="1410" spans="1:10" x14ac:dyDescent="0.25">
      <c r="A1410" t="s">
        <v>702</v>
      </c>
      <c r="B1410" t="s">
        <v>793</v>
      </c>
      <c r="C1410" t="s">
        <v>900</v>
      </c>
      <c r="D1410" s="1" t="s">
        <v>901</v>
      </c>
      <c r="E1410" t="s">
        <v>14</v>
      </c>
      <c r="F1410">
        <v>47.425600000000003</v>
      </c>
      <c r="G1410">
        <v>9.3986000000000001</v>
      </c>
      <c r="H1410">
        <v>1</v>
      </c>
      <c r="I1410">
        <v>777.8</v>
      </c>
      <c r="J1410" t="str">
        <f>HYPERLINK("https://climate.onebuilding.org/WMO_Region_6_Europe/CHE_Switzerland/SG_Sankt_Gallen/CHE_SG_St.Gallen.066810_TMYx.zip")</f>
        <v>https://climate.onebuilding.org/WMO_Region_6_Europe/CHE_Switzerland/SG_Sankt_Gallen/CHE_SG_St.Gallen.066810_TMYx.zip</v>
      </c>
    </row>
    <row r="1411" spans="1:10" x14ac:dyDescent="0.25">
      <c r="A1411" t="s">
        <v>702</v>
      </c>
      <c r="B1411" t="s">
        <v>903</v>
      </c>
      <c r="C1411" t="s">
        <v>904</v>
      </c>
      <c r="D1411" s="1" t="s">
        <v>905</v>
      </c>
      <c r="E1411" t="s">
        <v>906</v>
      </c>
      <c r="F1411">
        <v>46.923900000000003</v>
      </c>
      <c r="G1411">
        <v>9.1753</v>
      </c>
      <c r="H1411">
        <v>1</v>
      </c>
      <c r="I1411">
        <v>960</v>
      </c>
      <c r="J1411" t="str">
        <f>HYPERLINK("https://climate.onebuilding.org/WMO_Region_6_Europe/CHE_Switzerland/GL_Glarus/CHE_GL_Elm.066820_TMYx.2004-2018.zip")</f>
        <v>https://climate.onebuilding.org/WMO_Region_6_Europe/CHE_Switzerland/GL_Glarus/CHE_GL_Elm.066820_TMYx.2004-2018.zip</v>
      </c>
    </row>
    <row r="1412" spans="1:10" x14ac:dyDescent="0.25">
      <c r="A1412" t="s">
        <v>702</v>
      </c>
      <c r="B1412" t="s">
        <v>903</v>
      </c>
      <c r="C1412" t="s">
        <v>904</v>
      </c>
      <c r="D1412" s="1" t="s">
        <v>905</v>
      </c>
      <c r="E1412" t="s">
        <v>14</v>
      </c>
      <c r="F1412">
        <v>46.923900000000003</v>
      </c>
      <c r="G1412">
        <v>9.1753</v>
      </c>
      <c r="H1412">
        <v>1</v>
      </c>
      <c r="I1412">
        <v>960</v>
      </c>
      <c r="J1412" t="str">
        <f>HYPERLINK("https://climate.onebuilding.org/WMO_Region_6_Europe/CHE_Switzerland/GL_Glarus/CHE_GL_Elm.066820_TMYx.2007-2021.zip")</f>
        <v>https://climate.onebuilding.org/WMO_Region_6_Europe/CHE_Switzerland/GL_Glarus/CHE_GL_Elm.066820_TMYx.2007-2021.zip</v>
      </c>
    </row>
    <row r="1413" spans="1:10" x14ac:dyDescent="0.25">
      <c r="A1413" t="s">
        <v>702</v>
      </c>
      <c r="B1413" t="s">
        <v>903</v>
      </c>
      <c r="C1413" t="s">
        <v>904</v>
      </c>
      <c r="D1413" s="1" t="s">
        <v>905</v>
      </c>
      <c r="E1413" t="s">
        <v>14</v>
      </c>
      <c r="F1413">
        <v>46.923900000000003</v>
      </c>
      <c r="G1413">
        <v>9.1753</v>
      </c>
      <c r="H1413">
        <v>1</v>
      </c>
      <c r="I1413">
        <v>960</v>
      </c>
      <c r="J1413" t="str">
        <f>HYPERLINK("https://climate.onebuilding.org/WMO_Region_6_Europe/CHE_Switzerland/GL_Glarus/CHE_GL_Elm.066820_TMYx.2009-2023.zip")</f>
        <v>https://climate.onebuilding.org/WMO_Region_6_Europe/CHE_Switzerland/GL_Glarus/CHE_GL_Elm.066820_TMYx.2009-2023.zip</v>
      </c>
    </row>
    <row r="1414" spans="1:10" x14ac:dyDescent="0.25">
      <c r="A1414" t="s">
        <v>702</v>
      </c>
      <c r="B1414" t="s">
        <v>903</v>
      </c>
      <c r="C1414" t="s">
        <v>904</v>
      </c>
      <c r="D1414" s="1" t="s">
        <v>905</v>
      </c>
      <c r="E1414" t="s">
        <v>14</v>
      </c>
      <c r="F1414">
        <v>46.923900000000003</v>
      </c>
      <c r="G1414">
        <v>9.1753</v>
      </c>
      <c r="H1414">
        <v>1</v>
      </c>
      <c r="I1414">
        <v>960</v>
      </c>
      <c r="J1414" t="str">
        <f>HYPERLINK("https://climate.onebuilding.org/WMO_Region_6_Europe/CHE_Switzerland/GL_Glarus/CHE_GL_Elm.066820_TMYx.zip")</f>
        <v>https://climate.onebuilding.org/WMO_Region_6_Europe/CHE_Switzerland/GL_Glarus/CHE_GL_Elm.066820_TMYx.zip</v>
      </c>
    </row>
    <row r="1415" spans="1:10" x14ac:dyDescent="0.25">
      <c r="A1415" t="s">
        <v>702</v>
      </c>
      <c r="B1415" t="s">
        <v>793</v>
      </c>
      <c r="C1415" t="s">
        <v>907</v>
      </c>
      <c r="D1415" s="1" t="s">
        <v>908</v>
      </c>
      <c r="E1415" t="s">
        <v>78</v>
      </c>
      <c r="F1415">
        <v>47.224699999999999</v>
      </c>
      <c r="G1415">
        <v>8.9403000000000006</v>
      </c>
      <c r="H1415">
        <v>1</v>
      </c>
      <c r="I1415">
        <v>409.4</v>
      </c>
      <c r="J1415" t="str">
        <f>HYPERLINK("https://climate.onebuilding.org/WMO_Region_6_Europe/CHE_Switzerland/SG_Sankt_Gallen/CHE_SG_Schmerikon.066830_TMYx.2007-2021.zip")</f>
        <v>https://climate.onebuilding.org/WMO_Region_6_Europe/CHE_Switzerland/SG_Sankt_Gallen/CHE_SG_Schmerikon.066830_TMYx.2007-2021.zip</v>
      </c>
    </row>
    <row r="1416" spans="1:10" x14ac:dyDescent="0.25">
      <c r="A1416" t="s">
        <v>702</v>
      </c>
      <c r="B1416" t="s">
        <v>793</v>
      </c>
      <c r="C1416" t="s">
        <v>907</v>
      </c>
      <c r="D1416" s="1" t="s">
        <v>908</v>
      </c>
      <c r="E1416" t="s">
        <v>78</v>
      </c>
      <c r="F1416">
        <v>47.224699999999999</v>
      </c>
      <c r="G1416">
        <v>8.9403000000000006</v>
      </c>
      <c r="H1416">
        <v>1</v>
      </c>
      <c r="I1416">
        <v>409.4</v>
      </c>
      <c r="J1416" t="str">
        <f>HYPERLINK("https://climate.onebuilding.org/WMO_Region_6_Europe/CHE_Switzerland/SG_Sankt_Gallen/CHE_SG_Schmerikon.066830_TMYx.2009-2023.zip")</f>
        <v>https://climate.onebuilding.org/WMO_Region_6_Europe/CHE_Switzerland/SG_Sankt_Gallen/CHE_SG_Schmerikon.066830_TMYx.2009-2023.zip</v>
      </c>
    </row>
    <row r="1417" spans="1:10" x14ac:dyDescent="0.25">
      <c r="A1417" t="s">
        <v>702</v>
      </c>
      <c r="B1417" t="s">
        <v>793</v>
      </c>
      <c r="C1417" t="s">
        <v>907</v>
      </c>
      <c r="D1417" s="1" t="s">
        <v>908</v>
      </c>
      <c r="E1417" t="s">
        <v>78</v>
      </c>
      <c r="F1417">
        <v>47.224699999999999</v>
      </c>
      <c r="G1417">
        <v>8.9403000000000006</v>
      </c>
      <c r="H1417">
        <v>1</v>
      </c>
      <c r="I1417">
        <v>409.4</v>
      </c>
      <c r="J1417" t="str">
        <f>HYPERLINK("https://climate.onebuilding.org/WMO_Region_6_Europe/CHE_Switzerland/SG_Sankt_Gallen/CHE_SG_Schmerikon.066830_TMYx.zip")</f>
        <v>https://climate.onebuilding.org/WMO_Region_6_Europe/CHE_Switzerland/SG_Sankt_Gallen/CHE_SG_Schmerikon.066830_TMYx.zip</v>
      </c>
    </row>
    <row r="1418" spans="1:10" x14ac:dyDescent="0.25">
      <c r="A1418" t="s">
        <v>702</v>
      </c>
      <c r="B1418" t="s">
        <v>903</v>
      </c>
      <c r="C1418" t="s">
        <v>909</v>
      </c>
      <c r="D1418" s="1" t="s">
        <v>910</v>
      </c>
      <c r="E1418" t="s">
        <v>911</v>
      </c>
      <c r="F1418">
        <v>47.034700000000001</v>
      </c>
      <c r="G1418">
        <v>9.0669000000000004</v>
      </c>
      <c r="H1418">
        <v>1</v>
      </c>
      <c r="I1418">
        <v>517.5</v>
      </c>
      <c r="J1418" t="str">
        <f>HYPERLINK("https://climate.onebuilding.org/WMO_Region_6_Europe/CHE_Switzerland/GL_Glarus/CHE_GL_Glarus.066850_TMYx.2004-2018.zip")</f>
        <v>https://climate.onebuilding.org/WMO_Region_6_Europe/CHE_Switzerland/GL_Glarus/CHE_GL_Glarus.066850_TMYx.2004-2018.zip</v>
      </c>
    </row>
    <row r="1419" spans="1:10" x14ac:dyDescent="0.25">
      <c r="A1419" t="s">
        <v>702</v>
      </c>
      <c r="B1419" t="s">
        <v>903</v>
      </c>
      <c r="C1419" t="s">
        <v>909</v>
      </c>
      <c r="D1419" s="1" t="s">
        <v>910</v>
      </c>
      <c r="E1419" t="s">
        <v>14</v>
      </c>
      <c r="F1419">
        <v>47.034700000000001</v>
      </c>
      <c r="G1419">
        <v>9.0669000000000004</v>
      </c>
      <c r="H1419">
        <v>1</v>
      </c>
      <c r="I1419">
        <v>517.5</v>
      </c>
      <c r="J1419" t="str">
        <f>HYPERLINK("https://climate.onebuilding.org/WMO_Region_6_Europe/CHE_Switzerland/GL_Glarus/CHE_GL_Glarus.066850_TMYx.2007-2021.zip")</f>
        <v>https://climate.onebuilding.org/WMO_Region_6_Europe/CHE_Switzerland/GL_Glarus/CHE_GL_Glarus.066850_TMYx.2007-2021.zip</v>
      </c>
    </row>
    <row r="1420" spans="1:10" x14ac:dyDescent="0.25">
      <c r="A1420" t="s">
        <v>702</v>
      </c>
      <c r="B1420" t="s">
        <v>903</v>
      </c>
      <c r="C1420" t="s">
        <v>909</v>
      </c>
      <c r="D1420" s="1" t="s">
        <v>910</v>
      </c>
      <c r="E1420" t="s">
        <v>14</v>
      </c>
      <c r="F1420">
        <v>47.034700000000001</v>
      </c>
      <c r="G1420">
        <v>9.0669000000000004</v>
      </c>
      <c r="H1420">
        <v>1</v>
      </c>
      <c r="I1420">
        <v>517.5</v>
      </c>
      <c r="J1420" t="str">
        <f>HYPERLINK("https://climate.onebuilding.org/WMO_Region_6_Europe/CHE_Switzerland/GL_Glarus/CHE_GL_Glarus.066850_TMYx.2009-2023.zip")</f>
        <v>https://climate.onebuilding.org/WMO_Region_6_Europe/CHE_Switzerland/GL_Glarus/CHE_GL_Glarus.066850_TMYx.2009-2023.zip</v>
      </c>
    </row>
    <row r="1421" spans="1:10" x14ac:dyDescent="0.25">
      <c r="A1421" t="s">
        <v>702</v>
      </c>
      <c r="B1421" t="s">
        <v>903</v>
      </c>
      <c r="C1421" t="s">
        <v>909</v>
      </c>
      <c r="D1421" s="1" t="s">
        <v>910</v>
      </c>
      <c r="E1421" t="s">
        <v>14</v>
      </c>
      <c r="F1421">
        <v>47.034700000000001</v>
      </c>
      <c r="G1421">
        <v>9.0669000000000004</v>
      </c>
      <c r="H1421">
        <v>1</v>
      </c>
      <c r="I1421">
        <v>517.5</v>
      </c>
      <c r="J1421" t="str">
        <f>HYPERLINK("https://climate.onebuilding.org/WMO_Region_6_Europe/CHE_Switzerland/GL_Glarus/CHE_GL_Glarus.066850_TMYx.zip")</f>
        <v>https://climate.onebuilding.org/WMO_Region_6_Europe/CHE_Switzerland/GL_Glarus/CHE_GL_Glarus.066850_TMYx.zip</v>
      </c>
    </row>
    <row r="1422" spans="1:10" x14ac:dyDescent="0.25">
      <c r="A1422" t="s">
        <v>702</v>
      </c>
      <c r="B1422" t="s">
        <v>793</v>
      </c>
      <c r="C1422" t="s">
        <v>912</v>
      </c>
      <c r="D1422" s="1" t="s">
        <v>913</v>
      </c>
      <c r="E1422" t="s">
        <v>914</v>
      </c>
      <c r="F1422">
        <v>47.0167</v>
      </c>
      <c r="G1422">
        <v>9.5024999999999995</v>
      </c>
      <c r="H1422">
        <v>1</v>
      </c>
      <c r="I1422">
        <v>497.5</v>
      </c>
      <c r="J1422" t="str">
        <f>HYPERLINK("https://climate.onebuilding.org/WMO_Region_6_Europe/CHE_Switzerland/SG_Sankt_Gallen/CHE_SG_Bad.Ragaz.066860_TMYx.2004-2018.zip")</f>
        <v>https://climate.onebuilding.org/WMO_Region_6_Europe/CHE_Switzerland/SG_Sankt_Gallen/CHE_SG_Bad.Ragaz.066860_TMYx.2004-2018.zip</v>
      </c>
    </row>
    <row r="1423" spans="1:10" x14ac:dyDescent="0.25">
      <c r="A1423" t="s">
        <v>702</v>
      </c>
      <c r="B1423" t="s">
        <v>793</v>
      </c>
      <c r="C1423" t="s">
        <v>912</v>
      </c>
      <c r="D1423" s="1" t="s">
        <v>913</v>
      </c>
      <c r="E1423" t="s">
        <v>14</v>
      </c>
      <c r="F1423">
        <v>47.0167</v>
      </c>
      <c r="G1423">
        <v>9.5024999999999995</v>
      </c>
      <c r="H1423">
        <v>1</v>
      </c>
      <c r="I1423">
        <v>497.5</v>
      </c>
      <c r="J1423" t="str">
        <f>HYPERLINK("https://climate.onebuilding.org/WMO_Region_6_Europe/CHE_Switzerland/SG_Sankt_Gallen/CHE_SG_Bad.Ragaz.066860_TMYx.2007-2021.zip")</f>
        <v>https://climate.onebuilding.org/WMO_Region_6_Europe/CHE_Switzerland/SG_Sankt_Gallen/CHE_SG_Bad.Ragaz.066860_TMYx.2007-2021.zip</v>
      </c>
    </row>
    <row r="1424" spans="1:10" x14ac:dyDescent="0.25">
      <c r="A1424" t="s">
        <v>702</v>
      </c>
      <c r="B1424" t="s">
        <v>793</v>
      </c>
      <c r="C1424" t="s">
        <v>912</v>
      </c>
      <c r="D1424" s="1" t="s">
        <v>913</v>
      </c>
      <c r="E1424" t="s">
        <v>14</v>
      </c>
      <c r="F1424">
        <v>47.0167</v>
      </c>
      <c r="G1424">
        <v>9.5024999999999995</v>
      </c>
      <c r="H1424">
        <v>1</v>
      </c>
      <c r="I1424">
        <v>497.5</v>
      </c>
      <c r="J1424" t="str">
        <f>HYPERLINK("https://climate.onebuilding.org/WMO_Region_6_Europe/CHE_Switzerland/SG_Sankt_Gallen/CHE_SG_Bad.Ragaz.066860_TMYx.2009-2023.zip")</f>
        <v>https://climate.onebuilding.org/WMO_Region_6_Europe/CHE_Switzerland/SG_Sankt_Gallen/CHE_SG_Bad.Ragaz.066860_TMYx.2009-2023.zip</v>
      </c>
    </row>
    <row r="1425" spans="1:10" x14ac:dyDescent="0.25">
      <c r="A1425" t="s">
        <v>702</v>
      </c>
      <c r="B1425" t="s">
        <v>793</v>
      </c>
      <c r="C1425" t="s">
        <v>912</v>
      </c>
      <c r="D1425" s="1" t="s">
        <v>913</v>
      </c>
      <c r="E1425" t="s">
        <v>14</v>
      </c>
      <c r="F1425">
        <v>47.0167</v>
      </c>
      <c r="G1425">
        <v>9.5024999999999995</v>
      </c>
      <c r="H1425">
        <v>1</v>
      </c>
      <c r="I1425">
        <v>497.5</v>
      </c>
      <c r="J1425" t="str">
        <f>HYPERLINK("https://climate.onebuilding.org/WMO_Region_6_Europe/CHE_Switzerland/SG_Sankt_Gallen/CHE_SG_Bad.Ragaz.066860_TMYx.zip")</f>
        <v>https://climate.onebuilding.org/WMO_Region_6_Europe/CHE_Switzerland/SG_Sankt_Gallen/CHE_SG_Bad.Ragaz.066860_TMYx.zip</v>
      </c>
    </row>
    <row r="1426" spans="1:10" x14ac:dyDescent="0.25">
      <c r="A1426" t="s">
        <v>702</v>
      </c>
      <c r="B1426" t="s">
        <v>793</v>
      </c>
      <c r="C1426" t="s">
        <v>915</v>
      </c>
      <c r="D1426" s="1" t="s">
        <v>916</v>
      </c>
      <c r="E1426" t="s">
        <v>78</v>
      </c>
      <c r="F1426">
        <v>47.128950000000003</v>
      </c>
      <c r="G1426">
        <v>9.2160100000000007</v>
      </c>
      <c r="H1426">
        <v>1</v>
      </c>
      <c r="I1426">
        <v>426</v>
      </c>
      <c r="J1426" t="str">
        <f>HYPERLINK("https://climate.onebuilding.org/WMO_Region_6_Europe/CHE_Switzerland/SG_Sankt_Gallen/CHE_SG_Quinten.066870_TMYx.2007-2021.zip")</f>
        <v>https://climate.onebuilding.org/WMO_Region_6_Europe/CHE_Switzerland/SG_Sankt_Gallen/CHE_SG_Quinten.066870_TMYx.2007-2021.zip</v>
      </c>
    </row>
    <row r="1427" spans="1:10" x14ac:dyDescent="0.25">
      <c r="A1427" t="s">
        <v>702</v>
      </c>
      <c r="B1427" t="s">
        <v>793</v>
      </c>
      <c r="C1427" t="s">
        <v>915</v>
      </c>
      <c r="D1427" s="1" t="s">
        <v>916</v>
      </c>
      <c r="E1427" t="s">
        <v>78</v>
      </c>
      <c r="F1427">
        <v>47.128950000000003</v>
      </c>
      <c r="G1427">
        <v>9.2160100000000007</v>
      </c>
      <c r="H1427">
        <v>1</v>
      </c>
      <c r="I1427">
        <v>426</v>
      </c>
      <c r="J1427" t="str">
        <f>HYPERLINK("https://climate.onebuilding.org/WMO_Region_6_Europe/CHE_Switzerland/SG_Sankt_Gallen/CHE_SG_Quinten.066870_TMYx.2009-2023.zip")</f>
        <v>https://climate.onebuilding.org/WMO_Region_6_Europe/CHE_Switzerland/SG_Sankt_Gallen/CHE_SG_Quinten.066870_TMYx.2009-2023.zip</v>
      </c>
    </row>
    <row r="1428" spans="1:10" x14ac:dyDescent="0.25">
      <c r="A1428" t="s">
        <v>702</v>
      </c>
      <c r="B1428" t="s">
        <v>793</v>
      </c>
      <c r="C1428" t="s">
        <v>915</v>
      </c>
      <c r="D1428" s="1" t="s">
        <v>916</v>
      </c>
      <c r="E1428" t="s">
        <v>78</v>
      </c>
      <c r="F1428">
        <v>47.128950000000003</v>
      </c>
      <c r="G1428">
        <v>9.2160100000000007</v>
      </c>
      <c r="H1428">
        <v>1</v>
      </c>
      <c r="I1428">
        <v>426</v>
      </c>
      <c r="J1428" t="str">
        <f>HYPERLINK("https://climate.onebuilding.org/WMO_Region_6_Europe/CHE_Switzerland/SG_Sankt_Gallen/CHE_SG_Quinten.066870_TMYx.zip")</f>
        <v>https://climate.onebuilding.org/WMO_Region_6_Europe/CHE_Switzerland/SG_Sankt_Gallen/CHE_SG_Quinten.066870_TMYx.zip</v>
      </c>
    </row>
    <row r="1429" spans="1:10" x14ac:dyDescent="0.25">
      <c r="A1429" t="s">
        <v>702</v>
      </c>
      <c r="B1429" t="s">
        <v>903</v>
      </c>
      <c r="C1429" t="s">
        <v>917</v>
      </c>
      <c r="D1429" s="1" t="s">
        <v>918</v>
      </c>
      <c r="E1429" t="s">
        <v>919</v>
      </c>
      <c r="F1429">
        <v>46.842199999999998</v>
      </c>
      <c r="G1429">
        <v>9.18</v>
      </c>
      <c r="H1429">
        <v>1</v>
      </c>
      <c r="I1429">
        <v>2480</v>
      </c>
      <c r="J1429" t="str">
        <f>HYPERLINK("https://climate.onebuilding.org/WMO_Region_6_Europe/CHE_Switzerland/GL_Glarus/CHE_GL_Crap.Masegn.066880_TMYx.2004-2018.zip")</f>
        <v>https://climate.onebuilding.org/WMO_Region_6_Europe/CHE_Switzerland/GL_Glarus/CHE_GL_Crap.Masegn.066880_TMYx.2004-2018.zip</v>
      </c>
    </row>
    <row r="1430" spans="1:10" x14ac:dyDescent="0.25">
      <c r="A1430" t="s">
        <v>702</v>
      </c>
      <c r="B1430" t="s">
        <v>903</v>
      </c>
      <c r="C1430" t="s">
        <v>917</v>
      </c>
      <c r="D1430" s="1" t="s">
        <v>918</v>
      </c>
      <c r="E1430" t="s">
        <v>14</v>
      </c>
      <c r="F1430">
        <v>46.842199999999998</v>
      </c>
      <c r="G1430">
        <v>9.18</v>
      </c>
      <c r="H1430">
        <v>1</v>
      </c>
      <c r="I1430">
        <v>2480</v>
      </c>
      <c r="J1430" t="str">
        <f>HYPERLINK("https://climate.onebuilding.org/WMO_Region_6_Europe/CHE_Switzerland/GL_Glarus/CHE_GL_Crap.Masegn.066880_TMYx.2007-2021.zip")</f>
        <v>https://climate.onebuilding.org/WMO_Region_6_Europe/CHE_Switzerland/GL_Glarus/CHE_GL_Crap.Masegn.066880_TMYx.2007-2021.zip</v>
      </c>
    </row>
    <row r="1431" spans="1:10" x14ac:dyDescent="0.25">
      <c r="A1431" t="s">
        <v>702</v>
      </c>
      <c r="B1431" t="s">
        <v>903</v>
      </c>
      <c r="C1431" t="s">
        <v>917</v>
      </c>
      <c r="D1431" s="1" t="s">
        <v>918</v>
      </c>
      <c r="E1431" t="s">
        <v>14</v>
      </c>
      <c r="F1431">
        <v>46.842199999999998</v>
      </c>
      <c r="G1431">
        <v>9.18</v>
      </c>
      <c r="H1431">
        <v>1</v>
      </c>
      <c r="I1431">
        <v>2480</v>
      </c>
      <c r="J1431" t="str">
        <f>HYPERLINK("https://climate.onebuilding.org/WMO_Region_6_Europe/CHE_Switzerland/GL_Glarus/CHE_GL_Crap.Masegn.066880_TMYx.2009-2023.zip")</f>
        <v>https://climate.onebuilding.org/WMO_Region_6_Europe/CHE_Switzerland/GL_Glarus/CHE_GL_Crap.Masegn.066880_TMYx.2009-2023.zip</v>
      </c>
    </row>
    <row r="1432" spans="1:10" x14ac:dyDescent="0.25">
      <c r="A1432" t="s">
        <v>702</v>
      </c>
      <c r="B1432" t="s">
        <v>903</v>
      </c>
      <c r="C1432" t="s">
        <v>917</v>
      </c>
      <c r="D1432" s="1" t="s">
        <v>918</v>
      </c>
      <c r="E1432" t="s">
        <v>14</v>
      </c>
      <c r="F1432">
        <v>46.842199999999998</v>
      </c>
      <c r="G1432">
        <v>9.18</v>
      </c>
      <c r="H1432">
        <v>1</v>
      </c>
      <c r="I1432">
        <v>2480</v>
      </c>
      <c r="J1432" t="str">
        <f>HYPERLINK("https://climate.onebuilding.org/WMO_Region_6_Europe/CHE_Switzerland/GL_Glarus/CHE_GL_Crap.Masegn.066880_TMYx.zip")</f>
        <v>https://climate.onebuilding.org/WMO_Region_6_Europe/CHE_Switzerland/GL_Glarus/CHE_GL_Crap.Masegn.066880_TMYx.zip</v>
      </c>
    </row>
    <row r="1433" spans="1:10" x14ac:dyDescent="0.25">
      <c r="A1433" t="s">
        <v>702</v>
      </c>
      <c r="B1433" t="s">
        <v>730</v>
      </c>
      <c r="C1433" t="s">
        <v>920</v>
      </c>
      <c r="D1433" s="1" t="s">
        <v>921</v>
      </c>
      <c r="E1433" t="s">
        <v>922</v>
      </c>
      <c r="F1433">
        <v>47.370800000000003</v>
      </c>
      <c r="G1433">
        <v>8.9417000000000009</v>
      </c>
      <c r="H1433">
        <v>1</v>
      </c>
      <c r="I1433">
        <v>1134.0999999999999</v>
      </c>
      <c r="J1433" t="str">
        <f>HYPERLINK("https://climate.onebuilding.org/WMO_Region_6_Europe/CHE_Switzerland/ZH_Zurich/CHE_ZH_Hornli.066890_TMYx.2004-2018.zip")</f>
        <v>https://climate.onebuilding.org/WMO_Region_6_Europe/CHE_Switzerland/ZH_Zurich/CHE_ZH_Hornli.066890_TMYx.2004-2018.zip</v>
      </c>
    </row>
    <row r="1434" spans="1:10" x14ac:dyDescent="0.25">
      <c r="A1434" t="s">
        <v>702</v>
      </c>
      <c r="B1434" t="s">
        <v>730</v>
      </c>
      <c r="C1434" t="s">
        <v>920</v>
      </c>
      <c r="D1434" s="1" t="s">
        <v>921</v>
      </c>
      <c r="E1434" t="s">
        <v>14</v>
      </c>
      <c r="F1434">
        <v>47.370800000000003</v>
      </c>
      <c r="G1434">
        <v>8.9417000000000009</v>
      </c>
      <c r="H1434">
        <v>1</v>
      </c>
      <c r="I1434">
        <v>1134.0999999999999</v>
      </c>
      <c r="J1434" t="str">
        <f>HYPERLINK("https://climate.onebuilding.org/WMO_Region_6_Europe/CHE_Switzerland/ZH_Zurich/CHE_ZH_Hornli.066890_TMYx.2007-2021.zip")</f>
        <v>https://climate.onebuilding.org/WMO_Region_6_Europe/CHE_Switzerland/ZH_Zurich/CHE_ZH_Hornli.066890_TMYx.2007-2021.zip</v>
      </c>
    </row>
    <row r="1435" spans="1:10" x14ac:dyDescent="0.25">
      <c r="A1435" t="s">
        <v>702</v>
      </c>
      <c r="B1435" t="s">
        <v>730</v>
      </c>
      <c r="C1435" t="s">
        <v>920</v>
      </c>
      <c r="D1435" s="1" t="s">
        <v>921</v>
      </c>
      <c r="E1435" t="s">
        <v>14</v>
      </c>
      <c r="F1435">
        <v>47.370800000000003</v>
      </c>
      <c r="G1435">
        <v>8.9417000000000009</v>
      </c>
      <c r="H1435">
        <v>1</v>
      </c>
      <c r="I1435">
        <v>1134.0999999999999</v>
      </c>
      <c r="J1435" t="str">
        <f>HYPERLINK("https://climate.onebuilding.org/WMO_Region_6_Europe/CHE_Switzerland/ZH_Zurich/CHE_ZH_Hornli.066890_TMYx.2009-2023.zip")</f>
        <v>https://climate.onebuilding.org/WMO_Region_6_Europe/CHE_Switzerland/ZH_Zurich/CHE_ZH_Hornli.066890_TMYx.2009-2023.zip</v>
      </c>
    </row>
    <row r="1436" spans="1:10" x14ac:dyDescent="0.25">
      <c r="A1436" t="s">
        <v>702</v>
      </c>
      <c r="B1436" t="s">
        <v>730</v>
      </c>
      <c r="C1436" t="s">
        <v>920</v>
      </c>
      <c r="D1436" s="1" t="s">
        <v>921</v>
      </c>
      <c r="E1436" t="s">
        <v>14</v>
      </c>
      <c r="F1436">
        <v>47.370800000000003</v>
      </c>
      <c r="G1436">
        <v>8.9417000000000009</v>
      </c>
      <c r="H1436">
        <v>1</v>
      </c>
      <c r="I1436">
        <v>1134.0999999999999</v>
      </c>
      <c r="J1436" t="str">
        <f>HYPERLINK("https://climate.onebuilding.org/WMO_Region_6_Europe/CHE_Switzerland/ZH_Zurich/CHE_ZH_Hornli.066890_TMYx.zip")</f>
        <v>https://climate.onebuilding.org/WMO_Region_6_Europe/CHE_Switzerland/ZH_Zurich/CHE_ZH_Hornli.066890_TMYx.zip</v>
      </c>
    </row>
    <row r="1437" spans="1:10" x14ac:dyDescent="0.25">
      <c r="A1437" t="s">
        <v>702</v>
      </c>
      <c r="B1437" t="s">
        <v>793</v>
      </c>
      <c r="C1437" t="s">
        <v>923</v>
      </c>
      <c r="D1437" s="1" t="s">
        <v>924</v>
      </c>
      <c r="E1437" t="s">
        <v>925</v>
      </c>
      <c r="F1437">
        <v>47.483600000000003</v>
      </c>
      <c r="G1437">
        <v>9.5667000000000009</v>
      </c>
      <c r="H1437">
        <v>1</v>
      </c>
      <c r="I1437">
        <v>398.4</v>
      </c>
      <c r="J1437" t="str">
        <f>HYPERLINK("https://climate.onebuilding.org/WMO_Region_6_Europe/CHE_Switzerland/SG_Sankt_Gallen/CHE_SG_St.Gallen-Altenrhein.AP.066900_TMYx.2004-2018.zip")</f>
        <v>https://climate.onebuilding.org/WMO_Region_6_Europe/CHE_Switzerland/SG_Sankt_Gallen/CHE_SG_St.Gallen-Altenrhein.AP.066900_TMYx.2004-2018.zip</v>
      </c>
    </row>
    <row r="1438" spans="1:10" x14ac:dyDescent="0.25">
      <c r="A1438" t="s">
        <v>702</v>
      </c>
      <c r="B1438" t="s">
        <v>793</v>
      </c>
      <c r="C1438" t="s">
        <v>923</v>
      </c>
      <c r="D1438" s="1" t="s">
        <v>924</v>
      </c>
      <c r="E1438" t="s">
        <v>14</v>
      </c>
      <c r="F1438">
        <v>47.483600000000003</v>
      </c>
      <c r="G1438">
        <v>9.5667000000000009</v>
      </c>
      <c r="H1438">
        <v>1</v>
      </c>
      <c r="I1438">
        <v>398.4</v>
      </c>
      <c r="J1438" t="str">
        <f>HYPERLINK("https://climate.onebuilding.org/WMO_Region_6_Europe/CHE_Switzerland/SG_Sankt_Gallen/CHE_SG_St.Gallen-Altenrhein.AP.066900_TMYx.2007-2021.zip")</f>
        <v>https://climate.onebuilding.org/WMO_Region_6_Europe/CHE_Switzerland/SG_Sankt_Gallen/CHE_SG_St.Gallen-Altenrhein.AP.066900_TMYx.2007-2021.zip</v>
      </c>
    </row>
    <row r="1439" spans="1:10" x14ac:dyDescent="0.25">
      <c r="A1439" t="s">
        <v>702</v>
      </c>
      <c r="B1439" t="s">
        <v>793</v>
      </c>
      <c r="C1439" t="s">
        <v>923</v>
      </c>
      <c r="D1439" s="1" t="s">
        <v>924</v>
      </c>
      <c r="E1439" t="s">
        <v>14</v>
      </c>
      <c r="F1439">
        <v>47.483600000000003</v>
      </c>
      <c r="G1439">
        <v>9.5667000000000009</v>
      </c>
      <c r="H1439">
        <v>1</v>
      </c>
      <c r="I1439">
        <v>398.4</v>
      </c>
      <c r="J1439" t="str">
        <f>HYPERLINK("https://climate.onebuilding.org/WMO_Region_6_Europe/CHE_Switzerland/SG_Sankt_Gallen/CHE_SG_St.Gallen-Altenrhein.AP.066900_TMYx.2009-2023.zip")</f>
        <v>https://climate.onebuilding.org/WMO_Region_6_Europe/CHE_Switzerland/SG_Sankt_Gallen/CHE_SG_St.Gallen-Altenrhein.AP.066900_TMYx.2009-2023.zip</v>
      </c>
    </row>
    <row r="1440" spans="1:10" x14ac:dyDescent="0.25">
      <c r="A1440" t="s">
        <v>702</v>
      </c>
      <c r="B1440" t="s">
        <v>793</v>
      </c>
      <c r="C1440" t="s">
        <v>923</v>
      </c>
      <c r="D1440" s="1" t="s">
        <v>924</v>
      </c>
      <c r="E1440" t="s">
        <v>14</v>
      </c>
      <c r="F1440">
        <v>47.483600000000003</v>
      </c>
      <c r="G1440">
        <v>9.5667000000000009</v>
      </c>
      <c r="H1440">
        <v>1</v>
      </c>
      <c r="I1440">
        <v>398.4</v>
      </c>
      <c r="J1440" t="str">
        <f>HYPERLINK("https://climate.onebuilding.org/WMO_Region_6_Europe/CHE_Switzerland/SG_Sankt_Gallen/CHE_SG_St.Gallen-Altenrhein.AP.066900_TMYx.zip")</f>
        <v>https://climate.onebuilding.org/WMO_Region_6_Europe/CHE_Switzerland/SG_Sankt_Gallen/CHE_SG_St.Gallen-Altenrhein.AP.066900_TMYx.zip</v>
      </c>
    </row>
    <row r="1441" spans="1:10" x14ac:dyDescent="0.25">
      <c r="A1441" t="s">
        <v>702</v>
      </c>
      <c r="B1441" t="s">
        <v>793</v>
      </c>
      <c r="C1441" t="s">
        <v>926</v>
      </c>
      <c r="D1441" s="1" t="s">
        <v>927</v>
      </c>
      <c r="E1441" t="s">
        <v>928</v>
      </c>
      <c r="F1441">
        <v>47.273299999999999</v>
      </c>
      <c r="G1441">
        <v>9.1085999999999991</v>
      </c>
      <c r="H1441">
        <v>1</v>
      </c>
      <c r="I1441">
        <v>624.6</v>
      </c>
      <c r="J1441" t="str">
        <f>HYPERLINK("https://climate.onebuilding.org/WMO_Region_6_Europe/CHE_Switzerland/SG_Sankt_Gallen/CHE_SG_Ebnat-Kappel.066930_TMYx.2004-2018.zip")</f>
        <v>https://climate.onebuilding.org/WMO_Region_6_Europe/CHE_Switzerland/SG_Sankt_Gallen/CHE_SG_Ebnat-Kappel.066930_TMYx.2004-2018.zip</v>
      </c>
    </row>
    <row r="1442" spans="1:10" x14ac:dyDescent="0.25">
      <c r="A1442" t="s">
        <v>702</v>
      </c>
      <c r="B1442" t="s">
        <v>793</v>
      </c>
      <c r="C1442" t="s">
        <v>926</v>
      </c>
      <c r="D1442" s="1" t="s">
        <v>927</v>
      </c>
      <c r="E1442" t="s">
        <v>14</v>
      </c>
      <c r="F1442">
        <v>47.273299999999999</v>
      </c>
      <c r="G1442">
        <v>9.1085999999999991</v>
      </c>
      <c r="H1442">
        <v>1</v>
      </c>
      <c r="I1442">
        <v>624.6</v>
      </c>
      <c r="J1442" t="str">
        <f>HYPERLINK("https://climate.onebuilding.org/WMO_Region_6_Europe/CHE_Switzerland/SG_Sankt_Gallen/CHE_SG_Ebnat-Kappel.066930_TMYx.2007-2021.zip")</f>
        <v>https://climate.onebuilding.org/WMO_Region_6_Europe/CHE_Switzerland/SG_Sankt_Gallen/CHE_SG_Ebnat-Kappel.066930_TMYx.2007-2021.zip</v>
      </c>
    </row>
    <row r="1443" spans="1:10" x14ac:dyDescent="0.25">
      <c r="A1443" t="s">
        <v>702</v>
      </c>
      <c r="B1443" t="s">
        <v>793</v>
      </c>
      <c r="C1443" t="s">
        <v>926</v>
      </c>
      <c r="D1443" s="1" t="s">
        <v>927</v>
      </c>
      <c r="E1443" t="s">
        <v>14</v>
      </c>
      <c r="F1443">
        <v>47.273299999999999</v>
      </c>
      <c r="G1443">
        <v>9.1085999999999991</v>
      </c>
      <c r="H1443">
        <v>1</v>
      </c>
      <c r="I1443">
        <v>624.6</v>
      </c>
      <c r="J1443" t="str">
        <f>HYPERLINK("https://climate.onebuilding.org/WMO_Region_6_Europe/CHE_Switzerland/SG_Sankt_Gallen/CHE_SG_Ebnat-Kappel.066930_TMYx.2009-2023.zip")</f>
        <v>https://climate.onebuilding.org/WMO_Region_6_Europe/CHE_Switzerland/SG_Sankt_Gallen/CHE_SG_Ebnat-Kappel.066930_TMYx.2009-2023.zip</v>
      </c>
    </row>
    <row r="1444" spans="1:10" x14ac:dyDescent="0.25">
      <c r="A1444" t="s">
        <v>702</v>
      </c>
      <c r="B1444" t="s">
        <v>793</v>
      </c>
      <c r="C1444" t="s">
        <v>926</v>
      </c>
      <c r="D1444" s="1" t="s">
        <v>927</v>
      </c>
      <c r="E1444" t="s">
        <v>14</v>
      </c>
      <c r="F1444">
        <v>47.273299999999999</v>
      </c>
      <c r="G1444">
        <v>9.1085999999999991</v>
      </c>
      <c r="H1444">
        <v>1</v>
      </c>
      <c r="I1444">
        <v>624.6</v>
      </c>
      <c r="J1444" t="str">
        <f>HYPERLINK("https://climate.onebuilding.org/WMO_Region_6_Europe/CHE_Switzerland/SG_Sankt_Gallen/CHE_SG_Ebnat-Kappel.066930_TMYx.zip")</f>
        <v>https://climate.onebuilding.org/WMO_Region_6_Europe/CHE_Switzerland/SG_Sankt_Gallen/CHE_SG_Ebnat-Kappel.066930_TMYx.zip</v>
      </c>
    </row>
    <row r="1445" spans="1:10" x14ac:dyDescent="0.25">
      <c r="A1445" t="s">
        <v>702</v>
      </c>
      <c r="B1445" t="s">
        <v>47</v>
      </c>
      <c r="C1445" t="s">
        <v>929</v>
      </c>
      <c r="D1445" s="1" t="s">
        <v>930</v>
      </c>
      <c r="E1445" t="s">
        <v>931</v>
      </c>
      <c r="F1445">
        <v>46.630800000000001</v>
      </c>
      <c r="G1445">
        <v>8.5806000000000004</v>
      </c>
      <c r="H1445">
        <v>1</v>
      </c>
      <c r="I1445">
        <v>1438.1</v>
      </c>
      <c r="J1445" t="str">
        <f>HYPERLINK("https://climate.onebuilding.org/WMO_Region_6_Europe/CHE_Switzerland/TI_Ticino/CHE_TI_Andermatt.066950_TMYx.2004-2018.zip")</f>
        <v>https://climate.onebuilding.org/WMO_Region_6_Europe/CHE_Switzerland/TI_Ticino/CHE_TI_Andermatt.066950_TMYx.2004-2018.zip</v>
      </c>
    </row>
    <row r="1446" spans="1:10" x14ac:dyDescent="0.25">
      <c r="A1446" t="s">
        <v>702</v>
      </c>
      <c r="B1446" t="s">
        <v>47</v>
      </c>
      <c r="C1446" t="s">
        <v>929</v>
      </c>
      <c r="D1446" s="1" t="s">
        <v>930</v>
      </c>
      <c r="E1446" t="s">
        <v>14</v>
      </c>
      <c r="F1446">
        <v>46.630800000000001</v>
      </c>
      <c r="G1446">
        <v>8.5806000000000004</v>
      </c>
      <c r="H1446">
        <v>1</v>
      </c>
      <c r="I1446">
        <v>1438.1</v>
      </c>
      <c r="J1446" t="str">
        <f>HYPERLINK("https://climate.onebuilding.org/WMO_Region_6_Europe/CHE_Switzerland/TI_Ticino/CHE_TI_Andermatt.066950_TMYx.2007-2021.zip")</f>
        <v>https://climate.onebuilding.org/WMO_Region_6_Europe/CHE_Switzerland/TI_Ticino/CHE_TI_Andermatt.066950_TMYx.2007-2021.zip</v>
      </c>
    </row>
    <row r="1447" spans="1:10" x14ac:dyDescent="0.25">
      <c r="A1447" t="s">
        <v>702</v>
      </c>
      <c r="B1447" t="s">
        <v>47</v>
      </c>
      <c r="C1447" t="s">
        <v>929</v>
      </c>
      <c r="D1447" s="1" t="s">
        <v>930</v>
      </c>
      <c r="E1447" t="s">
        <v>14</v>
      </c>
      <c r="F1447">
        <v>46.630800000000001</v>
      </c>
      <c r="G1447">
        <v>8.5806000000000004</v>
      </c>
      <c r="H1447">
        <v>1</v>
      </c>
      <c r="I1447">
        <v>1438.1</v>
      </c>
      <c r="J1447" t="str">
        <f>HYPERLINK("https://climate.onebuilding.org/WMO_Region_6_Europe/CHE_Switzerland/TI_Ticino/CHE_TI_Andermatt.066950_TMYx.2009-2023.zip")</f>
        <v>https://climate.onebuilding.org/WMO_Region_6_Europe/CHE_Switzerland/TI_Ticino/CHE_TI_Andermatt.066950_TMYx.2009-2023.zip</v>
      </c>
    </row>
    <row r="1448" spans="1:10" x14ac:dyDescent="0.25">
      <c r="A1448" t="s">
        <v>702</v>
      </c>
      <c r="B1448" t="s">
        <v>47</v>
      </c>
      <c r="C1448" t="s">
        <v>929</v>
      </c>
      <c r="D1448" s="1" t="s">
        <v>930</v>
      </c>
      <c r="E1448" t="s">
        <v>14</v>
      </c>
      <c r="F1448">
        <v>46.630800000000001</v>
      </c>
      <c r="G1448">
        <v>8.5806000000000004</v>
      </c>
      <c r="H1448">
        <v>1</v>
      </c>
      <c r="I1448">
        <v>1438.1</v>
      </c>
      <c r="J1448" t="str">
        <f>HYPERLINK("https://climate.onebuilding.org/WMO_Region_6_Europe/CHE_Switzerland/TI_Ticino/CHE_TI_Andermatt.066950_TMYx.zip")</f>
        <v>https://climate.onebuilding.org/WMO_Region_6_Europe/CHE_Switzerland/TI_Ticino/CHE_TI_Andermatt.066950_TMYx.zip</v>
      </c>
    </row>
    <row r="1449" spans="1:10" x14ac:dyDescent="0.25">
      <c r="A1449" t="s">
        <v>702</v>
      </c>
      <c r="B1449" t="s">
        <v>932</v>
      </c>
      <c r="C1449" t="s">
        <v>933</v>
      </c>
      <c r="D1449" s="1" t="s">
        <v>934</v>
      </c>
      <c r="E1449" t="s">
        <v>935</v>
      </c>
      <c r="F1449">
        <v>46.238</v>
      </c>
      <c r="G1449">
        <v>6.109</v>
      </c>
      <c r="H1449">
        <v>1</v>
      </c>
      <c r="I1449">
        <v>430.1</v>
      </c>
      <c r="J1449" t="str">
        <f>HYPERLINK("https://climate.onebuilding.org/WMO_Region_6_Europe/CHE_Switzerland/GE_Geneva/CHE_GE_Geneva.Intl.AP.067000_TMYx.2004-2018.zip")</f>
        <v>https://climate.onebuilding.org/WMO_Region_6_Europe/CHE_Switzerland/GE_Geneva/CHE_GE_Geneva.Intl.AP.067000_TMYx.2004-2018.zip</v>
      </c>
    </row>
    <row r="1450" spans="1:10" x14ac:dyDescent="0.25">
      <c r="A1450" t="s">
        <v>702</v>
      </c>
      <c r="B1450" t="s">
        <v>932</v>
      </c>
      <c r="C1450" t="s">
        <v>933</v>
      </c>
      <c r="D1450" s="1" t="s">
        <v>934</v>
      </c>
      <c r="E1450" t="s">
        <v>14</v>
      </c>
      <c r="F1450">
        <v>46.247500000000002</v>
      </c>
      <c r="G1450">
        <v>6.1277999999999997</v>
      </c>
      <c r="H1450">
        <v>1</v>
      </c>
      <c r="I1450">
        <v>430.1</v>
      </c>
      <c r="J1450" t="str">
        <f>HYPERLINK("https://climate.onebuilding.org/WMO_Region_6_Europe/CHE_Switzerland/GE_Geneva/CHE_GE_Geneva.Intl.AP.067000_TMYx.2007-2021.zip")</f>
        <v>https://climate.onebuilding.org/WMO_Region_6_Europe/CHE_Switzerland/GE_Geneva/CHE_GE_Geneva.Intl.AP.067000_TMYx.2007-2021.zip</v>
      </c>
    </row>
    <row r="1451" spans="1:10" x14ac:dyDescent="0.25">
      <c r="A1451" t="s">
        <v>702</v>
      </c>
      <c r="B1451" t="s">
        <v>932</v>
      </c>
      <c r="C1451" t="s">
        <v>933</v>
      </c>
      <c r="D1451" s="1" t="s">
        <v>934</v>
      </c>
      <c r="E1451" t="s">
        <v>14</v>
      </c>
      <c r="F1451">
        <v>46.247500000000002</v>
      </c>
      <c r="G1451">
        <v>6.1277999999999997</v>
      </c>
      <c r="H1451">
        <v>1</v>
      </c>
      <c r="I1451">
        <v>430.1</v>
      </c>
      <c r="J1451" t="str">
        <f>HYPERLINK("https://climate.onebuilding.org/WMO_Region_6_Europe/CHE_Switzerland/GE_Geneva/CHE_GE_Geneva.Intl.AP.067000_TMYx.2009-2023.zip")</f>
        <v>https://climate.onebuilding.org/WMO_Region_6_Europe/CHE_Switzerland/GE_Geneva/CHE_GE_Geneva.Intl.AP.067000_TMYx.2009-2023.zip</v>
      </c>
    </row>
    <row r="1452" spans="1:10" x14ac:dyDescent="0.25">
      <c r="A1452" t="s">
        <v>702</v>
      </c>
      <c r="B1452" t="s">
        <v>932</v>
      </c>
      <c r="C1452" t="s">
        <v>933</v>
      </c>
      <c r="D1452" s="1" t="s">
        <v>934</v>
      </c>
      <c r="E1452" t="s">
        <v>14</v>
      </c>
      <c r="F1452">
        <v>46.247500000000002</v>
      </c>
      <c r="G1452">
        <v>6.1277999999999997</v>
      </c>
      <c r="H1452">
        <v>1</v>
      </c>
      <c r="I1452">
        <v>430.1</v>
      </c>
      <c r="J1452" t="str">
        <f>HYPERLINK("https://climate.onebuilding.org/WMO_Region_6_Europe/CHE_Switzerland/GE_Geneva/CHE_GE_Geneva.Intl.AP.067000_TMYx.zip")</f>
        <v>https://climate.onebuilding.org/WMO_Region_6_Europe/CHE_Switzerland/GE_Geneva/CHE_GE_Geneva.Intl.AP.067000_TMYx.zip</v>
      </c>
    </row>
    <row r="1453" spans="1:10" x14ac:dyDescent="0.25">
      <c r="A1453" t="s">
        <v>702</v>
      </c>
      <c r="B1453" t="s">
        <v>478</v>
      </c>
      <c r="C1453" t="s">
        <v>936</v>
      </c>
      <c r="D1453" s="1" t="s">
        <v>937</v>
      </c>
      <c r="E1453" t="s">
        <v>938</v>
      </c>
      <c r="F1453">
        <v>46.424700000000001</v>
      </c>
      <c r="G1453">
        <v>6.0994000000000002</v>
      </c>
      <c r="H1453">
        <v>1</v>
      </c>
      <c r="I1453">
        <v>1670.2</v>
      </c>
      <c r="J1453" t="str">
        <f>HYPERLINK("https://climate.onebuilding.org/WMO_Region_6_Europe/CHE_Switzerland/VD_Vaud/CHE_VD_La.Dole.067020_TMYx.2004-2018.zip")</f>
        <v>https://climate.onebuilding.org/WMO_Region_6_Europe/CHE_Switzerland/VD_Vaud/CHE_VD_La.Dole.067020_TMYx.2004-2018.zip</v>
      </c>
    </row>
    <row r="1454" spans="1:10" x14ac:dyDescent="0.25">
      <c r="A1454" t="s">
        <v>702</v>
      </c>
      <c r="B1454" t="s">
        <v>478</v>
      </c>
      <c r="C1454" t="s">
        <v>936</v>
      </c>
      <c r="D1454" s="1" t="s">
        <v>937</v>
      </c>
      <c r="E1454" t="s">
        <v>14</v>
      </c>
      <c r="F1454">
        <v>46.424700000000001</v>
      </c>
      <c r="G1454">
        <v>6.0994000000000002</v>
      </c>
      <c r="H1454">
        <v>1</v>
      </c>
      <c r="I1454">
        <v>1670.2</v>
      </c>
      <c r="J1454" t="str">
        <f>HYPERLINK("https://climate.onebuilding.org/WMO_Region_6_Europe/CHE_Switzerland/VD_Vaud/CHE_VD_La.Dole.067020_TMYx.2007-2021.zip")</f>
        <v>https://climate.onebuilding.org/WMO_Region_6_Europe/CHE_Switzerland/VD_Vaud/CHE_VD_La.Dole.067020_TMYx.2007-2021.zip</v>
      </c>
    </row>
    <row r="1455" spans="1:10" x14ac:dyDescent="0.25">
      <c r="A1455" t="s">
        <v>702</v>
      </c>
      <c r="B1455" t="s">
        <v>478</v>
      </c>
      <c r="C1455" t="s">
        <v>936</v>
      </c>
      <c r="D1455" s="1" t="s">
        <v>937</v>
      </c>
      <c r="E1455" t="s">
        <v>14</v>
      </c>
      <c r="F1455">
        <v>46.424700000000001</v>
      </c>
      <c r="G1455">
        <v>6.0994000000000002</v>
      </c>
      <c r="H1455">
        <v>1</v>
      </c>
      <c r="I1455">
        <v>1670.2</v>
      </c>
      <c r="J1455" t="str">
        <f>HYPERLINK("https://climate.onebuilding.org/WMO_Region_6_Europe/CHE_Switzerland/VD_Vaud/CHE_VD_La.Dole.067020_TMYx.2009-2023.zip")</f>
        <v>https://climate.onebuilding.org/WMO_Region_6_Europe/CHE_Switzerland/VD_Vaud/CHE_VD_La.Dole.067020_TMYx.2009-2023.zip</v>
      </c>
    </row>
    <row r="1456" spans="1:10" x14ac:dyDescent="0.25">
      <c r="A1456" t="s">
        <v>702</v>
      </c>
      <c r="B1456" t="s">
        <v>478</v>
      </c>
      <c r="C1456" t="s">
        <v>936</v>
      </c>
      <c r="D1456" s="1" t="s">
        <v>937</v>
      </c>
      <c r="E1456" t="s">
        <v>14</v>
      </c>
      <c r="F1456">
        <v>46.424700000000001</v>
      </c>
      <c r="G1456">
        <v>6.0994000000000002</v>
      </c>
      <c r="H1456">
        <v>1</v>
      </c>
      <c r="I1456">
        <v>1670.2</v>
      </c>
      <c r="J1456" t="str">
        <f>HYPERLINK("https://climate.onebuilding.org/WMO_Region_6_Europe/CHE_Switzerland/VD_Vaud/CHE_VD_La.Dole.067020_TMYx.zip")</f>
        <v>https://climate.onebuilding.org/WMO_Region_6_Europe/CHE_Switzerland/VD_Vaud/CHE_VD_La.Dole.067020_TMYx.zip</v>
      </c>
    </row>
    <row r="1457" spans="1:10" x14ac:dyDescent="0.25">
      <c r="A1457" t="s">
        <v>702</v>
      </c>
      <c r="B1457" t="s">
        <v>478</v>
      </c>
      <c r="C1457" t="s">
        <v>939</v>
      </c>
      <c r="D1457" s="1" t="s">
        <v>940</v>
      </c>
      <c r="E1457" t="s">
        <v>14</v>
      </c>
      <c r="F1457">
        <v>46.670299999999997</v>
      </c>
      <c r="G1457">
        <v>6.3125</v>
      </c>
      <c r="H1457">
        <v>1</v>
      </c>
      <c r="I1457">
        <v>1045.0999999999999</v>
      </c>
      <c r="J1457" t="str">
        <f>HYPERLINK("https://climate.onebuilding.org/WMO_Region_6_Europe/CHE_Switzerland/VD_Vaud/CHE_VD_Charbonnieres.067030_TMYx.2007-2021.zip")</f>
        <v>https://climate.onebuilding.org/WMO_Region_6_Europe/CHE_Switzerland/VD_Vaud/CHE_VD_Charbonnieres.067030_TMYx.2007-2021.zip</v>
      </c>
    </row>
    <row r="1458" spans="1:10" x14ac:dyDescent="0.25">
      <c r="A1458" t="s">
        <v>702</v>
      </c>
      <c r="B1458" t="s">
        <v>478</v>
      </c>
      <c r="C1458" t="s">
        <v>939</v>
      </c>
      <c r="D1458" s="1" t="s">
        <v>940</v>
      </c>
      <c r="E1458" t="s">
        <v>14</v>
      </c>
      <c r="F1458">
        <v>46.670299999999997</v>
      </c>
      <c r="G1458">
        <v>6.3125</v>
      </c>
      <c r="H1458">
        <v>1</v>
      </c>
      <c r="I1458">
        <v>1045.0999999999999</v>
      </c>
      <c r="J1458" t="str">
        <f>HYPERLINK("https://climate.onebuilding.org/WMO_Region_6_Europe/CHE_Switzerland/VD_Vaud/CHE_VD_Charbonnieres.067030_TMYx.2009-2023.zip")</f>
        <v>https://climate.onebuilding.org/WMO_Region_6_Europe/CHE_Switzerland/VD_Vaud/CHE_VD_Charbonnieres.067030_TMYx.2009-2023.zip</v>
      </c>
    </row>
    <row r="1459" spans="1:10" x14ac:dyDescent="0.25">
      <c r="A1459" t="s">
        <v>702</v>
      </c>
      <c r="B1459" t="s">
        <v>478</v>
      </c>
      <c r="C1459" t="s">
        <v>939</v>
      </c>
      <c r="D1459" s="1" t="s">
        <v>940</v>
      </c>
      <c r="E1459" t="s">
        <v>14</v>
      </c>
      <c r="F1459">
        <v>46.670299999999997</v>
      </c>
      <c r="G1459">
        <v>6.3125</v>
      </c>
      <c r="H1459">
        <v>1</v>
      </c>
      <c r="I1459">
        <v>1045.0999999999999</v>
      </c>
      <c r="J1459" t="str">
        <f>HYPERLINK("https://climate.onebuilding.org/WMO_Region_6_Europe/CHE_Switzerland/VD_Vaud/CHE_VD_Charbonnieres.067030_TMYx.zip")</f>
        <v>https://climate.onebuilding.org/WMO_Region_6_Europe/CHE_Switzerland/VD_Vaud/CHE_VD_Charbonnieres.067030_TMYx.zip</v>
      </c>
    </row>
    <row r="1460" spans="1:10" x14ac:dyDescent="0.25">
      <c r="A1460" t="s">
        <v>702</v>
      </c>
      <c r="B1460" t="s">
        <v>478</v>
      </c>
      <c r="C1460" t="s">
        <v>941</v>
      </c>
      <c r="D1460" s="1" t="s">
        <v>942</v>
      </c>
      <c r="E1460" t="s">
        <v>943</v>
      </c>
      <c r="F1460">
        <v>46.524999999999999</v>
      </c>
      <c r="G1460">
        <v>6.3425000000000002</v>
      </c>
      <c r="H1460">
        <v>1</v>
      </c>
      <c r="I1460">
        <v>684.7</v>
      </c>
      <c r="J1460" t="str">
        <f>HYPERLINK("https://climate.onebuilding.org/WMO_Region_6_Europe/CHE_Switzerland/VD_Vaud/CHE_VD_Biere.067040_TMYx.2004-2018.zip")</f>
        <v>https://climate.onebuilding.org/WMO_Region_6_Europe/CHE_Switzerland/VD_Vaud/CHE_VD_Biere.067040_TMYx.2004-2018.zip</v>
      </c>
    </row>
    <row r="1461" spans="1:10" x14ac:dyDescent="0.25">
      <c r="A1461" t="s">
        <v>702</v>
      </c>
      <c r="B1461" t="s">
        <v>478</v>
      </c>
      <c r="C1461" t="s">
        <v>941</v>
      </c>
      <c r="D1461" s="1" t="s">
        <v>942</v>
      </c>
      <c r="E1461" t="s">
        <v>14</v>
      </c>
      <c r="F1461">
        <v>46.524999999999999</v>
      </c>
      <c r="G1461">
        <v>6.3425000000000002</v>
      </c>
      <c r="H1461">
        <v>1</v>
      </c>
      <c r="I1461">
        <v>684.7</v>
      </c>
      <c r="J1461" t="str">
        <f>HYPERLINK("https://climate.onebuilding.org/WMO_Region_6_Europe/CHE_Switzerland/VD_Vaud/CHE_VD_Biere.067040_TMYx.2007-2021.zip")</f>
        <v>https://climate.onebuilding.org/WMO_Region_6_Europe/CHE_Switzerland/VD_Vaud/CHE_VD_Biere.067040_TMYx.2007-2021.zip</v>
      </c>
    </row>
    <row r="1462" spans="1:10" x14ac:dyDescent="0.25">
      <c r="A1462" t="s">
        <v>702</v>
      </c>
      <c r="B1462" t="s">
        <v>478</v>
      </c>
      <c r="C1462" t="s">
        <v>941</v>
      </c>
      <c r="D1462" s="1" t="s">
        <v>942</v>
      </c>
      <c r="E1462" t="s">
        <v>14</v>
      </c>
      <c r="F1462">
        <v>46.524999999999999</v>
      </c>
      <c r="G1462">
        <v>6.3425000000000002</v>
      </c>
      <c r="H1462">
        <v>1</v>
      </c>
      <c r="I1462">
        <v>684.7</v>
      </c>
      <c r="J1462" t="str">
        <f>HYPERLINK("https://climate.onebuilding.org/WMO_Region_6_Europe/CHE_Switzerland/VD_Vaud/CHE_VD_Biere.067040_TMYx.2009-2023.zip")</f>
        <v>https://climate.onebuilding.org/WMO_Region_6_Europe/CHE_Switzerland/VD_Vaud/CHE_VD_Biere.067040_TMYx.2009-2023.zip</v>
      </c>
    </row>
    <row r="1463" spans="1:10" x14ac:dyDescent="0.25">
      <c r="A1463" t="s">
        <v>702</v>
      </c>
      <c r="B1463" t="s">
        <v>478</v>
      </c>
      <c r="C1463" t="s">
        <v>941</v>
      </c>
      <c r="D1463" s="1" t="s">
        <v>942</v>
      </c>
      <c r="E1463" t="s">
        <v>14</v>
      </c>
      <c r="F1463">
        <v>46.524999999999999</v>
      </c>
      <c r="G1463">
        <v>6.3425000000000002</v>
      </c>
      <c r="H1463">
        <v>1</v>
      </c>
      <c r="I1463">
        <v>684.7</v>
      </c>
      <c r="J1463" t="str">
        <f>HYPERLINK("https://climate.onebuilding.org/WMO_Region_6_Europe/CHE_Switzerland/VD_Vaud/CHE_VD_Biere.067040_TMYx.zip")</f>
        <v>https://climate.onebuilding.org/WMO_Region_6_Europe/CHE_Switzerland/VD_Vaud/CHE_VD_Biere.067040_TMYx.zip</v>
      </c>
    </row>
    <row r="1464" spans="1:10" x14ac:dyDescent="0.25">
      <c r="A1464" t="s">
        <v>702</v>
      </c>
      <c r="B1464" t="s">
        <v>478</v>
      </c>
      <c r="C1464" t="s">
        <v>944</v>
      </c>
      <c r="D1464" s="1" t="s">
        <v>945</v>
      </c>
      <c r="E1464" t="s">
        <v>946</v>
      </c>
      <c r="F1464">
        <v>46.4011</v>
      </c>
      <c r="G1464">
        <v>6.2278000000000002</v>
      </c>
      <c r="H1464">
        <v>1</v>
      </c>
      <c r="I1464">
        <v>459.5</v>
      </c>
      <c r="J1464" t="str">
        <f>HYPERLINK("https://climate.onebuilding.org/WMO_Region_6_Europe/CHE_Switzerland/VD_Vaud/CHE_VD_Nyon.Changins.067050_TMYx.2004-2018.zip")</f>
        <v>https://climate.onebuilding.org/WMO_Region_6_Europe/CHE_Switzerland/VD_Vaud/CHE_VD_Nyon.Changins.067050_TMYx.2004-2018.zip</v>
      </c>
    </row>
    <row r="1465" spans="1:10" x14ac:dyDescent="0.25">
      <c r="A1465" t="s">
        <v>702</v>
      </c>
      <c r="B1465" t="s">
        <v>478</v>
      </c>
      <c r="C1465" t="s">
        <v>944</v>
      </c>
      <c r="D1465" s="1" t="s">
        <v>945</v>
      </c>
      <c r="E1465" t="s">
        <v>14</v>
      </c>
      <c r="F1465">
        <v>46.4011</v>
      </c>
      <c r="G1465">
        <v>6.2278000000000002</v>
      </c>
      <c r="H1465">
        <v>1</v>
      </c>
      <c r="I1465">
        <v>459.5</v>
      </c>
      <c r="J1465" t="str">
        <f>HYPERLINK("https://climate.onebuilding.org/WMO_Region_6_Europe/CHE_Switzerland/VD_Vaud/CHE_VD_Nyon.Changins.067050_TMYx.2007-2021.zip")</f>
        <v>https://climate.onebuilding.org/WMO_Region_6_Europe/CHE_Switzerland/VD_Vaud/CHE_VD_Nyon.Changins.067050_TMYx.2007-2021.zip</v>
      </c>
    </row>
    <row r="1466" spans="1:10" x14ac:dyDescent="0.25">
      <c r="A1466" t="s">
        <v>702</v>
      </c>
      <c r="B1466" t="s">
        <v>478</v>
      </c>
      <c r="C1466" t="s">
        <v>944</v>
      </c>
      <c r="D1466" s="1" t="s">
        <v>945</v>
      </c>
      <c r="E1466" t="s">
        <v>14</v>
      </c>
      <c r="F1466">
        <v>46.4011</v>
      </c>
      <c r="G1466">
        <v>6.2278000000000002</v>
      </c>
      <c r="H1466">
        <v>1</v>
      </c>
      <c r="I1466">
        <v>459.5</v>
      </c>
      <c r="J1466" t="str">
        <f>HYPERLINK("https://climate.onebuilding.org/WMO_Region_6_Europe/CHE_Switzerland/VD_Vaud/CHE_VD_Nyon.Changins.067050_TMYx.2009-2023.zip")</f>
        <v>https://climate.onebuilding.org/WMO_Region_6_Europe/CHE_Switzerland/VD_Vaud/CHE_VD_Nyon.Changins.067050_TMYx.2009-2023.zip</v>
      </c>
    </row>
    <row r="1467" spans="1:10" x14ac:dyDescent="0.25">
      <c r="A1467" t="s">
        <v>702</v>
      </c>
      <c r="B1467" t="s">
        <v>478</v>
      </c>
      <c r="C1467" t="s">
        <v>944</v>
      </c>
      <c r="D1467" s="1" t="s">
        <v>945</v>
      </c>
      <c r="E1467" t="s">
        <v>14</v>
      </c>
      <c r="F1467">
        <v>46.4011</v>
      </c>
      <c r="G1467">
        <v>6.2278000000000002</v>
      </c>
      <c r="H1467">
        <v>1</v>
      </c>
      <c r="I1467">
        <v>459.5</v>
      </c>
      <c r="J1467" t="str">
        <f>HYPERLINK("https://climate.onebuilding.org/WMO_Region_6_Europe/CHE_Switzerland/VD_Vaud/CHE_VD_Nyon.Changins.067050_TMYx.zip")</f>
        <v>https://climate.onebuilding.org/WMO_Region_6_Europe/CHE_Switzerland/VD_Vaud/CHE_VD_Nyon.Changins.067050_TMYx.zip</v>
      </c>
    </row>
    <row r="1468" spans="1:10" x14ac:dyDescent="0.25">
      <c r="A1468" t="s">
        <v>702</v>
      </c>
      <c r="B1468" t="s">
        <v>478</v>
      </c>
      <c r="C1468" t="s">
        <v>947</v>
      </c>
      <c r="D1468" s="1" t="s">
        <v>948</v>
      </c>
      <c r="E1468" t="s">
        <v>78</v>
      </c>
      <c r="F1468">
        <v>46.483600000000003</v>
      </c>
      <c r="G1468">
        <v>6.4431000000000003</v>
      </c>
      <c r="H1468">
        <v>1</v>
      </c>
      <c r="I1468">
        <v>425</v>
      </c>
      <c r="J1468" t="str">
        <f>HYPERLINK("https://climate.onebuilding.org/WMO_Region_6_Europe/CHE_Switzerland/VD_Vaud/CHE_VD_St.Prex.067060_TMYx.2007-2021.zip")</f>
        <v>https://climate.onebuilding.org/WMO_Region_6_Europe/CHE_Switzerland/VD_Vaud/CHE_VD_St.Prex.067060_TMYx.2007-2021.zip</v>
      </c>
    </row>
    <row r="1469" spans="1:10" x14ac:dyDescent="0.25">
      <c r="A1469" t="s">
        <v>702</v>
      </c>
      <c r="B1469" t="s">
        <v>478</v>
      </c>
      <c r="C1469" t="s">
        <v>947</v>
      </c>
      <c r="D1469" s="1" t="s">
        <v>948</v>
      </c>
      <c r="E1469" t="s">
        <v>78</v>
      </c>
      <c r="F1469">
        <v>46.483600000000003</v>
      </c>
      <c r="G1469">
        <v>6.4431000000000003</v>
      </c>
      <c r="H1469">
        <v>1</v>
      </c>
      <c r="I1469">
        <v>425</v>
      </c>
      <c r="J1469" t="str">
        <f>HYPERLINK("https://climate.onebuilding.org/WMO_Region_6_Europe/CHE_Switzerland/VD_Vaud/CHE_VD_St.Prex.067060_TMYx.2009-2023.zip")</f>
        <v>https://climate.onebuilding.org/WMO_Region_6_Europe/CHE_Switzerland/VD_Vaud/CHE_VD_St.Prex.067060_TMYx.2009-2023.zip</v>
      </c>
    </row>
    <row r="1470" spans="1:10" x14ac:dyDescent="0.25">
      <c r="A1470" t="s">
        <v>702</v>
      </c>
      <c r="B1470" t="s">
        <v>478</v>
      </c>
      <c r="C1470" t="s">
        <v>947</v>
      </c>
      <c r="D1470" s="1" t="s">
        <v>948</v>
      </c>
      <c r="E1470" t="s">
        <v>78</v>
      </c>
      <c r="F1470">
        <v>46.483600000000003</v>
      </c>
      <c r="G1470">
        <v>6.4431000000000003</v>
      </c>
      <c r="H1470">
        <v>1</v>
      </c>
      <c r="I1470">
        <v>425</v>
      </c>
      <c r="J1470" t="str">
        <f>HYPERLINK("https://climate.onebuilding.org/WMO_Region_6_Europe/CHE_Switzerland/VD_Vaud/CHE_VD_St.Prex.067060_TMYx.zip")</f>
        <v>https://climate.onebuilding.org/WMO_Region_6_Europe/CHE_Switzerland/VD_Vaud/CHE_VD_St.Prex.067060_TMYx.zip</v>
      </c>
    </row>
    <row r="1471" spans="1:10" x14ac:dyDescent="0.25">
      <c r="A1471" t="s">
        <v>702</v>
      </c>
      <c r="B1471" t="s">
        <v>478</v>
      </c>
      <c r="C1471" t="s">
        <v>949</v>
      </c>
      <c r="D1471" s="1" t="s">
        <v>950</v>
      </c>
      <c r="E1471" t="s">
        <v>14</v>
      </c>
      <c r="F1471">
        <v>46.621699999999997</v>
      </c>
      <c r="G1471">
        <v>6.71</v>
      </c>
      <c r="H1471">
        <v>1</v>
      </c>
      <c r="I1471">
        <v>859</v>
      </c>
      <c r="J1471" t="str">
        <f>HYPERLINK("https://climate.onebuilding.org/WMO_Region_6_Europe/CHE_Switzerland/VD_Vaud/CHE_VD_Villars-Tiercelin.067070_TMYx.2007-2021.zip")</f>
        <v>https://climate.onebuilding.org/WMO_Region_6_Europe/CHE_Switzerland/VD_Vaud/CHE_VD_Villars-Tiercelin.067070_TMYx.2007-2021.zip</v>
      </c>
    </row>
    <row r="1472" spans="1:10" x14ac:dyDescent="0.25">
      <c r="A1472" t="s">
        <v>702</v>
      </c>
      <c r="B1472" t="s">
        <v>478</v>
      </c>
      <c r="C1472" t="s">
        <v>949</v>
      </c>
      <c r="D1472" s="1" t="s">
        <v>950</v>
      </c>
      <c r="E1472" t="s">
        <v>14</v>
      </c>
      <c r="F1472">
        <v>46.621699999999997</v>
      </c>
      <c r="G1472">
        <v>6.71</v>
      </c>
      <c r="H1472">
        <v>1</v>
      </c>
      <c r="I1472">
        <v>859</v>
      </c>
      <c r="J1472" t="str">
        <f>HYPERLINK("https://climate.onebuilding.org/WMO_Region_6_Europe/CHE_Switzerland/VD_Vaud/CHE_VD_Villars-Tiercelin.067070_TMYx.2009-2023.zip")</f>
        <v>https://climate.onebuilding.org/WMO_Region_6_Europe/CHE_Switzerland/VD_Vaud/CHE_VD_Villars-Tiercelin.067070_TMYx.2009-2023.zip</v>
      </c>
    </row>
    <row r="1473" spans="1:10" x14ac:dyDescent="0.25">
      <c r="A1473" t="s">
        <v>702</v>
      </c>
      <c r="B1473" t="s">
        <v>478</v>
      </c>
      <c r="C1473" t="s">
        <v>949</v>
      </c>
      <c r="D1473" s="1" t="s">
        <v>950</v>
      </c>
      <c r="E1473" t="s">
        <v>14</v>
      </c>
      <c r="F1473">
        <v>46.621699999999997</v>
      </c>
      <c r="G1473">
        <v>6.71</v>
      </c>
      <c r="H1473">
        <v>1</v>
      </c>
      <c r="I1473">
        <v>859</v>
      </c>
      <c r="J1473" t="str">
        <f>HYPERLINK("https://climate.onebuilding.org/WMO_Region_6_Europe/CHE_Switzerland/VD_Vaud/CHE_VD_Villars-Tiercelin.067070_TMYx.zip")</f>
        <v>https://climate.onebuilding.org/WMO_Region_6_Europe/CHE_Switzerland/VD_Vaud/CHE_VD_Villars-Tiercelin.067070_TMYx.zip</v>
      </c>
    </row>
    <row r="1474" spans="1:10" x14ac:dyDescent="0.25">
      <c r="A1474" t="s">
        <v>702</v>
      </c>
      <c r="B1474" t="s">
        <v>478</v>
      </c>
      <c r="C1474" t="s">
        <v>951</v>
      </c>
      <c r="D1474" s="1" t="s">
        <v>952</v>
      </c>
      <c r="E1474" t="s">
        <v>953</v>
      </c>
      <c r="F1474">
        <v>46.572200000000002</v>
      </c>
      <c r="G1474">
        <v>6.8582999999999998</v>
      </c>
      <c r="H1474">
        <v>1</v>
      </c>
      <c r="I1474">
        <v>828.8</v>
      </c>
      <c r="J1474" t="str">
        <f>HYPERLINK("https://climate.onebuilding.org/WMO_Region_6_Europe/CHE_Switzerland/VD_Vaud/CHE_VD_Oron.067080_TMYx.2004-2018.zip")</f>
        <v>https://climate.onebuilding.org/WMO_Region_6_Europe/CHE_Switzerland/VD_Vaud/CHE_VD_Oron.067080_TMYx.2004-2018.zip</v>
      </c>
    </row>
    <row r="1475" spans="1:10" x14ac:dyDescent="0.25">
      <c r="A1475" t="s">
        <v>702</v>
      </c>
      <c r="B1475" t="s">
        <v>478</v>
      </c>
      <c r="C1475" t="s">
        <v>951</v>
      </c>
      <c r="D1475" s="1" t="s">
        <v>952</v>
      </c>
      <c r="E1475" t="s">
        <v>14</v>
      </c>
      <c r="F1475">
        <v>46.572200000000002</v>
      </c>
      <c r="G1475">
        <v>6.8582999999999998</v>
      </c>
      <c r="H1475">
        <v>1</v>
      </c>
      <c r="I1475">
        <v>828.8</v>
      </c>
      <c r="J1475" t="str">
        <f>HYPERLINK("https://climate.onebuilding.org/WMO_Region_6_Europe/CHE_Switzerland/VD_Vaud/CHE_VD_Oron.067080_TMYx.2007-2021.zip")</f>
        <v>https://climate.onebuilding.org/WMO_Region_6_Europe/CHE_Switzerland/VD_Vaud/CHE_VD_Oron.067080_TMYx.2007-2021.zip</v>
      </c>
    </row>
    <row r="1476" spans="1:10" x14ac:dyDescent="0.25">
      <c r="A1476" t="s">
        <v>702</v>
      </c>
      <c r="B1476" t="s">
        <v>478</v>
      </c>
      <c r="C1476" t="s">
        <v>951</v>
      </c>
      <c r="D1476" s="1" t="s">
        <v>952</v>
      </c>
      <c r="E1476" t="s">
        <v>14</v>
      </c>
      <c r="F1476">
        <v>46.572200000000002</v>
      </c>
      <c r="G1476">
        <v>6.8582999999999998</v>
      </c>
      <c r="H1476">
        <v>1</v>
      </c>
      <c r="I1476">
        <v>828.8</v>
      </c>
      <c r="J1476" t="str">
        <f>HYPERLINK("https://climate.onebuilding.org/WMO_Region_6_Europe/CHE_Switzerland/VD_Vaud/CHE_VD_Oron.067080_TMYx.2009-2023.zip")</f>
        <v>https://climate.onebuilding.org/WMO_Region_6_Europe/CHE_Switzerland/VD_Vaud/CHE_VD_Oron.067080_TMYx.2009-2023.zip</v>
      </c>
    </row>
    <row r="1477" spans="1:10" x14ac:dyDescent="0.25">
      <c r="A1477" t="s">
        <v>702</v>
      </c>
      <c r="B1477" t="s">
        <v>478</v>
      </c>
      <c r="C1477" t="s">
        <v>951</v>
      </c>
      <c r="D1477" s="1" t="s">
        <v>952</v>
      </c>
      <c r="E1477" t="s">
        <v>14</v>
      </c>
      <c r="F1477">
        <v>46.572200000000002</v>
      </c>
      <c r="G1477">
        <v>6.8582999999999998</v>
      </c>
      <c r="H1477">
        <v>1</v>
      </c>
      <c r="I1477">
        <v>828.8</v>
      </c>
      <c r="J1477" t="str">
        <f>HYPERLINK("https://climate.onebuilding.org/WMO_Region_6_Europe/CHE_Switzerland/VD_Vaud/CHE_VD_Oron.067080_TMYx.zip")</f>
        <v>https://climate.onebuilding.org/WMO_Region_6_Europe/CHE_Switzerland/VD_Vaud/CHE_VD_Oron.067080_TMYx.zip</v>
      </c>
    </row>
    <row r="1478" spans="1:10" x14ac:dyDescent="0.25">
      <c r="A1478" t="s">
        <v>702</v>
      </c>
      <c r="B1478" t="s">
        <v>954</v>
      </c>
      <c r="C1478" t="s">
        <v>955</v>
      </c>
      <c r="D1478" s="1" t="s">
        <v>956</v>
      </c>
      <c r="E1478" t="s">
        <v>957</v>
      </c>
      <c r="F1478">
        <v>46.382899999999999</v>
      </c>
      <c r="G1478">
        <v>6.8540999999999999</v>
      </c>
      <c r="H1478">
        <v>1</v>
      </c>
      <c r="I1478">
        <v>385</v>
      </c>
      <c r="J1478" t="str">
        <f>HYPERLINK("https://climate.onebuilding.org/WMO_Region_6_Europe/CHE_Switzerland/VS_Valais/CHE_VS_Le.Bouveret-Port.Valais.067090_TMYx.2004-2018.zip")</f>
        <v>https://climate.onebuilding.org/WMO_Region_6_Europe/CHE_Switzerland/VS_Valais/CHE_VS_Le.Bouveret-Port.Valais.067090_TMYx.2004-2018.zip</v>
      </c>
    </row>
    <row r="1479" spans="1:10" x14ac:dyDescent="0.25">
      <c r="A1479" t="s">
        <v>702</v>
      </c>
      <c r="B1479" t="s">
        <v>954</v>
      </c>
      <c r="C1479" t="s">
        <v>955</v>
      </c>
      <c r="D1479" s="1" t="s">
        <v>956</v>
      </c>
      <c r="E1479" t="s">
        <v>14</v>
      </c>
      <c r="F1479">
        <v>46.382899999999999</v>
      </c>
      <c r="G1479">
        <v>6.8540999999999999</v>
      </c>
      <c r="H1479">
        <v>1</v>
      </c>
      <c r="I1479">
        <v>385</v>
      </c>
      <c r="J1479" t="str">
        <f>HYPERLINK("https://climate.onebuilding.org/WMO_Region_6_Europe/CHE_Switzerland/VS_Valais/CHE_VS_Le.Bouveret-Port.Valais.067090_TMYx.2007-2021.zip")</f>
        <v>https://climate.onebuilding.org/WMO_Region_6_Europe/CHE_Switzerland/VS_Valais/CHE_VS_Le.Bouveret-Port.Valais.067090_TMYx.2007-2021.zip</v>
      </c>
    </row>
    <row r="1480" spans="1:10" x14ac:dyDescent="0.25">
      <c r="A1480" t="s">
        <v>702</v>
      </c>
      <c r="B1480" t="s">
        <v>954</v>
      </c>
      <c r="C1480" t="s">
        <v>955</v>
      </c>
      <c r="D1480" s="1" t="s">
        <v>956</v>
      </c>
      <c r="E1480" t="s">
        <v>14</v>
      </c>
      <c r="F1480">
        <v>46.382899999999999</v>
      </c>
      <c r="G1480">
        <v>6.8540999999999999</v>
      </c>
      <c r="H1480">
        <v>1</v>
      </c>
      <c r="I1480">
        <v>385</v>
      </c>
      <c r="J1480" t="str">
        <f>HYPERLINK("https://climate.onebuilding.org/WMO_Region_6_Europe/CHE_Switzerland/VS_Valais/CHE_VS_Le.Bouveret-Port.Valais.067090_TMYx.2009-2023.zip")</f>
        <v>https://climate.onebuilding.org/WMO_Region_6_Europe/CHE_Switzerland/VS_Valais/CHE_VS_Le.Bouveret-Port.Valais.067090_TMYx.2009-2023.zip</v>
      </c>
    </row>
    <row r="1481" spans="1:10" x14ac:dyDescent="0.25">
      <c r="A1481" t="s">
        <v>702</v>
      </c>
      <c r="B1481" t="s">
        <v>954</v>
      </c>
      <c r="C1481" t="s">
        <v>955</v>
      </c>
      <c r="D1481" s="1" t="s">
        <v>956</v>
      </c>
      <c r="E1481" t="s">
        <v>14</v>
      </c>
      <c r="F1481">
        <v>46.382899999999999</v>
      </c>
      <c r="G1481">
        <v>6.8540999999999999</v>
      </c>
      <c r="H1481">
        <v>1</v>
      </c>
      <c r="I1481">
        <v>385</v>
      </c>
      <c r="J1481" t="str">
        <f>HYPERLINK("https://climate.onebuilding.org/WMO_Region_6_Europe/CHE_Switzerland/VS_Valais/CHE_VS_Le.Bouveret-Port.Valais.067090_TMYx.zip")</f>
        <v>https://climate.onebuilding.org/WMO_Region_6_Europe/CHE_Switzerland/VS_Valais/CHE_VS_Le.Bouveret-Port.Valais.067090_TMYx.zip</v>
      </c>
    </row>
    <row r="1482" spans="1:10" x14ac:dyDescent="0.25">
      <c r="A1482" t="s">
        <v>702</v>
      </c>
      <c r="B1482" t="s">
        <v>478</v>
      </c>
      <c r="C1482" t="s">
        <v>958</v>
      </c>
      <c r="D1482" s="1" t="s">
        <v>959</v>
      </c>
      <c r="E1482" t="s">
        <v>14</v>
      </c>
      <c r="F1482">
        <v>46.55</v>
      </c>
      <c r="G1482">
        <v>6.617</v>
      </c>
      <c r="H1482">
        <v>1</v>
      </c>
      <c r="I1482">
        <v>610</v>
      </c>
      <c r="J1482" t="str">
        <f>HYPERLINK("https://climate.onebuilding.org/WMO_Region_6_Europe/CHE_Switzerland/VD_Vaud/CHE_VD_Lausanne.Intl.AP.067100_TMYx.zip")</f>
        <v>https://climate.onebuilding.org/WMO_Region_6_Europe/CHE_Switzerland/VD_Vaud/CHE_VD_Lausanne.Intl.AP.067100_TMYx.zip</v>
      </c>
    </row>
    <row r="1483" spans="1:10" x14ac:dyDescent="0.25">
      <c r="A1483" t="s">
        <v>702</v>
      </c>
      <c r="B1483" t="s">
        <v>11</v>
      </c>
      <c r="C1483" t="s">
        <v>960</v>
      </c>
      <c r="D1483" s="1" t="s">
        <v>961</v>
      </c>
      <c r="E1483" t="s">
        <v>962</v>
      </c>
      <c r="F1483">
        <v>46.5122</v>
      </c>
      <c r="G1483">
        <v>6.6675000000000004</v>
      </c>
      <c r="H1483">
        <v>1</v>
      </c>
      <c r="I1483">
        <v>456.5</v>
      </c>
      <c r="J1483" t="str">
        <f>HYPERLINK("https://climate.onebuilding.org/WMO_Region_6_Europe/CHE_Switzerland/LU_Lucerne/CHE_LU_Lausanne-Pully.067110_TMYx.2004-2018.zip")</f>
        <v>https://climate.onebuilding.org/WMO_Region_6_Europe/CHE_Switzerland/LU_Lucerne/CHE_LU_Lausanne-Pully.067110_TMYx.2004-2018.zip</v>
      </c>
    </row>
    <row r="1484" spans="1:10" x14ac:dyDescent="0.25">
      <c r="A1484" t="s">
        <v>702</v>
      </c>
      <c r="B1484" t="s">
        <v>11</v>
      </c>
      <c r="C1484" t="s">
        <v>960</v>
      </c>
      <c r="D1484" s="1" t="s">
        <v>961</v>
      </c>
      <c r="E1484" t="s">
        <v>14</v>
      </c>
      <c r="F1484">
        <v>46.5122</v>
      </c>
      <c r="G1484">
        <v>6.6675000000000004</v>
      </c>
      <c r="H1484">
        <v>1</v>
      </c>
      <c r="I1484">
        <v>456.5</v>
      </c>
      <c r="J1484" t="str">
        <f>HYPERLINK("https://climate.onebuilding.org/WMO_Region_6_Europe/CHE_Switzerland/LU_Lucerne/CHE_LU_Lausanne-Pully.067110_TMYx.2007-2021.zip")</f>
        <v>https://climate.onebuilding.org/WMO_Region_6_Europe/CHE_Switzerland/LU_Lucerne/CHE_LU_Lausanne-Pully.067110_TMYx.2007-2021.zip</v>
      </c>
    </row>
    <row r="1485" spans="1:10" x14ac:dyDescent="0.25">
      <c r="A1485" t="s">
        <v>702</v>
      </c>
      <c r="B1485" t="s">
        <v>11</v>
      </c>
      <c r="C1485" t="s">
        <v>960</v>
      </c>
      <c r="D1485" s="1" t="s">
        <v>961</v>
      </c>
      <c r="E1485" t="s">
        <v>14</v>
      </c>
      <c r="F1485">
        <v>46.5122</v>
      </c>
      <c r="G1485">
        <v>6.6675000000000004</v>
      </c>
      <c r="H1485">
        <v>1</v>
      </c>
      <c r="I1485">
        <v>456.5</v>
      </c>
      <c r="J1485" t="str">
        <f>HYPERLINK("https://climate.onebuilding.org/WMO_Region_6_Europe/CHE_Switzerland/LU_Lucerne/CHE_LU_Lausanne-Pully.067110_TMYx.2009-2023.zip")</f>
        <v>https://climate.onebuilding.org/WMO_Region_6_Europe/CHE_Switzerland/LU_Lucerne/CHE_LU_Lausanne-Pully.067110_TMYx.2009-2023.zip</v>
      </c>
    </row>
    <row r="1486" spans="1:10" x14ac:dyDescent="0.25">
      <c r="A1486" t="s">
        <v>702</v>
      </c>
      <c r="B1486" t="s">
        <v>11</v>
      </c>
      <c r="C1486" t="s">
        <v>960</v>
      </c>
      <c r="D1486" s="1" t="s">
        <v>961</v>
      </c>
      <c r="E1486" t="s">
        <v>14</v>
      </c>
      <c r="F1486">
        <v>46.5122</v>
      </c>
      <c r="G1486">
        <v>6.6675000000000004</v>
      </c>
      <c r="H1486">
        <v>1</v>
      </c>
      <c r="I1486">
        <v>456.5</v>
      </c>
      <c r="J1486" t="str">
        <f>HYPERLINK("https://climate.onebuilding.org/WMO_Region_6_Europe/CHE_Switzerland/LU_Lucerne/CHE_LU_Lausanne-Pully.067110_TMYx.zip")</f>
        <v>https://climate.onebuilding.org/WMO_Region_6_Europe/CHE_Switzerland/LU_Lucerne/CHE_LU_Lausanne-Pully.067110_TMYx.zip</v>
      </c>
    </row>
    <row r="1487" spans="1:10" x14ac:dyDescent="0.25">
      <c r="A1487" t="s">
        <v>702</v>
      </c>
      <c r="B1487" t="s">
        <v>954</v>
      </c>
      <c r="C1487" t="s">
        <v>963</v>
      </c>
      <c r="D1487" s="1" t="s">
        <v>964</v>
      </c>
      <c r="E1487" t="s">
        <v>965</v>
      </c>
      <c r="F1487">
        <v>46.326700000000002</v>
      </c>
      <c r="G1487">
        <v>6.9244000000000003</v>
      </c>
      <c r="H1487">
        <v>1</v>
      </c>
      <c r="I1487">
        <v>382.4</v>
      </c>
      <c r="J1487" t="str">
        <f>HYPERLINK("https://climate.onebuilding.org/WMO_Region_6_Europe/CHE_Switzerland/VS_Valais/CHE_VS_Aigle.067120_TMYx.2004-2018.zip")</f>
        <v>https://climate.onebuilding.org/WMO_Region_6_Europe/CHE_Switzerland/VS_Valais/CHE_VS_Aigle.067120_TMYx.2004-2018.zip</v>
      </c>
    </row>
    <row r="1488" spans="1:10" x14ac:dyDescent="0.25">
      <c r="A1488" t="s">
        <v>702</v>
      </c>
      <c r="B1488" t="s">
        <v>954</v>
      </c>
      <c r="C1488" t="s">
        <v>963</v>
      </c>
      <c r="D1488" s="1" t="s">
        <v>964</v>
      </c>
      <c r="E1488" t="s">
        <v>14</v>
      </c>
      <c r="F1488">
        <v>46.326700000000002</v>
      </c>
      <c r="G1488">
        <v>6.9244000000000003</v>
      </c>
      <c r="H1488">
        <v>1</v>
      </c>
      <c r="I1488">
        <v>382.4</v>
      </c>
      <c r="J1488" t="str">
        <f>HYPERLINK("https://climate.onebuilding.org/WMO_Region_6_Europe/CHE_Switzerland/VS_Valais/CHE_VS_Aigle.067120_TMYx.2007-2021.zip")</f>
        <v>https://climate.onebuilding.org/WMO_Region_6_Europe/CHE_Switzerland/VS_Valais/CHE_VS_Aigle.067120_TMYx.2007-2021.zip</v>
      </c>
    </row>
    <row r="1489" spans="1:10" x14ac:dyDescent="0.25">
      <c r="A1489" t="s">
        <v>702</v>
      </c>
      <c r="B1489" t="s">
        <v>954</v>
      </c>
      <c r="C1489" t="s">
        <v>963</v>
      </c>
      <c r="D1489" s="1" t="s">
        <v>964</v>
      </c>
      <c r="E1489" t="s">
        <v>14</v>
      </c>
      <c r="F1489">
        <v>46.326700000000002</v>
      </c>
      <c r="G1489">
        <v>6.9244000000000003</v>
      </c>
      <c r="H1489">
        <v>1</v>
      </c>
      <c r="I1489">
        <v>382.4</v>
      </c>
      <c r="J1489" t="str">
        <f>HYPERLINK("https://climate.onebuilding.org/WMO_Region_6_Europe/CHE_Switzerland/VS_Valais/CHE_VS_Aigle.067120_TMYx.2009-2023.zip")</f>
        <v>https://climate.onebuilding.org/WMO_Region_6_Europe/CHE_Switzerland/VS_Valais/CHE_VS_Aigle.067120_TMYx.2009-2023.zip</v>
      </c>
    </row>
    <row r="1490" spans="1:10" x14ac:dyDescent="0.25">
      <c r="A1490" t="s">
        <v>702</v>
      </c>
      <c r="B1490" t="s">
        <v>954</v>
      </c>
      <c r="C1490" t="s">
        <v>963</v>
      </c>
      <c r="D1490" s="1" t="s">
        <v>964</v>
      </c>
      <c r="E1490" t="s">
        <v>14</v>
      </c>
      <c r="F1490">
        <v>46.326700000000002</v>
      </c>
      <c r="G1490">
        <v>6.9244000000000003</v>
      </c>
      <c r="H1490">
        <v>1</v>
      </c>
      <c r="I1490">
        <v>382.4</v>
      </c>
      <c r="J1490" t="str">
        <f>HYPERLINK("https://climate.onebuilding.org/WMO_Region_6_Europe/CHE_Switzerland/VS_Valais/CHE_VS_Aigle.067120_TMYx.zip")</f>
        <v>https://climate.onebuilding.org/WMO_Region_6_Europe/CHE_Switzerland/VS_Valais/CHE_VS_Aigle.067120_TMYx.zip</v>
      </c>
    </row>
    <row r="1491" spans="1:10" x14ac:dyDescent="0.25">
      <c r="A1491" t="s">
        <v>702</v>
      </c>
      <c r="B1491" t="s">
        <v>478</v>
      </c>
      <c r="C1491" t="s">
        <v>966</v>
      </c>
      <c r="D1491" s="1" t="s">
        <v>967</v>
      </c>
      <c r="E1491" t="s">
        <v>968</v>
      </c>
      <c r="F1491">
        <v>46.326700000000002</v>
      </c>
      <c r="G1491">
        <v>7.2039</v>
      </c>
      <c r="H1491">
        <v>1</v>
      </c>
      <c r="I1491">
        <v>2964.3</v>
      </c>
      <c r="J1491" t="str">
        <f>HYPERLINK("https://climate.onebuilding.org/WMO_Region_6_Europe/CHE_Switzerland/VD_Vaud/CHE_VD_Les.Diablerets.067140_TMYx.2004-2018.zip")</f>
        <v>https://climate.onebuilding.org/WMO_Region_6_Europe/CHE_Switzerland/VD_Vaud/CHE_VD_Les.Diablerets.067140_TMYx.2004-2018.zip</v>
      </c>
    </row>
    <row r="1492" spans="1:10" x14ac:dyDescent="0.25">
      <c r="A1492" t="s">
        <v>702</v>
      </c>
      <c r="B1492" t="s">
        <v>478</v>
      </c>
      <c r="C1492" t="s">
        <v>966</v>
      </c>
      <c r="D1492" s="1" t="s">
        <v>967</v>
      </c>
      <c r="E1492" t="s">
        <v>14</v>
      </c>
      <c r="F1492">
        <v>46.326700000000002</v>
      </c>
      <c r="G1492">
        <v>7.2039</v>
      </c>
      <c r="H1492">
        <v>1</v>
      </c>
      <c r="I1492">
        <v>2964.3</v>
      </c>
      <c r="J1492" t="str">
        <f>HYPERLINK("https://climate.onebuilding.org/WMO_Region_6_Europe/CHE_Switzerland/VD_Vaud/CHE_VD_Les.Diablerets.067140_TMYx.2007-2021.zip")</f>
        <v>https://climate.onebuilding.org/WMO_Region_6_Europe/CHE_Switzerland/VD_Vaud/CHE_VD_Les.Diablerets.067140_TMYx.2007-2021.zip</v>
      </c>
    </row>
    <row r="1493" spans="1:10" x14ac:dyDescent="0.25">
      <c r="A1493" t="s">
        <v>702</v>
      </c>
      <c r="B1493" t="s">
        <v>478</v>
      </c>
      <c r="C1493" t="s">
        <v>966</v>
      </c>
      <c r="D1493" s="1" t="s">
        <v>967</v>
      </c>
      <c r="E1493" t="s">
        <v>14</v>
      </c>
      <c r="F1493">
        <v>46.326700000000002</v>
      </c>
      <c r="G1493">
        <v>7.2039</v>
      </c>
      <c r="H1493">
        <v>1</v>
      </c>
      <c r="I1493">
        <v>2964.3</v>
      </c>
      <c r="J1493" t="str">
        <f>HYPERLINK("https://climate.onebuilding.org/WMO_Region_6_Europe/CHE_Switzerland/VD_Vaud/CHE_VD_Les.Diablerets.067140_TMYx.2009-2023.zip")</f>
        <v>https://climate.onebuilding.org/WMO_Region_6_Europe/CHE_Switzerland/VD_Vaud/CHE_VD_Les.Diablerets.067140_TMYx.2009-2023.zip</v>
      </c>
    </row>
    <row r="1494" spans="1:10" x14ac:dyDescent="0.25">
      <c r="A1494" t="s">
        <v>702</v>
      </c>
      <c r="B1494" t="s">
        <v>478</v>
      </c>
      <c r="C1494" t="s">
        <v>966</v>
      </c>
      <c r="D1494" s="1" t="s">
        <v>967</v>
      </c>
      <c r="E1494" t="s">
        <v>14</v>
      </c>
      <c r="F1494">
        <v>46.326700000000002</v>
      </c>
      <c r="G1494">
        <v>7.2039</v>
      </c>
      <c r="H1494">
        <v>1</v>
      </c>
      <c r="I1494">
        <v>2964.3</v>
      </c>
      <c r="J1494" t="str">
        <f>HYPERLINK("https://climate.onebuilding.org/WMO_Region_6_Europe/CHE_Switzerland/VD_Vaud/CHE_VD_Les.Diablerets.067140_TMYx.zip")</f>
        <v>https://climate.onebuilding.org/WMO_Region_6_Europe/CHE_Switzerland/VD_Vaud/CHE_VD_Les.Diablerets.067140_TMYx.zip</v>
      </c>
    </row>
    <row r="1495" spans="1:10" x14ac:dyDescent="0.25">
      <c r="A1495" t="s">
        <v>702</v>
      </c>
      <c r="B1495" t="s">
        <v>954</v>
      </c>
      <c r="C1495" t="s">
        <v>969</v>
      </c>
      <c r="D1495" s="1" t="s">
        <v>970</v>
      </c>
      <c r="E1495" t="s">
        <v>971</v>
      </c>
      <c r="F1495">
        <v>46.183100000000003</v>
      </c>
      <c r="G1495">
        <v>7.0266999999999999</v>
      </c>
      <c r="H1495">
        <v>1</v>
      </c>
      <c r="I1495">
        <v>482.5</v>
      </c>
      <c r="J1495" t="str">
        <f>HYPERLINK("https://climate.onebuilding.org/WMO_Region_6_Europe/CHE_Switzerland/VS_Valais/CHE_VS_Evionnaz.067150_TMYx.2004-2018.zip")</f>
        <v>https://climate.onebuilding.org/WMO_Region_6_Europe/CHE_Switzerland/VS_Valais/CHE_VS_Evionnaz.067150_TMYx.2004-2018.zip</v>
      </c>
    </row>
    <row r="1496" spans="1:10" x14ac:dyDescent="0.25">
      <c r="A1496" t="s">
        <v>702</v>
      </c>
      <c r="B1496" t="s">
        <v>954</v>
      </c>
      <c r="C1496" t="s">
        <v>969</v>
      </c>
      <c r="D1496" s="1" t="s">
        <v>970</v>
      </c>
      <c r="E1496" t="s">
        <v>14</v>
      </c>
      <c r="F1496">
        <v>46.183100000000003</v>
      </c>
      <c r="G1496">
        <v>7.0266999999999999</v>
      </c>
      <c r="H1496">
        <v>1</v>
      </c>
      <c r="I1496">
        <v>482.5</v>
      </c>
      <c r="J1496" t="str">
        <f>HYPERLINK("https://climate.onebuilding.org/WMO_Region_6_Europe/CHE_Switzerland/VS_Valais/CHE_VS_Evionnaz.067150_TMYx.2007-2021.zip")</f>
        <v>https://climate.onebuilding.org/WMO_Region_6_Europe/CHE_Switzerland/VS_Valais/CHE_VS_Evionnaz.067150_TMYx.2007-2021.zip</v>
      </c>
    </row>
    <row r="1497" spans="1:10" x14ac:dyDescent="0.25">
      <c r="A1497" t="s">
        <v>702</v>
      </c>
      <c r="B1497" t="s">
        <v>954</v>
      </c>
      <c r="C1497" t="s">
        <v>969</v>
      </c>
      <c r="D1497" s="1" t="s">
        <v>970</v>
      </c>
      <c r="E1497" t="s">
        <v>14</v>
      </c>
      <c r="F1497">
        <v>46.183100000000003</v>
      </c>
      <c r="G1497">
        <v>7.0266999999999999</v>
      </c>
      <c r="H1497">
        <v>1</v>
      </c>
      <c r="I1497">
        <v>482.5</v>
      </c>
      <c r="J1497" t="str">
        <f>HYPERLINK("https://climate.onebuilding.org/WMO_Region_6_Europe/CHE_Switzerland/VS_Valais/CHE_VS_Evionnaz.067150_TMYx.2009-2023.zip")</f>
        <v>https://climate.onebuilding.org/WMO_Region_6_Europe/CHE_Switzerland/VS_Valais/CHE_VS_Evionnaz.067150_TMYx.2009-2023.zip</v>
      </c>
    </row>
    <row r="1498" spans="1:10" x14ac:dyDescent="0.25">
      <c r="A1498" t="s">
        <v>702</v>
      </c>
      <c r="B1498" t="s">
        <v>954</v>
      </c>
      <c r="C1498" t="s">
        <v>969</v>
      </c>
      <c r="D1498" s="1" t="s">
        <v>970</v>
      </c>
      <c r="E1498" t="s">
        <v>14</v>
      </c>
      <c r="F1498">
        <v>46.183100000000003</v>
      </c>
      <c r="G1498">
        <v>7.0266999999999999</v>
      </c>
      <c r="H1498">
        <v>1</v>
      </c>
      <c r="I1498">
        <v>482.5</v>
      </c>
      <c r="J1498" t="str">
        <f>HYPERLINK("https://climate.onebuilding.org/WMO_Region_6_Europe/CHE_Switzerland/VS_Valais/CHE_VS_Evionnaz.067150_TMYx.zip")</f>
        <v>https://climate.onebuilding.org/WMO_Region_6_Europe/CHE_Switzerland/VS_Valais/CHE_VS_Evionnaz.067150_TMYx.zip</v>
      </c>
    </row>
    <row r="1499" spans="1:10" x14ac:dyDescent="0.25">
      <c r="A1499" t="s">
        <v>702</v>
      </c>
      <c r="B1499" t="s">
        <v>954</v>
      </c>
      <c r="C1499" t="s">
        <v>972</v>
      </c>
      <c r="D1499" s="1" t="s">
        <v>973</v>
      </c>
      <c r="E1499" t="s">
        <v>974</v>
      </c>
      <c r="F1499">
        <v>46.147799999999997</v>
      </c>
      <c r="G1499">
        <v>7.6242000000000001</v>
      </c>
      <c r="H1499">
        <v>1</v>
      </c>
      <c r="I1499">
        <v>1580.2</v>
      </c>
      <c r="J1499" t="str">
        <f>HYPERLINK("https://climate.onebuilding.org/WMO_Region_6_Europe/CHE_Switzerland/VS_Valais/CHE_VS_Mottec.067160_TMYx.2004-2018.zip")</f>
        <v>https://climate.onebuilding.org/WMO_Region_6_Europe/CHE_Switzerland/VS_Valais/CHE_VS_Mottec.067160_TMYx.2004-2018.zip</v>
      </c>
    </row>
    <row r="1500" spans="1:10" x14ac:dyDescent="0.25">
      <c r="A1500" t="s">
        <v>702</v>
      </c>
      <c r="B1500" t="s">
        <v>954</v>
      </c>
      <c r="C1500" t="s">
        <v>972</v>
      </c>
      <c r="D1500" s="1" t="s">
        <v>973</v>
      </c>
      <c r="E1500" t="s">
        <v>14</v>
      </c>
      <c r="F1500">
        <v>46.147799999999997</v>
      </c>
      <c r="G1500">
        <v>7.6242000000000001</v>
      </c>
      <c r="H1500">
        <v>1</v>
      </c>
      <c r="I1500">
        <v>1580.2</v>
      </c>
      <c r="J1500" t="str">
        <f>HYPERLINK("https://climate.onebuilding.org/WMO_Region_6_Europe/CHE_Switzerland/VS_Valais/CHE_VS_Mottec.067160_TMYx.2007-2021.zip")</f>
        <v>https://climate.onebuilding.org/WMO_Region_6_Europe/CHE_Switzerland/VS_Valais/CHE_VS_Mottec.067160_TMYx.2007-2021.zip</v>
      </c>
    </row>
    <row r="1501" spans="1:10" x14ac:dyDescent="0.25">
      <c r="A1501" t="s">
        <v>702</v>
      </c>
      <c r="B1501" t="s">
        <v>954</v>
      </c>
      <c r="C1501" t="s">
        <v>972</v>
      </c>
      <c r="D1501" s="1" t="s">
        <v>973</v>
      </c>
      <c r="E1501" t="s">
        <v>14</v>
      </c>
      <c r="F1501">
        <v>46.147799999999997</v>
      </c>
      <c r="G1501">
        <v>7.6242000000000001</v>
      </c>
      <c r="H1501">
        <v>1</v>
      </c>
      <c r="I1501">
        <v>1580.2</v>
      </c>
      <c r="J1501" t="str">
        <f>HYPERLINK("https://climate.onebuilding.org/WMO_Region_6_Europe/CHE_Switzerland/VS_Valais/CHE_VS_Mottec.067160_TMYx.2009-2023.zip")</f>
        <v>https://climate.onebuilding.org/WMO_Region_6_Europe/CHE_Switzerland/VS_Valais/CHE_VS_Mottec.067160_TMYx.2009-2023.zip</v>
      </c>
    </row>
    <row r="1502" spans="1:10" x14ac:dyDescent="0.25">
      <c r="A1502" t="s">
        <v>702</v>
      </c>
      <c r="B1502" t="s">
        <v>954</v>
      </c>
      <c r="C1502" t="s">
        <v>972</v>
      </c>
      <c r="D1502" s="1" t="s">
        <v>973</v>
      </c>
      <c r="E1502" t="s">
        <v>14</v>
      </c>
      <c r="F1502">
        <v>46.147799999999997</v>
      </c>
      <c r="G1502">
        <v>7.6242000000000001</v>
      </c>
      <c r="H1502">
        <v>1</v>
      </c>
      <c r="I1502">
        <v>1580.2</v>
      </c>
      <c r="J1502" t="str">
        <f>HYPERLINK("https://climate.onebuilding.org/WMO_Region_6_Europe/CHE_Switzerland/VS_Valais/CHE_VS_Mottec.067160_TMYx.zip")</f>
        <v>https://climate.onebuilding.org/WMO_Region_6_Europe/CHE_Switzerland/VS_Valais/CHE_VS_Mottec.067160_TMYx.zip</v>
      </c>
    </row>
    <row r="1503" spans="1:10" x14ac:dyDescent="0.25">
      <c r="A1503" t="s">
        <v>702</v>
      </c>
      <c r="B1503" t="s">
        <v>954</v>
      </c>
      <c r="C1503" t="s">
        <v>975</v>
      </c>
      <c r="D1503" s="1" t="s">
        <v>976</v>
      </c>
      <c r="E1503" t="s">
        <v>977</v>
      </c>
      <c r="F1503">
        <v>45.868899999999996</v>
      </c>
      <c r="G1503">
        <v>7.1707999999999998</v>
      </c>
      <c r="H1503">
        <v>1</v>
      </c>
      <c r="I1503">
        <v>2487.1999999999998</v>
      </c>
      <c r="J1503" t="str">
        <f>HYPERLINK("https://climate.onebuilding.org/WMO_Region_6_Europe/CHE_Switzerland/VS_Valais/CHE_VS_Col.du.Grand.St.Bernard.067170_TMYx.2004-2018.zip")</f>
        <v>https://climate.onebuilding.org/WMO_Region_6_Europe/CHE_Switzerland/VS_Valais/CHE_VS_Col.du.Grand.St.Bernard.067170_TMYx.2004-2018.zip</v>
      </c>
    </row>
    <row r="1504" spans="1:10" x14ac:dyDescent="0.25">
      <c r="A1504" t="s">
        <v>702</v>
      </c>
      <c r="B1504" t="s">
        <v>954</v>
      </c>
      <c r="C1504" t="s">
        <v>975</v>
      </c>
      <c r="D1504" s="1" t="s">
        <v>976</v>
      </c>
      <c r="E1504" t="s">
        <v>14</v>
      </c>
      <c r="F1504">
        <v>45.868899999999996</v>
      </c>
      <c r="G1504">
        <v>7.1707999999999998</v>
      </c>
      <c r="H1504">
        <v>1</v>
      </c>
      <c r="I1504">
        <v>2487.1999999999998</v>
      </c>
      <c r="J1504" t="str">
        <f>HYPERLINK("https://climate.onebuilding.org/WMO_Region_6_Europe/CHE_Switzerland/VS_Valais/CHE_VS_Col.du.Grand.St.Bernard.067170_TMYx.2007-2021.zip")</f>
        <v>https://climate.onebuilding.org/WMO_Region_6_Europe/CHE_Switzerland/VS_Valais/CHE_VS_Col.du.Grand.St.Bernard.067170_TMYx.2007-2021.zip</v>
      </c>
    </row>
    <row r="1505" spans="1:10" x14ac:dyDescent="0.25">
      <c r="A1505" t="s">
        <v>702</v>
      </c>
      <c r="B1505" t="s">
        <v>954</v>
      </c>
      <c r="C1505" t="s">
        <v>975</v>
      </c>
      <c r="D1505" s="1" t="s">
        <v>976</v>
      </c>
      <c r="E1505" t="s">
        <v>14</v>
      </c>
      <c r="F1505">
        <v>45.868899999999996</v>
      </c>
      <c r="G1505">
        <v>7.1707999999999998</v>
      </c>
      <c r="H1505">
        <v>1</v>
      </c>
      <c r="I1505">
        <v>2487.1999999999998</v>
      </c>
      <c r="J1505" t="str">
        <f>HYPERLINK("https://climate.onebuilding.org/WMO_Region_6_Europe/CHE_Switzerland/VS_Valais/CHE_VS_Col.du.Grand.St.Bernard.067170_TMYx.2009-2023.zip")</f>
        <v>https://climate.onebuilding.org/WMO_Region_6_Europe/CHE_Switzerland/VS_Valais/CHE_VS_Col.du.Grand.St.Bernard.067170_TMYx.2009-2023.zip</v>
      </c>
    </row>
    <row r="1506" spans="1:10" x14ac:dyDescent="0.25">
      <c r="A1506" t="s">
        <v>702</v>
      </c>
      <c r="B1506" t="s">
        <v>954</v>
      </c>
      <c r="C1506" t="s">
        <v>975</v>
      </c>
      <c r="D1506" s="1" t="s">
        <v>976</v>
      </c>
      <c r="E1506" t="s">
        <v>14</v>
      </c>
      <c r="F1506">
        <v>45.868899999999996</v>
      </c>
      <c r="G1506">
        <v>7.1707999999999998</v>
      </c>
      <c r="H1506">
        <v>1</v>
      </c>
      <c r="I1506">
        <v>2487.1999999999998</v>
      </c>
      <c r="J1506" t="str">
        <f>HYPERLINK("https://climate.onebuilding.org/WMO_Region_6_Europe/CHE_Switzerland/VS_Valais/CHE_VS_Col.du.Grand.St.Bernard.067170_TMYx.zip")</f>
        <v>https://climate.onebuilding.org/WMO_Region_6_Europe/CHE_Switzerland/VS_Valais/CHE_VS_Col.du.Grand.St.Bernard.067170_TMYx.zip</v>
      </c>
    </row>
    <row r="1507" spans="1:10" x14ac:dyDescent="0.25">
      <c r="A1507" t="s">
        <v>702</v>
      </c>
      <c r="B1507" t="s">
        <v>478</v>
      </c>
      <c r="C1507" t="s">
        <v>978</v>
      </c>
      <c r="D1507" s="1" t="s">
        <v>979</v>
      </c>
      <c r="E1507" t="s">
        <v>14</v>
      </c>
      <c r="F1507">
        <v>46.382800000000003</v>
      </c>
      <c r="G1507">
        <v>6.8981000000000003</v>
      </c>
      <c r="H1507">
        <v>1</v>
      </c>
      <c r="I1507">
        <v>373</v>
      </c>
      <c r="J1507" t="str">
        <f>HYPERLINK("https://climate.onebuilding.org/WMO_Region_6_Europe/CHE_Switzerland/VD_Vaud/CHE_VD_Noville.067180_TMYx.zip")</f>
        <v>https://climate.onebuilding.org/WMO_Region_6_Europe/CHE_Switzerland/VD_Vaud/CHE_VD_Noville.067180_TMYx.zip</v>
      </c>
    </row>
    <row r="1508" spans="1:10" x14ac:dyDescent="0.25">
      <c r="A1508" t="s">
        <v>702</v>
      </c>
      <c r="B1508" t="s">
        <v>954</v>
      </c>
      <c r="C1508" t="s">
        <v>980</v>
      </c>
      <c r="D1508" s="1" t="s">
        <v>981</v>
      </c>
      <c r="E1508" t="s">
        <v>982</v>
      </c>
      <c r="F1508">
        <v>46.218600000000002</v>
      </c>
      <c r="G1508">
        <v>7.3303000000000003</v>
      </c>
      <c r="H1508">
        <v>1</v>
      </c>
      <c r="I1508">
        <v>483</v>
      </c>
      <c r="J1508" t="str">
        <f>HYPERLINK("https://climate.onebuilding.org/WMO_Region_6_Europe/CHE_Switzerland/VS_Valais/CHE_VS_Sion.AP.067200_TMYx.2004-2018.zip")</f>
        <v>https://climate.onebuilding.org/WMO_Region_6_Europe/CHE_Switzerland/VS_Valais/CHE_VS_Sion.AP.067200_TMYx.2004-2018.zip</v>
      </c>
    </row>
    <row r="1509" spans="1:10" x14ac:dyDescent="0.25">
      <c r="A1509" t="s">
        <v>702</v>
      </c>
      <c r="B1509" t="s">
        <v>954</v>
      </c>
      <c r="C1509" t="s">
        <v>980</v>
      </c>
      <c r="D1509" s="1" t="s">
        <v>981</v>
      </c>
      <c r="E1509" t="s">
        <v>14</v>
      </c>
      <c r="F1509">
        <v>46.218600000000002</v>
      </c>
      <c r="G1509">
        <v>7.3303000000000003</v>
      </c>
      <c r="H1509">
        <v>1</v>
      </c>
      <c r="I1509">
        <v>483</v>
      </c>
      <c r="J1509" t="str">
        <f>HYPERLINK("https://climate.onebuilding.org/WMO_Region_6_Europe/CHE_Switzerland/VS_Valais/CHE_VS_Sion.AP.067200_TMYx.2007-2021.zip")</f>
        <v>https://climate.onebuilding.org/WMO_Region_6_Europe/CHE_Switzerland/VS_Valais/CHE_VS_Sion.AP.067200_TMYx.2007-2021.zip</v>
      </c>
    </row>
    <row r="1510" spans="1:10" x14ac:dyDescent="0.25">
      <c r="A1510" t="s">
        <v>702</v>
      </c>
      <c r="B1510" t="s">
        <v>954</v>
      </c>
      <c r="C1510" t="s">
        <v>980</v>
      </c>
      <c r="D1510" s="1" t="s">
        <v>981</v>
      </c>
      <c r="E1510" t="s">
        <v>14</v>
      </c>
      <c r="F1510">
        <v>46.218600000000002</v>
      </c>
      <c r="G1510">
        <v>7.3303000000000003</v>
      </c>
      <c r="H1510">
        <v>1</v>
      </c>
      <c r="I1510">
        <v>483</v>
      </c>
      <c r="J1510" t="str">
        <f>HYPERLINK("https://climate.onebuilding.org/WMO_Region_6_Europe/CHE_Switzerland/VS_Valais/CHE_VS_Sion.AP.067200_TMYx.2009-2023.zip")</f>
        <v>https://climate.onebuilding.org/WMO_Region_6_Europe/CHE_Switzerland/VS_Valais/CHE_VS_Sion.AP.067200_TMYx.2009-2023.zip</v>
      </c>
    </row>
    <row r="1511" spans="1:10" x14ac:dyDescent="0.25">
      <c r="A1511" t="s">
        <v>702</v>
      </c>
      <c r="B1511" t="s">
        <v>954</v>
      </c>
      <c r="C1511" t="s">
        <v>980</v>
      </c>
      <c r="D1511" s="1" t="s">
        <v>981</v>
      </c>
      <c r="E1511" t="s">
        <v>14</v>
      </c>
      <c r="F1511">
        <v>46.218600000000002</v>
      </c>
      <c r="G1511">
        <v>7.3303000000000003</v>
      </c>
      <c r="H1511">
        <v>1</v>
      </c>
      <c r="I1511">
        <v>483</v>
      </c>
      <c r="J1511" t="str">
        <f>HYPERLINK("https://climate.onebuilding.org/WMO_Region_6_Europe/CHE_Switzerland/VS_Valais/CHE_VS_Sion.AP.067200_TMYx.zip")</f>
        <v>https://climate.onebuilding.org/WMO_Region_6_Europe/CHE_Switzerland/VS_Valais/CHE_VS_Sion.AP.067200_TMYx.zip</v>
      </c>
    </row>
    <row r="1512" spans="1:10" x14ac:dyDescent="0.25">
      <c r="A1512" t="s">
        <v>702</v>
      </c>
      <c r="B1512" t="s">
        <v>954</v>
      </c>
      <c r="C1512" t="s">
        <v>983</v>
      </c>
      <c r="D1512" s="1" t="s">
        <v>984</v>
      </c>
      <c r="E1512" t="s">
        <v>985</v>
      </c>
      <c r="F1512">
        <v>46.365600000000001</v>
      </c>
      <c r="G1512">
        <v>8.1907999999999994</v>
      </c>
      <c r="H1512">
        <v>1</v>
      </c>
      <c r="I1512">
        <v>1448</v>
      </c>
      <c r="J1512" t="str">
        <f>HYPERLINK("https://climate.onebuilding.org/WMO_Region_6_Europe/CHE_Switzerland/VS_Valais/CHE_VS_Binn.067210_TMYx.2004-2018.zip")</f>
        <v>https://climate.onebuilding.org/WMO_Region_6_Europe/CHE_Switzerland/VS_Valais/CHE_VS_Binn.067210_TMYx.2004-2018.zip</v>
      </c>
    </row>
    <row r="1513" spans="1:10" x14ac:dyDescent="0.25">
      <c r="A1513" t="s">
        <v>702</v>
      </c>
      <c r="B1513" t="s">
        <v>954</v>
      </c>
      <c r="C1513" t="s">
        <v>983</v>
      </c>
      <c r="D1513" s="1" t="s">
        <v>984</v>
      </c>
      <c r="E1513" t="s">
        <v>14</v>
      </c>
      <c r="F1513">
        <v>46.365600000000001</v>
      </c>
      <c r="G1513">
        <v>8.1907999999999994</v>
      </c>
      <c r="H1513">
        <v>1</v>
      </c>
      <c r="I1513">
        <v>1448</v>
      </c>
      <c r="J1513" t="str">
        <f>HYPERLINK("https://climate.onebuilding.org/WMO_Region_6_Europe/CHE_Switzerland/VS_Valais/CHE_VS_Binn.067210_TMYx.2007-2021.zip")</f>
        <v>https://climate.onebuilding.org/WMO_Region_6_Europe/CHE_Switzerland/VS_Valais/CHE_VS_Binn.067210_TMYx.2007-2021.zip</v>
      </c>
    </row>
    <row r="1514" spans="1:10" x14ac:dyDescent="0.25">
      <c r="A1514" t="s">
        <v>702</v>
      </c>
      <c r="B1514" t="s">
        <v>954</v>
      </c>
      <c r="C1514" t="s">
        <v>983</v>
      </c>
      <c r="D1514" s="1" t="s">
        <v>984</v>
      </c>
      <c r="E1514" t="s">
        <v>14</v>
      </c>
      <c r="F1514">
        <v>46.365600000000001</v>
      </c>
      <c r="G1514">
        <v>8.1907999999999994</v>
      </c>
      <c r="H1514">
        <v>1</v>
      </c>
      <c r="I1514">
        <v>1448</v>
      </c>
      <c r="J1514" t="str">
        <f>HYPERLINK("https://climate.onebuilding.org/WMO_Region_6_Europe/CHE_Switzerland/VS_Valais/CHE_VS_Binn.067210_TMYx.2009-2023.zip")</f>
        <v>https://climate.onebuilding.org/WMO_Region_6_Europe/CHE_Switzerland/VS_Valais/CHE_VS_Binn.067210_TMYx.2009-2023.zip</v>
      </c>
    </row>
    <row r="1515" spans="1:10" x14ac:dyDescent="0.25">
      <c r="A1515" t="s">
        <v>702</v>
      </c>
      <c r="B1515" t="s">
        <v>954</v>
      </c>
      <c r="C1515" t="s">
        <v>983</v>
      </c>
      <c r="D1515" s="1" t="s">
        <v>984</v>
      </c>
      <c r="E1515" t="s">
        <v>14</v>
      </c>
      <c r="F1515">
        <v>46.365600000000001</v>
      </c>
      <c r="G1515">
        <v>8.1907999999999994</v>
      </c>
      <c r="H1515">
        <v>1</v>
      </c>
      <c r="I1515">
        <v>1448</v>
      </c>
      <c r="J1515" t="str">
        <f>HYPERLINK("https://climate.onebuilding.org/WMO_Region_6_Europe/CHE_Switzerland/VS_Valais/CHE_VS_Binn.067210_TMYx.zip")</f>
        <v>https://climate.onebuilding.org/WMO_Region_6_Europe/CHE_Switzerland/VS_Valais/CHE_VS_Binn.067210_TMYx.zip</v>
      </c>
    </row>
    <row r="1516" spans="1:10" x14ac:dyDescent="0.25">
      <c r="A1516" t="s">
        <v>702</v>
      </c>
      <c r="B1516" t="s">
        <v>954</v>
      </c>
      <c r="C1516" t="s">
        <v>986</v>
      </c>
      <c r="D1516" s="1" t="s">
        <v>987</v>
      </c>
      <c r="E1516" t="s">
        <v>988</v>
      </c>
      <c r="F1516">
        <v>46.112200000000001</v>
      </c>
      <c r="G1516">
        <v>7.5086000000000004</v>
      </c>
      <c r="H1516">
        <v>1</v>
      </c>
      <c r="I1516">
        <v>1828.2</v>
      </c>
      <c r="J1516" t="str">
        <f>HYPERLINK("https://climate.onebuilding.org/WMO_Region_6_Europe/CHE_Switzerland/VS_Valais/CHE_VS_Evolene.Villaz.067220_TMYx.2004-2018.zip")</f>
        <v>https://climate.onebuilding.org/WMO_Region_6_Europe/CHE_Switzerland/VS_Valais/CHE_VS_Evolene.Villaz.067220_TMYx.2004-2018.zip</v>
      </c>
    </row>
    <row r="1517" spans="1:10" x14ac:dyDescent="0.25">
      <c r="A1517" t="s">
        <v>702</v>
      </c>
      <c r="B1517" t="s">
        <v>954</v>
      </c>
      <c r="C1517" t="s">
        <v>986</v>
      </c>
      <c r="D1517" s="1" t="s">
        <v>987</v>
      </c>
      <c r="E1517" t="s">
        <v>14</v>
      </c>
      <c r="F1517">
        <v>46.112200000000001</v>
      </c>
      <c r="G1517">
        <v>7.5086000000000004</v>
      </c>
      <c r="H1517">
        <v>1</v>
      </c>
      <c r="I1517">
        <v>1828.2</v>
      </c>
      <c r="J1517" t="str">
        <f>HYPERLINK("https://climate.onebuilding.org/WMO_Region_6_Europe/CHE_Switzerland/VS_Valais/CHE_VS_Evolene.Villaz.067220_TMYx.2007-2021.zip")</f>
        <v>https://climate.onebuilding.org/WMO_Region_6_Europe/CHE_Switzerland/VS_Valais/CHE_VS_Evolene.Villaz.067220_TMYx.2007-2021.zip</v>
      </c>
    </row>
    <row r="1518" spans="1:10" x14ac:dyDescent="0.25">
      <c r="A1518" t="s">
        <v>702</v>
      </c>
      <c r="B1518" t="s">
        <v>954</v>
      </c>
      <c r="C1518" t="s">
        <v>986</v>
      </c>
      <c r="D1518" s="1" t="s">
        <v>987</v>
      </c>
      <c r="E1518" t="s">
        <v>14</v>
      </c>
      <c r="F1518">
        <v>46.112200000000001</v>
      </c>
      <c r="G1518">
        <v>7.5086000000000004</v>
      </c>
      <c r="H1518">
        <v>1</v>
      </c>
      <c r="I1518">
        <v>1828.2</v>
      </c>
      <c r="J1518" t="str">
        <f>HYPERLINK("https://climate.onebuilding.org/WMO_Region_6_Europe/CHE_Switzerland/VS_Valais/CHE_VS_Evolene.Villaz.067220_TMYx.2009-2023.zip")</f>
        <v>https://climate.onebuilding.org/WMO_Region_6_Europe/CHE_Switzerland/VS_Valais/CHE_VS_Evolene.Villaz.067220_TMYx.2009-2023.zip</v>
      </c>
    </row>
    <row r="1519" spans="1:10" x14ac:dyDescent="0.25">
      <c r="A1519" t="s">
        <v>702</v>
      </c>
      <c r="B1519" t="s">
        <v>954</v>
      </c>
      <c r="C1519" t="s">
        <v>986</v>
      </c>
      <c r="D1519" s="1" t="s">
        <v>987</v>
      </c>
      <c r="E1519" t="s">
        <v>14</v>
      </c>
      <c r="F1519">
        <v>46.112200000000001</v>
      </c>
      <c r="G1519">
        <v>7.5086000000000004</v>
      </c>
      <c r="H1519">
        <v>1</v>
      </c>
      <c r="I1519">
        <v>1828.2</v>
      </c>
      <c r="J1519" t="str">
        <f>HYPERLINK("https://climate.onebuilding.org/WMO_Region_6_Europe/CHE_Switzerland/VS_Valais/CHE_VS_Evolene.Villaz.067220_TMYx.zip")</f>
        <v>https://climate.onebuilding.org/WMO_Region_6_Europe/CHE_Switzerland/VS_Valais/CHE_VS_Evolene.Villaz.067220_TMYx.zip</v>
      </c>
    </row>
    <row r="1520" spans="1:10" x14ac:dyDescent="0.25">
      <c r="A1520" t="s">
        <v>702</v>
      </c>
      <c r="B1520" t="s">
        <v>954</v>
      </c>
      <c r="C1520" t="s">
        <v>989</v>
      </c>
      <c r="D1520" s="1" t="s">
        <v>990</v>
      </c>
      <c r="E1520" t="s">
        <v>991</v>
      </c>
      <c r="F1520">
        <v>46.099200000000003</v>
      </c>
      <c r="G1520">
        <v>7.2686000000000002</v>
      </c>
      <c r="H1520">
        <v>1</v>
      </c>
      <c r="I1520">
        <v>2733</v>
      </c>
      <c r="J1520" t="str">
        <f>HYPERLINK("https://climate.onebuilding.org/WMO_Region_6_Europe/CHE_Switzerland/VS_Valais/CHE_VS_Verbier-Les.Attlelas.067230_TMYx.2004-2018.zip")</f>
        <v>https://climate.onebuilding.org/WMO_Region_6_Europe/CHE_Switzerland/VS_Valais/CHE_VS_Verbier-Les.Attlelas.067230_TMYx.2004-2018.zip</v>
      </c>
    </row>
    <row r="1521" spans="1:10" x14ac:dyDescent="0.25">
      <c r="A1521" t="s">
        <v>702</v>
      </c>
      <c r="B1521" t="s">
        <v>954</v>
      </c>
      <c r="C1521" t="s">
        <v>989</v>
      </c>
      <c r="D1521" s="1" t="s">
        <v>990</v>
      </c>
      <c r="E1521" t="s">
        <v>14</v>
      </c>
      <c r="F1521">
        <v>46.099200000000003</v>
      </c>
      <c r="G1521">
        <v>7.2686000000000002</v>
      </c>
      <c r="H1521">
        <v>1</v>
      </c>
      <c r="I1521">
        <v>2733</v>
      </c>
      <c r="J1521" t="str">
        <f>HYPERLINK("https://climate.onebuilding.org/WMO_Region_6_Europe/CHE_Switzerland/VS_Valais/CHE_VS_Verbier-Les.Attlelas.067230_TMYx.2007-2021.zip")</f>
        <v>https://climate.onebuilding.org/WMO_Region_6_Europe/CHE_Switzerland/VS_Valais/CHE_VS_Verbier-Les.Attlelas.067230_TMYx.2007-2021.zip</v>
      </c>
    </row>
    <row r="1522" spans="1:10" x14ac:dyDescent="0.25">
      <c r="A1522" t="s">
        <v>702</v>
      </c>
      <c r="B1522" t="s">
        <v>954</v>
      </c>
      <c r="C1522" t="s">
        <v>989</v>
      </c>
      <c r="D1522" s="1" t="s">
        <v>990</v>
      </c>
      <c r="E1522" t="s">
        <v>14</v>
      </c>
      <c r="F1522">
        <v>46.099200000000003</v>
      </c>
      <c r="G1522">
        <v>7.2686000000000002</v>
      </c>
      <c r="H1522">
        <v>1</v>
      </c>
      <c r="I1522">
        <v>2733</v>
      </c>
      <c r="J1522" t="str">
        <f>HYPERLINK("https://climate.onebuilding.org/WMO_Region_6_Europe/CHE_Switzerland/VS_Valais/CHE_VS_Verbier-Les.Attlelas.067230_TMYx.2009-2023.zip")</f>
        <v>https://climate.onebuilding.org/WMO_Region_6_Europe/CHE_Switzerland/VS_Valais/CHE_VS_Verbier-Les.Attlelas.067230_TMYx.2009-2023.zip</v>
      </c>
    </row>
    <row r="1523" spans="1:10" x14ac:dyDescent="0.25">
      <c r="A1523" t="s">
        <v>702</v>
      </c>
      <c r="B1523" t="s">
        <v>954</v>
      </c>
      <c r="C1523" t="s">
        <v>989</v>
      </c>
      <c r="D1523" s="1" t="s">
        <v>990</v>
      </c>
      <c r="E1523" t="s">
        <v>14</v>
      </c>
      <c r="F1523">
        <v>46.099200000000003</v>
      </c>
      <c r="G1523">
        <v>7.2686000000000002</v>
      </c>
      <c r="H1523">
        <v>1</v>
      </c>
      <c r="I1523">
        <v>2733</v>
      </c>
      <c r="J1523" t="str">
        <f>HYPERLINK("https://climate.onebuilding.org/WMO_Region_6_Europe/CHE_Switzerland/VS_Valais/CHE_VS_Verbier-Les.Attlelas.067230_TMYx.zip")</f>
        <v>https://climate.onebuilding.org/WMO_Region_6_Europe/CHE_Switzerland/VS_Valais/CHE_VS_Verbier-Les.Attlelas.067230_TMYx.zip</v>
      </c>
    </row>
    <row r="1524" spans="1:10" x14ac:dyDescent="0.25">
      <c r="A1524" t="s">
        <v>702</v>
      </c>
      <c r="B1524" t="s">
        <v>954</v>
      </c>
      <c r="C1524" t="s">
        <v>992</v>
      </c>
      <c r="D1524" s="1" t="s">
        <v>993</v>
      </c>
      <c r="E1524" t="s">
        <v>994</v>
      </c>
      <c r="F1524">
        <v>46.2986</v>
      </c>
      <c r="G1524">
        <v>7.4607999999999999</v>
      </c>
      <c r="H1524">
        <v>1</v>
      </c>
      <c r="I1524">
        <v>1424.1</v>
      </c>
      <c r="J1524" t="str">
        <f>HYPERLINK("https://climate.onebuilding.org/WMO_Region_6_Europe/CHE_Switzerland/VS_Valais/CHE_VS_Montana.067240_TMYx.2004-2018.zip")</f>
        <v>https://climate.onebuilding.org/WMO_Region_6_Europe/CHE_Switzerland/VS_Valais/CHE_VS_Montana.067240_TMYx.2004-2018.zip</v>
      </c>
    </row>
    <row r="1525" spans="1:10" x14ac:dyDescent="0.25">
      <c r="A1525" t="s">
        <v>702</v>
      </c>
      <c r="B1525" t="s">
        <v>954</v>
      </c>
      <c r="C1525" t="s">
        <v>992</v>
      </c>
      <c r="D1525" s="1" t="s">
        <v>993</v>
      </c>
      <c r="E1525" t="s">
        <v>14</v>
      </c>
      <c r="F1525">
        <v>46.2986</v>
      </c>
      <c r="G1525">
        <v>7.4607999999999999</v>
      </c>
      <c r="H1525">
        <v>1</v>
      </c>
      <c r="I1525">
        <v>1424.1</v>
      </c>
      <c r="J1525" t="str">
        <f>HYPERLINK("https://climate.onebuilding.org/WMO_Region_6_Europe/CHE_Switzerland/VS_Valais/CHE_VS_Montana.067240_TMYx.2007-2021.zip")</f>
        <v>https://climate.onebuilding.org/WMO_Region_6_Europe/CHE_Switzerland/VS_Valais/CHE_VS_Montana.067240_TMYx.2007-2021.zip</v>
      </c>
    </row>
    <row r="1526" spans="1:10" x14ac:dyDescent="0.25">
      <c r="A1526" t="s">
        <v>702</v>
      </c>
      <c r="B1526" t="s">
        <v>954</v>
      </c>
      <c r="C1526" t="s">
        <v>992</v>
      </c>
      <c r="D1526" s="1" t="s">
        <v>993</v>
      </c>
      <c r="E1526" t="s">
        <v>14</v>
      </c>
      <c r="F1526">
        <v>46.2986</v>
      </c>
      <c r="G1526">
        <v>7.4607999999999999</v>
      </c>
      <c r="H1526">
        <v>1</v>
      </c>
      <c r="I1526">
        <v>1424.1</v>
      </c>
      <c r="J1526" t="str">
        <f>HYPERLINK("https://climate.onebuilding.org/WMO_Region_6_Europe/CHE_Switzerland/VS_Valais/CHE_VS_Montana.067240_TMYx.2009-2023.zip")</f>
        <v>https://climate.onebuilding.org/WMO_Region_6_Europe/CHE_Switzerland/VS_Valais/CHE_VS_Montana.067240_TMYx.2009-2023.zip</v>
      </c>
    </row>
    <row r="1527" spans="1:10" x14ac:dyDescent="0.25">
      <c r="A1527" t="s">
        <v>702</v>
      </c>
      <c r="B1527" t="s">
        <v>954</v>
      </c>
      <c r="C1527" t="s">
        <v>992</v>
      </c>
      <c r="D1527" s="1" t="s">
        <v>993</v>
      </c>
      <c r="E1527" t="s">
        <v>14</v>
      </c>
      <c r="F1527">
        <v>46.2986</v>
      </c>
      <c r="G1527">
        <v>7.4607999999999999</v>
      </c>
      <c r="H1527">
        <v>1</v>
      </c>
      <c r="I1527">
        <v>1424.1</v>
      </c>
      <c r="J1527" t="str">
        <f>HYPERLINK("https://climate.onebuilding.org/WMO_Region_6_Europe/CHE_Switzerland/VS_Valais/CHE_VS_Montana.067240_TMYx.zip")</f>
        <v>https://climate.onebuilding.org/WMO_Region_6_Europe/CHE_Switzerland/VS_Valais/CHE_VS_Montana.067240_TMYx.zip</v>
      </c>
    </row>
    <row r="1528" spans="1:10" x14ac:dyDescent="0.25">
      <c r="A1528" t="s">
        <v>702</v>
      </c>
      <c r="B1528" t="s">
        <v>954</v>
      </c>
      <c r="C1528" t="s">
        <v>995</v>
      </c>
      <c r="D1528" s="1" t="s">
        <v>996</v>
      </c>
      <c r="E1528" t="s">
        <v>997</v>
      </c>
      <c r="F1528">
        <v>46.4206</v>
      </c>
      <c r="G1528">
        <v>7.8232999999999997</v>
      </c>
      <c r="H1528">
        <v>1</v>
      </c>
      <c r="I1528">
        <v>1538.2</v>
      </c>
      <c r="J1528" t="str">
        <f>HYPERLINK("https://climate.onebuilding.org/WMO_Region_6_Europe/CHE_Switzerland/VS_Valais/CHE_VS_Blatten.067250_TMYx.2004-2018.zip")</f>
        <v>https://climate.onebuilding.org/WMO_Region_6_Europe/CHE_Switzerland/VS_Valais/CHE_VS_Blatten.067250_TMYx.2004-2018.zip</v>
      </c>
    </row>
    <row r="1529" spans="1:10" x14ac:dyDescent="0.25">
      <c r="A1529" t="s">
        <v>702</v>
      </c>
      <c r="B1529" t="s">
        <v>954</v>
      </c>
      <c r="C1529" t="s">
        <v>995</v>
      </c>
      <c r="D1529" s="1" t="s">
        <v>996</v>
      </c>
      <c r="E1529" t="s">
        <v>14</v>
      </c>
      <c r="F1529">
        <v>46.4206</v>
      </c>
      <c r="G1529">
        <v>7.8232999999999997</v>
      </c>
      <c r="H1529">
        <v>1</v>
      </c>
      <c r="I1529">
        <v>1538.2</v>
      </c>
      <c r="J1529" t="str">
        <f>HYPERLINK("https://climate.onebuilding.org/WMO_Region_6_Europe/CHE_Switzerland/VS_Valais/CHE_VS_Blatten.067250_TMYx.2007-2021.zip")</f>
        <v>https://climate.onebuilding.org/WMO_Region_6_Europe/CHE_Switzerland/VS_Valais/CHE_VS_Blatten.067250_TMYx.2007-2021.zip</v>
      </c>
    </row>
    <row r="1530" spans="1:10" x14ac:dyDescent="0.25">
      <c r="A1530" t="s">
        <v>702</v>
      </c>
      <c r="B1530" t="s">
        <v>954</v>
      </c>
      <c r="C1530" t="s">
        <v>995</v>
      </c>
      <c r="D1530" s="1" t="s">
        <v>996</v>
      </c>
      <c r="E1530" t="s">
        <v>14</v>
      </c>
      <c r="F1530">
        <v>46.4206</v>
      </c>
      <c r="G1530">
        <v>7.8232999999999997</v>
      </c>
      <c r="H1530">
        <v>1</v>
      </c>
      <c r="I1530">
        <v>1538.2</v>
      </c>
      <c r="J1530" t="str">
        <f>HYPERLINK("https://climate.onebuilding.org/WMO_Region_6_Europe/CHE_Switzerland/VS_Valais/CHE_VS_Blatten.067250_TMYx.2009-2023.zip")</f>
        <v>https://climate.onebuilding.org/WMO_Region_6_Europe/CHE_Switzerland/VS_Valais/CHE_VS_Blatten.067250_TMYx.2009-2023.zip</v>
      </c>
    </row>
    <row r="1531" spans="1:10" x14ac:dyDescent="0.25">
      <c r="A1531" t="s">
        <v>702</v>
      </c>
      <c r="B1531" t="s">
        <v>954</v>
      </c>
      <c r="C1531" t="s">
        <v>995</v>
      </c>
      <c r="D1531" s="1" t="s">
        <v>996</v>
      </c>
      <c r="E1531" t="s">
        <v>14</v>
      </c>
      <c r="F1531">
        <v>46.4206</v>
      </c>
      <c r="G1531">
        <v>7.8232999999999997</v>
      </c>
      <c r="H1531">
        <v>1</v>
      </c>
      <c r="I1531">
        <v>1538.2</v>
      </c>
      <c r="J1531" t="str">
        <f>HYPERLINK("https://climate.onebuilding.org/WMO_Region_6_Europe/CHE_Switzerland/VS_Valais/CHE_VS_Blatten.067250_TMYx.zip")</f>
        <v>https://climate.onebuilding.org/WMO_Region_6_Europe/CHE_Switzerland/VS_Valais/CHE_VS_Blatten.067250_TMYx.zip</v>
      </c>
    </row>
    <row r="1532" spans="1:10" x14ac:dyDescent="0.25">
      <c r="A1532" t="s">
        <v>702</v>
      </c>
      <c r="B1532" t="s">
        <v>954</v>
      </c>
      <c r="C1532" t="s">
        <v>998</v>
      </c>
      <c r="D1532" s="1" t="s">
        <v>999</v>
      </c>
      <c r="E1532" t="s">
        <v>1000</v>
      </c>
      <c r="F1532">
        <v>46.302799999999998</v>
      </c>
      <c r="G1532">
        <v>7.8430999999999997</v>
      </c>
      <c r="H1532">
        <v>1</v>
      </c>
      <c r="I1532">
        <v>640.6</v>
      </c>
      <c r="J1532" t="str">
        <f>HYPERLINK("https://climate.onebuilding.org/WMO_Region_6_Europe/CHE_Switzerland/VS_Valais/CHE_VS_Visp.067270_TMYx.2004-2018.zip")</f>
        <v>https://climate.onebuilding.org/WMO_Region_6_Europe/CHE_Switzerland/VS_Valais/CHE_VS_Visp.067270_TMYx.2004-2018.zip</v>
      </c>
    </row>
    <row r="1533" spans="1:10" x14ac:dyDescent="0.25">
      <c r="A1533" t="s">
        <v>702</v>
      </c>
      <c r="B1533" t="s">
        <v>954</v>
      </c>
      <c r="C1533" t="s">
        <v>998</v>
      </c>
      <c r="D1533" s="1" t="s">
        <v>999</v>
      </c>
      <c r="E1533" t="s">
        <v>14</v>
      </c>
      <c r="F1533">
        <v>46.302799999999998</v>
      </c>
      <c r="G1533">
        <v>7.8430999999999997</v>
      </c>
      <c r="H1533">
        <v>1</v>
      </c>
      <c r="I1533">
        <v>640.6</v>
      </c>
      <c r="J1533" t="str">
        <f>HYPERLINK("https://climate.onebuilding.org/WMO_Region_6_Europe/CHE_Switzerland/VS_Valais/CHE_VS_Visp.067270_TMYx.2007-2021.zip")</f>
        <v>https://climate.onebuilding.org/WMO_Region_6_Europe/CHE_Switzerland/VS_Valais/CHE_VS_Visp.067270_TMYx.2007-2021.zip</v>
      </c>
    </row>
    <row r="1534" spans="1:10" x14ac:dyDescent="0.25">
      <c r="A1534" t="s">
        <v>702</v>
      </c>
      <c r="B1534" t="s">
        <v>954</v>
      </c>
      <c r="C1534" t="s">
        <v>998</v>
      </c>
      <c r="D1534" s="1" t="s">
        <v>999</v>
      </c>
      <c r="E1534" t="s">
        <v>14</v>
      </c>
      <c r="F1534">
        <v>46.302799999999998</v>
      </c>
      <c r="G1534">
        <v>7.8430999999999997</v>
      </c>
      <c r="H1534">
        <v>1</v>
      </c>
      <c r="I1534">
        <v>640.6</v>
      </c>
      <c r="J1534" t="str">
        <f>HYPERLINK("https://climate.onebuilding.org/WMO_Region_6_Europe/CHE_Switzerland/VS_Valais/CHE_VS_Visp.067270_TMYx.2009-2023.zip")</f>
        <v>https://climate.onebuilding.org/WMO_Region_6_Europe/CHE_Switzerland/VS_Valais/CHE_VS_Visp.067270_TMYx.2009-2023.zip</v>
      </c>
    </row>
    <row r="1535" spans="1:10" x14ac:dyDescent="0.25">
      <c r="A1535" t="s">
        <v>702</v>
      </c>
      <c r="B1535" t="s">
        <v>954</v>
      </c>
      <c r="C1535" t="s">
        <v>998</v>
      </c>
      <c r="D1535" s="1" t="s">
        <v>999</v>
      </c>
      <c r="E1535" t="s">
        <v>14</v>
      </c>
      <c r="F1535">
        <v>46.302799999999998</v>
      </c>
      <c r="G1535">
        <v>7.8430999999999997</v>
      </c>
      <c r="H1535">
        <v>1</v>
      </c>
      <c r="I1535">
        <v>640.6</v>
      </c>
      <c r="J1535" t="str">
        <f>HYPERLINK("https://climate.onebuilding.org/WMO_Region_6_Europe/CHE_Switzerland/VS_Valais/CHE_VS_Visp.067270_TMYx.zip")</f>
        <v>https://climate.onebuilding.org/WMO_Region_6_Europe/CHE_Switzerland/VS_Valais/CHE_VS_Visp.067270_TMYx.zip</v>
      </c>
    </row>
    <row r="1536" spans="1:10" x14ac:dyDescent="0.25">
      <c r="A1536" t="s">
        <v>702</v>
      </c>
      <c r="B1536" t="s">
        <v>954</v>
      </c>
      <c r="C1536" t="s">
        <v>1001</v>
      </c>
      <c r="D1536" s="1" t="s">
        <v>1002</v>
      </c>
      <c r="E1536" t="s">
        <v>1003</v>
      </c>
      <c r="F1536">
        <v>46.195300000000003</v>
      </c>
      <c r="G1536">
        <v>7.8369</v>
      </c>
      <c r="H1536">
        <v>1</v>
      </c>
      <c r="I1536">
        <v>1605.2</v>
      </c>
      <c r="J1536" t="str">
        <f>HYPERLINK("https://climate.onebuilding.org/WMO_Region_6_Europe/CHE_Switzerland/VS_Valais/CHE_VS_Grachen.067280_TMYx.2004-2018.zip")</f>
        <v>https://climate.onebuilding.org/WMO_Region_6_Europe/CHE_Switzerland/VS_Valais/CHE_VS_Grachen.067280_TMYx.2004-2018.zip</v>
      </c>
    </row>
    <row r="1537" spans="1:10" x14ac:dyDescent="0.25">
      <c r="A1537" t="s">
        <v>702</v>
      </c>
      <c r="B1537" t="s">
        <v>954</v>
      </c>
      <c r="C1537" t="s">
        <v>1001</v>
      </c>
      <c r="D1537" s="1" t="s">
        <v>1002</v>
      </c>
      <c r="E1537" t="s">
        <v>14</v>
      </c>
      <c r="F1537">
        <v>46.195300000000003</v>
      </c>
      <c r="G1537">
        <v>7.8369</v>
      </c>
      <c r="H1537">
        <v>1</v>
      </c>
      <c r="I1537">
        <v>1605.2</v>
      </c>
      <c r="J1537" t="str">
        <f>HYPERLINK("https://climate.onebuilding.org/WMO_Region_6_Europe/CHE_Switzerland/VS_Valais/CHE_VS_Grachen.067280_TMYx.2007-2021.zip")</f>
        <v>https://climate.onebuilding.org/WMO_Region_6_Europe/CHE_Switzerland/VS_Valais/CHE_VS_Grachen.067280_TMYx.2007-2021.zip</v>
      </c>
    </row>
    <row r="1538" spans="1:10" x14ac:dyDescent="0.25">
      <c r="A1538" t="s">
        <v>702</v>
      </c>
      <c r="B1538" t="s">
        <v>954</v>
      </c>
      <c r="C1538" t="s">
        <v>1001</v>
      </c>
      <c r="D1538" s="1" t="s">
        <v>1002</v>
      </c>
      <c r="E1538" t="s">
        <v>14</v>
      </c>
      <c r="F1538">
        <v>46.195300000000003</v>
      </c>
      <c r="G1538">
        <v>7.8369</v>
      </c>
      <c r="H1538">
        <v>1</v>
      </c>
      <c r="I1538">
        <v>1605.2</v>
      </c>
      <c r="J1538" t="str">
        <f>HYPERLINK("https://climate.onebuilding.org/WMO_Region_6_Europe/CHE_Switzerland/VS_Valais/CHE_VS_Grachen.067280_TMYx.2009-2023.zip")</f>
        <v>https://climate.onebuilding.org/WMO_Region_6_Europe/CHE_Switzerland/VS_Valais/CHE_VS_Grachen.067280_TMYx.2009-2023.zip</v>
      </c>
    </row>
    <row r="1539" spans="1:10" x14ac:dyDescent="0.25">
      <c r="A1539" t="s">
        <v>702</v>
      </c>
      <c r="B1539" t="s">
        <v>954</v>
      </c>
      <c r="C1539" t="s">
        <v>1001</v>
      </c>
      <c r="D1539" s="1" t="s">
        <v>1002</v>
      </c>
      <c r="E1539" t="s">
        <v>14</v>
      </c>
      <c r="F1539">
        <v>46.195300000000003</v>
      </c>
      <c r="G1539">
        <v>7.8369</v>
      </c>
      <c r="H1539">
        <v>1</v>
      </c>
      <c r="I1539">
        <v>1605.2</v>
      </c>
      <c r="J1539" t="str">
        <f>HYPERLINK("https://climate.onebuilding.org/WMO_Region_6_Europe/CHE_Switzerland/VS_Valais/CHE_VS_Grachen.067280_TMYx.zip")</f>
        <v>https://climate.onebuilding.org/WMO_Region_6_Europe/CHE_Switzerland/VS_Valais/CHE_VS_Grachen.067280_TMYx.zip</v>
      </c>
    </row>
    <row r="1540" spans="1:10" x14ac:dyDescent="0.25">
      <c r="A1540" t="s">
        <v>702</v>
      </c>
      <c r="B1540" t="s">
        <v>65</v>
      </c>
      <c r="C1540" t="s">
        <v>1004</v>
      </c>
      <c r="D1540" s="1" t="s">
        <v>1005</v>
      </c>
      <c r="E1540" t="s">
        <v>1006</v>
      </c>
      <c r="F1540">
        <v>46.547499999999999</v>
      </c>
      <c r="G1540">
        <v>7.9852999999999996</v>
      </c>
      <c r="H1540">
        <v>1</v>
      </c>
      <c r="I1540">
        <v>3576.4</v>
      </c>
      <c r="J1540" t="str">
        <f>HYPERLINK("https://climate.onebuilding.org/WMO_Region_6_Europe/CHE_Switzerland/BE_Bern/CHE_BE_Jungfraujoch.067300_TMYx.2004-2018.zip")</f>
        <v>https://climate.onebuilding.org/WMO_Region_6_Europe/CHE_Switzerland/BE_Bern/CHE_BE_Jungfraujoch.067300_TMYx.2004-2018.zip</v>
      </c>
    </row>
    <row r="1541" spans="1:10" x14ac:dyDescent="0.25">
      <c r="A1541" t="s">
        <v>702</v>
      </c>
      <c r="B1541" t="s">
        <v>65</v>
      </c>
      <c r="C1541" t="s">
        <v>1004</v>
      </c>
      <c r="D1541" s="1" t="s">
        <v>1005</v>
      </c>
      <c r="E1541" t="s">
        <v>14</v>
      </c>
      <c r="F1541">
        <v>46.547499999999999</v>
      </c>
      <c r="G1541">
        <v>7.9852999999999996</v>
      </c>
      <c r="H1541">
        <v>1</v>
      </c>
      <c r="I1541">
        <v>3576.4</v>
      </c>
      <c r="J1541" t="str">
        <f>HYPERLINK("https://climate.onebuilding.org/WMO_Region_6_Europe/CHE_Switzerland/BE_Bern/CHE_BE_Jungfraujoch.067300_TMYx.2007-2021.zip")</f>
        <v>https://climate.onebuilding.org/WMO_Region_6_Europe/CHE_Switzerland/BE_Bern/CHE_BE_Jungfraujoch.067300_TMYx.2007-2021.zip</v>
      </c>
    </row>
    <row r="1542" spans="1:10" x14ac:dyDescent="0.25">
      <c r="A1542" t="s">
        <v>702</v>
      </c>
      <c r="B1542" t="s">
        <v>65</v>
      </c>
      <c r="C1542" t="s">
        <v>1004</v>
      </c>
      <c r="D1542" s="1" t="s">
        <v>1005</v>
      </c>
      <c r="E1542" t="s">
        <v>14</v>
      </c>
      <c r="F1542">
        <v>46.547499999999999</v>
      </c>
      <c r="G1542">
        <v>7.9852999999999996</v>
      </c>
      <c r="H1542">
        <v>1</v>
      </c>
      <c r="I1542">
        <v>3576.4</v>
      </c>
      <c r="J1542" t="str">
        <f>HYPERLINK("https://climate.onebuilding.org/WMO_Region_6_Europe/CHE_Switzerland/BE_Bern/CHE_BE_Jungfraujoch.067300_TMYx.2009-2023.zip")</f>
        <v>https://climate.onebuilding.org/WMO_Region_6_Europe/CHE_Switzerland/BE_Bern/CHE_BE_Jungfraujoch.067300_TMYx.2009-2023.zip</v>
      </c>
    </row>
    <row r="1543" spans="1:10" x14ac:dyDescent="0.25">
      <c r="A1543" t="s">
        <v>702</v>
      </c>
      <c r="B1543" t="s">
        <v>65</v>
      </c>
      <c r="C1543" t="s">
        <v>1004</v>
      </c>
      <c r="D1543" s="1" t="s">
        <v>1005</v>
      </c>
      <c r="E1543" t="s">
        <v>14</v>
      </c>
      <c r="F1543">
        <v>46.547499999999999</v>
      </c>
      <c r="G1543">
        <v>7.9852999999999996</v>
      </c>
      <c r="H1543">
        <v>1</v>
      </c>
      <c r="I1543">
        <v>3576.4</v>
      </c>
      <c r="J1543" t="str">
        <f>HYPERLINK("https://climate.onebuilding.org/WMO_Region_6_Europe/CHE_Switzerland/BE_Bern/CHE_BE_Jungfraujoch.067300_TMYx.zip")</f>
        <v>https://climate.onebuilding.org/WMO_Region_6_Europe/CHE_Switzerland/BE_Bern/CHE_BE_Jungfraujoch.067300_TMYx.zip</v>
      </c>
    </row>
    <row r="1544" spans="1:10" x14ac:dyDescent="0.25">
      <c r="A1544" t="s">
        <v>702</v>
      </c>
      <c r="B1544" t="s">
        <v>65</v>
      </c>
      <c r="C1544" t="s">
        <v>1007</v>
      </c>
      <c r="D1544" s="1" t="s">
        <v>1008</v>
      </c>
      <c r="E1544" t="s">
        <v>1009</v>
      </c>
      <c r="F1544">
        <v>46.623600000000003</v>
      </c>
      <c r="G1544">
        <v>7.3841999999999999</v>
      </c>
      <c r="H1544">
        <v>1</v>
      </c>
      <c r="I1544">
        <v>820.8</v>
      </c>
      <c r="J1544" t="str">
        <f>HYPERLINK("https://climate.onebuilding.org/WMO_Region_6_Europe/CHE_Switzerland/BE_Bern/CHE_BE_Boltigen.067330_TMYx.2004-2018.zip")</f>
        <v>https://climate.onebuilding.org/WMO_Region_6_Europe/CHE_Switzerland/BE_Bern/CHE_BE_Boltigen.067330_TMYx.2004-2018.zip</v>
      </c>
    </row>
    <row r="1545" spans="1:10" x14ac:dyDescent="0.25">
      <c r="A1545" t="s">
        <v>702</v>
      </c>
      <c r="B1545" t="s">
        <v>65</v>
      </c>
      <c r="C1545" t="s">
        <v>1007</v>
      </c>
      <c r="D1545" s="1" t="s">
        <v>1008</v>
      </c>
      <c r="E1545" t="s">
        <v>14</v>
      </c>
      <c r="F1545">
        <v>46.623600000000003</v>
      </c>
      <c r="G1545">
        <v>7.3841999999999999</v>
      </c>
      <c r="H1545">
        <v>1</v>
      </c>
      <c r="I1545">
        <v>820.8</v>
      </c>
      <c r="J1545" t="str">
        <f>HYPERLINK("https://climate.onebuilding.org/WMO_Region_6_Europe/CHE_Switzerland/BE_Bern/CHE_BE_Boltigen.067330_TMYx.2007-2021.zip")</f>
        <v>https://climate.onebuilding.org/WMO_Region_6_Europe/CHE_Switzerland/BE_Bern/CHE_BE_Boltigen.067330_TMYx.2007-2021.zip</v>
      </c>
    </row>
    <row r="1546" spans="1:10" x14ac:dyDescent="0.25">
      <c r="A1546" t="s">
        <v>702</v>
      </c>
      <c r="B1546" t="s">
        <v>65</v>
      </c>
      <c r="C1546" t="s">
        <v>1007</v>
      </c>
      <c r="D1546" s="1" t="s">
        <v>1008</v>
      </c>
      <c r="E1546" t="s">
        <v>14</v>
      </c>
      <c r="F1546">
        <v>46.623600000000003</v>
      </c>
      <c r="G1546">
        <v>7.3841999999999999</v>
      </c>
      <c r="H1546">
        <v>1</v>
      </c>
      <c r="I1546">
        <v>820.8</v>
      </c>
      <c r="J1546" t="str">
        <f>HYPERLINK("https://climate.onebuilding.org/WMO_Region_6_Europe/CHE_Switzerland/BE_Bern/CHE_BE_Boltigen.067330_TMYx.2009-2023.zip")</f>
        <v>https://climate.onebuilding.org/WMO_Region_6_Europe/CHE_Switzerland/BE_Bern/CHE_BE_Boltigen.067330_TMYx.2009-2023.zip</v>
      </c>
    </row>
    <row r="1547" spans="1:10" x14ac:dyDescent="0.25">
      <c r="A1547" t="s">
        <v>702</v>
      </c>
      <c r="B1547" t="s">
        <v>65</v>
      </c>
      <c r="C1547" t="s">
        <v>1007</v>
      </c>
      <c r="D1547" s="1" t="s">
        <v>1008</v>
      </c>
      <c r="E1547" t="s">
        <v>14</v>
      </c>
      <c r="F1547">
        <v>46.623600000000003</v>
      </c>
      <c r="G1547">
        <v>7.3841999999999999</v>
      </c>
      <c r="H1547">
        <v>1</v>
      </c>
      <c r="I1547">
        <v>820.8</v>
      </c>
      <c r="J1547" t="str">
        <f>HYPERLINK("https://climate.onebuilding.org/WMO_Region_6_Europe/CHE_Switzerland/BE_Bern/CHE_BE_Boltigen.067330_TMYx.zip")</f>
        <v>https://climate.onebuilding.org/WMO_Region_6_Europe/CHE_Switzerland/BE_Bern/CHE_BE_Boltigen.067330_TMYx.zip</v>
      </c>
    </row>
    <row r="1548" spans="1:10" x14ac:dyDescent="0.25">
      <c r="A1548" t="s">
        <v>702</v>
      </c>
      <c r="B1548" t="s">
        <v>65</v>
      </c>
      <c r="C1548" t="s">
        <v>1010</v>
      </c>
      <c r="D1548" s="1" t="s">
        <v>1011</v>
      </c>
      <c r="E1548" t="s">
        <v>1012</v>
      </c>
      <c r="F1548">
        <v>46.672199999999997</v>
      </c>
      <c r="G1548">
        <v>7.8703000000000003</v>
      </c>
      <c r="H1548">
        <v>1</v>
      </c>
      <c r="I1548">
        <v>578.6</v>
      </c>
      <c r="J1548" t="str">
        <f>HYPERLINK("https://climate.onebuilding.org/WMO_Region_6_Europe/CHE_Switzerland/BE_Bern/CHE_BE_Interlaken.AP.067340_TMYx.2004-2018.zip")</f>
        <v>https://climate.onebuilding.org/WMO_Region_6_Europe/CHE_Switzerland/BE_Bern/CHE_BE_Interlaken.AP.067340_TMYx.2004-2018.zip</v>
      </c>
    </row>
    <row r="1549" spans="1:10" x14ac:dyDescent="0.25">
      <c r="A1549" t="s">
        <v>702</v>
      </c>
      <c r="B1549" t="s">
        <v>65</v>
      </c>
      <c r="C1549" t="s">
        <v>1010</v>
      </c>
      <c r="D1549" s="1" t="s">
        <v>1011</v>
      </c>
      <c r="E1549" t="s">
        <v>14</v>
      </c>
      <c r="F1549">
        <v>46.672199999999997</v>
      </c>
      <c r="G1549">
        <v>7.8703000000000003</v>
      </c>
      <c r="H1549">
        <v>1</v>
      </c>
      <c r="I1549">
        <v>578.6</v>
      </c>
      <c r="J1549" t="str">
        <f>HYPERLINK("https://climate.onebuilding.org/WMO_Region_6_Europe/CHE_Switzerland/BE_Bern/CHE_BE_Interlaken.AP.067340_TMYx.2007-2021.zip")</f>
        <v>https://climate.onebuilding.org/WMO_Region_6_Europe/CHE_Switzerland/BE_Bern/CHE_BE_Interlaken.AP.067340_TMYx.2007-2021.zip</v>
      </c>
    </row>
    <row r="1550" spans="1:10" x14ac:dyDescent="0.25">
      <c r="A1550" t="s">
        <v>702</v>
      </c>
      <c r="B1550" t="s">
        <v>65</v>
      </c>
      <c r="C1550" t="s">
        <v>1010</v>
      </c>
      <c r="D1550" s="1" t="s">
        <v>1011</v>
      </c>
      <c r="E1550" t="s">
        <v>14</v>
      </c>
      <c r="F1550">
        <v>46.672199999999997</v>
      </c>
      <c r="G1550">
        <v>7.8703000000000003</v>
      </c>
      <c r="H1550">
        <v>1</v>
      </c>
      <c r="I1550">
        <v>578.6</v>
      </c>
      <c r="J1550" t="str">
        <f>HYPERLINK("https://climate.onebuilding.org/WMO_Region_6_Europe/CHE_Switzerland/BE_Bern/CHE_BE_Interlaken.AP.067340_TMYx.2009-2023.zip")</f>
        <v>https://climate.onebuilding.org/WMO_Region_6_Europe/CHE_Switzerland/BE_Bern/CHE_BE_Interlaken.AP.067340_TMYx.2009-2023.zip</v>
      </c>
    </row>
    <row r="1551" spans="1:10" x14ac:dyDescent="0.25">
      <c r="A1551" t="s">
        <v>702</v>
      </c>
      <c r="B1551" t="s">
        <v>65</v>
      </c>
      <c r="C1551" t="s">
        <v>1010</v>
      </c>
      <c r="D1551" s="1" t="s">
        <v>1011</v>
      </c>
      <c r="E1551" t="s">
        <v>14</v>
      </c>
      <c r="F1551">
        <v>46.672199999999997</v>
      </c>
      <c r="G1551">
        <v>7.8703000000000003</v>
      </c>
      <c r="H1551">
        <v>1</v>
      </c>
      <c r="I1551">
        <v>578.6</v>
      </c>
      <c r="J1551" t="str">
        <f>HYPERLINK("https://climate.onebuilding.org/WMO_Region_6_Europe/CHE_Switzerland/BE_Bern/CHE_BE_Interlaken.AP.067340_TMYx.zip")</f>
        <v>https://climate.onebuilding.org/WMO_Region_6_Europe/CHE_Switzerland/BE_Bern/CHE_BE_Interlaken.AP.067340_TMYx.zip</v>
      </c>
    </row>
    <row r="1552" spans="1:10" x14ac:dyDescent="0.25">
      <c r="A1552" t="s">
        <v>702</v>
      </c>
      <c r="B1552" t="s">
        <v>954</v>
      </c>
      <c r="C1552" t="s">
        <v>1013</v>
      </c>
      <c r="D1552" s="1" t="s">
        <v>1014</v>
      </c>
      <c r="E1552" t="s">
        <v>1015</v>
      </c>
      <c r="F1552">
        <v>46.492199999999997</v>
      </c>
      <c r="G1552">
        <v>7.5606</v>
      </c>
      <c r="H1552">
        <v>1</v>
      </c>
      <c r="I1552">
        <v>1328.1</v>
      </c>
      <c r="J1552" t="str">
        <f>HYPERLINK("https://climate.onebuilding.org/WMO_Region_6_Europe/CHE_Switzerland/VS_Valais/CHE_VS_Adelboden.067350_TMYx.2004-2018.zip")</f>
        <v>https://climate.onebuilding.org/WMO_Region_6_Europe/CHE_Switzerland/VS_Valais/CHE_VS_Adelboden.067350_TMYx.2004-2018.zip</v>
      </c>
    </row>
    <row r="1553" spans="1:10" x14ac:dyDescent="0.25">
      <c r="A1553" t="s">
        <v>702</v>
      </c>
      <c r="B1553" t="s">
        <v>954</v>
      </c>
      <c r="C1553" t="s">
        <v>1013</v>
      </c>
      <c r="D1553" s="1" t="s">
        <v>1014</v>
      </c>
      <c r="E1553" t="s">
        <v>14</v>
      </c>
      <c r="F1553">
        <v>46.492199999999997</v>
      </c>
      <c r="G1553">
        <v>7.5606</v>
      </c>
      <c r="H1553">
        <v>1</v>
      </c>
      <c r="I1553">
        <v>1328.1</v>
      </c>
      <c r="J1553" t="str">
        <f>HYPERLINK("https://climate.onebuilding.org/WMO_Region_6_Europe/CHE_Switzerland/VS_Valais/CHE_VS_Adelboden.067350_TMYx.2007-2021.zip")</f>
        <v>https://climate.onebuilding.org/WMO_Region_6_Europe/CHE_Switzerland/VS_Valais/CHE_VS_Adelboden.067350_TMYx.2007-2021.zip</v>
      </c>
    </row>
    <row r="1554" spans="1:10" x14ac:dyDescent="0.25">
      <c r="A1554" t="s">
        <v>702</v>
      </c>
      <c r="B1554" t="s">
        <v>954</v>
      </c>
      <c r="C1554" t="s">
        <v>1013</v>
      </c>
      <c r="D1554" s="1" t="s">
        <v>1014</v>
      </c>
      <c r="E1554" t="s">
        <v>14</v>
      </c>
      <c r="F1554">
        <v>46.492199999999997</v>
      </c>
      <c r="G1554">
        <v>7.5606</v>
      </c>
      <c r="H1554">
        <v>1</v>
      </c>
      <c r="I1554">
        <v>1328.1</v>
      </c>
      <c r="J1554" t="str">
        <f>HYPERLINK("https://climate.onebuilding.org/WMO_Region_6_Europe/CHE_Switzerland/VS_Valais/CHE_VS_Adelboden.067350_TMYx.2009-2023.zip")</f>
        <v>https://climate.onebuilding.org/WMO_Region_6_Europe/CHE_Switzerland/VS_Valais/CHE_VS_Adelboden.067350_TMYx.2009-2023.zip</v>
      </c>
    </row>
    <row r="1555" spans="1:10" x14ac:dyDescent="0.25">
      <c r="A1555" t="s">
        <v>702</v>
      </c>
      <c r="B1555" t="s">
        <v>954</v>
      </c>
      <c r="C1555" t="s">
        <v>1013</v>
      </c>
      <c r="D1555" s="1" t="s">
        <v>1014</v>
      </c>
      <c r="E1555" t="s">
        <v>14</v>
      </c>
      <c r="F1555">
        <v>46.492199999999997</v>
      </c>
      <c r="G1555">
        <v>7.5606</v>
      </c>
      <c r="H1555">
        <v>1</v>
      </c>
      <c r="I1555">
        <v>1328.1</v>
      </c>
      <c r="J1555" t="str">
        <f>HYPERLINK("https://climate.onebuilding.org/WMO_Region_6_Europe/CHE_Switzerland/VS_Valais/CHE_VS_Adelboden.067350_TMYx.zip")</f>
        <v>https://climate.onebuilding.org/WMO_Region_6_Europe/CHE_Switzerland/VS_Valais/CHE_VS_Adelboden.067350_TMYx.zip</v>
      </c>
    </row>
    <row r="1556" spans="1:10" x14ac:dyDescent="0.25">
      <c r="A1556" t="s">
        <v>702</v>
      </c>
      <c r="B1556" t="s">
        <v>65</v>
      </c>
      <c r="C1556" t="s">
        <v>1016</v>
      </c>
      <c r="D1556" s="1" t="s">
        <v>1017</v>
      </c>
      <c r="E1556" t="s">
        <v>1018</v>
      </c>
      <c r="F1556">
        <v>46.426699999999997</v>
      </c>
      <c r="G1556">
        <v>8.0928000000000004</v>
      </c>
      <c r="H1556">
        <v>1</v>
      </c>
      <c r="I1556">
        <v>2893</v>
      </c>
      <c r="J1556" t="str">
        <f>HYPERLINK("https://climate.onebuilding.org/WMO_Region_6_Europe/CHE_Switzerland/BE_Bern/CHE_BE_Eggishorn.067390_TMYx.2004-2018.zip")</f>
        <v>https://climate.onebuilding.org/WMO_Region_6_Europe/CHE_Switzerland/BE_Bern/CHE_BE_Eggishorn.067390_TMYx.2004-2018.zip</v>
      </c>
    </row>
    <row r="1557" spans="1:10" x14ac:dyDescent="0.25">
      <c r="A1557" t="s">
        <v>702</v>
      </c>
      <c r="B1557" t="s">
        <v>65</v>
      </c>
      <c r="C1557" t="s">
        <v>1016</v>
      </c>
      <c r="D1557" s="1" t="s">
        <v>1017</v>
      </c>
      <c r="E1557" t="s">
        <v>14</v>
      </c>
      <c r="F1557">
        <v>46.426699999999997</v>
      </c>
      <c r="G1557">
        <v>8.0928000000000004</v>
      </c>
      <c r="H1557">
        <v>1</v>
      </c>
      <c r="I1557">
        <v>2893</v>
      </c>
      <c r="J1557" t="str">
        <f>HYPERLINK("https://climate.onebuilding.org/WMO_Region_6_Europe/CHE_Switzerland/BE_Bern/CHE_BE_Eggishorn.067390_TMYx.2007-2021.zip")</f>
        <v>https://climate.onebuilding.org/WMO_Region_6_Europe/CHE_Switzerland/BE_Bern/CHE_BE_Eggishorn.067390_TMYx.2007-2021.zip</v>
      </c>
    </row>
    <row r="1558" spans="1:10" x14ac:dyDescent="0.25">
      <c r="A1558" t="s">
        <v>702</v>
      </c>
      <c r="B1558" t="s">
        <v>65</v>
      </c>
      <c r="C1558" t="s">
        <v>1016</v>
      </c>
      <c r="D1558" s="1" t="s">
        <v>1017</v>
      </c>
      <c r="E1558" t="s">
        <v>14</v>
      </c>
      <c r="F1558">
        <v>46.426699999999997</v>
      </c>
      <c r="G1558">
        <v>8.0928000000000004</v>
      </c>
      <c r="H1558">
        <v>1</v>
      </c>
      <c r="I1558">
        <v>2893</v>
      </c>
      <c r="J1558" t="str">
        <f>HYPERLINK("https://climate.onebuilding.org/WMO_Region_6_Europe/CHE_Switzerland/BE_Bern/CHE_BE_Eggishorn.067390_TMYx.2009-2023.zip")</f>
        <v>https://climate.onebuilding.org/WMO_Region_6_Europe/CHE_Switzerland/BE_Bern/CHE_BE_Eggishorn.067390_TMYx.2009-2023.zip</v>
      </c>
    </row>
    <row r="1559" spans="1:10" x14ac:dyDescent="0.25">
      <c r="A1559" t="s">
        <v>702</v>
      </c>
      <c r="B1559" t="s">
        <v>65</v>
      </c>
      <c r="C1559" t="s">
        <v>1016</v>
      </c>
      <c r="D1559" s="1" t="s">
        <v>1017</v>
      </c>
      <c r="E1559" t="s">
        <v>14</v>
      </c>
      <c r="F1559">
        <v>46.426699999999997</v>
      </c>
      <c r="G1559">
        <v>8.0928000000000004</v>
      </c>
      <c r="H1559">
        <v>1</v>
      </c>
      <c r="I1559">
        <v>2893</v>
      </c>
      <c r="J1559" t="str">
        <f>HYPERLINK("https://climate.onebuilding.org/WMO_Region_6_Europe/CHE_Switzerland/BE_Bern/CHE_BE_Eggishorn.067390_TMYx.zip")</f>
        <v>https://climate.onebuilding.org/WMO_Region_6_Europe/CHE_Switzerland/BE_Bern/CHE_BE_Eggishorn.067390_TMYx.zip</v>
      </c>
    </row>
    <row r="1560" spans="1:10" x14ac:dyDescent="0.25">
      <c r="A1560" t="s">
        <v>702</v>
      </c>
      <c r="B1560" t="s">
        <v>843</v>
      </c>
      <c r="C1560" t="s">
        <v>1019</v>
      </c>
      <c r="D1560" s="1" t="s">
        <v>1020</v>
      </c>
      <c r="E1560" t="s">
        <v>1021</v>
      </c>
      <c r="F1560">
        <v>46.770499999999998</v>
      </c>
      <c r="G1560">
        <v>8.4258000000000006</v>
      </c>
      <c r="H1560">
        <v>1</v>
      </c>
      <c r="I1560">
        <v>3094.3</v>
      </c>
      <c r="J1560" t="str">
        <f>HYPERLINK("https://climate.onebuilding.org/WMO_Region_6_Europe/CHE_Switzerland/OW_Obwalden/CHE_OW_Titlis.067400_TMYx.2004-2018.zip")</f>
        <v>https://climate.onebuilding.org/WMO_Region_6_Europe/CHE_Switzerland/OW_Obwalden/CHE_OW_Titlis.067400_TMYx.2004-2018.zip</v>
      </c>
    </row>
    <row r="1561" spans="1:10" x14ac:dyDescent="0.25">
      <c r="A1561" t="s">
        <v>702</v>
      </c>
      <c r="B1561" t="s">
        <v>843</v>
      </c>
      <c r="C1561" t="s">
        <v>1019</v>
      </c>
      <c r="D1561" s="1" t="s">
        <v>1020</v>
      </c>
      <c r="E1561" t="s">
        <v>14</v>
      </c>
      <c r="F1561">
        <v>46.770499999999998</v>
      </c>
      <c r="G1561">
        <v>8.4258000000000006</v>
      </c>
      <c r="H1561">
        <v>1</v>
      </c>
      <c r="I1561">
        <v>3094.3</v>
      </c>
      <c r="J1561" t="str">
        <f>HYPERLINK("https://climate.onebuilding.org/WMO_Region_6_Europe/CHE_Switzerland/OW_Obwalden/CHE_OW_Titlis.067400_TMYx.2007-2021.zip")</f>
        <v>https://climate.onebuilding.org/WMO_Region_6_Europe/CHE_Switzerland/OW_Obwalden/CHE_OW_Titlis.067400_TMYx.2007-2021.zip</v>
      </c>
    </row>
    <row r="1562" spans="1:10" x14ac:dyDescent="0.25">
      <c r="A1562" t="s">
        <v>702</v>
      </c>
      <c r="B1562" t="s">
        <v>843</v>
      </c>
      <c r="C1562" t="s">
        <v>1019</v>
      </c>
      <c r="D1562" s="1" t="s">
        <v>1020</v>
      </c>
      <c r="E1562" t="s">
        <v>14</v>
      </c>
      <c r="F1562">
        <v>46.770499999999998</v>
      </c>
      <c r="G1562">
        <v>8.4258000000000006</v>
      </c>
      <c r="H1562">
        <v>1</v>
      </c>
      <c r="I1562">
        <v>3094.3</v>
      </c>
      <c r="J1562" t="str">
        <f>HYPERLINK("https://climate.onebuilding.org/WMO_Region_6_Europe/CHE_Switzerland/OW_Obwalden/CHE_OW_Titlis.067400_TMYx.2009-2023.zip")</f>
        <v>https://climate.onebuilding.org/WMO_Region_6_Europe/CHE_Switzerland/OW_Obwalden/CHE_OW_Titlis.067400_TMYx.2009-2023.zip</v>
      </c>
    </row>
    <row r="1563" spans="1:10" x14ac:dyDescent="0.25">
      <c r="A1563" t="s">
        <v>702</v>
      </c>
      <c r="B1563" t="s">
        <v>843</v>
      </c>
      <c r="C1563" t="s">
        <v>1019</v>
      </c>
      <c r="D1563" s="1" t="s">
        <v>1020</v>
      </c>
      <c r="E1563" t="s">
        <v>14</v>
      </c>
      <c r="F1563">
        <v>46.770499999999998</v>
      </c>
      <c r="G1563">
        <v>8.4258000000000006</v>
      </c>
      <c r="H1563">
        <v>1</v>
      </c>
      <c r="I1563">
        <v>3094.3</v>
      </c>
      <c r="J1563" t="str">
        <f>HYPERLINK("https://climate.onebuilding.org/WMO_Region_6_Europe/CHE_Switzerland/OW_Obwalden/CHE_OW_Titlis.067400_TMYx.zip")</f>
        <v>https://climate.onebuilding.org/WMO_Region_6_Europe/CHE_Switzerland/OW_Obwalden/CHE_OW_Titlis.067400_TMYx.zip</v>
      </c>
    </row>
    <row r="1564" spans="1:10" x14ac:dyDescent="0.25">
      <c r="A1564" t="s">
        <v>702</v>
      </c>
      <c r="B1564" t="s">
        <v>954</v>
      </c>
      <c r="C1564" t="s">
        <v>1022</v>
      </c>
      <c r="D1564" s="1" t="s">
        <v>1023</v>
      </c>
      <c r="E1564" t="s">
        <v>14</v>
      </c>
      <c r="F1564">
        <v>46.400599999999997</v>
      </c>
      <c r="G1564">
        <v>8.1362000000000005</v>
      </c>
      <c r="H1564">
        <v>1</v>
      </c>
      <c r="I1564">
        <v>1051</v>
      </c>
      <c r="J1564" t="str">
        <f>HYPERLINK("https://climate.onebuilding.org/WMO_Region_6_Europe/CHE_Switzerland/VS_Valais/CHE_VS_Ernen.067430_TMYx.zip")</f>
        <v>https://climate.onebuilding.org/WMO_Region_6_Europe/CHE_Switzerland/VS_Valais/CHE_VS_Ernen.067430_TMYx.zip</v>
      </c>
    </row>
    <row r="1565" spans="1:10" x14ac:dyDescent="0.25">
      <c r="A1565" t="s">
        <v>702</v>
      </c>
      <c r="B1565" t="s">
        <v>954</v>
      </c>
      <c r="C1565" t="s">
        <v>1024</v>
      </c>
      <c r="D1565" s="1" t="s">
        <v>1025</v>
      </c>
      <c r="E1565" t="s">
        <v>1026</v>
      </c>
      <c r="F1565">
        <v>46.5717</v>
      </c>
      <c r="G1565">
        <v>8.3332999999999995</v>
      </c>
      <c r="H1565">
        <v>1</v>
      </c>
      <c r="I1565">
        <v>1961.2</v>
      </c>
      <c r="J1565" t="str">
        <f>HYPERLINK("https://climate.onebuilding.org/WMO_Region_6_Europe/CHE_Switzerland/VS_Valais/CHE_VS_Grimsel.Hospiz.067440_TMYx.2004-2018.zip")</f>
        <v>https://climate.onebuilding.org/WMO_Region_6_Europe/CHE_Switzerland/VS_Valais/CHE_VS_Grimsel.Hospiz.067440_TMYx.2004-2018.zip</v>
      </c>
    </row>
    <row r="1566" spans="1:10" x14ac:dyDescent="0.25">
      <c r="A1566" t="s">
        <v>702</v>
      </c>
      <c r="B1566" t="s">
        <v>954</v>
      </c>
      <c r="C1566" t="s">
        <v>1024</v>
      </c>
      <c r="D1566" s="1" t="s">
        <v>1025</v>
      </c>
      <c r="E1566" t="s">
        <v>14</v>
      </c>
      <c r="F1566">
        <v>46.5717</v>
      </c>
      <c r="G1566">
        <v>8.3332999999999995</v>
      </c>
      <c r="H1566">
        <v>1</v>
      </c>
      <c r="I1566">
        <v>1961.2</v>
      </c>
      <c r="J1566" t="str">
        <f>HYPERLINK("https://climate.onebuilding.org/WMO_Region_6_Europe/CHE_Switzerland/VS_Valais/CHE_VS_Grimsel.Hospiz.067440_TMYx.2007-2021.zip")</f>
        <v>https://climate.onebuilding.org/WMO_Region_6_Europe/CHE_Switzerland/VS_Valais/CHE_VS_Grimsel.Hospiz.067440_TMYx.2007-2021.zip</v>
      </c>
    </row>
    <row r="1567" spans="1:10" x14ac:dyDescent="0.25">
      <c r="A1567" t="s">
        <v>702</v>
      </c>
      <c r="B1567" t="s">
        <v>954</v>
      </c>
      <c r="C1567" t="s">
        <v>1024</v>
      </c>
      <c r="D1567" s="1" t="s">
        <v>1025</v>
      </c>
      <c r="E1567" t="s">
        <v>14</v>
      </c>
      <c r="F1567">
        <v>46.5717</v>
      </c>
      <c r="G1567">
        <v>8.3332999999999995</v>
      </c>
      <c r="H1567">
        <v>1</v>
      </c>
      <c r="I1567">
        <v>1961.2</v>
      </c>
      <c r="J1567" t="str">
        <f>HYPERLINK("https://climate.onebuilding.org/WMO_Region_6_Europe/CHE_Switzerland/VS_Valais/CHE_VS_Grimsel.Hospiz.067440_TMYx.2009-2023.zip")</f>
        <v>https://climate.onebuilding.org/WMO_Region_6_Europe/CHE_Switzerland/VS_Valais/CHE_VS_Grimsel.Hospiz.067440_TMYx.2009-2023.zip</v>
      </c>
    </row>
    <row r="1568" spans="1:10" x14ac:dyDescent="0.25">
      <c r="A1568" t="s">
        <v>702</v>
      </c>
      <c r="B1568" t="s">
        <v>954</v>
      </c>
      <c r="C1568" t="s">
        <v>1024</v>
      </c>
      <c r="D1568" s="1" t="s">
        <v>1025</v>
      </c>
      <c r="E1568" t="s">
        <v>14</v>
      </c>
      <c r="F1568">
        <v>46.5717</v>
      </c>
      <c r="G1568">
        <v>8.3332999999999995</v>
      </c>
      <c r="H1568">
        <v>1</v>
      </c>
      <c r="I1568">
        <v>1961.2</v>
      </c>
      <c r="J1568" t="str">
        <f>HYPERLINK("https://climate.onebuilding.org/WMO_Region_6_Europe/CHE_Switzerland/VS_Valais/CHE_VS_Grimsel.Hospiz.067440_TMYx.zip")</f>
        <v>https://climate.onebuilding.org/WMO_Region_6_Europe/CHE_Switzerland/VS_Valais/CHE_VS_Grimsel.Hospiz.067440_TMYx.zip</v>
      </c>
    </row>
    <row r="1569" spans="1:10" x14ac:dyDescent="0.25">
      <c r="A1569" t="s">
        <v>702</v>
      </c>
      <c r="B1569" t="s">
        <v>954</v>
      </c>
      <c r="C1569" t="s">
        <v>1027</v>
      </c>
      <c r="D1569" s="1" t="s">
        <v>1028</v>
      </c>
      <c r="E1569" t="s">
        <v>1029</v>
      </c>
      <c r="F1569">
        <v>46.5047</v>
      </c>
      <c r="G1569">
        <v>8.3080999999999996</v>
      </c>
      <c r="H1569">
        <v>1</v>
      </c>
      <c r="I1569">
        <v>1347.1</v>
      </c>
      <c r="J1569" t="str">
        <f>HYPERLINK("https://climate.onebuilding.org/WMO_Region_6_Europe/CHE_Switzerland/VS_Valais/CHE_VS_Ulrichen.AP.067450_TMYx.2004-2018.zip")</f>
        <v>https://climate.onebuilding.org/WMO_Region_6_Europe/CHE_Switzerland/VS_Valais/CHE_VS_Ulrichen.AP.067450_TMYx.2004-2018.zip</v>
      </c>
    </row>
    <row r="1570" spans="1:10" x14ac:dyDescent="0.25">
      <c r="A1570" t="s">
        <v>702</v>
      </c>
      <c r="B1570" t="s">
        <v>954</v>
      </c>
      <c r="C1570" t="s">
        <v>1027</v>
      </c>
      <c r="D1570" s="1" t="s">
        <v>1028</v>
      </c>
      <c r="E1570" t="s">
        <v>14</v>
      </c>
      <c r="F1570">
        <v>46.5047</v>
      </c>
      <c r="G1570">
        <v>8.3080999999999996</v>
      </c>
      <c r="H1570">
        <v>1</v>
      </c>
      <c r="I1570">
        <v>1347.1</v>
      </c>
      <c r="J1570" t="str">
        <f>HYPERLINK("https://climate.onebuilding.org/WMO_Region_6_Europe/CHE_Switzerland/VS_Valais/CHE_VS_Ulrichen.AP.067450_TMYx.2007-2021.zip")</f>
        <v>https://climate.onebuilding.org/WMO_Region_6_Europe/CHE_Switzerland/VS_Valais/CHE_VS_Ulrichen.AP.067450_TMYx.2007-2021.zip</v>
      </c>
    </row>
    <row r="1571" spans="1:10" x14ac:dyDescent="0.25">
      <c r="A1571" t="s">
        <v>702</v>
      </c>
      <c r="B1571" t="s">
        <v>954</v>
      </c>
      <c r="C1571" t="s">
        <v>1027</v>
      </c>
      <c r="D1571" s="1" t="s">
        <v>1028</v>
      </c>
      <c r="E1571" t="s">
        <v>14</v>
      </c>
      <c r="F1571">
        <v>46.5047</v>
      </c>
      <c r="G1571">
        <v>8.3080999999999996</v>
      </c>
      <c r="H1571">
        <v>1</v>
      </c>
      <c r="I1571">
        <v>1347.1</v>
      </c>
      <c r="J1571" t="str">
        <f>HYPERLINK("https://climate.onebuilding.org/WMO_Region_6_Europe/CHE_Switzerland/VS_Valais/CHE_VS_Ulrichen.AP.067450_TMYx.2009-2023.zip")</f>
        <v>https://climate.onebuilding.org/WMO_Region_6_Europe/CHE_Switzerland/VS_Valais/CHE_VS_Ulrichen.AP.067450_TMYx.2009-2023.zip</v>
      </c>
    </row>
    <row r="1572" spans="1:10" x14ac:dyDescent="0.25">
      <c r="A1572" t="s">
        <v>702</v>
      </c>
      <c r="B1572" t="s">
        <v>954</v>
      </c>
      <c r="C1572" t="s">
        <v>1027</v>
      </c>
      <c r="D1572" s="1" t="s">
        <v>1028</v>
      </c>
      <c r="E1572" t="s">
        <v>14</v>
      </c>
      <c r="F1572">
        <v>46.5047</v>
      </c>
      <c r="G1572">
        <v>8.3080999999999996</v>
      </c>
      <c r="H1572">
        <v>1</v>
      </c>
      <c r="I1572">
        <v>1347.1</v>
      </c>
      <c r="J1572" t="str">
        <f>HYPERLINK("https://climate.onebuilding.org/WMO_Region_6_Europe/CHE_Switzerland/VS_Valais/CHE_VS_Ulrichen.AP.067450_TMYx.zip")</f>
        <v>https://climate.onebuilding.org/WMO_Region_6_Europe/CHE_Switzerland/VS_Valais/CHE_VS_Ulrichen.AP.067450_TMYx.zip</v>
      </c>
    </row>
    <row r="1573" spans="1:10" x14ac:dyDescent="0.25">
      <c r="A1573" t="s">
        <v>702</v>
      </c>
      <c r="B1573" t="s">
        <v>954</v>
      </c>
      <c r="C1573" t="s">
        <v>1030</v>
      </c>
      <c r="D1573" s="1" t="s">
        <v>1031</v>
      </c>
      <c r="E1573" t="s">
        <v>1032</v>
      </c>
      <c r="F1573">
        <v>45.956699999999998</v>
      </c>
      <c r="G1573">
        <v>7.8147000000000002</v>
      </c>
      <c r="H1573">
        <v>1</v>
      </c>
      <c r="I1573">
        <v>2885</v>
      </c>
      <c r="J1573" t="str">
        <f>HYPERLINK("https://climate.onebuilding.org/WMO_Region_6_Europe/CHE_Switzerland/VS_Valais/CHE_VS_Monte.Rosa.067470_TMYx.2004-2018.zip")</f>
        <v>https://climate.onebuilding.org/WMO_Region_6_Europe/CHE_Switzerland/VS_Valais/CHE_VS_Monte.Rosa.067470_TMYx.2004-2018.zip</v>
      </c>
    </row>
    <row r="1574" spans="1:10" x14ac:dyDescent="0.25">
      <c r="A1574" t="s">
        <v>702</v>
      </c>
      <c r="B1574" t="s">
        <v>954</v>
      </c>
      <c r="C1574" t="s">
        <v>1030</v>
      </c>
      <c r="D1574" s="1" t="s">
        <v>1031</v>
      </c>
      <c r="E1574" t="s">
        <v>14</v>
      </c>
      <c r="F1574">
        <v>45.956699999999998</v>
      </c>
      <c r="G1574">
        <v>7.8147000000000002</v>
      </c>
      <c r="H1574">
        <v>1</v>
      </c>
      <c r="I1574">
        <v>2885</v>
      </c>
      <c r="J1574" t="str">
        <f>HYPERLINK("https://climate.onebuilding.org/WMO_Region_6_Europe/CHE_Switzerland/VS_Valais/CHE_VS_Monte.Rosa.067470_TMYx.2007-2021.zip")</f>
        <v>https://climate.onebuilding.org/WMO_Region_6_Europe/CHE_Switzerland/VS_Valais/CHE_VS_Monte.Rosa.067470_TMYx.2007-2021.zip</v>
      </c>
    </row>
    <row r="1575" spans="1:10" x14ac:dyDescent="0.25">
      <c r="A1575" t="s">
        <v>702</v>
      </c>
      <c r="B1575" t="s">
        <v>954</v>
      </c>
      <c r="C1575" t="s">
        <v>1030</v>
      </c>
      <c r="D1575" s="1" t="s">
        <v>1031</v>
      </c>
      <c r="E1575" t="s">
        <v>14</v>
      </c>
      <c r="F1575">
        <v>45.956699999999998</v>
      </c>
      <c r="G1575">
        <v>7.8147000000000002</v>
      </c>
      <c r="H1575">
        <v>1</v>
      </c>
      <c r="I1575">
        <v>2885</v>
      </c>
      <c r="J1575" t="str">
        <f>HYPERLINK("https://climate.onebuilding.org/WMO_Region_6_Europe/CHE_Switzerland/VS_Valais/CHE_VS_Monte.Rosa.067470_TMYx.2009-2023.zip")</f>
        <v>https://climate.onebuilding.org/WMO_Region_6_Europe/CHE_Switzerland/VS_Valais/CHE_VS_Monte.Rosa.067470_TMYx.2009-2023.zip</v>
      </c>
    </row>
    <row r="1576" spans="1:10" x14ac:dyDescent="0.25">
      <c r="A1576" t="s">
        <v>702</v>
      </c>
      <c r="B1576" t="s">
        <v>954</v>
      </c>
      <c r="C1576" t="s">
        <v>1030</v>
      </c>
      <c r="D1576" s="1" t="s">
        <v>1031</v>
      </c>
      <c r="E1576" t="s">
        <v>14</v>
      </c>
      <c r="F1576">
        <v>45.956699999999998</v>
      </c>
      <c r="G1576">
        <v>7.8147000000000002</v>
      </c>
      <c r="H1576">
        <v>1</v>
      </c>
      <c r="I1576">
        <v>2885</v>
      </c>
      <c r="J1576" t="str">
        <f>HYPERLINK("https://climate.onebuilding.org/WMO_Region_6_Europe/CHE_Switzerland/VS_Valais/CHE_VS_Monte.Rosa.067470_TMYx.zip")</f>
        <v>https://climate.onebuilding.org/WMO_Region_6_Europe/CHE_Switzerland/VS_Valais/CHE_VS_Monte.Rosa.067470_TMYx.zip</v>
      </c>
    </row>
    <row r="1577" spans="1:10" x14ac:dyDescent="0.25">
      <c r="A1577" t="s">
        <v>702</v>
      </c>
      <c r="B1577" t="s">
        <v>954</v>
      </c>
      <c r="C1577" t="s">
        <v>1033</v>
      </c>
      <c r="D1577" s="1" t="s">
        <v>1034</v>
      </c>
      <c r="E1577" t="s">
        <v>1035</v>
      </c>
      <c r="F1577">
        <v>46.029200000000003</v>
      </c>
      <c r="G1577">
        <v>7.7530999999999999</v>
      </c>
      <c r="H1577">
        <v>1</v>
      </c>
      <c r="I1577">
        <v>1639.2</v>
      </c>
      <c r="J1577" t="str">
        <f>HYPERLINK("https://climate.onebuilding.org/WMO_Region_6_Europe/CHE_Switzerland/VS_Valais/CHE_VS_Zermatt.067480_TMYx.2004-2018.zip")</f>
        <v>https://climate.onebuilding.org/WMO_Region_6_Europe/CHE_Switzerland/VS_Valais/CHE_VS_Zermatt.067480_TMYx.2004-2018.zip</v>
      </c>
    </row>
    <row r="1578" spans="1:10" x14ac:dyDescent="0.25">
      <c r="A1578" t="s">
        <v>702</v>
      </c>
      <c r="B1578" t="s">
        <v>954</v>
      </c>
      <c r="C1578" t="s">
        <v>1033</v>
      </c>
      <c r="D1578" s="1" t="s">
        <v>1034</v>
      </c>
      <c r="E1578" t="s">
        <v>14</v>
      </c>
      <c r="F1578">
        <v>46.029200000000003</v>
      </c>
      <c r="G1578">
        <v>7.7530999999999999</v>
      </c>
      <c r="H1578">
        <v>1</v>
      </c>
      <c r="I1578">
        <v>1639.2</v>
      </c>
      <c r="J1578" t="str">
        <f>HYPERLINK("https://climate.onebuilding.org/WMO_Region_6_Europe/CHE_Switzerland/VS_Valais/CHE_VS_Zermatt.067480_TMYx.2007-2021.zip")</f>
        <v>https://climate.onebuilding.org/WMO_Region_6_Europe/CHE_Switzerland/VS_Valais/CHE_VS_Zermatt.067480_TMYx.2007-2021.zip</v>
      </c>
    </row>
    <row r="1579" spans="1:10" x14ac:dyDescent="0.25">
      <c r="A1579" t="s">
        <v>702</v>
      </c>
      <c r="B1579" t="s">
        <v>954</v>
      </c>
      <c r="C1579" t="s">
        <v>1033</v>
      </c>
      <c r="D1579" s="1" t="s">
        <v>1034</v>
      </c>
      <c r="E1579" t="s">
        <v>14</v>
      </c>
      <c r="F1579">
        <v>46.029200000000003</v>
      </c>
      <c r="G1579">
        <v>7.7530999999999999</v>
      </c>
      <c r="H1579">
        <v>1</v>
      </c>
      <c r="I1579">
        <v>1639.2</v>
      </c>
      <c r="J1579" t="str">
        <f>HYPERLINK("https://climate.onebuilding.org/WMO_Region_6_Europe/CHE_Switzerland/VS_Valais/CHE_VS_Zermatt.067480_TMYx.2009-2023.zip")</f>
        <v>https://climate.onebuilding.org/WMO_Region_6_Europe/CHE_Switzerland/VS_Valais/CHE_VS_Zermatt.067480_TMYx.2009-2023.zip</v>
      </c>
    </row>
    <row r="1580" spans="1:10" x14ac:dyDescent="0.25">
      <c r="A1580" t="s">
        <v>702</v>
      </c>
      <c r="B1580" t="s">
        <v>954</v>
      </c>
      <c r="C1580" t="s">
        <v>1033</v>
      </c>
      <c r="D1580" s="1" t="s">
        <v>1034</v>
      </c>
      <c r="E1580" t="s">
        <v>14</v>
      </c>
      <c r="F1580">
        <v>46.029200000000003</v>
      </c>
      <c r="G1580">
        <v>7.7530999999999999</v>
      </c>
      <c r="H1580">
        <v>1</v>
      </c>
      <c r="I1580">
        <v>1639.2</v>
      </c>
      <c r="J1580" t="str">
        <f>HYPERLINK("https://climate.onebuilding.org/WMO_Region_6_Europe/CHE_Switzerland/VS_Valais/CHE_VS_Zermatt.067480_TMYx.zip")</f>
        <v>https://climate.onebuilding.org/WMO_Region_6_Europe/CHE_Switzerland/VS_Valais/CHE_VS_Zermatt.067480_TMYx.zip</v>
      </c>
    </row>
    <row r="1581" spans="1:10" x14ac:dyDescent="0.25">
      <c r="A1581" t="s">
        <v>702</v>
      </c>
      <c r="B1581" t="s">
        <v>954</v>
      </c>
      <c r="C1581" t="s">
        <v>1036</v>
      </c>
      <c r="D1581" s="1" t="s">
        <v>1037</v>
      </c>
      <c r="E1581" t="s">
        <v>1038</v>
      </c>
      <c r="F1581">
        <v>45.983600000000003</v>
      </c>
      <c r="G1581">
        <v>7.7858000000000001</v>
      </c>
      <c r="H1581">
        <v>1</v>
      </c>
      <c r="I1581">
        <v>3129.3</v>
      </c>
      <c r="J1581" t="str">
        <f>HYPERLINK("https://climate.onebuilding.org/WMO_Region_6_Europe/CHE_Switzerland/VS_Valais/CHE_VS_Gornergrat.067490_TMYx.2004-2018.zip")</f>
        <v>https://climate.onebuilding.org/WMO_Region_6_Europe/CHE_Switzerland/VS_Valais/CHE_VS_Gornergrat.067490_TMYx.2004-2018.zip</v>
      </c>
    </row>
    <row r="1582" spans="1:10" x14ac:dyDescent="0.25">
      <c r="A1582" t="s">
        <v>702</v>
      </c>
      <c r="B1582" t="s">
        <v>954</v>
      </c>
      <c r="C1582" t="s">
        <v>1036</v>
      </c>
      <c r="D1582" s="1" t="s">
        <v>1037</v>
      </c>
      <c r="E1582" t="s">
        <v>14</v>
      </c>
      <c r="F1582">
        <v>45.983600000000003</v>
      </c>
      <c r="G1582">
        <v>7.7858000000000001</v>
      </c>
      <c r="H1582">
        <v>1</v>
      </c>
      <c r="I1582">
        <v>3129.3</v>
      </c>
      <c r="J1582" t="str">
        <f>HYPERLINK("https://climate.onebuilding.org/WMO_Region_6_Europe/CHE_Switzerland/VS_Valais/CHE_VS_Gornergrat.067490_TMYx.2007-2021.zip")</f>
        <v>https://climate.onebuilding.org/WMO_Region_6_Europe/CHE_Switzerland/VS_Valais/CHE_VS_Gornergrat.067490_TMYx.2007-2021.zip</v>
      </c>
    </row>
    <row r="1583" spans="1:10" x14ac:dyDescent="0.25">
      <c r="A1583" t="s">
        <v>702</v>
      </c>
      <c r="B1583" t="s">
        <v>954</v>
      </c>
      <c r="C1583" t="s">
        <v>1036</v>
      </c>
      <c r="D1583" s="1" t="s">
        <v>1037</v>
      </c>
      <c r="E1583" t="s">
        <v>14</v>
      </c>
      <c r="F1583">
        <v>45.983600000000003</v>
      </c>
      <c r="G1583">
        <v>7.7858000000000001</v>
      </c>
      <c r="H1583">
        <v>1</v>
      </c>
      <c r="I1583">
        <v>3129.3</v>
      </c>
      <c r="J1583" t="str">
        <f>HYPERLINK("https://climate.onebuilding.org/WMO_Region_6_Europe/CHE_Switzerland/VS_Valais/CHE_VS_Gornergrat.067490_TMYx.2009-2023.zip")</f>
        <v>https://climate.onebuilding.org/WMO_Region_6_Europe/CHE_Switzerland/VS_Valais/CHE_VS_Gornergrat.067490_TMYx.2009-2023.zip</v>
      </c>
    </row>
    <row r="1584" spans="1:10" x14ac:dyDescent="0.25">
      <c r="A1584" t="s">
        <v>702</v>
      </c>
      <c r="B1584" t="s">
        <v>954</v>
      </c>
      <c r="C1584" t="s">
        <v>1036</v>
      </c>
      <c r="D1584" s="1" t="s">
        <v>1037</v>
      </c>
      <c r="E1584" t="s">
        <v>14</v>
      </c>
      <c r="F1584">
        <v>45.983600000000003</v>
      </c>
      <c r="G1584">
        <v>7.7858000000000001</v>
      </c>
      <c r="H1584">
        <v>1</v>
      </c>
      <c r="I1584">
        <v>3129.3</v>
      </c>
      <c r="J1584" t="str">
        <f>HYPERLINK("https://climate.onebuilding.org/WMO_Region_6_Europe/CHE_Switzerland/VS_Valais/CHE_VS_Gornergrat.067490_TMYx.zip")</f>
        <v>https://climate.onebuilding.org/WMO_Region_6_Europe/CHE_Switzerland/VS_Valais/CHE_VS_Gornergrat.067490_TMYx.zip</v>
      </c>
    </row>
    <row r="1585" spans="1:10" x14ac:dyDescent="0.25">
      <c r="A1585" t="s">
        <v>702</v>
      </c>
      <c r="B1585" t="s">
        <v>876</v>
      </c>
      <c r="C1585" t="s">
        <v>1039</v>
      </c>
      <c r="D1585" s="1" t="s">
        <v>1040</v>
      </c>
      <c r="E1585" t="s">
        <v>1041</v>
      </c>
      <c r="F1585">
        <v>46.652500000000003</v>
      </c>
      <c r="G1585">
        <v>8.6150000000000002</v>
      </c>
      <c r="H1585">
        <v>1</v>
      </c>
      <c r="I1585">
        <v>2284.1999999999998</v>
      </c>
      <c r="J1585" t="str">
        <f>HYPERLINK("https://climate.onebuilding.org/WMO_Region_6_Europe/CHE_Switzerland/UR_Uri/CHE_UR_Gutsch.ob.Andermatt.067500_TMYx.2004-2018.zip")</f>
        <v>https://climate.onebuilding.org/WMO_Region_6_Europe/CHE_Switzerland/UR_Uri/CHE_UR_Gutsch.ob.Andermatt.067500_TMYx.2004-2018.zip</v>
      </c>
    </row>
    <row r="1586" spans="1:10" x14ac:dyDescent="0.25">
      <c r="A1586" t="s">
        <v>702</v>
      </c>
      <c r="B1586" t="s">
        <v>876</v>
      </c>
      <c r="C1586" t="s">
        <v>1039</v>
      </c>
      <c r="D1586" s="1" t="s">
        <v>1040</v>
      </c>
      <c r="E1586" t="s">
        <v>14</v>
      </c>
      <c r="F1586">
        <v>46.652500000000003</v>
      </c>
      <c r="G1586">
        <v>8.6150000000000002</v>
      </c>
      <c r="H1586">
        <v>1</v>
      </c>
      <c r="I1586">
        <v>2284.1999999999998</v>
      </c>
      <c r="J1586" t="str">
        <f>HYPERLINK("https://climate.onebuilding.org/WMO_Region_6_Europe/CHE_Switzerland/UR_Uri/CHE_UR_Gutsch.ob.Andermatt.067500_TMYx.2007-2021.zip")</f>
        <v>https://climate.onebuilding.org/WMO_Region_6_Europe/CHE_Switzerland/UR_Uri/CHE_UR_Gutsch.ob.Andermatt.067500_TMYx.2007-2021.zip</v>
      </c>
    </row>
    <row r="1587" spans="1:10" x14ac:dyDescent="0.25">
      <c r="A1587" t="s">
        <v>702</v>
      </c>
      <c r="B1587" t="s">
        <v>876</v>
      </c>
      <c r="C1587" t="s">
        <v>1039</v>
      </c>
      <c r="D1587" s="1" t="s">
        <v>1040</v>
      </c>
      <c r="E1587" t="s">
        <v>14</v>
      </c>
      <c r="F1587">
        <v>46.652500000000003</v>
      </c>
      <c r="G1587">
        <v>8.6150000000000002</v>
      </c>
      <c r="H1587">
        <v>1</v>
      </c>
      <c r="I1587">
        <v>2284.1999999999998</v>
      </c>
      <c r="J1587" t="str">
        <f>HYPERLINK("https://climate.onebuilding.org/WMO_Region_6_Europe/CHE_Switzerland/UR_Uri/CHE_UR_Gutsch.ob.Andermatt.067500_TMYx.2009-2023.zip")</f>
        <v>https://climate.onebuilding.org/WMO_Region_6_Europe/CHE_Switzerland/UR_Uri/CHE_UR_Gutsch.ob.Andermatt.067500_TMYx.2009-2023.zip</v>
      </c>
    </row>
    <row r="1588" spans="1:10" x14ac:dyDescent="0.25">
      <c r="A1588" t="s">
        <v>702</v>
      </c>
      <c r="B1588" t="s">
        <v>876</v>
      </c>
      <c r="C1588" t="s">
        <v>1039</v>
      </c>
      <c r="D1588" s="1" t="s">
        <v>1040</v>
      </c>
      <c r="E1588" t="s">
        <v>14</v>
      </c>
      <c r="F1588">
        <v>46.652500000000003</v>
      </c>
      <c r="G1588">
        <v>8.6150000000000002</v>
      </c>
      <c r="H1588">
        <v>1</v>
      </c>
      <c r="I1588">
        <v>2284.1999999999998</v>
      </c>
      <c r="J1588" t="str">
        <f>HYPERLINK("https://climate.onebuilding.org/WMO_Region_6_Europe/CHE_Switzerland/UR_Uri/CHE_UR_Gutsch.ob.Andermatt.067500_TMYx.zip")</f>
        <v>https://climate.onebuilding.org/WMO_Region_6_Europe/CHE_Switzerland/UR_Uri/CHE_UR_Gutsch.ob.Andermatt.067500_TMYx.zip</v>
      </c>
    </row>
    <row r="1589" spans="1:10" x14ac:dyDescent="0.25">
      <c r="A1589" t="s">
        <v>702</v>
      </c>
      <c r="B1589" t="s">
        <v>47</v>
      </c>
      <c r="C1589" t="s">
        <v>1042</v>
      </c>
      <c r="D1589" s="1" t="s">
        <v>1043</v>
      </c>
      <c r="E1589" t="s">
        <v>1044</v>
      </c>
      <c r="F1589">
        <v>46.443100000000001</v>
      </c>
      <c r="G1589">
        <v>8.5132999999999992</v>
      </c>
      <c r="H1589">
        <v>1</v>
      </c>
      <c r="I1589">
        <v>1896.2</v>
      </c>
      <c r="J1589" t="str">
        <f>HYPERLINK("https://climate.onebuilding.org/WMO_Region_6_Europe/CHE_Switzerland/TI_Ticino/CHE_TI_Robiei.067510_TMYx.2004-2018.zip")</f>
        <v>https://climate.onebuilding.org/WMO_Region_6_Europe/CHE_Switzerland/TI_Ticino/CHE_TI_Robiei.067510_TMYx.2004-2018.zip</v>
      </c>
    </row>
    <row r="1590" spans="1:10" x14ac:dyDescent="0.25">
      <c r="A1590" t="s">
        <v>702</v>
      </c>
      <c r="B1590" t="s">
        <v>47</v>
      </c>
      <c r="C1590" t="s">
        <v>1042</v>
      </c>
      <c r="D1590" s="1" t="s">
        <v>1043</v>
      </c>
      <c r="E1590" t="s">
        <v>14</v>
      </c>
      <c r="F1590">
        <v>46.443100000000001</v>
      </c>
      <c r="G1590">
        <v>8.5132999999999992</v>
      </c>
      <c r="H1590">
        <v>1</v>
      </c>
      <c r="I1590">
        <v>1896.2</v>
      </c>
      <c r="J1590" t="str">
        <f>HYPERLINK("https://climate.onebuilding.org/WMO_Region_6_Europe/CHE_Switzerland/TI_Ticino/CHE_TI_Robiei.067510_TMYx.2007-2021.zip")</f>
        <v>https://climate.onebuilding.org/WMO_Region_6_Europe/CHE_Switzerland/TI_Ticino/CHE_TI_Robiei.067510_TMYx.2007-2021.zip</v>
      </c>
    </row>
    <row r="1591" spans="1:10" x14ac:dyDescent="0.25">
      <c r="A1591" t="s">
        <v>702</v>
      </c>
      <c r="B1591" t="s">
        <v>47</v>
      </c>
      <c r="C1591" t="s">
        <v>1042</v>
      </c>
      <c r="D1591" s="1" t="s">
        <v>1043</v>
      </c>
      <c r="E1591" t="s">
        <v>14</v>
      </c>
      <c r="F1591">
        <v>46.443100000000001</v>
      </c>
      <c r="G1591">
        <v>8.5132999999999992</v>
      </c>
      <c r="H1591">
        <v>1</v>
      </c>
      <c r="I1591">
        <v>1896.2</v>
      </c>
      <c r="J1591" t="str">
        <f>HYPERLINK("https://climate.onebuilding.org/WMO_Region_6_Europe/CHE_Switzerland/TI_Ticino/CHE_TI_Robiei.067510_TMYx.2009-2023.zip")</f>
        <v>https://climate.onebuilding.org/WMO_Region_6_Europe/CHE_Switzerland/TI_Ticino/CHE_TI_Robiei.067510_TMYx.2009-2023.zip</v>
      </c>
    </row>
    <row r="1592" spans="1:10" x14ac:dyDescent="0.25">
      <c r="A1592" t="s">
        <v>702</v>
      </c>
      <c r="B1592" t="s">
        <v>47</v>
      </c>
      <c r="C1592" t="s">
        <v>1042</v>
      </c>
      <c r="D1592" s="1" t="s">
        <v>1043</v>
      </c>
      <c r="E1592" t="s">
        <v>14</v>
      </c>
      <c r="F1592">
        <v>46.443100000000001</v>
      </c>
      <c r="G1592">
        <v>8.5132999999999992</v>
      </c>
      <c r="H1592">
        <v>1</v>
      </c>
      <c r="I1592">
        <v>1896.2</v>
      </c>
      <c r="J1592" t="str">
        <f>HYPERLINK("https://climate.onebuilding.org/WMO_Region_6_Europe/CHE_Switzerland/TI_Ticino/CHE_TI_Robiei.067510_TMYx.zip")</f>
        <v>https://climate.onebuilding.org/WMO_Region_6_Europe/CHE_Switzerland/TI_Ticino/CHE_TI_Robiei.067510_TMYx.zip</v>
      </c>
    </row>
    <row r="1593" spans="1:10" x14ac:dyDescent="0.25">
      <c r="A1593" t="s">
        <v>702</v>
      </c>
      <c r="B1593" t="s">
        <v>47</v>
      </c>
      <c r="C1593" t="s">
        <v>1045</v>
      </c>
      <c r="D1593" s="1" t="s">
        <v>1046</v>
      </c>
      <c r="E1593" t="s">
        <v>1047</v>
      </c>
      <c r="F1593">
        <v>46.320500000000003</v>
      </c>
      <c r="G1593">
        <v>8.6030999999999995</v>
      </c>
      <c r="H1593">
        <v>1</v>
      </c>
      <c r="I1593">
        <v>422.4</v>
      </c>
      <c r="J1593" t="str">
        <f>HYPERLINK("https://climate.onebuilding.org/WMO_Region_6_Europe/CHE_Switzerland/TI_Ticino/CHE_TI_Cevio.067520_TMYx.2004-2018.zip")</f>
        <v>https://climate.onebuilding.org/WMO_Region_6_Europe/CHE_Switzerland/TI_Ticino/CHE_TI_Cevio.067520_TMYx.2004-2018.zip</v>
      </c>
    </row>
    <row r="1594" spans="1:10" x14ac:dyDescent="0.25">
      <c r="A1594" t="s">
        <v>702</v>
      </c>
      <c r="B1594" t="s">
        <v>47</v>
      </c>
      <c r="C1594" t="s">
        <v>1045</v>
      </c>
      <c r="D1594" s="1" t="s">
        <v>1046</v>
      </c>
      <c r="E1594" t="s">
        <v>14</v>
      </c>
      <c r="F1594">
        <v>46.320500000000003</v>
      </c>
      <c r="G1594">
        <v>8.6030999999999995</v>
      </c>
      <c r="H1594">
        <v>1</v>
      </c>
      <c r="I1594">
        <v>422.4</v>
      </c>
      <c r="J1594" t="str">
        <f>HYPERLINK("https://climate.onebuilding.org/WMO_Region_6_Europe/CHE_Switzerland/TI_Ticino/CHE_TI_Cevio.067520_TMYx.2007-2021.zip")</f>
        <v>https://climate.onebuilding.org/WMO_Region_6_Europe/CHE_Switzerland/TI_Ticino/CHE_TI_Cevio.067520_TMYx.2007-2021.zip</v>
      </c>
    </row>
    <row r="1595" spans="1:10" x14ac:dyDescent="0.25">
      <c r="A1595" t="s">
        <v>702</v>
      </c>
      <c r="B1595" t="s">
        <v>47</v>
      </c>
      <c r="C1595" t="s">
        <v>1045</v>
      </c>
      <c r="D1595" s="1" t="s">
        <v>1046</v>
      </c>
      <c r="E1595" t="s">
        <v>14</v>
      </c>
      <c r="F1595">
        <v>46.320500000000003</v>
      </c>
      <c r="G1595">
        <v>8.6030999999999995</v>
      </c>
      <c r="H1595">
        <v>1</v>
      </c>
      <c r="I1595">
        <v>422.4</v>
      </c>
      <c r="J1595" t="str">
        <f>HYPERLINK("https://climate.onebuilding.org/WMO_Region_6_Europe/CHE_Switzerland/TI_Ticino/CHE_TI_Cevio.067520_TMYx.2009-2023.zip")</f>
        <v>https://climate.onebuilding.org/WMO_Region_6_Europe/CHE_Switzerland/TI_Ticino/CHE_TI_Cevio.067520_TMYx.2009-2023.zip</v>
      </c>
    </row>
    <row r="1596" spans="1:10" x14ac:dyDescent="0.25">
      <c r="A1596" t="s">
        <v>702</v>
      </c>
      <c r="B1596" t="s">
        <v>47</v>
      </c>
      <c r="C1596" t="s">
        <v>1045</v>
      </c>
      <c r="D1596" s="1" t="s">
        <v>1046</v>
      </c>
      <c r="E1596" t="s">
        <v>14</v>
      </c>
      <c r="F1596">
        <v>46.320500000000003</v>
      </c>
      <c r="G1596">
        <v>8.6030999999999995</v>
      </c>
      <c r="H1596">
        <v>1</v>
      </c>
      <c r="I1596">
        <v>422.4</v>
      </c>
      <c r="J1596" t="str">
        <f>HYPERLINK("https://climate.onebuilding.org/WMO_Region_6_Europe/CHE_Switzerland/TI_Ticino/CHE_TI_Cevio.067520_TMYx.zip")</f>
        <v>https://climate.onebuilding.org/WMO_Region_6_Europe/CHE_Switzerland/TI_Ticino/CHE_TI_Cevio.067520_TMYx.zip</v>
      </c>
    </row>
    <row r="1597" spans="1:10" x14ac:dyDescent="0.25">
      <c r="A1597" t="s">
        <v>702</v>
      </c>
      <c r="B1597" t="s">
        <v>47</v>
      </c>
      <c r="C1597" t="s">
        <v>1048</v>
      </c>
      <c r="D1597" s="1" t="s">
        <v>1049</v>
      </c>
      <c r="E1597" t="s">
        <v>1050</v>
      </c>
      <c r="F1597">
        <v>46.514699999999998</v>
      </c>
      <c r="G1597">
        <v>8.6881000000000004</v>
      </c>
      <c r="H1597">
        <v>1</v>
      </c>
      <c r="I1597">
        <v>991</v>
      </c>
      <c r="J1597" t="str">
        <f>HYPERLINK("https://climate.onebuilding.org/WMO_Region_6_Europe/CHE_Switzerland/TI_Ticino/CHE_TI_Piotta-Ambri.AP.067530_TMYx.2004-2018.zip")</f>
        <v>https://climate.onebuilding.org/WMO_Region_6_Europe/CHE_Switzerland/TI_Ticino/CHE_TI_Piotta-Ambri.AP.067530_TMYx.2004-2018.zip</v>
      </c>
    </row>
    <row r="1598" spans="1:10" x14ac:dyDescent="0.25">
      <c r="A1598" t="s">
        <v>702</v>
      </c>
      <c r="B1598" t="s">
        <v>47</v>
      </c>
      <c r="C1598" t="s">
        <v>1048</v>
      </c>
      <c r="D1598" s="1" t="s">
        <v>1049</v>
      </c>
      <c r="E1598" t="s">
        <v>14</v>
      </c>
      <c r="F1598">
        <v>46.514699999999998</v>
      </c>
      <c r="G1598">
        <v>8.6881000000000004</v>
      </c>
      <c r="H1598">
        <v>1</v>
      </c>
      <c r="I1598">
        <v>991</v>
      </c>
      <c r="J1598" t="str">
        <f>HYPERLINK("https://climate.onebuilding.org/WMO_Region_6_Europe/CHE_Switzerland/TI_Ticino/CHE_TI_Piotta-Ambri.AP.067530_TMYx.2007-2021.zip")</f>
        <v>https://climate.onebuilding.org/WMO_Region_6_Europe/CHE_Switzerland/TI_Ticino/CHE_TI_Piotta-Ambri.AP.067530_TMYx.2007-2021.zip</v>
      </c>
    </row>
    <row r="1599" spans="1:10" x14ac:dyDescent="0.25">
      <c r="A1599" t="s">
        <v>702</v>
      </c>
      <c r="B1599" t="s">
        <v>47</v>
      </c>
      <c r="C1599" t="s">
        <v>1048</v>
      </c>
      <c r="D1599" s="1" t="s">
        <v>1049</v>
      </c>
      <c r="E1599" t="s">
        <v>14</v>
      </c>
      <c r="F1599">
        <v>46.514699999999998</v>
      </c>
      <c r="G1599">
        <v>8.6881000000000004</v>
      </c>
      <c r="H1599">
        <v>1</v>
      </c>
      <c r="I1599">
        <v>991</v>
      </c>
      <c r="J1599" t="str">
        <f>HYPERLINK("https://climate.onebuilding.org/WMO_Region_6_Europe/CHE_Switzerland/TI_Ticino/CHE_TI_Piotta-Ambri.AP.067530_TMYx.2009-2023.zip")</f>
        <v>https://climate.onebuilding.org/WMO_Region_6_Europe/CHE_Switzerland/TI_Ticino/CHE_TI_Piotta-Ambri.AP.067530_TMYx.2009-2023.zip</v>
      </c>
    </row>
    <row r="1600" spans="1:10" x14ac:dyDescent="0.25">
      <c r="A1600" t="s">
        <v>702</v>
      </c>
      <c r="B1600" t="s">
        <v>47</v>
      </c>
      <c r="C1600" t="s">
        <v>1048</v>
      </c>
      <c r="D1600" s="1" t="s">
        <v>1049</v>
      </c>
      <c r="E1600" t="s">
        <v>14</v>
      </c>
      <c r="F1600">
        <v>46.514699999999998</v>
      </c>
      <c r="G1600">
        <v>8.6881000000000004</v>
      </c>
      <c r="H1600">
        <v>1</v>
      </c>
      <c r="I1600">
        <v>991</v>
      </c>
      <c r="J1600" t="str">
        <f>HYPERLINK("https://climate.onebuilding.org/WMO_Region_6_Europe/CHE_Switzerland/TI_Ticino/CHE_TI_Piotta-Ambri.AP.067530_TMYx.zip")</f>
        <v>https://climate.onebuilding.org/WMO_Region_6_Europe/CHE_Switzerland/TI_Ticino/CHE_TI_Piotta-Ambri.AP.067530_TMYx.zip</v>
      </c>
    </row>
    <row r="1601" spans="1:10" x14ac:dyDescent="0.25">
      <c r="A1601" t="s">
        <v>702</v>
      </c>
      <c r="B1601" t="s">
        <v>47</v>
      </c>
      <c r="C1601" t="s">
        <v>1051</v>
      </c>
      <c r="D1601" s="1" t="s">
        <v>1052</v>
      </c>
      <c r="E1601" t="s">
        <v>1053</v>
      </c>
      <c r="F1601">
        <v>46.41</v>
      </c>
      <c r="G1601">
        <v>8.9246999999999996</v>
      </c>
      <c r="H1601">
        <v>1</v>
      </c>
      <c r="I1601">
        <v>2171</v>
      </c>
      <c r="J1601" t="str">
        <f>HYPERLINK("https://climate.onebuilding.org/WMO_Region_6_Europe/CHE_Switzerland/TI_Ticino/CHE_TI_Matro.067540_TMYx.2004-2018.zip")</f>
        <v>https://climate.onebuilding.org/WMO_Region_6_Europe/CHE_Switzerland/TI_Ticino/CHE_TI_Matro.067540_TMYx.2004-2018.zip</v>
      </c>
    </row>
    <row r="1602" spans="1:10" x14ac:dyDescent="0.25">
      <c r="A1602" t="s">
        <v>702</v>
      </c>
      <c r="B1602" t="s">
        <v>47</v>
      </c>
      <c r="C1602" t="s">
        <v>1051</v>
      </c>
      <c r="D1602" s="1" t="s">
        <v>1052</v>
      </c>
      <c r="E1602" t="s">
        <v>14</v>
      </c>
      <c r="F1602">
        <v>46.41</v>
      </c>
      <c r="G1602">
        <v>8.9246999999999996</v>
      </c>
      <c r="H1602">
        <v>1</v>
      </c>
      <c r="I1602">
        <v>2171</v>
      </c>
      <c r="J1602" t="str">
        <f>HYPERLINK("https://climate.onebuilding.org/WMO_Region_6_Europe/CHE_Switzerland/TI_Ticino/CHE_TI_Matro.067540_TMYx.2007-2021.zip")</f>
        <v>https://climate.onebuilding.org/WMO_Region_6_Europe/CHE_Switzerland/TI_Ticino/CHE_TI_Matro.067540_TMYx.2007-2021.zip</v>
      </c>
    </row>
    <row r="1603" spans="1:10" x14ac:dyDescent="0.25">
      <c r="A1603" t="s">
        <v>702</v>
      </c>
      <c r="B1603" t="s">
        <v>47</v>
      </c>
      <c r="C1603" t="s">
        <v>1051</v>
      </c>
      <c r="D1603" s="1" t="s">
        <v>1052</v>
      </c>
      <c r="E1603" t="s">
        <v>14</v>
      </c>
      <c r="F1603">
        <v>46.41</v>
      </c>
      <c r="G1603">
        <v>8.9246999999999996</v>
      </c>
      <c r="H1603">
        <v>1</v>
      </c>
      <c r="I1603">
        <v>2171</v>
      </c>
      <c r="J1603" t="str">
        <f>HYPERLINK("https://climate.onebuilding.org/WMO_Region_6_Europe/CHE_Switzerland/TI_Ticino/CHE_TI_Matro.067540_TMYx.2009-2023.zip")</f>
        <v>https://climate.onebuilding.org/WMO_Region_6_Europe/CHE_Switzerland/TI_Ticino/CHE_TI_Matro.067540_TMYx.2009-2023.zip</v>
      </c>
    </row>
    <row r="1604" spans="1:10" x14ac:dyDescent="0.25">
      <c r="A1604" t="s">
        <v>702</v>
      </c>
      <c r="B1604" t="s">
        <v>47</v>
      </c>
      <c r="C1604" t="s">
        <v>1051</v>
      </c>
      <c r="D1604" s="1" t="s">
        <v>1052</v>
      </c>
      <c r="E1604" t="s">
        <v>14</v>
      </c>
      <c r="F1604">
        <v>46.41</v>
      </c>
      <c r="G1604">
        <v>8.9246999999999996</v>
      </c>
      <c r="H1604">
        <v>1</v>
      </c>
      <c r="I1604">
        <v>2171</v>
      </c>
      <c r="J1604" t="str">
        <f>HYPERLINK("https://climate.onebuilding.org/WMO_Region_6_Europe/CHE_Switzerland/TI_Ticino/CHE_TI_Matro.067540_TMYx.zip")</f>
        <v>https://climate.onebuilding.org/WMO_Region_6_Europe/CHE_Switzerland/TI_Ticino/CHE_TI_Matro.067540_TMYx.zip</v>
      </c>
    </row>
    <row r="1605" spans="1:10" x14ac:dyDescent="0.25">
      <c r="A1605" t="s">
        <v>702</v>
      </c>
      <c r="B1605" t="s">
        <v>47</v>
      </c>
      <c r="C1605" t="s">
        <v>1054</v>
      </c>
      <c r="D1605" s="1" t="s">
        <v>1055</v>
      </c>
      <c r="E1605" t="s">
        <v>1056</v>
      </c>
      <c r="F1605">
        <v>46.459400000000002</v>
      </c>
      <c r="G1605">
        <v>8.9356000000000009</v>
      </c>
      <c r="H1605">
        <v>1</v>
      </c>
      <c r="I1605">
        <v>576.6</v>
      </c>
      <c r="J1605" t="str">
        <f>HYPERLINK("https://climate.onebuilding.org/WMO_Region_6_Europe/CHE_Switzerland/TI_Ticino/CHE_TI_Acquarossa.Comprovasco.067560_TMYx.2004-2018.zip")</f>
        <v>https://climate.onebuilding.org/WMO_Region_6_Europe/CHE_Switzerland/TI_Ticino/CHE_TI_Acquarossa.Comprovasco.067560_TMYx.2004-2018.zip</v>
      </c>
    </row>
    <row r="1606" spans="1:10" x14ac:dyDescent="0.25">
      <c r="A1606" t="s">
        <v>702</v>
      </c>
      <c r="B1606" t="s">
        <v>47</v>
      </c>
      <c r="C1606" t="s">
        <v>1054</v>
      </c>
      <c r="D1606" s="1" t="s">
        <v>1055</v>
      </c>
      <c r="E1606" t="s">
        <v>14</v>
      </c>
      <c r="F1606">
        <v>46.459400000000002</v>
      </c>
      <c r="G1606">
        <v>8.9356000000000009</v>
      </c>
      <c r="H1606">
        <v>1</v>
      </c>
      <c r="I1606">
        <v>576.6</v>
      </c>
      <c r="J1606" t="str">
        <f>HYPERLINK("https://climate.onebuilding.org/WMO_Region_6_Europe/CHE_Switzerland/TI_Ticino/CHE_TI_Acquarossa.Comprovasco.067560_TMYx.2007-2021.zip")</f>
        <v>https://climate.onebuilding.org/WMO_Region_6_Europe/CHE_Switzerland/TI_Ticino/CHE_TI_Acquarossa.Comprovasco.067560_TMYx.2007-2021.zip</v>
      </c>
    </row>
    <row r="1607" spans="1:10" x14ac:dyDescent="0.25">
      <c r="A1607" t="s">
        <v>702</v>
      </c>
      <c r="B1607" t="s">
        <v>47</v>
      </c>
      <c r="C1607" t="s">
        <v>1054</v>
      </c>
      <c r="D1607" s="1" t="s">
        <v>1055</v>
      </c>
      <c r="E1607" t="s">
        <v>14</v>
      </c>
      <c r="F1607">
        <v>46.459400000000002</v>
      </c>
      <c r="G1607">
        <v>8.9356000000000009</v>
      </c>
      <c r="H1607">
        <v>1</v>
      </c>
      <c r="I1607">
        <v>576.6</v>
      </c>
      <c r="J1607" t="str">
        <f>HYPERLINK("https://climate.onebuilding.org/WMO_Region_6_Europe/CHE_Switzerland/TI_Ticino/CHE_TI_Acquarossa.Comprovasco.067560_TMYx.2009-2023.zip")</f>
        <v>https://climate.onebuilding.org/WMO_Region_6_Europe/CHE_Switzerland/TI_Ticino/CHE_TI_Acquarossa.Comprovasco.067560_TMYx.2009-2023.zip</v>
      </c>
    </row>
    <row r="1608" spans="1:10" x14ac:dyDescent="0.25">
      <c r="A1608" t="s">
        <v>702</v>
      </c>
      <c r="B1608" t="s">
        <v>47</v>
      </c>
      <c r="C1608" t="s">
        <v>1054</v>
      </c>
      <c r="D1608" s="1" t="s">
        <v>1055</v>
      </c>
      <c r="E1608" t="s">
        <v>14</v>
      </c>
      <c r="F1608">
        <v>46.459400000000002</v>
      </c>
      <c r="G1608">
        <v>8.9356000000000009</v>
      </c>
      <c r="H1608">
        <v>1</v>
      </c>
      <c r="I1608">
        <v>576.6</v>
      </c>
      <c r="J1608" t="str">
        <f>HYPERLINK("https://climate.onebuilding.org/WMO_Region_6_Europe/CHE_Switzerland/TI_Ticino/CHE_TI_Acquarossa.Comprovasco.067560_TMYx.zip")</f>
        <v>https://climate.onebuilding.org/WMO_Region_6_Europe/CHE_Switzerland/TI_Ticino/CHE_TI_Acquarossa.Comprovasco.067560_TMYx.zip</v>
      </c>
    </row>
    <row r="1609" spans="1:10" x14ac:dyDescent="0.25">
      <c r="A1609" t="s">
        <v>702</v>
      </c>
      <c r="B1609" t="s">
        <v>1057</v>
      </c>
      <c r="C1609" t="s">
        <v>1058</v>
      </c>
      <c r="D1609" s="1" t="s">
        <v>1059</v>
      </c>
      <c r="E1609" t="s">
        <v>1060</v>
      </c>
      <c r="F1609">
        <v>46.255000000000003</v>
      </c>
      <c r="G1609">
        <v>9.1638999999999999</v>
      </c>
      <c r="H1609">
        <v>1</v>
      </c>
      <c r="I1609">
        <v>324.3</v>
      </c>
      <c r="J1609" t="str">
        <f>HYPERLINK("https://climate.onebuilding.org/WMO_Region_6_Europe/CHE_Switzerland/GR_Graubunden/CHE_GR_Grono.067580_TMYx.2004-2018.zip")</f>
        <v>https://climate.onebuilding.org/WMO_Region_6_Europe/CHE_Switzerland/GR_Graubunden/CHE_GR_Grono.067580_TMYx.2004-2018.zip</v>
      </c>
    </row>
    <row r="1610" spans="1:10" x14ac:dyDescent="0.25">
      <c r="A1610" t="s">
        <v>702</v>
      </c>
      <c r="B1610" t="s">
        <v>1057</v>
      </c>
      <c r="C1610" t="s">
        <v>1058</v>
      </c>
      <c r="D1610" s="1" t="s">
        <v>1059</v>
      </c>
      <c r="E1610" t="s">
        <v>14</v>
      </c>
      <c r="F1610">
        <v>46.255000000000003</v>
      </c>
      <c r="G1610">
        <v>9.1638999999999999</v>
      </c>
      <c r="H1610">
        <v>1</v>
      </c>
      <c r="I1610">
        <v>324.3</v>
      </c>
      <c r="J1610" t="str">
        <f>HYPERLINK("https://climate.onebuilding.org/WMO_Region_6_Europe/CHE_Switzerland/GR_Graubunden/CHE_GR_Grono.067580_TMYx.2007-2021.zip")</f>
        <v>https://climate.onebuilding.org/WMO_Region_6_Europe/CHE_Switzerland/GR_Graubunden/CHE_GR_Grono.067580_TMYx.2007-2021.zip</v>
      </c>
    </row>
    <row r="1611" spans="1:10" x14ac:dyDescent="0.25">
      <c r="A1611" t="s">
        <v>702</v>
      </c>
      <c r="B1611" t="s">
        <v>1057</v>
      </c>
      <c r="C1611" t="s">
        <v>1058</v>
      </c>
      <c r="D1611" s="1" t="s">
        <v>1059</v>
      </c>
      <c r="E1611" t="s">
        <v>14</v>
      </c>
      <c r="F1611">
        <v>46.255000000000003</v>
      </c>
      <c r="G1611">
        <v>9.1638999999999999</v>
      </c>
      <c r="H1611">
        <v>1</v>
      </c>
      <c r="I1611">
        <v>324.3</v>
      </c>
      <c r="J1611" t="str">
        <f>HYPERLINK("https://climate.onebuilding.org/WMO_Region_6_Europe/CHE_Switzerland/GR_Graubunden/CHE_GR_Grono.067580_TMYx.2009-2023.zip")</f>
        <v>https://climate.onebuilding.org/WMO_Region_6_Europe/CHE_Switzerland/GR_Graubunden/CHE_GR_Grono.067580_TMYx.2009-2023.zip</v>
      </c>
    </row>
    <row r="1612" spans="1:10" x14ac:dyDescent="0.25">
      <c r="A1612" t="s">
        <v>702</v>
      </c>
      <c r="B1612" t="s">
        <v>1057</v>
      </c>
      <c r="C1612" t="s">
        <v>1058</v>
      </c>
      <c r="D1612" s="1" t="s">
        <v>1059</v>
      </c>
      <c r="E1612" t="s">
        <v>14</v>
      </c>
      <c r="F1612">
        <v>46.255000000000003</v>
      </c>
      <c r="G1612">
        <v>9.1638999999999999</v>
      </c>
      <c r="H1612">
        <v>1</v>
      </c>
      <c r="I1612">
        <v>324.3</v>
      </c>
      <c r="J1612" t="str">
        <f>HYPERLINK("https://climate.onebuilding.org/WMO_Region_6_Europe/CHE_Switzerland/GR_Graubunden/CHE_GR_Grono.067580_TMYx.zip")</f>
        <v>https://climate.onebuilding.org/WMO_Region_6_Europe/CHE_Switzerland/GR_Graubunden/CHE_GR_Grono.067580_TMYx.zip</v>
      </c>
    </row>
    <row r="1613" spans="1:10" x14ac:dyDescent="0.25">
      <c r="A1613" t="s">
        <v>702</v>
      </c>
      <c r="B1613" t="s">
        <v>47</v>
      </c>
      <c r="C1613" t="s">
        <v>1061</v>
      </c>
      <c r="D1613" s="1" t="s">
        <v>1062</v>
      </c>
      <c r="E1613" t="s">
        <v>1063</v>
      </c>
      <c r="F1613">
        <v>46.200800000000001</v>
      </c>
      <c r="G1613">
        <v>8.7905999999999995</v>
      </c>
      <c r="H1613">
        <v>1</v>
      </c>
      <c r="I1613">
        <v>1662.2</v>
      </c>
      <c r="J1613" t="str">
        <f>HYPERLINK("https://climate.onebuilding.org/WMO_Region_6_Europe/CHE_Switzerland/TI_Ticino/CHE_TI_Cimetta.067590_TMYx.2004-2018.zip")</f>
        <v>https://climate.onebuilding.org/WMO_Region_6_Europe/CHE_Switzerland/TI_Ticino/CHE_TI_Cimetta.067590_TMYx.2004-2018.zip</v>
      </c>
    </row>
    <row r="1614" spans="1:10" x14ac:dyDescent="0.25">
      <c r="A1614" t="s">
        <v>702</v>
      </c>
      <c r="B1614" t="s">
        <v>47</v>
      </c>
      <c r="C1614" t="s">
        <v>1061</v>
      </c>
      <c r="D1614" s="1" t="s">
        <v>1062</v>
      </c>
      <c r="E1614" t="s">
        <v>14</v>
      </c>
      <c r="F1614">
        <v>46.200800000000001</v>
      </c>
      <c r="G1614">
        <v>8.7905999999999995</v>
      </c>
      <c r="H1614">
        <v>1</v>
      </c>
      <c r="I1614">
        <v>1662.2</v>
      </c>
      <c r="J1614" t="str">
        <f>HYPERLINK("https://climate.onebuilding.org/WMO_Region_6_Europe/CHE_Switzerland/TI_Ticino/CHE_TI_Cimetta.067590_TMYx.2007-2021.zip")</f>
        <v>https://climate.onebuilding.org/WMO_Region_6_Europe/CHE_Switzerland/TI_Ticino/CHE_TI_Cimetta.067590_TMYx.2007-2021.zip</v>
      </c>
    </row>
    <row r="1615" spans="1:10" x14ac:dyDescent="0.25">
      <c r="A1615" t="s">
        <v>702</v>
      </c>
      <c r="B1615" t="s">
        <v>47</v>
      </c>
      <c r="C1615" t="s">
        <v>1061</v>
      </c>
      <c r="D1615" s="1" t="s">
        <v>1062</v>
      </c>
      <c r="E1615" t="s">
        <v>14</v>
      </c>
      <c r="F1615">
        <v>46.200800000000001</v>
      </c>
      <c r="G1615">
        <v>8.7905999999999995</v>
      </c>
      <c r="H1615">
        <v>1</v>
      </c>
      <c r="I1615">
        <v>1662.2</v>
      </c>
      <c r="J1615" t="str">
        <f>HYPERLINK("https://climate.onebuilding.org/WMO_Region_6_Europe/CHE_Switzerland/TI_Ticino/CHE_TI_Cimetta.067590_TMYx.2009-2023.zip")</f>
        <v>https://climate.onebuilding.org/WMO_Region_6_Europe/CHE_Switzerland/TI_Ticino/CHE_TI_Cimetta.067590_TMYx.2009-2023.zip</v>
      </c>
    </row>
    <row r="1616" spans="1:10" x14ac:dyDescent="0.25">
      <c r="A1616" t="s">
        <v>702</v>
      </c>
      <c r="B1616" t="s">
        <v>47</v>
      </c>
      <c r="C1616" t="s">
        <v>1061</v>
      </c>
      <c r="D1616" s="1" t="s">
        <v>1062</v>
      </c>
      <c r="E1616" t="s">
        <v>14</v>
      </c>
      <c r="F1616">
        <v>46.200800000000001</v>
      </c>
      <c r="G1616">
        <v>8.7905999999999995</v>
      </c>
      <c r="H1616">
        <v>1</v>
      </c>
      <c r="I1616">
        <v>1662.2</v>
      </c>
      <c r="J1616" t="str">
        <f>HYPERLINK("https://climate.onebuilding.org/WMO_Region_6_Europe/CHE_Switzerland/TI_Ticino/CHE_TI_Cimetta.067590_TMYx.zip")</f>
        <v>https://climate.onebuilding.org/WMO_Region_6_Europe/CHE_Switzerland/TI_Ticino/CHE_TI_Cimetta.067590_TMYx.zip</v>
      </c>
    </row>
    <row r="1617" spans="1:10" x14ac:dyDescent="0.25">
      <c r="A1617" t="s">
        <v>702</v>
      </c>
      <c r="B1617" t="s">
        <v>47</v>
      </c>
      <c r="C1617" t="s">
        <v>1064</v>
      </c>
      <c r="D1617" s="1" t="s">
        <v>1065</v>
      </c>
      <c r="E1617" t="s">
        <v>1066</v>
      </c>
      <c r="F1617">
        <v>46.172499999999999</v>
      </c>
      <c r="G1617">
        <v>8.7874999999999996</v>
      </c>
      <c r="H1617">
        <v>1</v>
      </c>
      <c r="I1617">
        <v>374.4</v>
      </c>
      <c r="J1617" t="str">
        <f>HYPERLINK("https://climate.onebuilding.org/WMO_Region_6_Europe/CHE_Switzerland/TI_Ticino/CHE_TI_Locarno.Monti.067600_TMYx.2004-2018.zip")</f>
        <v>https://climate.onebuilding.org/WMO_Region_6_Europe/CHE_Switzerland/TI_Ticino/CHE_TI_Locarno.Monti.067600_TMYx.2004-2018.zip</v>
      </c>
    </row>
    <row r="1618" spans="1:10" x14ac:dyDescent="0.25">
      <c r="A1618" t="s">
        <v>702</v>
      </c>
      <c r="B1618" t="s">
        <v>47</v>
      </c>
      <c r="C1618" t="s">
        <v>1064</v>
      </c>
      <c r="D1618" s="1" t="s">
        <v>1065</v>
      </c>
      <c r="E1618" t="s">
        <v>14</v>
      </c>
      <c r="F1618">
        <v>46.172499999999999</v>
      </c>
      <c r="G1618">
        <v>8.7874999999999996</v>
      </c>
      <c r="H1618">
        <v>1</v>
      </c>
      <c r="I1618">
        <v>374.4</v>
      </c>
      <c r="J1618" t="str">
        <f>HYPERLINK("https://climate.onebuilding.org/WMO_Region_6_Europe/CHE_Switzerland/TI_Ticino/CHE_TI_Locarno.Monti.067600_TMYx.2007-2021.zip")</f>
        <v>https://climate.onebuilding.org/WMO_Region_6_Europe/CHE_Switzerland/TI_Ticino/CHE_TI_Locarno.Monti.067600_TMYx.2007-2021.zip</v>
      </c>
    </row>
    <row r="1619" spans="1:10" x14ac:dyDescent="0.25">
      <c r="A1619" t="s">
        <v>702</v>
      </c>
      <c r="B1619" t="s">
        <v>47</v>
      </c>
      <c r="C1619" t="s">
        <v>1064</v>
      </c>
      <c r="D1619" s="1" t="s">
        <v>1065</v>
      </c>
      <c r="E1619" t="s">
        <v>14</v>
      </c>
      <c r="F1619">
        <v>46.172499999999999</v>
      </c>
      <c r="G1619">
        <v>8.7874999999999996</v>
      </c>
      <c r="H1619">
        <v>1</v>
      </c>
      <c r="I1619">
        <v>374.4</v>
      </c>
      <c r="J1619" t="str">
        <f>HYPERLINK("https://climate.onebuilding.org/WMO_Region_6_Europe/CHE_Switzerland/TI_Ticino/CHE_TI_Locarno.Monti.067600_TMYx.2009-2023.zip")</f>
        <v>https://climate.onebuilding.org/WMO_Region_6_Europe/CHE_Switzerland/TI_Ticino/CHE_TI_Locarno.Monti.067600_TMYx.2009-2023.zip</v>
      </c>
    </row>
    <row r="1620" spans="1:10" x14ac:dyDescent="0.25">
      <c r="A1620" t="s">
        <v>702</v>
      </c>
      <c r="B1620" t="s">
        <v>47</v>
      </c>
      <c r="C1620" t="s">
        <v>1064</v>
      </c>
      <c r="D1620" s="1" t="s">
        <v>1065</v>
      </c>
      <c r="E1620" t="s">
        <v>14</v>
      </c>
      <c r="F1620">
        <v>46.172499999999999</v>
      </c>
      <c r="G1620">
        <v>8.7874999999999996</v>
      </c>
      <c r="H1620">
        <v>1</v>
      </c>
      <c r="I1620">
        <v>374.4</v>
      </c>
      <c r="J1620" t="str">
        <f>HYPERLINK("https://climate.onebuilding.org/WMO_Region_6_Europe/CHE_Switzerland/TI_Ticino/CHE_TI_Locarno.Monti.067600_TMYx.zip")</f>
        <v>https://climate.onebuilding.org/WMO_Region_6_Europe/CHE_Switzerland/TI_Ticino/CHE_TI_Locarno.Monti.067600_TMYx.zip</v>
      </c>
    </row>
    <row r="1621" spans="1:10" x14ac:dyDescent="0.25">
      <c r="A1621" t="s">
        <v>702</v>
      </c>
      <c r="B1621" t="s">
        <v>47</v>
      </c>
      <c r="C1621" t="s">
        <v>1067</v>
      </c>
      <c r="D1621" s="1" t="s">
        <v>1068</v>
      </c>
      <c r="E1621" t="s">
        <v>1069</v>
      </c>
      <c r="F1621">
        <v>46.17</v>
      </c>
      <c r="G1621">
        <v>8.8800000000000008</v>
      </c>
      <c r="H1621">
        <v>1</v>
      </c>
      <c r="I1621">
        <v>198</v>
      </c>
      <c r="J1621" t="str">
        <f>HYPERLINK("https://climate.onebuilding.org/WMO_Region_6_Europe/CHE_Switzerland/TI_Ticino/CHE_TI_Locarno.Magadino.AP.067620_TMYx.2004-2018.zip")</f>
        <v>https://climate.onebuilding.org/WMO_Region_6_Europe/CHE_Switzerland/TI_Ticino/CHE_TI_Locarno.Magadino.AP.067620_TMYx.2004-2018.zip</v>
      </c>
    </row>
    <row r="1622" spans="1:10" x14ac:dyDescent="0.25">
      <c r="A1622" t="s">
        <v>702</v>
      </c>
      <c r="B1622" t="s">
        <v>47</v>
      </c>
      <c r="C1622" t="s">
        <v>1067</v>
      </c>
      <c r="D1622" s="1" t="s">
        <v>1068</v>
      </c>
      <c r="E1622" t="s">
        <v>14</v>
      </c>
      <c r="F1622">
        <v>46.165999999999997</v>
      </c>
      <c r="G1622">
        <v>8.8819999999999997</v>
      </c>
      <c r="H1622">
        <v>1</v>
      </c>
      <c r="I1622">
        <v>198</v>
      </c>
      <c r="J1622" t="str">
        <f>HYPERLINK("https://climate.onebuilding.org/WMO_Region_6_Europe/CHE_Switzerland/TI_Ticino/CHE_TI_Locarno.Magadino.AP.067620_TMYx.2007-2021.zip")</f>
        <v>https://climate.onebuilding.org/WMO_Region_6_Europe/CHE_Switzerland/TI_Ticino/CHE_TI_Locarno.Magadino.AP.067620_TMYx.2007-2021.zip</v>
      </c>
    </row>
    <row r="1623" spans="1:10" x14ac:dyDescent="0.25">
      <c r="A1623" t="s">
        <v>702</v>
      </c>
      <c r="B1623" t="s">
        <v>47</v>
      </c>
      <c r="C1623" t="s">
        <v>1067</v>
      </c>
      <c r="D1623" s="1" t="s">
        <v>1068</v>
      </c>
      <c r="E1623" t="s">
        <v>14</v>
      </c>
      <c r="F1623">
        <v>46.165999999999997</v>
      </c>
      <c r="G1623">
        <v>8.8819999999999997</v>
      </c>
      <c r="H1623">
        <v>1</v>
      </c>
      <c r="I1623">
        <v>198</v>
      </c>
      <c r="J1623" t="str">
        <f>HYPERLINK("https://climate.onebuilding.org/WMO_Region_6_Europe/CHE_Switzerland/TI_Ticino/CHE_TI_Locarno.Magadino.AP.067620_TMYx.2009-2023.zip")</f>
        <v>https://climate.onebuilding.org/WMO_Region_6_Europe/CHE_Switzerland/TI_Ticino/CHE_TI_Locarno.Magadino.AP.067620_TMYx.2009-2023.zip</v>
      </c>
    </row>
    <row r="1624" spans="1:10" x14ac:dyDescent="0.25">
      <c r="A1624" t="s">
        <v>702</v>
      </c>
      <c r="B1624" t="s">
        <v>47</v>
      </c>
      <c r="C1624" t="s">
        <v>1067</v>
      </c>
      <c r="D1624" s="1" t="s">
        <v>1068</v>
      </c>
      <c r="E1624" t="s">
        <v>14</v>
      </c>
      <c r="F1624">
        <v>46.165999999999997</v>
      </c>
      <c r="G1624">
        <v>8.8819999999999997</v>
      </c>
      <c r="H1624">
        <v>1</v>
      </c>
      <c r="I1624">
        <v>198</v>
      </c>
      <c r="J1624" t="str">
        <f>HYPERLINK("https://climate.onebuilding.org/WMO_Region_6_Europe/CHE_Switzerland/TI_Ticino/CHE_TI_Locarno.Magadino.AP.067620_TMYx.zip")</f>
        <v>https://climate.onebuilding.org/WMO_Region_6_Europe/CHE_Switzerland/TI_Ticino/CHE_TI_Locarno.Magadino.AP.067620_TMYx.zip</v>
      </c>
    </row>
    <row r="1625" spans="1:10" x14ac:dyDescent="0.25">
      <c r="A1625" t="s">
        <v>702</v>
      </c>
      <c r="B1625" t="s">
        <v>47</v>
      </c>
      <c r="C1625" t="s">
        <v>1070</v>
      </c>
      <c r="D1625" s="1" t="s">
        <v>1071</v>
      </c>
      <c r="E1625" t="s">
        <v>1072</v>
      </c>
      <c r="F1625">
        <v>46.003999999999998</v>
      </c>
      <c r="G1625">
        <v>8.9109999999999996</v>
      </c>
      <c r="H1625">
        <v>1</v>
      </c>
      <c r="I1625">
        <v>278.89999999999998</v>
      </c>
      <c r="J1625" t="str">
        <f>HYPERLINK("https://climate.onebuilding.org/WMO_Region_6_Europe/CHE_Switzerland/TI_Ticino/CHE_TI_Lugano.067700_TMYx.2004-2018.zip")</f>
        <v>https://climate.onebuilding.org/WMO_Region_6_Europe/CHE_Switzerland/TI_Ticino/CHE_TI_Lugano.067700_TMYx.2004-2018.zip</v>
      </c>
    </row>
    <row r="1626" spans="1:10" x14ac:dyDescent="0.25">
      <c r="A1626" t="s">
        <v>702</v>
      </c>
      <c r="B1626" t="s">
        <v>47</v>
      </c>
      <c r="C1626" t="s">
        <v>1070</v>
      </c>
      <c r="D1626" s="1" t="s">
        <v>1071</v>
      </c>
      <c r="E1626" t="s">
        <v>14</v>
      </c>
      <c r="F1626">
        <v>46.003900000000002</v>
      </c>
      <c r="G1626">
        <v>8.9601000000000006</v>
      </c>
      <c r="H1626">
        <v>1</v>
      </c>
      <c r="I1626">
        <v>278.89999999999998</v>
      </c>
      <c r="J1626" t="str">
        <f>HYPERLINK("https://climate.onebuilding.org/WMO_Region_6_Europe/CHE_Switzerland/TI_Ticino/CHE_TI_Lugano.067700_TMYx.2007-2021.zip")</f>
        <v>https://climate.onebuilding.org/WMO_Region_6_Europe/CHE_Switzerland/TI_Ticino/CHE_TI_Lugano.067700_TMYx.2007-2021.zip</v>
      </c>
    </row>
    <row r="1627" spans="1:10" x14ac:dyDescent="0.25">
      <c r="A1627" t="s">
        <v>702</v>
      </c>
      <c r="B1627" t="s">
        <v>47</v>
      </c>
      <c r="C1627" t="s">
        <v>1070</v>
      </c>
      <c r="D1627" s="1" t="s">
        <v>1071</v>
      </c>
      <c r="E1627" t="s">
        <v>14</v>
      </c>
      <c r="F1627">
        <v>46.003900000000002</v>
      </c>
      <c r="G1627">
        <v>8.9601000000000006</v>
      </c>
      <c r="H1627">
        <v>1</v>
      </c>
      <c r="I1627">
        <v>278.89999999999998</v>
      </c>
      <c r="J1627" t="str">
        <f>HYPERLINK("https://climate.onebuilding.org/WMO_Region_6_Europe/CHE_Switzerland/TI_Ticino/CHE_TI_Lugano.067700_TMYx.2009-2023.zip")</f>
        <v>https://climate.onebuilding.org/WMO_Region_6_Europe/CHE_Switzerland/TI_Ticino/CHE_TI_Lugano.067700_TMYx.2009-2023.zip</v>
      </c>
    </row>
    <row r="1628" spans="1:10" x14ac:dyDescent="0.25">
      <c r="A1628" t="s">
        <v>702</v>
      </c>
      <c r="B1628" t="s">
        <v>47</v>
      </c>
      <c r="C1628" t="s">
        <v>1070</v>
      </c>
      <c r="D1628" s="1" t="s">
        <v>1071</v>
      </c>
      <c r="E1628" t="s">
        <v>14</v>
      </c>
      <c r="F1628">
        <v>46.003900000000002</v>
      </c>
      <c r="G1628">
        <v>8.9601000000000006</v>
      </c>
      <c r="H1628">
        <v>1</v>
      </c>
      <c r="I1628">
        <v>278.89999999999998</v>
      </c>
      <c r="J1628" t="str">
        <f>HYPERLINK("https://climate.onebuilding.org/WMO_Region_6_Europe/CHE_Switzerland/TI_Ticino/CHE_TI_Lugano.067700_TMYx.zip")</f>
        <v>https://climate.onebuilding.org/WMO_Region_6_Europe/CHE_Switzerland/TI_Ticino/CHE_TI_Lugano.067700_TMYx.zip</v>
      </c>
    </row>
    <row r="1629" spans="1:10" x14ac:dyDescent="0.25">
      <c r="A1629" t="s">
        <v>702</v>
      </c>
      <c r="B1629" t="s">
        <v>47</v>
      </c>
      <c r="C1629" t="s">
        <v>1073</v>
      </c>
      <c r="D1629" s="1" t="s">
        <v>1074</v>
      </c>
      <c r="E1629" t="s">
        <v>1075</v>
      </c>
      <c r="F1629">
        <v>45.843299999999999</v>
      </c>
      <c r="G1629">
        <v>8.9324999999999992</v>
      </c>
      <c r="H1629">
        <v>1</v>
      </c>
      <c r="I1629">
        <v>352.4</v>
      </c>
      <c r="J1629" t="str">
        <f>HYPERLINK("https://climate.onebuilding.org/WMO_Region_6_Europe/CHE_Switzerland/TI_Ticino/CHE_TI_Stabio.067710_TMYx.2004-2018.zip")</f>
        <v>https://climate.onebuilding.org/WMO_Region_6_Europe/CHE_Switzerland/TI_Ticino/CHE_TI_Stabio.067710_TMYx.2004-2018.zip</v>
      </c>
    </row>
    <row r="1630" spans="1:10" x14ac:dyDescent="0.25">
      <c r="A1630" t="s">
        <v>702</v>
      </c>
      <c r="B1630" t="s">
        <v>47</v>
      </c>
      <c r="C1630" t="s">
        <v>1073</v>
      </c>
      <c r="D1630" s="1" t="s">
        <v>1074</v>
      </c>
      <c r="E1630" t="s">
        <v>14</v>
      </c>
      <c r="F1630">
        <v>45.843299999999999</v>
      </c>
      <c r="G1630">
        <v>8.9324999999999992</v>
      </c>
      <c r="H1630">
        <v>1</v>
      </c>
      <c r="I1630">
        <v>352.4</v>
      </c>
      <c r="J1630" t="str">
        <f>HYPERLINK("https://climate.onebuilding.org/WMO_Region_6_Europe/CHE_Switzerland/TI_Ticino/CHE_TI_Stabio.067710_TMYx.2007-2021.zip")</f>
        <v>https://climate.onebuilding.org/WMO_Region_6_Europe/CHE_Switzerland/TI_Ticino/CHE_TI_Stabio.067710_TMYx.2007-2021.zip</v>
      </c>
    </row>
    <row r="1631" spans="1:10" x14ac:dyDescent="0.25">
      <c r="A1631" t="s">
        <v>702</v>
      </c>
      <c r="B1631" t="s">
        <v>47</v>
      </c>
      <c r="C1631" t="s">
        <v>1073</v>
      </c>
      <c r="D1631" s="1" t="s">
        <v>1074</v>
      </c>
      <c r="E1631" t="s">
        <v>14</v>
      </c>
      <c r="F1631">
        <v>45.843299999999999</v>
      </c>
      <c r="G1631">
        <v>8.9324999999999992</v>
      </c>
      <c r="H1631">
        <v>1</v>
      </c>
      <c r="I1631">
        <v>352.4</v>
      </c>
      <c r="J1631" t="str">
        <f>HYPERLINK("https://climate.onebuilding.org/WMO_Region_6_Europe/CHE_Switzerland/TI_Ticino/CHE_TI_Stabio.067710_TMYx.2009-2023.zip")</f>
        <v>https://climate.onebuilding.org/WMO_Region_6_Europe/CHE_Switzerland/TI_Ticino/CHE_TI_Stabio.067710_TMYx.2009-2023.zip</v>
      </c>
    </row>
    <row r="1632" spans="1:10" x14ac:dyDescent="0.25">
      <c r="A1632" t="s">
        <v>702</v>
      </c>
      <c r="B1632" t="s">
        <v>47</v>
      </c>
      <c r="C1632" t="s">
        <v>1073</v>
      </c>
      <c r="D1632" s="1" t="s">
        <v>1074</v>
      </c>
      <c r="E1632" t="s">
        <v>14</v>
      </c>
      <c r="F1632">
        <v>45.843299999999999</v>
      </c>
      <c r="G1632">
        <v>8.9324999999999992</v>
      </c>
      <c r="H1632">
        <v>1</v>
      </c>
      <c r="I1632">
        <v>352.4</v>
      </c>
      <c r="J1632" t="str">
        <f>HYPERLINK("https://climate.onebuilding.org/WMO_Region_6_Europe/CHE_Switzerland/TI_Ticino/CHE_TI_Stabio.067710_TMYx.zip")</f>
        <v>https://climate.onebuilding.org/WMO_Region_6_Europe/CHE_Switzerland/TI_Ticino/CHE_TI_Stabio.067710_TMYx.zip</v>
      </c>
    </row>
    <row r="1633" spans="1:10" x14ac:dyDescent="0.25">
      <c r="A1633" t="s">
        <v>702</v>
      </c>
      <c r="B1633" t="s">
        <v>47</v>
      </c>
      <c r="C1633" t="s">
        <v>1076</v>
      </c>
      <c r="D1633" s="1" t="s">
        <v>1077</v>
      </c>
      <c r="E1633" t="s">
        <v>1078</v>
      </c>
      <c r="F1633">
        <v>45.927500000000002</v>
      </c>
      <c r="G1633">
        <v>9.0177999999999994</v>
      </c>
      <c r="H1633">
        <v>1</v>
      </c>
      <c r="I1633">
        <v>1601.2</v>
      </c>
      <c r="J1633" t="str">
        <f>HYPERLINK("https://climate.onebuilding.org/WMO_Region_6_Europe/CHE_Switzerland/TI_Ticino/CHE_TI_Monte.Generoso.067770_TMYx.2004-2018.zip")</f>
        <v>https://climate.onebuilding.org/WMO_Region_6_Europe/CHE_Switzerland/TI_Ticino/CHE_TI_Monte.Generoso.067770_TMYx.2004-2018.zip</v>
      </c>
    </row>
    <row r="1634" spans="1:10" x14ac:dyDescent="0.25">
      <c r="A1634" t="s">
        <v>702</v>
      </c>
      <c r="B1634" t="s">
        <v>47</v>
      </c>
      <c r="C1634" t="s">
        <v>1076</v>
      </c>
      <c r="D1634" s="1" t="s">
        <v>1077</v>
      </c>
      <c r="E1634" t="s">
        <v>14</v>
      </c>
      <c r="F1634">
        <v>45.927500000000002</v>
      </c>
      <c r="G1634">
        <v>9.0177999999999994</v>
      </c>
      <c r="H1634">
        <v>1</v>
      </c>
      <c r="I1634">
        <v>1601.2</v>
      </c>
      <c r="J1634" t="str">
        <f>HYPERLINK("https://climate.onebuilding.org/WMO_Region_6_Europe/CHE_Switzerland/TI_Ticino/CHE_TI_Monte.Generoso.067770_TMYx.2007-2021.zip")</f>
        <v>https://climate.onebuilding.org/WMO_Region_6_Europe/CHE_Switzerland/TI_Ticino/CHE_TI_Monte.Generoso.067770_TMYx.2007-2021.zip</v>
      </c>
    </row>
    <row r="1635" spans="1:10" x14ac:dyDescent="0.25">
      <c r="A1635" t="s">
        <v>702</v>
      </c>
      <c r="B1635" t="s">
        <v>47</v>
      </c>
      <c r="C1635" t="s">
        <v>1076</v>
      </c>
      <c r="D1635" s="1" t="s">
        <v>1077</v>
      </c>
      <c r="E1635" t="s">
        <v>14</v>
      </c>
      <c r="F1635">
        <v>45.927500000000002</v>
      </c>
      <c r="G1635">
        <v>9.0177999999999994</v>
      </c>
      <c r="H1635">
        <v>1</v>
      </c>
      <c r="I1635">
        <v>1601.2</v>
      </c>
      <c r="J1635" t="str">
        <f>HYPERLINK("https://climate.onebuilding.org/WMO_Region_6_Europe/CHE_Switzerland/TI_Ticino/CHE_TI_Monte.Generoso.067770_TMYx.2009-2023.zip")</f>
        <v>https://climate.onebuilding.org/WMO_Region_6_Europe/CHE_Switzerland/TI_Ticino/CHE_TI_Monte.Generoso.067770_TMYx.2009-2023.zip</v>
      </c>
    </row>
    <row r="1636" spans="1:10" x14ac:dyDescent="0.25">
      <c r="A1636" t="s">
        <v>702</v>
      </c>
      <c r="B1636" t="s">
        <v>47</v>
      </c>
      <c r="C1636" t="s">
        <v>1076</v>
      </c>
      <c r="D1636" s="1" t="s">
        <v>1077</v>
      </c>
      <c r="E1636" t="s">
        <v>14</v>
      </c>
      <c r="F1636">
        <v>45.927500000000002</v>
      </c>
      <c r="G1636">
        <v>9.0177999999999994</v>
      </c>
      <c r="H1636">
        <v>1</v>
      </c>
      <c r="I1636">
        <v>1601.2</v>
      </c>
      <c r="J1636" t="str">
        <f>HYPERLINK("https://climate.onebuilding.org/WMO_Region_6_Europe/CHE_Switzerland/TI_Ticino/CHE_TI_Monte.Generoso.067770_TMYx.zip")</f>
        <v>https://climate.onebuilding.org/WMO_Region_6_Europe/CHE_Switzerland/TI_Ticino/CHE_TI_Monte.Generoso.067770_TMYx.zip</v>
      </c>
    </row>
    <row r="1637" spans="1:10" x14ac:dyDescent="0.25">
      <c r="A1637" t="s">
        <v>702</v>
      </c>
      <c r="B1637" t="s">
        <v>1057</v>
      </c>
      <c r="C1637" t="s">
        <v>1079</v>
      </c>
      <c r="D1637" s="1" t="s">
        <v>1080</v>
      </c>
      <c r="E1637" t="s">
        <v>1081</v>
      </c>
      <c r="F1637">
        <v>46.648099999999999</v>
      </c>
      <c r="G1637">
        <v>10.267200000000001</v>
      </c>
      <c r="H1637">
        <v>1</v>
      </c>
      <c r="I1637">
        <v>1969.2</v>
      </c>
      <c r="J1637" t="str">
        <f>HYPERLINK("https://climate.onebuilding.org/WMO_Region_6_Europe/CHE_Switzerland/GR_Graubunden/CHE_GR_Buffalora.067780_TMYx.2004-2018.zip")</f>
        <v>https://climate.onebuilding.org/WMO_Region_6_Europe/CHE_Switzerland/GR_Graubunden/CHE_GR_Buffalora.067780_TMYx.2004-2018.zip</v>
      </c>
    </row>
    <row r="1638" spans="1:10" x14ac:dyDescent="0.25">
      <c r="A1638" t="s">
        <v>702</v>
      </c>
      <c r="B1638" t="s">
        <v>1057</v>
      </c>
      <c r="C1638" t="s">
        <v>1079</v>
      </c>
      <c r="D1638" s="1" t="s">
        <v>1080</v>
      </c>
      <c r="E1638" t="s">
        <v>14</v>
      </c>
      <c r="F1638">
        <v>46.648099999999999</v>
      </c>
      <c r="G1638">
        <v>10.267200000000001</v>
      </c>
      <c r="H1638">
        <v>1</v>
      </c>
      <c r="I1638">
        <v>1969.2</v>
      </c>
      <c r="J1638" t="str">
        <f>HYPERLINK("https://climate.onebuilding.org/WMO_Region_6_Europe/CHE_Switzerland/GR_Graubunden/CHE_GR_Buffalora.067780_TMYx.2007-2021.zip")</f>
        <v>https://climate.onebuilding.org/WMO_Region_6_Europe/CHE_Switzerland/GR_Graubunden/CHE_GR_Buffalora.067780_TMYx.2007-2021.zip</v>
      </c>
    </row>
    <row r="1639" spans="1:10" x14ac:dyDescent="0.25">
      <c r="A1639" t="s">
        <v>702</v>
      </c>
      <c r="B1639" t="s">
        <v>1057</v>
      </c>
      <c r="C1639" t="s">
        <v>1079</v>
      </c>
      <c r="D1639" s="1" t="s">
        <v>1080</v>
      </c>
      <c r="E1639" t="s">
        <v>14</v>
      </c>
      <c r="F1639">
        <v>46.648099999999999</v>
      </c>
      <c r="G1639">
        <v>10.267200000000001</v>
      </c>
      <c r="H1639">
        <v>1</v>
      </c>
      <c r="I1639">
        <v>1969.2</v>
      </c>
      <c r="J1639" t="str">
        <f>HYPERLINK("https://climate.onebuilding.org/WMO_Region_6_Europe/CHE_Switzerland/GR_Graubunden/CHE_GR_Buffalora.067780_TMYx.2009-2023.zip")</f>
        <v>https://climate.onebuilding.org/WMO_Region_6_Europe/CHE_Switzerland/GR_Graubunden/CHE_GR_Buffalora.067780_TMYx.2009-2023.zip</v>
      </c>
    </row>
    <row r="1640" spans="1:10" x14ac:dyDescent="0.25">
      <c r="A1640" t="s">
        <v>702</v>
      </c>
      <c r="B1640" t="s">
        <v>1057</v>
      </c>
      <c r="C1640" t="s">
        <v>1079</v>
      </c>
      <c r="D1640" s="1" t="s">
        <v>1080</v>
      </c>
      <c r="E1640" t="s">
        <v>14</v>
      </c>
      <c r="F1640">
        <v>46.648099999999999</v>
      </c>
      <c r="G1640">
        <v>10.267200000000001</v>
      </c>
      <c r="H1640">
        <v>1</v>
      </c>
      <c r="I1640">
        <v>1969.2</v>
      </c>
      <c r="J1640" t="str">
        <f>HYPERLINK("https://climate.onebuilding.org/WMO_Region_6_Europe/CHE_Switzerland/GR_Graubunden/CHE_GR_Buffalora.067780_TMYx.zip")</f>
        <v>https://climate.onebuilding.org/WMO_Region_6_Europe/CHE_Switzerland/GR_Graubunden/CHE_GR_Buffalora.067780_TMYx.zip</v>
      </c>
    </row>
    <row r="1641" spans="1:10" x14ac:dyDescent="0.25">
      <c r="A1641" t="s">
        <v>702</v>
      </c>
      <c r="B1641" t="s">
        <v>1057</v>
      </c>
      <c r="C1641" t="s">
        <v>1082</v>
      </c>
      <c r="D1641" s="1" t="s">
        <v>1083</v>
      </c>
      <c r="E1641" t="s">
        <v>14</v>
      </c>
      <c r="F1641">
        <v>46.432200000000002</v>
      </c>
      <c r="G1641">
        <v>9.7622</v>
      </c>
      <c r="H1641">
        <v>1</v>
      </c>
      <c r="I1641">
        <v>1804.2</v>
      </c>
      <c r="J1641" t="str">
        <f>HYPERLINK("https://climate.onebuilding.org/WMO_Region_6_Europe/CHE_Switzerland/GR_Graubunden/CHE_GR_Sils-Segl.Maria.067790_TMYx.2007-2021.zip")</f>
        <v>https://climate.onebuilding.org/WMO_Region_6_Europe/CHE_Switzerland/GR_Graubunden/CHE_GR_Sils-Segl.Maria.067790_TMYx.2007-2021.zip</v>
      </c>
    </row>
    <row r="1642" spans="1:10" x14ac:dyDescent="0.25">
      <c r="A1642" t="s">
        <v>702</v>
      </c>
      <c r="B1642" t="s">
        <v>1057</v>
      </c>
      <c r="C1642" t="s">
        <v>1082</v>
      </c>
      <c r="D1642" s="1" t="s">
        <v>1083</v>
      </c>
      <c r="E1642" t="s">
        <v>14</v>
      </c>
      <c r="F1642">
        <v>46.432200000000002</v>
      </c>
      <c r="G1642">
        <v>9.7622</v>
      </c>
      <c r="H1642">
        <v>1</v>
      </c>
      <c r="I1642">
        <v>1804.2</v>
      </c>
      <c r="J1642" t="str">
        <f>HYPERLINK("https://climate.onebuilding.org/WMO_Region_6_Europe/CHE_Switzerland/GR_Graubunden/CHE_GR_Sils-Segl.Maria.067790_TMYx.2009-2023.zip")</f>
        <v>https://climate.onebuilding.org/WMO_Region_6_Europe/CHE_Switzerland/GR_Graubunden/CHE_GR_Sils-Segl.Maria.067790_TMYx.2009-2023.zip</v>
      </c>
    </row>
    <row r="1643" spans="1:10" x14ac:dyDescent="0.25">
      <c r="A1643" t="s">
        <v>702</v>
      </c>
      <c r="B1643" t="s">
        <v>1057</v>
      </c>
      <c r="C1643" t="s">
        <v>1082</v>
      </c>
      <c r="D1643" s="1" t="s">
        <v>1083</v>
      </c>
      <c r="E1643" t="s">
        <v>14</v>
      </c>
      <c r="F1643">
        <v>46.432200000000002</v>
      </c>
      <c r="G1643">
        <v>9.7622</v>
      </c>
      <c r="H1643">
        <v>1</v>
      </c>
      <c r="I1643">
        <v>1804.2</v>
      </c>
      <c r="J1643" t="str">
        <f>HYPERLINK("https://climate.onebuilding.org/WMO_Region_6_Europe/CHE_Switzerland/GR_Graubunden/CHE_GR_Sils-Segl.Maria.067790_TMYx.zip")</f>
        <v>https://climate.onebuilding.org/WMO_Region_6_Europe/CHE_Switzerland/GR_Graubunden/CHE_GR_Sils-Segl.Maria.067790_TMYx.zip</v>
      </c>
    </row>
    <row r="1644" spans="1:10" x14ac:dyDescent="0.25">
      <c r="A1644" t="s">
        <v>702</v>
      </c>
      <c r="B1644" t="s">
        <v>1057</v>
      </c>
      <c r="C1644" t="s">
        <v>1084</v>
      </c>
      <c r="D1644" s="1" t="s">
        <v>1085</v>
      </c>
      <c r="E1644" t="s">
        <v>1086</v>
      </c>
      <c r="F1644">
        <v>46.833300000000001</v>
      </c>
      <c r="G1644">
        <v>9.8064</v>
      </c>
      <c r="H1644">
        <v>1</v>
      </c>
      <c r="I1644">
        <v>2673.3</v>
      </c>
      <c r="J1644" t="str">
        <f>HYPERLINK("https://climate.onebuilding.org/WMO_Region_6_Europe/CHE_Switzerland/GR_Graubunden/CHE_GR_Weissfluhjoch.067800_TMYx.2004-2018.zip")</f>
        <v>https://climate.onebuilding.org/WMO_Region_6_Europe/CHE_Switzerland/GR_Graubunden/CHE_GR_Weissfluhjoch.067800_TMYx.2004-2018.zip</v>
      </c>
    </row>
    <row r="1645" spans="1:10" x14ac:dyDescent="0.25">
      <c r="A1645" t="s">
        <v>702</v>
      </c>
      <c r="B1645" t="s">
        <v>1057</v>
      </c>
      <c r="C1645" t="s">
        <v>1084</v>
      </c>
      <c r="D1645" s="1" t="s">
        <v>1085</v>
      </c>
      <c r="E1645" t="s">
        <v>14</v>
      </c>
      <c r="F1645">
        <v>46.833300000000001</v>
      </c>
      <c r="G1645">
        <v>9.8064</v>
      </c>
      <c r="H1645">
        <v>1</v>
      </c>
      <c r="I1645">
        <v>2673.3</v>
      </c>
      <c r="J1645" t="str">
        <f>HYPERLINK("https://climate.onebuilding.org/WMO_Region_6_Europe/CHE_Switzerland/GR_Graubunden/CHE_GR_Weissfluhjoch.067800_TMYx.2007-2021.zip")</f>
        <v>https://climate.onebuilding.org/WMO_Region_6_Europe/CHE_Switzerland/GR_Graubunden/CHE_GR_Weissfluhjoch.067800_TMYx.2007-2021.zip</v>
      </c>
    </row>
    <row r="1646" spans="1:10" x14ac:dyDescent="0.25">
      <c r="A1646" t="s">
        <v>702</v>
      </c>
      <c r="B1646" t="s">
        <v>1057</v>
      </c>
      <c r="C1646" t="s">
        <v>1084</v>
      </c>
      <c r="D1646" s="1" t="s">
        <v>1085</v>
      </c>
      <c r="E1646" t="s">
        <v>14</v>
      </c>
      <c r="F1646">
        <v>46.833300000000001</v>
      </c>
      <c r="G1646">
        <v>9.8064</v>
      </c>
      <c r="H1646">
        <v>1</v>
      </c>
      <c r="I1646">
        <v>2673.3</v>
      </c>
      <c r="J1646" t="str">
        <f>HYPERLINK("https://climate.onebuilding.org/WMO_Region_6_Europe/CHE_Switzerland/GR_Graubunden/CHE_GR_Weissfluhjoch.067800_TMYx.2009-2023.zip")</f>
        <v>https://climate.onebuilding.org/WMO_Region_6_Europe/CHE_Switzerland/GR_Graubunden/CHE_GR_Weissfluhjoch.067800_TMYx.2009-2023.zip</v>
      </c>
    </row>
    <row r="1647" spans="1:10" x14ac:dyDescent="0.25">
      <c r="A1647" t="s">
        <v>702</v>
      </c>
      <c r="B1647" t="s">
        <v>1057</v>
      </c>
      <c r="C1647" t="s">
        <v>1084</v>
      </c>
      <c r="D1647" s="1" t="s">
        <v>1085</v>
      </c>
      <c r="E1647" t="s">
        <v>14</v>
      </c>
      <c r="F1647">
        <v>46.833300000000001</v>
      </c>
      <c r="G1647">
        <v>9.8064</v>
      </c>
      <c r="H1647">
        <v>1</v>
      </c>
      <c r="I1647">
        <v>2673.3</v>
      </c>
      <c r="J1647" t="str">
        <f>HYPERLINK("https://climate.onebuilding.org/WMO_Region_6_Europe/CHE_Switzerland/GR_Graubunden/CHE_GR_Weissfluhjoch.067800_TMYx.zip")</f>
        <v>https://climate.onebuilding.org/WMO_Region_6_Europe/CHE_Switzerland/GR_Graubunden/CHE_GR_Weissfluhjoch.067800_TMYx.zip</v>
      </c>
    </row>
    <row r="1648" spans="1:10" x14ac:dyDescent="0.25">
      <c r="A1648" t="s">
        <v>702</v>
      </c>
      <c r="B1648" t="s">
        <v>1057</v>
      </c>
      <c r="C1648" t="s">
        <v>1087</v>
      </c>
      <c r="D1648" s="1" t="s">
        <v>1088</v>
      </c>
      <c r="E1648" t="s">
        <v>1089</v>
      </c>
      <c r="F1648">
        <v>46.706699999999998</v>
      </c>
      <c r="G1648">
        <v>8.8533000000000008</v>
      </c>
      <c r="H1648">
        <v>1</v>
      </c>
      <c r="I1648">
        <v>1198.0999999999999</v>
      </c>
      <c r="J1648" t="str">
        <f>HYPERLINK("https://climate.onebuilding.org/WMO_Region_6_Europe/CHE_Switzerland/GR_Graubunden/CHE_GR_Disentis.Sedrun.067820_TMYx.2004-2018.zip")</f>
        <v>https://climate.onebuilding.org/WMO_Region_6_Europe/CHE_Switzerland/GR_Graubunden/CHE_GR_Disentis.Sedrun.067820_TMYx.2004-2018.zip</v>
      </c>
    </row>
    <row r="1649" spans="1:10" x14ac:dyDescent="0.25">
      <c r="A1649" t="s">
        <v>702</v>
      </c>
      <c r="B1649" t="s">
        <v>1057</v>
      </c>
      <c r="C1649" t="s">
        <v>1087</v>
      </c>
      <c r="D1649" s="1" t="s">
        <v>1088</v>
      </c>
      <c r="E1649" t="s">
        <v>14</v>
      </c>
      <c r="F1649">
        <v>46.706699999999998</v>
      </c>
      <c r="G1649">
        <v>8.8533000000000008</v>
      </c>
      <c r="H1649">
        <v>1</v>
      </c>
      <c r="I1649">
        <v>1198.0999999999999</v>
      </c>
      <c r="J1649" t="str">
        <f>HYPERLINK("https://climate.onebuilding.org/WMO_Region_6_Europe/CHE_Switzerland/GR_Graubunden/CHE_GR_Disentis.Sedrun.067820_TMYx.2007-2021.zip")</f>
        <v>https://climate.onebuilding.org/WMO_Region_6_Europe/CHE_Switzerland/GR_Graubunden/CHE_GR_Disentis.Sedrun.067820_TMYx.2007-2021.zip</v>
      </c>
    </row>
    <row r="1650" spans="1:10" x14ac:dyDescent="0.25">
      <c r="A1650" t="s">
        <v>702</v>
      </c>
      <c r="B1650" t="s">
        <v>1057</v>
      </c>
      <c r="C1650" t="s">
        <v>1087</v>
      </c>
      <c r="D1650" s="1" t="s">
        <v>1088</v>
      </c>
      <c r="E1650" t="s">
        <v>14</v>
      </c>
      <c r="F1650">
        <v>46.706699999999998</v>
      </c>
      <c r="G1650">
        <v>8.8533000000000008</v>
      </c>
      <c r="H1650">
        <v>1</v>
      </c>
      <c r="I1650">
        <v>1198.0999999999999</v>
      </c>
      <c r="J1650" t="str">
        <f>HYPERLINK("https://climate.onebuilding.org/WMO_Region_6_Europe/CHE_Switzerland/GR_Graubunden/CHE_GR_Disentis.Sedrun.067820_TMYx.2009-2023.zip")</f>
        <v>https://climate.onebuilding.org/WMO_Region_6_Europe/CHE_Switzerland/GR_Graubunden/CHE_GR_Disentis.Sedrun.067820_TMYx.2009-2023.zip</v>
      </c>
    </row>
    <row r="1651" spans="1:10" x14ac:dyDescent="0.25">
      <c r="A1651" t="s">
        <v>702</v>
      </c>
      <c r="B1651" t="s">
        <v>1057</v>
      </c>
      <c r="C1651" t="s">
        <v>1087</v>
      </c>
      <c r="D1651" s="1" t="s">
        <v>1088</v>
      </c>
      <c r="E1651" t="s">
        <v>14</v>
      </c>
      <c r="F1651">
        <v>46.706699999999998</v>
      </c>
      <c r="G1651">
        <v>8.8533000000000008</v>
      </c>
      <c r="H1651">
        <v>1</v>
      </c>
      <c r="I1651">
        <v>1198.0999999999999</v>
      </c>
      <c r="J1651" t="str">
        <f>HYPERLINK("https://climate.onebuilding.org/WMO_Region_6_Europe/CHE_Switzerland/GR_Graubunden/CHE_GR_Disentis.Sedrun.067820_TMYx.zip")</f>
        <v>https://climate.onebuilding.org/WMO_Region_6_Europe/CHE_Switzerland/GR_Graubunden/CHE_GR_Disentis.Sedrun.067820_TMYx.zip</v>
      </c>
    </row>
    <row r="1652" spans="1:10" x14ac:dyDescent="0.25">
      <c r="A1652" t="s">
        <v>702</v>
      </c>
      <c r="B1652" t="s">
        <v>1057</v>
      </c>
      <c r="C1652" t="s">
        <v>1090</v>
      </c>
      <c r="D1652" s="1" t="s">
        <v>1091</v>
      </c>
      <c r="E1652" t="s">
        <v>1092</v>
      </c>
      <c r="F1652">
        <v>46.4636</v>
      </c>
      <c r="G1652">
        <v>9.1846999999999994</v>
      </c>
      <c r="H1652">
        <v>1</v>
      </c>
      <c r="I1652">
        <v>1640.2</v>
      </c>
      <c r="J1652" t="str">
        <f>HYPERLINK("https://climate.onebuilding.org/WMO_Region_6_Europe/CHE_Switzerland/GR_Graubunden/CHE_GR_San.Bernardino.067830_TMYx.2004-2018.zip")</f>
        <v>https://climate.onebuilding.org/WMO_Region_6_Europe/CHE_Switzerland/GR_Graubunden/CHE_GR_San.Bernardino.067830_TMYx.2004-2018.zip</v>
      </c>
    </row>
    <row r="1653" spans="1:10" x14ac:dyDescent="0.25">
      <c r="A1653" t="s">
        <v>702</v>
      </c>
      <c r="B1653" t="s">
        <v>1057</v>
      </c>
      <c r="C1653" t="s">
        <v>1090</v>
      </c>
      <c r="D1653" s="1" t="s">
        <v>1091</v>
      </c>
      <c r="E1653" t="s">
        <v>14</v>
      </c>
      <c r="F1653">
        <v>46.4636</v>
      </c>
      <c r="G1653">
        <v>9.1846999999999994</v>
      </c>
      <c r="H1653">
        <v>1</v>
      </c>
      <c r="I1653">
        <v>1640.2</v>
      </c>
      <c r="J1653" t="str">
        <f>HYPERLINK("https://climate.onebuilding.org/WMO_Region_6_Europe/CHE_Switzerland/GR_Graubunden/CHE_GR_San.Bernardino.067830_TMYx.2007-2021.zip")</f>
        <v>https://climate.onebuilding.org/WMO_Region_6_Europe/CHE_Switzerland/GR_Graubunden/CHE_GR_San.Bernardino.067830_TMYx.2007-2021.zip</v>
      </c>
    </row>
    <row r="1654" spans="1:10" x14ac:dyDescent="0.25">
      <c r="A1654" t="s">
        <v>702</v>
      </c>
      <c r="B1654" t="s">
        <v>1057</v>
      </c>
      <c r="C1654" t="s">
        <v>1090</v>
      </c>
      <c r="D1654" s="1" t="s">
        <v>1091</v>
      </c>
      <c r="E1654" t="s">
        <v>14</v>
      </c>
      <c r="F1654">
        <v>46.4636</v>
      </c>
      <c r="G1654">
        <v>9.1846999999999994</v>
      </c>
      <c r="H1654">
        <v>1</v>
      </c>
      <c r="I1654">
        <v>1640.2</v>
      </c>
      <c r="J1654" t="str">
        <f>HYPERLINK("https://climate.onebuilding.org/WMO_Region_6_Europe/CHE_Switzerland/GR_Graubunden/CHE_GR_San.Bernardino.067830_TMYx.2009-2023.zip")</f>
        <v>https://climate.onebuilding.org/WMO_Region_6_Europe/CHE_Switzerland/GR_Graubunden/CHE_GR_San.Bernardino.067830_TMYx.2009-2023.zip</v>
      </c>
    </row>
    <row r="1655" spans="1:10" x14ac:dyDescent="0.25">
      <c r="A1655" t="s">
        <v>702</v>
      </c>
      <c r="B1655" t="s">
        <v>1057</v>
      </c>
      <c r="C1655" t="s">
        <v>1090</v>
      </c>
      <c r="D1655" s="1" t="s">
        <v>1091</v>
      </c>
      <c r="E1655" t="s">
        <v>14</v>
      </c>
      <c r="F1655">
        <v>46.4636</v>
      </c>
      <c r="G1655">
        <v>9.1846999999999994</v>
      </c>
      <c r="H1655">
        <v>1</v>
      </c>
      <c r="I1655">
        <v>1640.2</v>
      </c>
      <c r="J1655" t="str">
        <f>HYPERLINK("https://climate.onebuilding.org/WMO_Region_6_Europe/CHE_Switzerland/GR_Graubunden/CHE_GR_San.Bernardino.067830_TMYx.zip")</f>
        <v>https://climate.onebuilding.org/WMO_Region_6_Europe/CHE_Switzerland/GR_Graubunden/CHE_GR_San.Bernardino.067830_TMYx.zip</v>
      </c>
    </row>
    <row r="1656" spans="1:10" x14ac:dyDescent="0.25">
      <c r="A1656" t="s">
        <v>702</v>
      </c>
      <c r="B1656" t="s">
        <v>1057</v>
      </c>
      <c r="C1656" t="s">
        <v>1093</v>
      </c>
      <c r="D1656" s="1" t="s">
        <v>1094</v>
      </c>
      <c r="E1656" t="s">
        <v>1095</v>
      </c>
      <c r="F1656">
        <v>46.813000000000002</v>
      </c>
      <c r="G1656">
        <v>9.8436000000000003</v>
      </c>
      <c r="H1656">
        <v>1</v>
      </c>
      <c r="I1656">
        <v>1595.2</v>
      </c>
      <c r="J1656" t="str">
        <f>HYPERLINK("https://climate.onebuilding.org/WMO_Region_6_Europe/CHE_Switzerland/GR_Graubunden/CHE_GR_Davos-Lake.Davos.067840_TMYx.2004-2018.zip")</f>
        <v>https://climate.onebuilding.org/WMO_Region_6_Europe/CHE_Switzerland/GR_Graubunden/CHE_GR_Davos-Lake.Davos.067840_TMYx.2004-2018.zip</v>
      </c>
    </row>
    <row r="1657" spans="1:10" x14ac:dyDescent="0.25">
      <c r="A1657" t="s">
        <v>702</v>
      </c>
      <c r="B1657" t="s">
        <v>1057</v>
      </c>
      <c r="C1657" t="s">
        <v>1093</v>
      </c>
      <c r="D1657" s="1" t="s">
        <v>1094</v>
      </c>
      <c r="E1657" t="s">
        <v>14</v>
      </c>
      <c r="F1657">
        <v>46.813000000000002</v>
      </c>
      <c r="G1657">
        <v>9.8436000000000003</v>
      </c>
      <c r="H1657">
        <v>1</v>
      </c>
      <c r="I1657">
        <v>1595.2</v>
      </c>
      <c r="J1657" t="str">
        <f>HYPERLINK("https://climate.onebuilding.org/WMO_Region_6_Europe/CHE_Switzerland/GR_Graubunden/CHE_GR_Davos-Lake.Davos.067840_TMYx.2007-2021.zip")</f>
        <v>https://climate.onebuilding.org/WMO_Region_6_Europe/CHE_Switzerland/GR_Graubunden/CHE_GR_Davos-Lake.Davos.067840_TMYx.2007-2021.zip</v>
      </c>
    </row>
    <row r="1658" spans="1:10" x14ac:dyDescent="0.25">
      <c r="A1658" t="s">
        <v>702</v>
      </c>
      <c r="B1658" t="s">
        <v>1057</v>
      </c>
      <c r="C1658" t="s">
        <v>1093</v>
      </c>
      <c r="D1658" s="1" t="s">
        <v>1094</v>
      </c>
      <c r="E1658" t="s">
        <v>14</v>
      </c>
      <c r="F1658">
        <v>46.813000000000002</v>
      </c>
      <c r="G1658">
        <v>9.8436000000000003</v>
      </c>
      <c r="H1658">
        <v>1</v>
      </c>
      <c r="I1658">
        <v>1595.2</v>
      </c>
      <c r="J1658" t="str">
        <f>HYPERLINK("https://climate.onebuilding.org/WMO_Region_6_Europe/CHE_Switzerland/GR_Graubunden/CHE_GR_Davos-Lake.Davos.067840_TMYx.2009-2023.zip")</f>
        <v>https://climate.onebuilding.org/WMO_Region_6_Europe/CHE_Switzerland/GR_Graubunden/CHE_GR_Davos-Lake.Davos.067840_TMYx.2009-2023.zip</v>
      </c>
    </row>
    <row r="1659" spans="1:10" x14ac:dyDescent="0.25">
      <c r="A1659" t="s">
        <v>702</v>
      </c>
      <c r="B1659" t="s">
        <v>1057</v>
      </c>
      <c r="C1659" t="s">
        <v>1093</v>
      </c>
      <c r="D1659" s="1" t="s">
        <v>1094</v>
      </c>
      <c r="E1659" t="s">
        <v>14</v>
      </c>
      <c r="F1659">
        <v>46.813000000000002</v>
      </c>
      <c r="G1659">
        <v>9.8436000000000003</v>
      </c>
      <c r="H1659">
        <v>1</v>
      </c>
      <c r="I1659">
        <v>1595.2</v>
      </c>
      <c r="J1659" t="str">
        <f>HYPERLINK("https://climate.onebuilding.org/WMO_Region_6_Europe/CHE_Switzerland/GR_Graubunden/CHE_GR_Davos-Lake.Davos.067840_TMYx.zip")</f>
        <v>https://climate.onebuilding.org/WMO_Region_6_Europe/CHE_Switzerland/GR_Graubunden/CHE_GR_Davos-Lake.Davos.067840_TMYx.zip</v>
      </c>
    </row>
    <row r="1660" spans="1:10" x14ac:dyDescent="0.25">
      <c r="A1660" t="s">
        <v>702</v>
      </c>
      <c r="B1660" t="s">
        <v>1057</v>
      </c>
      <c r="C1660" t="s">
        <v>1096</v>
      </c>
      <c r="D1660" s="1" t="s">
        <v>1097</v>
      </c>
      <c r="E1660" t="s">
        <v>14</v>
      </c>
      <c r="F1660">
        <v>46.792499999999997</v>
      </c>
      <c r="G1660">
        <v>9.6789000000000005</v>
      </c>
      <c r="H1660">
        <v>1</v>
      </c>
      <c r="I1660">
        <v>1878.2</v>
      </c>
      <c r="J1660" t="str">
        <f>HYPERLINK("https://climate.onebuilding.org/WMO_Region_6_Europe/CHE_Switzerland/GR_Graubunden/CHE_GR_Arosa.067850_TMYx.2007-2021.zip")</f>
        <v>https://climate.onebuilding.org/WMO_Region_6_Europe/CHE_Switzerland/GR_Graubunden/CHE_GR_Arosa.067850_TMYx.2007-2021.zip</v>
      </c>
    </row>
    <row r="1661" spans="1:10" x14ac:dyDescent="0.25">
      <c r="A1661" t="s">
        <v>702</v>
      </c>
      <c r="B1661" t="s">
        <v>1057</v>
      </c>
      <c r="C1661" t="s">
        <v>1096</v>
      </c>
      <c r="D1661" s="1" t="s">
        <v>1097</v>
      </c>
      <c r="E1661" t="s">
        <v>14</v>
      </c>
      <c r="F1661">
        <v>46.792499999999997</v>
      </c>
      <c r="G1661">
        <v>9.6789000000000005</v>
      </c>
      <c r="H1661">
        <v>1</v>
      </c>
      <c r="I1661">
        <v>1878.2</v>
      </c>
      <c r="J1661" t="str">
        <f>HYPERLINK("https://climate.onebuilding.org/WMO_Region_6_Europe/CHE_Switzerland/GR_Graubunden/CHE_GR_Arosa.067850_TMYx.2009-2023.zip")</f>
        <v>https://climate.onebuilding.org/WMO_Region_6_Europe/CHE_Switzerland/GR_Graubunden/CHE_GR_Arosa.067850_TMYx.2009-2023.zip</v>
      </c>
    </row>
    <row r="1662" spans="1:10" x14ac:dyDescent="0.25">
      <c r="A1662" t="s">
        <v>702</v>
      </c>
      <c r="B1662" t="s">
        <v>1057</v>
      </c>
      <c r="C1662" t="s">
        <v>1096</v>
      </c>
      <c r="D1662" s="1" t="s">
        <v>1097</v>
      </c>
      <c r="E1662" t="s">
        <v>14</v>
      </c>
      <c r="F1662">
        <v>46.792499999999997</v>
      </c>
      <c r="G1662">
        <v>9.6789000000000005</v>
      </c>
      <c r="H1662">
        <v>1</v>
      </c>
      <c r="I1662">
        <v>1878.2</v>
      </c>
      <c r="J1662" t="str">
        <f>HYPERLINK("https://climate.onebuilding.org/WMO_Region_6_Europe/CHE_Switzerland/GR_Graubunden/CHE_GR_Arosa.067850_TMYx.zip")</f>
        <v>https://climate.onebuilding.org/WMO_Region_6_Europe/CHE_Switzerland/GR_Graubunden/CHE_GR_Arosa.067850_TMYx.zip</v>
      </c>
    </row>
    <row r="1663" spans="1:10" x14ac:dyDescent="0.25">
      <c r="A1663" t="s">
        <v>702</v>
      </c>
      <c r="B1663" t="s">
        <v>1057</v>
      </c>
      <c r="C1663" t="s">
        <v>1098</v>
      </c>
      <c r="D1663" s="1" t="s">
        <v>1099</v>
      </c>
      <c r="E1663" t="s">
        <v>1100</v>
      </c>
      <c r="F1663">
        <v>46.8703</v>
      </c>
      <c r="G1663">
        <v>9.5305999999999997</v>
      </c>
      <c r="H1663">
        <v>1</v>
      </c>
      <c r="I1663">
        <v>557.6</v>
      </c>
      <c r="J1663" t="str">
        <f>HYPERLINK("https://climate.onebuilding.org/WMO_Region_6_Europe/CHE_Switzerland/GR_Graubunden/CHE_GR_Chur.067860_TMYx.2004-2018.zip")</f>
        <v>https://climate.onebuilding.org/WMO_Region_6_Europe/CHE_Switzerland/GR_Graubunden/CHE_GR_Chur.067860_TMYx.2004-2018.zip</v>
      </c>
    </row>
    <row r="1664" spans="1:10" x14ac:dyDescent="0.25">
      <c r="A1664" t="s">
        <v>702</v>
      </c>
      <c r="B1664" t="s">
        <v>1057</v>
      </c>
      <c r="C1664" t="s">
        <v>1098</v>
      </c>
      <c r="D1664" s="1" t="s">
        <v>1099</v>
      </c>
      <c r="E1664" t="s">
        <v>14</v>
      </c>
      <c r="F1664">
        <v>46.8703</v>
      </c>
      <c r="G1664">
        <v>9.5305999999999997</v>
      </c>
      <c r="H1664">
        <v>1</v>
      </c>
      <c r="I1664">
        <v>557.6</v>
      </c>
      <c r="J1664" t="str">
        <f>HYPERLINK("https://climate.onebuilding.org/WMO_Region_6_Europe/CHE_Switzerland/GR_Graubunden/CHE_GR_Chur.067860_TMYx.2007-2021.zip")</f>
        <v>https://climate.onebuilding.org/WMO_Region_6_Europe/CHE_Switzerland/GR_Graubunden/CHE_GR_Chur.067860_TMYx.2007-2021.zip</v>
      </c>
    </row>
    <row r="1665" spans="1:10" x14ac:dyDescent="0.25">
      <c r="A1665" t="s">
        <v>702</v>
      </c>
      <c r="B1665" t="s">
        <v>1057</v>
      </c>
      <c r="C1665" t="s">
        <v>1098</v>
      </c>
      <c r="D1665" s="1" t="s">
        <v>1099</v>
      </c>
      <c r="E1665" t="s">
        <v>14</v>
      </c>
      <c r="F1665">
        <v>46.8703</v>
      </c>
      <c r="G1665">
        <v>9.5305999999999997</v>
      </c>
      <c r="H1665">
        <v>1</v>
      </c>
      <c r="I1665">
        <v>557.6</v>
      </c>
      <c r="J1665" t="str">
        <f>HYPERLINK("https://climate.onebuilding.org/WMO_Region_6_Europe/CHE_Switzerland/GR_Graubunden/CHE_GR_Chur.067860_TMYx.2009-2023.zip")</f>
        <v>https://climate.onebuilding.org/WMO_Region_6_Europe/CHE_Switzerland/GR_Graubunden/CHE_GR_Chur.067860_TMYx.2009-2023.zip</v>
      </c>
    </row>
    <row r="1666" spans="1:10" x14ac:dyDescent="0.25">
      <c r="A1666" t="s">
        <v>702</v>
      </c>
      <c r="B1666" t="s">
        <v>1057</v>
      </c>
      <c r="C1666" t="s">
        <v>1098</v>
      </c>
      <c r="D1666" s="1" t="s">
        <v>1099</v>
      </c>
      <c r="E1666" t="s">
        <v>14</v>
      </c>
      <c r="F1666">
        <v>46.8703</v>
      </c>
      <c r="G1666">
        <v>9.5305999999999997</v>
      </c>
      <c r="H1666">
        <v>1</v>
      </c>
      <c r="I1666">
        <v>557.6</v>
      </c>
      <c r="J1666" t="str">
        <f>HYPERLINK("https://climate.onebuilding.org/WMO_Region_6_Europe/CHE_Switzerland/GR_Graubunden/CHE_GR_Chur.067860_TMYx.zip")</f>
        <v>https://climate.onebuilding.org/WMO_Region_6_Europe/CHE_Switzerland/GR_Graubunden/CHE_GR_Chur.067860_TMYx.zip</v>
      </c>
    </row>
    <row r="1667" spans="1:10" x14ac:dyDescent="0.25">
      <c r="A1667" t="s">
        <v>702</v>
      </c>
      <c r="B1667" t="s">
        <v>1057</v>
      </c>
      <c r="C1667" t="s">
        <v>1101</v>
      </c>
      <c r="D1667" s="1" t="s">
        <v>1102</v>
      </c>
      <c r="E1667" t="s">
        <v>1103</v>
      </c>
      <c r="F1667">
        <v>46.61</v>
      </c>
      <c r="G1667">
        <v>9.4319000000000006</v>
      </c>
      <c r="H1667">
        <v>1</v>
      </c>
      <c r="I1667">
        <v>989</v>
      </c>
      <c r="J1667" t="str">
        <f>HYPERLINK("https://climate.onebuilding.org/WMO_Region_6_Europe/CHE_Switzerland/GR_Graubunden/CHE_GR_Andeer.067870_TMYx.2004-2018.zip")</f>
        <v>https://climate.onebuilding.org/WMO_Region_6_Europe/CHE_Switzerland/GR_Graubunden/CHE_GR_Andeer.067870_TMYx.2004-2018.zip</v>
      </c>
    </row>
    <row r="1668" spans="1:10" x14ac:dyDescent="0.25">
      <c r="A1668" t="s">
        <v>702</v>
      </c>
      <c r="B1668" t="s">
        <v>1057</v>
      </c>
      <c r="C1668" t="s">
        <v>1101</v>
      </c>
      <c r="D1668" s="1" t="s">
        <v>1102</v>
      </c>
      <c r="E1668" t="s">
        <v>14</v>
      </c>
      <c r="F1668">
        <v>46.61</v>
      </c>
      <c r="G1668">
        <v>9.4319000000000006</v>
      </c>
      <c r="H1668">
        <v>1</v>
      </c>
      <c r="I1668">
        <v>989</v>
      </c>
      <c r="J1668" t="str">
        <f>HYPERLINK("https://climate.onebuilding.org/WMO_Region_6_Europe/CHE_Switzerland/GR_Graubunden/CHE_GR_Andeer.067870_TMYx.2007-2021.zip")</f>
        <v>https://climate.onebuilding.org/WMO_Region_6_Europe/CHE_Switzerland/GR_Graubunden/CHE_GR_Andeer.067870_TMYx.2007-2021.zip</v>
      </c>
    </row>
    <row r="1669" spans="1:10" x14ac:dyDescent="0.25">
      <c r="A1669" t="s">
        <v>702</v>
      </c>
      <c r="B1669" t="s">
        <v>1057</v>
      </c>
      <c r="C1669" t="s">
        <v>1101</v>
      </c>
      <c r="D1669" s="1" t="s">
        <v>1102</v>
      </c>
      <c r="E1669" t="s">
        <v>14</v>
      </c>
      <c r="F1669">
        <v>46.61</v>
      </c>
      <c r="G1669">
        <v>9.4319000000000006</v>
      </c>
      <c r="H1669">
        <v>1</v>
      </c>
      <c r="I1669">
        <v>989</v>
      </c>
      <c r="J1669" t="str">
        <f>HYPERLINK("https://climate.onebuilding.org/WMO_Region_6_Europe/CHE_Switzerland/GR_Graubunden/CHE_GR_Andeer.067870_TMYx.2009-2023.zip")</f>
        <v>https://climate.onebuilding.org/WMO_Region_6_Europe/CHE_Switzerland/GR_Graubunden/CHE_GR_Andeer.067870_TMYx.2009-2023.zip</v>
      </c>
    </row>
    <row r="1670" spans="1:10" x14ac:dyDescent="0.25">
      <c r="A1670" t="s">
        <v>702</v>
      </c>
      <c r="B1670" t="s">
        <v>1057</v>
      </c>
      <c r="C1670" t="s">
        <v>1101</v>
      </c>
      <c r="D1670" s="1" t="s">
        <v>1102</v>
      </c>
      <c r="E1670" t="s">
        <v>14</v>
      </c>
      <c r="F1670">
        <v>46.61</v>
      </c>
      <c r="G1670">
        <v>9.4319000000000006</v>
      </c>
      <c r="H1670">
        <v>1</v>
      </c>
      <c r="I1670">
        <v>989</v>
      </c>
      <c r="J1670" t="str">
        <f>HYPERLINK("https://climate.onebuilding.org/WMO_Region_6_Europe/CHE_Switzerland/GR_Graubunden/CHE_GR_Andeer.067870_TMYx.zip")</f>
        <v>https://climate.onebuilding.org/WMO_Region_6_Europe/CHE_Switzerland/GR_Graubunden/CHE_GR_Andeer.067870_TMYx.zip</v>
      </c>
    </row>
    <row r="1671" spans="1:10" x14ac:dyDescent="0.25">
      <c r="A1671" t="s">
        <v>702</v>
      </c>
      <c r="B1671" t="s">
        <v>1057</v>
      </c>
      <c r="C1671" t="s">
        <v>1104</v>
      </c>
      <c r="D1671" s="1" t="s">
        <v>1105</v>
      </c>
      <c r="E1671" t="s">
        <v>1106</v>
      </c>
      <c r="F1671">
        <v>46.353099999999998</v>
      </c>
      <c r="G1671">
        <v>9.6278000000000006</v>
      </c>
      <c r="H1671">
        <v>1</v>
      </c>
      <c r="I1671">
        <v>1089.0999999999999</v>
      </c>
      <c r="J1671" t="str">
        <f>HYPERLINK("https://climate.onebuilding.org/WMO_Region_6_Europe/CHE_Switzerland/GR_Graubunden/CHE_GR_Vicosoprano.067880_TMYx.2004-2018.zip")</f>
        <v>https://climate.onebuilding.org/WMO_Region_6_Europe/CHE_Switzerland/GR_Graubunden/CHE_GR_Vicosoprano.067880_TMYx.2004-2018.zip</v>
      </c>
    </row>
    <row r="1672" spans="1:10" x14ac:dyDescent="0.25">
      <c r="A1672" t="s">
        <v>702</v>
      </c>
      <c r="B1672" t="s">
        <v>1057</v>
      </c>
      <c r="C1672" t="s">
        <v>1104</v>
      </c>
      <c r="D1672" s="1" t="s">
        <v>1105</v>
      </c>
      <c r="E1672" t="s">
        <v>14</v>
      </c>
      <c r="F1672">
        <v>46.353099999999998</v>
      </c>
      <c r="G1672">
        <v>9.6278000000000006</v>
      </c>
      <c r="H1672">
        <v>1</v>
      </c>
      <c r="I1672">
        <v>1089.0999999999999</v>
      </c>
      <c r="J1672" t="str">
        <f>HYPERLINK("https://climate.onebuilding.org/WMO_Region_6_Europe/CHE_Switzerland/GR_Graubunden/CHE_GR_Vicosoprano.067880_TMYx.2007-2021.zip")</f>
        <v>https://climate.onebuilding.org/WMO_Region_6_Europe/CHE_Switzerland/GR_Graubunden/CHE_GR_Vicosoprano.067880_TMYx.2007-2021.zip</v>
      </c>
    </row>
    <row r="1673" spans="1:10" x14ac:dyDescent="0.25">
      <c r="A1673" t="s">
        <v>702</v>
      </c>
      <c r="B1673" t="s">
        <v>1057</v>
      </c>
      <c r="C1673" t="s">
        <v>1104</v>
      </c>
      <c r="D1673" s="1" t="s">
        <v>1105</v>
      </c>
      <c r="E1673" t="s">
        <v>14</v>
      </c>
      <c r="F1673">
        <v>46.353099999999998</v>
      </c>
      <c r="G1673">
        <v>9.6278000000000006</v>
      </c>
      <c r="H1673">
        <v>1</v>
      </c>
      <c r="I1673">
        <v>1089.0999999999999</v>
      </c>
      <c r="J1673" t="str">
        <f>HYPERLINK("https://climate.onebuilding.org/WMO_Region_6_Europe/CHE_Switzerland/GR_Graubunden/CHE_GR_Vicosoprano.067880_TMYx.2009-2023.zip")</f>
        <v>https://climate.onebuilding.org/WMO_Region_6_Europe/CHE_Switzerland/GR_Graubunden/CHE_GR_Vicosoprano.067880_TMYx.2009-2023.zip</v>
      </c>
    </row>
    <row r="1674" spans="1:10" x14ac:dyDescent="0.25">
      <c r="A1674" t="s">
        <v>702</v>
      </c>
      <c r="B1674" t="s">
        <v>1057</v>
      </c>
      <c r="C1674" t="s">
        <v>1104</v>
      </c>
      <c r="D1674" s="1" t="s">
        <v>1105</v>
      </c>
      <c r="E1674" t="s">
        <v>14</v>
      </c>
      <c r="F1674">
        <v>46.353099999999998</v>
      </c>
      <c r="G1674">
        <v>9.6278000000000006</v>
      </c>
      <c r="H1674">
        <v>1</v>
      </c>
      <c r="I1674">
        <v>1089.0999999999999</v>
      </c>
      <c r="J1674" t="str">
        <f>HYPERLINK("https://climate.onebuilding.org/WMO_Region_6_Europe/CHE_Switzerland/GR_Graubunden/CHE_GR_Vicosoprano.067880_TMYx.zip")</f>
        <v>https://climate.onebuilding.org/WMO_Region_6_Europe/CHE_Switzerland/GR_Graubunden/CHE_GR_Vicosoprano.067880_TMYx.zip</v>
      </c>
    </row>
    <row r="1675" spans="1:10" x14ac:dyDescent="0.25">
      <c r="A1675" t="s">
        <v>702</v>
      </c>
      <c r="B1675" t="s">
        <v>1057</v>
      </c>
      <c r="C1675" t="s">
        <v>1107</v>
      </c>
      <c r="D1675" s="1" t="s">
        <v>1108</v>
      </c>
      <c r="E1675" t="s">
        <v>14</v>
      </c>
      <c r="F1675">
        <v>46.774999999999999</v>
      </c>
      <c r="G1675">
        <v>9.2152999999999992</v>
      </c>
      <c r="H1675">
        <v>1</v>
      </c>
      <c r="I1675">
        <v>698</v>
      </c>
      <c r="J1675" t="str">
        <f>HYPERLINK("https://climate.onebuilding.org/WMO_Region_6_Europe/CHE_Switzerland/GR_Graubunden/CHE_GR_Ilanz.067890_TMYx.2007-2021.zip")</f>
        <v>https://climate.onebuilding.org/WMO_Region_6_Europe/CHE_Switzerland/GR_Graubunden/CHE_GR_Ilanz.067890_TMYx.2007-2021.zip</v>
      </c>
    </row>
    <row r="1676" spans="1:10" x14ac:dyDescent="0.25">
      <c r="A1676" t="s">
        <v>702</v>
      </c>
      <c r="B1676" t="s">
        <v>1057</v>
      </c>
      <c r="C1676" t="s">
        <v>1107</v>
      </c>
      <c r="D1676" s="1" t="s">
        <v>1108</v>
      </c>
      <c r="E1676" t="s">
        <v>14</v>
      </c>
      <c r="F1676">
        <v>46.774999999999999</v>
      </c>
      <c r="G1676">
        <v>9.2152999999999992</v>
      </c>
      <c r="H1676">
        <v>1</v>
      </c>
      <c r="I1676">
        <v>698</v>
      </c>
      <c r="J1676" t="str">
        <f>HYPERLINK("https://climate.onebuilding.org/WMO_Region_6_Europe/CHE_Switzerland/GR_Graubunden/CHE_GR_Ilanz.067890_TMYx.2009-2023.zip")</f>
        <v>https://climate.onebuilding.org/WMO_Region_6_Europe/CHE_Switzerland/GR_Graubunden/CHE_GR_Ilanz.067890_TMYx.2009-2023.zip</v>
      </c>
    </row>
    <row r="1677" spans="1:10" x14ac:dyDescent="0.25">
      <c r="A1677" t="s">
        <v>702</v>
      </c>
      <c r="B1677" t="s">
        <v>1057</v>
      </c>
      <c r="C1677" t="s">
        <v>1107</v>
      </c>
      <c r="D1677" s="1" t="s">
        <v>1108</v>
      </c>
      <c r="E1677" t="s">
        <v>14</v>
      </c>
      <c r="F1677">
        <v>46.774999999999999</v>
      </c>
      <c r="G1677">
        <v>9.2152999999999992</v>
      </c>
      <c r="H1677">
        <v>1</v>
      </c>
      <c r="I1677">
        <v>698</v>
      </c>
      <c r="J1677" t="str">
        <f>HYPERLINK("https://climate.onebuilding.org/WMO_Region_6_Europe/CHE_Switzerland/GR_Graubunden/CHE_GR_Ilanz.067890_TMYx.zip")</f>
        <v>https://climate.onebuilding.org/WMO_Region_6_Europe/CHE_Switzerland/GR_Graubunden/CHE_GR_Ilanz.067890_TMYx.zip</v>
      </c>
    </row>
    <row r="1678" spans="1:10" x14ac:dyDescent="0.25">
      <c r="A1678" t="s">
        <v>702</v>
      </c>
      <c r="B1678" t="s">
        <v>1057</v>
      </c>
      <c r="C1678" t="s">
        <v>1109</v>
      </c>
      <c r="D1678" s="1" t="s">
        <v>1110</v>
      </c>
      <c r="E1678" t="s">
        <v>14</v>
      </c>
      <c r="F1678">
        <v>46.9756</v>
      </c>
      <c r="G1678">
        <v>9.6681000000000008</v>
      </c>
      <c r="H1678">
        <v>1</v>
      </c>
      <c r="I1678">
        <v>626</v>
      </c>
      <c r="J1678" t="str">
        <f>HYPERLINK("https://climate.onebuilding.org/WMO_Region_6_Europe/CHE_Switzerland/GR_Graubunden/CHE_GR_Schiers.067900_TMYx.2007-2021.zip")</f>
        <v>https://climate.onebuilding.org/WMO_Region_6_Europe/CHE_Switzerland/GR_Graubunden/CHE_GR_Schiers.067900_TMYx.2007-2021.zip</v>
      </c>
    </row>
    <row r="1679" spans="1:10" x14ac:dyDescent="0.25">
      <c r="A1679" t="s">
        <v>702</v>
      </c>
      <c r="B1679" t="s">
        <v>1057</v>
      </c>
      <c r="C1679" t="s">
        <v>1109</v>
      </c>
      <c r="D1679" s="1" t="s">
        <v>1110</v>
      </c>
      <c r="E1679" t="s">
        <v>14</v>
      </c>
      <c r="F1679">
        <v>46.9756</v>
      </c>
      <c r="G1679">
        <v>9.6681000000000008</v>
      </c>
      <c r="H1679">
        <v>1</v>
      </c>
      <c r="I1679">
        <v>626</v>
      </c>
      <c r="J1679" t="str">
        <f>HYPERLINK("https://climate.onebuilding.org/WMO_Region_6_Europe/CHE_Switzerland/GR_Graubunden/CHE_GR_Schiers.067900_TMYx.2009-2023.zip")</f>
        <v>https://climate.onebuilding.org/WMO_Region_6_Europe/CHE_Switzerland/GR_Graubunden/CHE_GR_Schiers.067900_TMYx.2009-2023.zip</v>
      </c>
    </row>
    <row r="1680" spans="1:10" x14ac:dyDescent="0.25">
      <c r="A1680" t="s">
        <v>702</v>
      </c>
      <c r="B1680" t="s">
        <v>1057</v>
      </c>
      <c r="C1680" t="s">
        <v>1109</v>
      </c>
      <c r="D1680" s="1" t="s">
        <v>1110</v>
      </c>
      <c r="E1680" t="s">
        <v>14</v>
      </c>
      <c r="F1680">
        <v>46.9756</v>
      </c>
      <c r="G1680">
        <v>9.6681000000000008</v>
      </c>
      <c r="H1680">
        <v>1</v>
      </c>
      <c r="I1680">
        <v>626</v>
      </c>
      <c r="J1680" t="str">
        <f>HYPERLINK("https://climate.onebuilding.org/WMO_Region_6_Europe/CHE_Switzerland/GR_Graubunden/CHE_GR_Schiers.067900_TMYx.zip")</f>
        <v>https://climate.onebuilding.org/WMO_Region_6_Europe/CHE_Switzerland/GR_Graubunden/CHE_GR_Schiers.067900_TMYx.zip</v>
      </c>
    </row>
    <row r="1681" spans="1:10" x14ac:dyDescent="0.25">
      <c r="A1681" t="s">
        <v>702</v>
      </c>
      <c r="B1681" t="s">
        <v>1057</v>
      </c>
      <c r="C1681" t="s">
        <v>1111</v>
      </c>
      <c r="D1681" s="1" t="s">
        <v>1112</v>
      </c>
      <c r="E1681" t="s">
        <v>1113</v>
      </c>
      <c r="F1681">
        <v>46.418100000000003</v>
      </c>
      <c r="G1681">
        <v>9.8210999999999995</v>
      </c>
      <c r="H1681">
        <v>1</v>
      </c>
      <c r="I1681">
        <v>3302.3</v>
      </c>
      <c r="J1681" t="str">
        <f>HYPERLINK("https://climate.onebuilding.org/WMO_Region_6_Europe/CHE_Switzerland/GR_Graubunden/CHE_GR_Piz.Corvatsch.067910_TMYx.2004-2018.zip")</f>
        <v>https://climate.onebuilding.org/WMO_Region_6_Europe/CHE_Switzerland/GR_Graubunden/CHE_GR_Piz.Corvatsch.067910_TMYx.2004-2018.zip</v>
      </c>
    </row>
    <row r="1682" spans="1:10" x14ac:dyDescent="0.25">
      <c r="A1682" t="s">
        <v>702</v>
      </c>
      <c r="B1682" t="s">
        <v>1057</v>
      </c>
      <c r="C1682" t="s">
        <v>1111</v>
      </c>
      <c r="D1682" s="1" t="s">
        <v>1112</v>
      </c>
      <c r="E1682" t="s">
        <v>14</v>
      </c>
      <c r="F1682">
        <v>46.418100000000003</v>
      </c>
      <c r="G1682">
        <v>9.8210999999999995</v>
      </c>
      <c r="H1682">
        <v>1</v>
      </c>
      <c r="I1682">
        <v>3302.3</v>
      </c>
      <c r="J1682" t="str">
        <f>HYPERLINK("https://climate.onebuilding.org/WMO_Region_6_Europe/CHE_Switzerland/GR_Graubunden/CHE_GR_Piz.Corvatsch.067910_TMYx.2007-2021.zip")</f>
        <v>https://climate.onebuilding.org/WMO_Region_6_Europe/CHE_Switzerland/GR_Graubunden/CHE_GR_Piz.Corvatsch.067910_TMYx.2007-2021.zip</v>
      </c>
    </row>
    <row r="1683" spans="1:10" x14ac:dyDescent="0.25">
      <c r="A1683" t="s">
        <v>702</v>
      </c>
      <c r="B1683" t="s">
        <v>1057</v>
      </c>
      <c r="C1683" t="s">
        <v>1111</v>
      </c>
      <c r="D1683" s="1" t="s">
        <v>1112</v>
      </c>
      <c r="E1683" t="s">
        <v>14</v>
      </c>
      <c r="F1683">
        <v>46.418100000000003</v>
      </c>
      <c r="G1683">
        <v>9.8210999999999995</v>
      </c>
      <c r="H1683">
        <v>1</v>
      </c>
      <c r="I1683">
        <v>3302.3</v>
      </c>
      <c r="J1683" t="str">
        <f>HYPERLINK("https://climate.onebuilding.org/WMO_Region_6_Europe/CHE_Switzerland/GR_Graubunden/CHE_GR_Piz.Corvatsch.067910_TMYx.2009-2023.zip")</f>
        <v>https://climate.onebuilding.org/WMO_Region_6_Europe/CHE_Switzerland/GR_Graubunden/CHE_GR_Piz.Corvatsch.067910_TMYx.2009-2023.zip</v>
      </c>
    </row>
    <row r="1684" spans="1:10" x14ac:dyDescent="0.25">
      <c r="A1684" t="s">
        <v>702</v>
      </c>
      <c r="B1684" t="s">
        <v>1057</v>
      </c>
      <c r="C1684" t="s">
        <v>1111</v>
      </c>
      <c r="D1684" s="1" t="s">
        <v>1112</v>
      </c>
      <c r="E1684" t="s">
        <v>14</v>
      </c>
      <c r="F1684">
        <v>46.418100000000003</v>
      </c>
      <c r="G1684">
        <v>9.8210999999999995</v>
      </c>
      <c r="H1684">
        <v>1</v>
      </c>
      <c r="I1684">
        <v>3302.3</v>
      </c>
      <c r="J1684" t="str">
        <f>HYPERLINK("https://climate.onebuilding.org/WMO_Region_6_Europe/CHE_Switzerland/GR_Graubunden/CHE_GR_Piz.Corvatsch.067910_TMYx.zip")</f>
        <v>https://climate.onebuilding.org/WMO_Region_6_Europe/CHE_Switzerland/GR_Graubunden/CHE_GR_Piz.Corvatsch.067910_TMYx.zip</v>
      </c>
    </row>
    <row r="1685" spans="1:10" x14ac:dyDescent="0.25">
      <c r="A1685" t="s">
        <v>702</v>
      </c>
      <c r="B1685" t="s">
        <v>1057</v>
      </c>
      <c r="C1685" t="s">
        <v>1114</v>
      </c>
      <c r="D1685" s="1" t="s">
        <v>1115</v>
      </c>
      <c r="E1685" t="s">
        <v>1116</v>
      </c>
      <c r="F1685">
        <v>46.526400000000002</v>
      </c>
      <c r="G1685">
        <v>9.8788999999999998</v>
      </c>
      <c r="H1685">
        <v>1</v>
      </c>
      <c r="I1685">
        <v>1709.2</v>
      </c>
      <c r="J1685" t="str">
        <f>HYPERLINK("https://climate.onebuilding.org/WMO_Region_6_Europe/CHE_Switzerland/GR_Graubunden/CHE_GR_St.Moritz-Samedam-Engadin.AP.067920_TMYx.2004-2018.zip")</f>
        <v>https://climate.onebuilding.org/WMO_Region_6_Europe/CHE_Switzerland/GR_Graubunden/CHE_GR_St.Moritz-Samedam-Engadin.AP.067920_TMYx.2004-2018.zip</v>
      </c>
    </row>
    <row r="1686" spans="1:10" x14ac:dyDescent="0.25">
      <c r="A1686" t="s">
        <v>702</v>
      </c>
      <c r="B1686" t="s">
        <v>1057</v>
      </c>
      <c r="C1686" t="s">
        <v>1114</v>
      </c>
      <c r="D1686" s="1" t="s">
        <v>1115</v>
      </c>
      <c r="E1686" t="s">
        <v>14</v>
      </c>
      <c r="F1686">
        <v>46.526400000000002</v>
      </c>
      <c r="G1686">
        <v>9.8788999999999998</v>
      </c>
      <c r="H1686">
        <v>1</v>
      </c>
      <c r="I1686">
        <v>1709.2</v>
      </c>
      <c r="J1686" t="str">
        <f>HYPERLINK("https://climate.onebuilding.org/WMO_Region_6_Europe/CHE_Switzerland/GR_Graubunden/CHE_GR_St.Moritz-Samedam-Engadin.AP.067920_TMYx.2007-2021.zip")</f>
        <v>https://climate.onebuilding.org/WMO_Region_6_Europe/CHE_Switzerland/GR_Graubunden/CHE_GR_St.Moritz-Samedam-Engadin.AP.067920_TMYx.2007-2021.zip</v>
      </c>
    </row>
    <row r="1687" spans="1:10" x14ac:dyDescent="0.25">
      <c r="A1687" t="s">
        <v>702</v>
      </c>
      <c r="B1687" t="s">
        <v>1057</v>
      </c>
      <c r="C1687" t="s">
        <v>1114</v>
      </c>
      <c r="D1687" s="1" t="s">
        <v>1115</v>
      </c>
      <c r="E1687" t="s">
        <v>14</v>
      </c>
      <c r="F1687">
        <v>46.526400000000002</v>
      </c>
      <c r="G1687">
        <v>9.8788999999999998</v>
      </c>
      <c r="H1687">
        <v>1</v>
      </c>
      <c r="I1687">
        <v>1709.2</v>
      </c>
      <c r="J1687" t="str">
        <f>HYPERLINK("https://climate.onebuilding.org/WMO_Region_6_Europe/CHE_Switzerland/GR_Graubunden/CHE_GR_St.Moritz-Samedam-Engadin.AP.067920_TMYx.2009-2023.zip")</f>
        <v>https://climate.onebuilding.org/WMO_Region_6_Europe/CHE_Switzerland/GR_Graubunden/CHE_GR_St.Moritz-Samedam-Engadin.AP.067920_TMYx.2009-2023.zip</v>
      </c>
    </row>
    <row r="1688" spans="1:10" x14ac:dyDescent="0.25">
      <c r="A1688" t="s">
        <v>702</v>
      </c>
      <c r="B1688" t="s">
        <v>1057</v>
      </c>
      <c r="C1688" t="s">
        <v>1114</v>
      </c>
      <c r="D1688" s="1" t="s">
        <v>1115</v>
      </c>
      <c r="E1688" t="s">
        <v>14</v>
      </c>
      <c r="F1688">
        <v>46.526400000000002</v>
      </c>
      <c r="G1688">
        <v>9.8788999999999998</v>
      </c>
      <c r="H1688">
        <v>1</v>
      </c>
      <c r="I1688">
        <v>1709.2</v>
      </c>
      <c r="J1688" t="str">
        <f>HYPERLINK("https://climate.onebuilding.org/WMO_Region_6_Europe/CHE_Switzerland/GR_Graubunden/CHE_GR_St.Moritz-Samedam-Engadin.AP.067920_TMYx.zip")</f>
        <v>https://climate.onebuilding.org/WMO_Region_6_Europe/CHE_Switzerland/GR_Graubunden/CHE_GR_St.Moritz-Samedam-Engadin.AP.067920_TMYx.zip</v>
      </c>
    </row>
    <row r="1689" spans="1:10" x14ac:dyDescent="0.25">
      <c r="A1689" t="s">
        <v>702</v>
      </c>
      <c r="B1689" t="s">
        <v>1057</v>
      </c>
      <c r="C1689" t="s">
        <v>1117</v>
      </c>
      <c r="D1689" s="1" t="s">
        <v>1118</v>
      </c>
      <c r="E1689" t="s">
        <v>1119</v>
      </c>
      <c r="F1689">
        <v>46.755000000000003</v>
      </c>
      <c r="G1689">
        <v>9.5543999999999993</v>
      </c>
      <c r="H1689">
        <v>1</v>
      </c>
      <c r="I1689">
        <v>1570.2</v>
      </c>
      <c r="J1689" t="str">
        <f>HYPERLINK("https://climate.onebuilding.org/WMO_Region_6_Europe/CHE_Switzerland/GR_Graubunden/CHE_GR_Valbella.067930_TMYx.2004-2018.zip")</f>
        <v>https://climate.onebuilding.org/WMO_Region_6_Europe/CHE_Switzerland/GR_Graubunden/CHE_GR_Valbella.067930_TMYx.2004-2018.zip</v>
      </c>
    </row>
    <row r="1690" spans="1:10" x14ac:dyDescent="0.25">
      <c r="A1690" t="s">
        <v>702</v>
      </c>
      <c r="B1690" t="s">
        <v>1057</v>
      </c>
      <c r="C1690" t="s">
        <v>1117</v>
      </c>
      <c r="D1690" s="1" t="s">
        <v>1118</v>
      </c>
      <c r="E1690" t="s">
        <v>14</v>
      </c>
      <c r="F1690">
        <v>46.755000000000003</v>
      </c>
      <c r="G1690">
        <v>9.5543999999999993</v>
      </c>
      <c r="H1690">
        <v>1</v>
      </c>
      <c r="I1690">
        <v>1570.2</v>
      </c>
      <c r="J1690" t="str">
        <f>HYPERLINK("https://climate.onebuilding.org/WMO_Region_6_Europe/CHE_Switzerland/GR_Graubunden/CHE_GR_Valbella.067930_TMYx.2007-2021.zip")</f>
        <v>https://climate.onebuilding.org/WMO_Region_6_Europe/CHE_Switzerland/GR_Graubunden/CHE_GR_Valbella.067930_TMYx.2007-2021.zip</v>
      </c>
    </row>
    <row r="1691" spans="1:10" x14ac:dyDescent="0.25">
      <c r="A1691" t="s">
        <v>702</v>
      </c>
      <c r="B1691" t="s">
        <v>1057</v>
      </c>
      <c r="C1691" t="s">
        <v>1117</v>
      </c>
      <c r="D1691" s="1" t="s">
        <v>1118</v>
      </c>
      <c r="E1691" t="s">
        <v>14</v>
      </c>
      <c r="F1691">
        <v>46.755000000000003</v>
      </c>
      <c r="G1691">
        <v>9.5543999999999993</v>
      </c>
      <c r="H1691">
        <v>1</v>
      </c>
      <c r="I1691">
        <v>1570.2</v>
      </c>
      <c r="J1691" t="str">
        <f>HYPERLINK("https://climate.onebuilding.org/WMO_Region_6_Europe/CHE_Switzerland/GR_Graubunden/CHE_GR_Valbella.067930_TMYx.2009-2023.zip")</f>
        <v>https://climate.onebuilding.org/WMO_Region_6_Europe/CHE_Switzerland/GR_Graubunden/CHE_GR_Valbella.067930_TMYx.2009-2023.zip</v>
      </c>
    </row>
    <row r="1692" spans="1:10" x14ac:dyDescent="0.25">
      <c r="A1692" t="s">
        <v>702</v>
      </c>
      <c r="B1692" t="s">
        <v>1057</v>
      </c>
      <c r="C1692" t="s">
        <v>1117</v>
      </c>
      <c r="D1692" s="1" t="s">
        <v>1118</v>
      </c>
      <c r="E1692" t="s">
        <v>14</v>
      </c>
      <c r="F1692">
        <v>46.755000000000003</v>
      </c>
      <c r="G1692">
        <v>9.5543999999999993</v>
      </c>
      <c r="H1692">
        <v>1</v>
      </c>
      <c r="I1692">
        <v>1570.2</v>
      </c>
      <c r="J1692" t="str">
        <f>HYPERLINK("https://climate.onebuilding.org/WMO_Region_6_Europe/CHE_Switzerland/GR_Graubunden/CHE_GR_Valbella.067930_TMYx.zip")</f>
        <v>https://climate.onebuilding.org/WMO_Region_6_Europe/CHE_Switzerland/GR_Graubunden/CHE_GR_Valbella.067930_TMYx.zip</v>
      </c>
    </row>
    <row r="1693" spans="1:10" x14ac:dyDescent="0.25">
      <c r="A1693" t="s">
        <v>702</v>
      </c>
      <c r="B1693" t="s">
        <v>1057</v>
      </c>
      <c r="C1693" t="s">
        <v>1120</v>
      </c>
      <c r="D1693" s="1" t="s">
        <v>1121</v>
      </c>
      <c r="E1693" t="s">
        <v>1122</v>
      </c>
      <c r="F1693">
        <v>46.346699999999998</v>
      </c>
      <c r="G1693">
        <v>10.0611</v>
      </c>
      <c r="H1693">
        <v>1</v>
      </c>
      <c r="I1693">
        <v>1079.0999999999999</v>
      </c>
      <c r="J1693" t="str">
        <f>HYPERLINK("https://climate.onebuilding.org/WMO_Region_6_Europe/CHE_Switzerland/GR_Graubunden/CHE_GR_Poschiavo.Robbia.067940_TMYx.2004-2018.zip")</f>
        <v>https://climate.onebuilding.org/WMO_Region_6_Europe/CHE_Switzerland/GR_Graubunden/CHE_GR_Poschiavo.Robbia.067940_TMYx.2004-2018.zip</v>
      </c>
    </row>
    <row r="1694" spans="1:10" x14ac:dyDescent="0.25">
      <c r="A1694" t="s">
        <v>702</v>
      </c>
      <c r="B1694" t="s">
        <v>1057</v>
      </c>
      <c r="C1694" t="s">
        <v>1120</v>
      </c>
      <c r="D1694" s="1" t="s">
        <v>1121</v>
      </c>
      <c r="E1694" t="s">
        <v>14</v>
      </c>
      <c r="F1694">
        <v>46.347200000000001</v>
      </c>
      <c r="G1694">
        <v>10.0631</v>
      </c>
      <c r="H1694">
        <v>1</v>
      </c>
      <c r="I1694">
        <v>1079.0999999999999</v>
      </c>
      <c r="J1694" t="str">
        <f>HYPERLINK("https://climate.onebuilding.org/WMO_Region_6_Europe/CHE_Switzerland/GR_Graubunden/CHE_GR_Poschiavo.Robbia.067940_TMYx.2007-2021.zip")</f>
        <v>https://climate.onebuilding.org/WMO_Region_6_Europe/CHE_Switzerland/GR_Graubunden/CHE_GR_Poschiavo.Robbia.067940_TMYx.2007-2021.zip</v>
      </c>
    </row>
    <row r="1695" spans="1:10" x14ac:dyDescent="0.25">
      <c r="A1695" t="s">
        <v>702</v>
      </c>
      <c r="B1695" t="s">
        <v>1057</v>
      </c>
      <c r="C1695" t="s">
        <v>1120</v>
      </c>
      <c r="D1695" s="1" t="s">
        <v>1121</v>
      </c>
      <c r="E1695" t="s">
        <v>14</v>
      </c>
      <c r="F1695">
        <v>46.347200000000001</v>
      </c>
      <c r="G1695">
        <v>10.0631</v>
      </c>
      <c r="H1695">
        <v>1</v>
      </c>
      <c r="I1695">
        <v>1079.0999999999999</v>
      </c>
      <c r="J1695" t="str">
        <f>HYPERLINK("https://climate.onebuilding.org/WMO_Region_6_Europe/CHE_Switzerland/GR_Graubunden/CHE_GR_Poschiavo.Robbia.067940_TMYx.2009-2023.zip")</f>
        <v>https://climate.onebuilding.org/WMO_Region_6_Europe/CHE_Switzerland/GR_Graubunden/CHE_GR_Poschiavo.Robbia.067940_TMYx.2009-2023.zip</v>
      </c>
    </row>
    <row r="1696" spans="1:10" x14ac:dyDescent="0.25">
      <c r="A1696" t="s">
        <v>702</v>
      </c>
      <c r="B1696" t="s">
        <v>1057</v>
      </c>
      <c r="C1696" t="s">
        <v>1120</v>
      </c>
      <c r="D1696" s="1" t="s">
        <v>1121</v>
      </c>
      <c r="E1696" t="s">
        <v>14</v>
      </c>
      <c r="F1696">
        <v>46.347200000000001</v>
      </c>
      <c r="G1696">
        <v>10.0631</v>
      </c>
      <c r="H1696">
        <v>1</v>
      </c>
      <c r="I1696">
        <v>1079.0999999999999</v>
      </c>
      <c r="J1696" t="str">
        <f>HYPERLINK("https://climate.onebuilding.org/WMO_Region_6_Europe/CHE_Switzerland/GR_Graubunden/CHE_GR_Poschiavo.Robbia.067940_TMYx.zip")</f>
        <v>https://climate.onebuilding.org/WMO_Region_6_Europe/CHE_Switzerland/GR_Graubunden/CHE_GR_Poschiavo.Robbia.067940_TMYx.zip</v>
      </c>
    </row>
    <row r="1697" spans="1:10" x14ac:dyDescent="0.25">
      <c r="A1697" t="s">
        <v>702</v>
      </c>
      <c r="B1697" t="s">
        <v>1057</v>
      </c>
      <c r="C1697" t="s">
        <v>1123</v>
      </c>
      <c r="D1697" s="1" t="s">
        <v>1124</v>
      </c>
      <c r="E1697" t="s">
        <v>1125</v>
      </c>
      <c r="F1697">
        <v>46.577199999999998</v>
      </c>
      <c r="G1697">
        <v>9.5294000000000008</v>
      </c>
      <c r="H1697">
        <v>1</v>
      </c>
      <c r="I1697">
        <v>2671.3</v>
      </c>
      <c r="J1697" t="str">
        <f>HYPERLINK("https://climate.onebuilding.org/WMO_Region_6_Europe/CHE_Switzerland/GR_Graubunden/CHE_GR_Piz.Martegnas.067950_TMYx.2004-2018.zip")</f>
        <v>https://climate.onebuilding.org/WMO_Region_6_Europe/CHE_Switzerland/GR_Graubunden/CHE_GR_Piz.Martegnas.067950_TMYx.2004-2018.zip</v>
      </c>
    </row>
    <row r="1698" spans="1:10" x14ac:dyDescent="0.25">
      <c r="A1698" t="s">
        <v>702</v>
      </c>
      <c r="B1698" t="s">
        <v>1057</v>
      </c>
      <c r="C1698" t="s">
        <v>1123</v>
      </c>
      <c r="D1698" s="1" t="s">
        <v>1124</v>
      </c>
      <c r="E1698" t="s">
        <v>14</v>
      </c>
      <c r="F1698">
        <v>46.577199999999998</v>
      </c>
      <c r="G1698">
        <v>9.5294000000000008</v>
      </c>
      <c r="H1698">
        <v>1</v>
      </c>
      <c r="I1698">
        <v>2671.3</v>
      </c>
      <c r="J1698" t="str">
        <f>HYPERLINK("https://climate.onebuilding.org/WMO_Region_6_Europe/CHE_Switzerland/GR_Graubunden/CHE_GR_Piz.Martegnas.067950_TMYx.2007-2021.zip")</f>
        <v>https://climate.onebuilding.org/WMO_Region_6_Europe/CHE_Switzerland/GR_Graubunden/CHE_GR_Piz.Martegnas.067950_TMYx.2007-2021.zip</v>
      </c>
    </row>
    <row r="1699" spans="1:10" x14ac:dyDescent="0.25">
      <c r="A1699" t="s">
        <v>702</v>
      </c>
      <c r="B1699" t="s">
        <v>1057</v>
      </c>
      <c r="C1699" t="s">
        <v>1123</v>
      </c>
      <c r="D1699" s="1" t="s">
        <v>1124</v>
      </c>
      <c r="E1699" t="s">
        <v>14</v>
      </c>
      <c r="F1699">
        <v>46.577199999999998</v>
      </c>
      <c r="G1699">
        <v>9.5294000000000008</v>
      </c>
      <c r="H1699">
        <v>1</v>
      </c>
      <c r="I1699">
        <v>2671.3</v>
      </c>
      <c r="J1699" t="str">
        <f>HYPERLINK("https://climate.onebuilding.org/WMO_Region_6_Europe/CHE_Switzerland/GR_Graubunden/CHE_GR_Piz.Martegnas.067950_TMYx.2009-2023.zip")</f>
        <v>https://climate.onebuilding.org/WMO_Region_6_Europe/CHE_Switzerland/GR_Graubunden/CHE_GR_Piz.Martegnas.067950_TMYx.2009-2023.zip</v>
      </c>
    </row>
    <row r="1700" spans="1:10" x14ac:dyDescent="0.25">
      <c r="A1700" t="s">
        <v>702</v>
      </c>
      <c r="B1700" t="s">
        <v>1057</v>
      </c>
      <c r="C1700" t="s">
        <v>1123</v>
      </c>
      <c r="D1700" s="1" t="s">
        <v>1124</v>
      </c>
      <c r="E1700" t="s">
        <v>14</v>
      </c>
      <c r="F1700">
        <v>46.577199999999998</v>
      </c>
      <c r="G1700">
        <v>9.5294000000000008</v>
      </c>
      <c r="H1700">
        <v>1</v>
      </c>
      <c r="I1700">
        <v>2671.3</v>
      </c>
      <c r="J1700" t="str">
        <f>HYPERLINK("https://climate.onebuilding.org/WMO_Region_6_Europe/CHE_Switzerland/GR_Graubunden/CHE_GR_Piz.Martegnas.067950_TMYx.zip")</f>
        <v>https://climate.onebuilding.org/WMO_Region_6_Europe/CHE_Switzerland/GR_Graubunden/CHE_GR_Piz.Martegnas.067950_TMYx.zip</v>
      </c>
    </row>
    <row r="1701" spans="1:10" x14ac:dyDescent="0.25">
      <c r="A1701" t="s">
        <v>702</v>
      </c>
      <c r="B1701" t="s">
        <v>1057</v>
      </c>
      <c r="C1701" t="s">
        <v>1126</v>
      </c>
      <c r="D1701" s="1" t="s">
        <v>1127</v>
      </c>
      <c r="E1701" t="s">
        <v>1128</v>
      </c>
      <c r="F1701">
        <v>46.602200000000003</v>
      </c>
      <c r="G1701">
        <v>10.426399999999999</v>
      </c>
      <c r="H1701">
        <v>1</v>
      </c>
      <c r="I1701">
        <v>1384.1</v>
      </c>
      <c r="J1701" t="str">
        <f>HYPERLINK("https://climate.onebuilding.org/WMO_Region_6_Europe/CHE_Switzerland/GR_Graubunden/CHE_GR_Santa.Maria.Val.Mustair.067960_TMYx.2004-2018.zip")</f>
        <v>https://climate.onebuilding.org/WMO_Region_6_Europe/CHE_Switzerland/GR_Graubunden/CHE_GR_Santa.Maria.Val.Mustair.067960_TMYx.2004-2018.zip</v>
      </c>
    </row>
    <row r="1702" spans="1:10" x14ac:dyDescent="0.25">
      <c r="A1702" t="s">
        <v>702</v>
      </c>
      <c r="B1702" t="s">
        <v>1057</v>
      </c>
      <c r="C1702" t="s">
        <v>1126</v>
      </c>
      <c r="D1702" s="1" t="s">
        <v>1127</v>
      </c>
      <c r="E1702" t="s">
        <v>14</v>
      </c>
      <c r="F1702">
        <v>46.602200000000003</v>
      </c>
      <c r="G1702">
        <v>10.426399999999999</v>
      </c>
      <c r="H1702">
        <v>1</v>
      </c>
      <c r="I1702">
        <v>1384.1</v>
      </c>
      <c r="J1702" t="str">
        <f>HYPERLINK("https://climate.onebuilding.org/WMO_Region_6_Europe/CHE_Switzerland/GR_Graubunden/CHE_GR_Santa.Maria.Val.Mustair.067960_TMYx.2007-2021.zip")</f>
        <v>https://climate.onebuilding.org/WMO_Region_6_Europe/CHE_Switzerland/GR_Graubunden/CHE_GR_Santa.Maria.Val.Mustair.067960_TMYx.2007-2021.zip</v>
      </c>
    </row>
    <row r="1703" spans="1:10" x14ac:dyDescent="0.25">
      <c r="A1703" t="s">
        <v>702</v>
      </c>
      <c r="B1703" t="s">
        <v>1057</v>
      </c>
      <c r="C1703" t="s">
        <v>1126</v>
      </c>
      <c r="D1703" s="1" t="s">
        <v>1127</v>
      </c>
      <c r="E1703" t="s">
        <v>14</v>
      </c>
      <c r="F1703">
        <v>46.602200000000003</v>
      </c>
      <c r="G1703">
        <v>10.426399999999999</v>
      </c>
      <c r="H1703">
        <v>1</v>
      </c>
      <c r="I1703">
        <v>1384.1</v>
      </c>
      <c r="J1703" t="str">
        <f>HYPERLINK("https://climate.onebuilding.org/WMO_Region_6_Europe/CHE_Switzerland/GR_Graubunden/CHE_GR_Santa.Maria.Val.Mustair.067960_TMYx.2009-2023.zip")</f>
        <v>https://climate.onebuilding.org/WMO_Region_6_Europe/CHE_Switzerland/GR_Graubunden/CHE_GR_Santa.Maria.Val.Mustair.067960_TMYx.2009-2023.zip</v>
      </c>
    </row>
    <row r="1704" spans="1:10" x14ac:dyDescent="0.25">
      <c r="A1704" t="s">
        <v>702</v>
      </c>
      <c r="B1704" t="s">
        <v>1057</v>
      </c>
      <c r="C1704" t="s">
        <v>1126</v>
      </c>
      <c r="D1704" s="1" t="s">
        <v>1127</v>
      </c>
      <c r="E1704" t="s">
        <v>14</v>
      </c>
      <c r="F1704">
        <v>46.602200000000003</v>
      </c>
      <c r="G1704">
        <v>10.426399999999999</v>
      </c>
      <c r="H1704">
        <v>1</v>
      </c>
      <c r="I1704">
        <v>1384.1</v>
      </c>
      <c r="J1704" t="str">
        <f>HYPERLINK("https://climate.onebuilding.org/WMO_Region_6_Europe/CHE_Switzerland/GR_Graubunden/CHE_GR_Santa.Maria.Val.Mustair.067960_TMYx.zip")</f>
        <v>https://climate.onebuilding.org/WMO_Region_6_Europe/CHE_Switzerland/GR_Graubunden/CHE_GR_Santa.Maria.Val.Mustair.067960_TMYx.zip</v>
      </c>
    </row>
    <row r="1705" spans="1:10" x14ac:dyDescent="0.25">
      <c r="A1705" t="s">
        <v>702</v>
      </c>
      <c r="B1705" t="s">
        <v>1057</v>
      </c>
      <c r="C1705" t="s">
        <v>1129</v>
      </c>
      <c r="D1705" s="1" t="s">
        <v>1130</v>
      </c>
      <c r="E1705" t="s">
        <v>14</v>
      </c>
      <c r="F1705">
        <v>46.409199999999998</v>
      </c>
      <c r="G1705">
        <v>10.019399999999999</v>
      </c>
      <c r="H1705">
        <v>1</v>
      </c>
      <c r="I1705">
        <v>2260.1999999999998</v>
      </c>
      <c r="J1705" t="str">
        <f>HYPERLINK("https://climate.onebuilding.org/WMO_Region_6_Europe/CHE_Switzerland/GR_Graubunden/CHE_GR_Passo.del.Bernina.067970_TMYx.2007-2021.zip")</f>
        <v>https://climate.onebuilding.org/WMO_Region_6_Europe/CHE_Switzerland/GR_Graubunden/CHE_GR_Passo.del.Bernina.067970_TMYx.2007-2021.zip</v>
      </c>
    </row>
    <row r="1706" spans="1:10" x14ac:dyDescent="0.25">
      <c r="A1706" t="s">
        <v>702</v>
      </c>
      <c r="B1706" t="s">
        <v>1057</v>
      </c>
      <c r="C1706" t="s">
        <v>1129</v>
      </c>
      <c r="D1706" s="1" t="s">
        <v>1130</v>
      </c>
      <c r="E1706" t="s">
        <v>14</v>
      </c>
      <c r="F1706">
        <v>46.409199999999998</v>
      </c>
      <c r="G1706">
        <v>10.019399999999999</v>
      </c>
      <c r="H1706">
        <v>1</v>
      </c>
      <c r="I1706">
        <v>2260.1999999999998</v>
      </c>
      <c r="J1706" t="str">
        <f>HYPERLINK("https://climate.onebuilding.org/WMO_Region_6_Europe/CHE_Switzerland/GR_Graubunden/CHE_GR_Passo.del.Bernina.067970_TMYx.2009-2023.zip")</f>
        <v>https://climate.onebuilding.org/WMO_Region_6_Europe/CHE_Switzerland/GR_Graubunden/CHE_GR_Passo.del.Bernina.067970_TMYx.2009-2023.zip</v>
      </c>
    </row>
    <row r="1707" spans="1:10" x14ac:dyDescent="0.25">
      <c r="A1707" t="s">
        <v>702</v>
      </c>
      <c r="B1707" t="s">
        <v>1057</v>
      </c>
      <c r="C1707" t="s">
        <v>1129</v>
      </c>
      <c r="D1707" s="1" t="s">
        <v>1130</v>
      </c>
      <c r="E1707" t="s">
        <v>14</v>
      </c>
      <c r="F1707">
        <v>46.409199999999998</v>
      </c>
      <c r="G1707">
        <v>10.019399999999999</v>
      </c>
      <c r="H1707">
        <v>1</v>
      </c>
      <c r="I1707">
        <v>2260.1999999999998</v>
      </c>
      <c r="J1707" t="str">
        <f>HYPERLINK("https://climate.onebuilding.org/WMO_Region_6_Europe/CHE_Switzerland/GR_Graubunden/CHE_GR_Passo.del.Bernina.067970_TMYx.zip")</f>
        <v>https://climate.onebuilding.org/WMO_Region_6_Europe/CHE_Switzerland/GR_Graubunden/CHE_GR_Passo.del.Bernina.067970_TMYx.zip</v>
      </c>
    </row>
    <row r="1708" spans="1:10" x14ac:dyDescent="0.25">
      <c r="A1708" t="s">
        <v>702</v>
      </c>
      <c r="B1708" t="s">
        <v>1057</v>
      </c>
      <c r="C1708" t="s">
        <v>1131</v>
      </c>
      <c r="D1708" s="1" t="s">
        <v>1132</v>
      </c>
      <c r="E1708" t="s">
        <v>1133</v>
      </c>
      <c r="F1708">
        <v>46.793300000000002</v>
      </c>
      <c r="G1708">
        <v>10.283300000000001</v>
      </c>
      <c r="H1708">
        <v>1</v>
      </c>
      <c r="I1708">
        <v>1305.0999999999999</v>
      </c>
      <c r="J1708" t="str">
        <f>HYPERLINK("https://climate.onebuilding.org/WMO_Region_6_Europe/CHE_Switzerland/GR_Graubunden/CHE_GR_Scuol.067980_TMYx.2004-2018.zip")</f>
        <v>https://climate.onebuilding.org/WMO_Region_6_Europe/CHE_Switzerland/GR_Graubunden/CHE_GR_Scuol.067980_TMYx.2004-2018.zip</v>
      </c>
    </row>
    <row r="1709" spans="1:10" x14ac:dyDescent="0.25">
      <c r="A1709" t="s">
        <v>702</v>
      </c>
      <c r="B1709" t="s">
        <v>1057</v>
      </c>
      <c r="C1709" t="s">
        <v>1131</v>
      </c>
      <c r="D1709" s="1" t="s">
        <v>1132</v>
      </c>
      <c r="E1709" t="s">
        <v>14</v>
      </c>
      <c r="F1709">
        <v>46.793300000000002</v>
      </c>
      <c r="G1709">
        <v>10.283300000000001</v>
      </c>
      <c r="H1709">
        <v>1</v>
      </c>
      <c r="I1709">
        <v>1305.0999999999999</v>
      </c>
      <c r="J1709" t="str">
        <f>HYPERLINK("https://climate.onebuilding.org/WMO_Region_6_Europe/CHE_Switzerland/GR_Graubunden/CHE_GR_Scuol.067980_TMYx.2007-2021.zip")</f>
        <v>https://climate.onebuilding.org/WMO_Region_6_Europe/CHE_Switzerland/GR_Graubunden/CHE_GR_Scuol.067980_TMYx.2007-2021.zip</v>
      </c>
    </row>
    <row r="1710" spans="1:10" x14ac:dyDescent="0.25">
      <c r="A1710" t="s">
        <v>702</v>
      </c>
      <c r="B1710" t="s">
        <v>1057</v>
      </c>
      <c r="C1710" t="s">
        <v>1131</v>
      </c>
      <c r="D1710" s="1" t="s">
        <v>1132</v>
      </c>
      <c r="E1710" t="s">
        <v>14</v>
      </c>
      <c r="F1710">
        <v>46.793300000000002</v>
      </c>
      <c r="G1710">
        <v>10.283300000000001</v>
      </c>
      <c r="H1710">
        <v>1</v>
      </c>
      <c r="I1710">
        <v>1305.0999999999999</v>
      </c>
      <c r="J1710" t="str">
        <f>HYPERLINK("https://climate.onebuilding.org/WMO_Region_6_Europe/CHE_Switzerland/GR_Graubunden/CHE_GR_Scuol.067980_TMYx.2009-2023.zip")</f>
        <v>https://climate.onebuilding.org/WMO_Region_6_Europe/CHE_Switzerland/GR_Graubunden/CHE_GR_Scuol.067980_TMYx.2009-2023.zip</v>
      </c>
    </row>
    <row r="1711" spans="1:10" x14ac:dyDescent="0.25">
      <c r="A1711" t="s">
        <v>702</v>
      </c>
      <c r="B1711" t="s">
        <v>1057</v>
      </c>
      <c r="C1711" t="s">
        <v>1131</v>
      </c>
      <c r="D1711" s="1" t="s">
        <v>1132</v>
      </c>
      <c r="E1711" t="s">
        <v>14</v>
      </c>
      <c r="F1711">
        <v>46.793300000000002</v>
      </c>
      <c r="G1711">
        <v>10.283300000000001</v>
      </c>
      <c r="H1711">
        <v>1</v>
      </c>
      <c r="I1711">
        <v>1305.0999999999999</v>
      </c>
      <c r="J1711" t="str">
        <f>HYPERLINK("https://climate.onebuilding.org/WMO_Region_6_Europe/CHE_Switzerland/GR_Graubunden/CHE_GR_Scuol.067980_TMYx.zip")</f>
        <v>https://climate.onebuilding.org/WMO_Region_6_Europe/CHE_Switzerland/GR_Graubunden/CHE_GR_Scuol.067980_TMYx.zip</v>
      </c>
    </row>
    <row r="1712" spans="1:10" x14ac:dyDescent="0.25">
      <c r="A1712" t="s">
        <v>702</v>
      </c>
      <c r="B1712" t="s">
        <v>1057</v>
      </c>
      <c r="C1712" t="s">
        <v>1134</v>
      </c>
      <c r="D1712" s="1" t="s">
        <v>1135</v>
      </c>
      <c r="E1712" t="s">
        <v>1136</v>
      </c>
      <c r="F1712">
        <v>46.8172</v>
      </c>
      <c r="G1712">
        <v>10.2614</v>
      </c>
      <c r="H1712">
        <v>1</v>
      </c>
      <c r="I1712">
        <v>2400</v>
      </c>
      <c r="J1712" t="str">
        <f>HYPERLINK("https://climate.onebuilding.org/WMO_Region_6_Europe/CHE_Switzerland/GR_Graubunden/CHE_GR_Naluns.067990_TMYx.2004-2018.zip")</f>
        <v>https://climate.onebuilding.org/WMO_Region_6_Europe/CHE_Switzerland/GR_Graubunden/CHE_GR_Naluns.067990_TMYx.2004-2018.zip</v>
      </c>
    </row>
    <row r="1713" spans="1:10" x14ac:dyDescent="0.25">
      <c r="A1713" t="s">
        <v>702</v>
      </c>
      <c r="B1713" t="s">
        <v>1057</v>
      </c>
      <c r="C1713" t="s">
        <v>1134</v>
      </c>
      <c r="D1713" s="1" t="s">
        <v>1135</v>
      </c>
      <c r="E1713" t="s">
        <v>14</v>
      </c>
      <c r="F1713">
        <v>46.8172</v>
      </c>
      <c r="G1713">
        <v>10.2614</v>
      </c>
      <c r="H1713">
        <v>1</v>
      </c>
      <c r="I1713">
        <v>2400</v>
      </c>
      <c r="J1713" t="str">
        <f>HYPERLINK("https://climate.onebuilding.org/WMO_Region_6_Europe/CHE_Switzerland/GR_Graubunden/CHE_GR_Naluns.067990_TMYx.2007-2021.zip")</f>
        <v>https://climate.onebuilding.org/WMO_Region_6_Europe/CHE_Switzerland/GR_Graubunden/CHE_GR_Naluns.067990_TMYx.2007-2021.zip</v>
      </c>
    </row>
    <row r="1714" spans="1:10" x14ac:dyDescent="0.25">
      <c r="A1714" t="s">
        <v>702</v>
      </c>
      <c r="B1714" t="s">
        <v>1057</v>
      </c>
      <c r="C1714" t="s">
        <v>1134</v>
      </c>
      <c r="D1714" s="1" t="s">
        <v>1135</v>
      </c>
      <c r="E1714" t="s">
        <v>14</v>
      </c>
      <c r="F1714">
        <v>46.8172</v>
      </c>
      <c r="G1714">
        <v>10.2614</v>
      </c>
      <c r="H1714">
        <v>1</v>
      </c>
      <c r="I1714">
        <v>2400</v>
      </c>
      <c r="J1714" t="str">
        <f>HYPERLINK("https://climate.onebuilding.org/WMO_Region_6_Europe/CHE_Switzerland/GR_Graubunden/CHE_GR_Naluns.067990_TMYx.2009-2023.zip")</f>
        <v>https://climate.onebuilding.org/WMO_Region_6_Europe/CHE_Switzerland/GR_Graubunden/CHE_GR_Naluns.067990_TMYx.2009-2023.zip</v>
      </c>
    </row>
    <row r="1715" spans="1:10" x14ac:dyDescent="0.25">
      <c r="A1715" t="s">
        <v>702</v>
      </c>
      <c r="B1715" t="s">
        <v>1057</v>
      </c>
      <c r="C1715" t="s">
        <v>1134</v>
      </c>
      <c r="D1715" s="1" t="s">
        <v>1135</v>
      </c>
      <c r="E1715" t="s">
        <v>14</v>
      </c>
      <c r="F1715">
        <v>46.8172</v>
      </c>
      <c r="G1715">
        <v>10.2614</v>
      </c>
      <c r="H1715">
        <v>1</v>
      </c>
      <c r="I1715">
        <v>2400</v>
      </c>
      <c r="J1715" t="str">
        <f>HYPERLINK("https://climate.onebuilding.org/WMO_Region_6_Europe/CHE_Switzerland/GR_Graubunden/CHE_GR_Naluns.067990_TMYx.zip")</f>
        <v>https://climate.onebuilding.org/WMO_Region_6_Europe/CHE_Switzerland/GR_Graubunden/CHE_GR_Naluns.067990_TMYx.zip</v>
      </c>
    </row>
    <row r="1716" spans="1:10" x14ac:dyDescent="0.25">
      <c r="A1716" t="s">
        <v>702</v>
      </c>
      <c r="B1716" t="s">
        <v>564</v>
      </c>
      <c r="C1716" t="s">
        <v>1137</v>
      </c>
      <c r="D1716" s="1" t="s">
        <v>1138</v>
      </c>
      <c r="E1716" t="s">
        <v>1139</v>
      </c>
      <c r="F1716">
        <v>46.966999999999999</v>
      </c>
      <c r="G1716">
        <v>8.4</v>
      </c>
      <c r="H1716">
        <v>1</v>
      </c>
      <c r="I1716">
        <v>450</v>
      </c>
      <c r="J1716" t="str">
        <f>HYPERLINK("https://climate.onebuilding.org/WMO_Region_6_Europe/CHE_Switzerland/BL_Basel-Landschaft/CHE_BL_Buochs.AP.068065_TMYx.2004-2018.zip")</f>
        <v>https://climate.onebuilding.org/WMO_Region_6_Europe/CHE_Switzerland/BL_Basel-Landschaft/CHE_BL_Buochs.AP.068065_TMYx.2004-2018.zip</v>
      </c>
    </row>
    <row r="1717" spans="1:10" x14ac:dyDescent="0.25">
      <c r="A1717" t="s">
        <v>702</v>
      </c>
      <c r="B1717" t="s">
        <v>564</v>
      </c>
      <c r="C1717" t="s">
        <v>1137</v>
      </c>
      <c r="D1717" s="1" t="s">
        <v>1138</v>
      </c>
      <c r="E1717" t="s">
        <v>14</v>
      </c>
      <c r="F1717">
        <v>46.966999999999999</v>
      </c>
      <c r="G1717">
        <v>8.4</v>
      </c>
      <c r="H1717">
        <v>1</v>
      </c>
      <c r="I1717">
        <v>450</v>
      </c>
      <c r="J1717" t="str">
        <f>HYPERLINK("https://climate.onebuilding.org/WMO_Region_6_Europe/CHE_Switzerland/BL_Basel-Landschaft/CHE_BL_Buochs.AP.068065_TMYx.2007-2021.zip")</f>
        <v>https://climate.onebuilding.org/WMO_Region_6_Europe/CHE_Switzerland/BL_Basel-Landschaft/CHE_BL_Buochs.AP.068065_TMYx.2007-2021.zip</v>
      </c>
    </row>
    <row r="1718" spans="1:10" x14ac:dyDescent="0.25">
      <c r="A1718" t="s">
        <v>702</v>
      </c>
      <c r="B1718" t="s">
        <v>564</v>
      </c>
      <c r="C1718" t="s">
        <v>1137</v>
      </c>
      <c r="D1718" s="1" t="s">
        <v>1138</v>
      </c>
      <c r="E1718" t="s">
        <v>14</v>
      </c>
      <c r="F1718">
        <v>46.966999999999999</v>
      </c>
      <c r="G1718">
        <v>8.4</v>
      </c>
      <c r="H1718">
        <v>1</v>
      </c>
      <c r="I1718">
        <v>450</v>
      </c>
      <c r="J1718" t="str">
        <f>HYPERLINK("https://climate.onebuilding.org/WMO_Region_6_Europe/CHE_Switzerland/BL_Basel-Landschaft/CHE_BL_Buochs.AP.068065_TMYx.2009-2023.zip")</f>
        <v>https://climate.onebuilding.org/WMO_Region_6_Europe/CHE_Switzerland/BL_Basel-Landschaft/CHE_BL_Buochs.AP.068065_TMYx.2009-2023.zip</v>
      </c>
    </row>
    <row r="1719" spans="1:10" x14ac:dyDescent="0.25">
      <c r="A1719" t="s">
        <v>702</v>
      </c>
      <c r="B1719" t="s">
        <v>564</v>
      </c>
      <c r="C1719" t="s">
        <v>1137</v>
      </c>
      <c r="D1719" s="1" t="s">
        <v>1138</v>
      </c>
      <c r="E1719" t="s">
        <v>14</v>
      </c>
      <c r="F1719">
        <v>46.966999999999999</v>
      </c>
      <c r="G1719">
        <v>8.4</v>
      </c>
      <c r="H1719">
        <v>1</v>
      </c>
      <c r="I1719">
        <v>450</v>
      </c>
      <c r="J1719" t="str">
        <f>HYPERLINK("https://climate.onebuilding.org/WMO_Region_6_Europe/CHE_Switzerland/BL_Basel-Landschaft/CHE_BL_Buochs.AP.068065_TMYx.zip")</f>
        <v>https://climate.onebuilding.org/WMO_Region_6_Europe/CHE_Switzerland/BL_Basel-Landschaft/CHE_BL_Buochs.AP.068065_TMYx.zip</v>
      </c>
    </row>
    <row r="1720" spans="1:10" x14ac:dyDescent="0.25">
      <c r="A1720" t="s">
        <v>702</v>
      </c>
      <c r="B1720" t="s">
        <v>761</v>
      </c>
      <c r="C1720" t="s">
        <v>1140</v>
      </c>
      <c r="D1720" s="1" t="s">
        <v>1141</v>
      </c>
      <c r="E1720" t="s">
        <v>14</v>
      </c>
      <c r="F1720">
        <v>47.509700000000002</v>
      </c>
      <c r="G1720">
        <v>9.2614000000000001</v>
      </c>
      <c r="H1720">
        <v>1</v>
      </c>
      <c r="I1720">
        <v>506</v>
      </c>
      <c r="J1720" t="str">
        <f>HYPERLINK("https://climate.onebuilding.org/WMO_Region_6_Europe/CHE_Switzerland/TG_Thurgau/CHE_TG_Sitterdorf.Flight.School.068420_TMYx.2007-2021.zip")</f>
        <v>https://climate.onebuilding.org/WMO_Region_6_Europe/CHE_Switzerland/TG_Thurgau/CHE_TG_Sitterdorf.Flight.School.068420_TMYx.2007-2021.zip</v>
      </c>
    </row>
    <row r="1721" spans="1:10" x14ac:dyDescent="0.25">
      <c r="A1721" t="s">
        <v>702</v>
      </c>
      <c r="B1721" t="s">
        <v>761</v>
      </c>
      <c r="C1721" t="s">
        <v>1140</v>
      </c>
      <c r="D1721" s="1" t="s">
        <v>1141</v>
      </c>
      <c r="E1721" t="s">
        <v>14</v>
      </c>
      <c r="F1721">
        <v>47.509700000000002</v>
      </c>
      <c r="G1721">
        <v>9.2614000000000001</v>
      </c>
      <c r="H1721">
        <v>1</v>
      </c>
      <c r="I1721">
        <v>506</v>
      </c>
      <c r="J1721" t="str">
        <f>HYPERLINK("https://climate.onebuilding.org/WMO_Region_6_Europe/CHE_Switzerland/TG_Thurgau/CHE_TG_Sitterdorf.Flight.School.068420_TMYx.2009-2023.zip")</f>
        <v>https://climate.onebuilding.org/WMO_Region_6_Europe/CHE_Switzerland/TG_Thurgau/CHE_TG_Sitterdorf.Flight.School.068420_TMYx.2009-2023.zip</v>
      </c>
    </row>
    <row r="1722" spans="1:10" x14ac:dyDescent="0.25">
      <c r="A1722" t="s">
        <v>702</v>
      </c>
      <c r="B1722" t="s">
        <v>761</v>
      </c>
      <c r="C1722" t="s">
        <v>1140</v>
      </c>
      <c r="D1722" s="1" t="s">
        <v>1141</v>
      </c>
      <c r="E1722" t="s">
        <v>14</v>
      </c>
      <c r="F1722">
        <v>47.509700000000002</v>
      </c>
      <c r="G1722">
        <v>9.2614000000000001</v>
      </c>
      <c r="H1722">
        <v>1</v>
      </c>
      <c r="I1722">
        <v>506</v>
      </c>
      <c r="J1722" t="str">
        <f>HYPERLINK("https://climate.onebuilding.org/WMO_Region_6_Europe/CHE_Switzerland/TG_Thurgau/CHE_TG_Sitterdorf.Flight.School.068420_TMYx.zip")</f>
        <v>https://climate.onebuilding.org/WMO_Region_6_Europe/CHE_Switzerland/TG_Thurgau/CHE_TG_Sitterdorf.Flight.School.068420_TMYx.zip</v>
      </c>
    </row>
    <row r="1723" spans="1:10" x14ac:dyDescent="0.25">
      <c r="A1723" t="s">
        <v>702</v>
      </c>
      <c r="B1723" t="s">
        <v>1057</v>
      </c>
      <c r="C1723" t="s">
        <v>1142</v>
      </c>
      <c r="D1723" s="1" t="s">
        <v>1143</v>
      </c>
      <c r="E1723" t="s">
        <v>14</v>
      </c>
      <c r="F1723">
        <v>46.721400000000003</v>
      </c>
      <c r="G1723">
        <v>9.5107999999999997</v>
      </c>
      <c r="H1723">
        <v>1</v>
      </c>
      <c r="I1723">
        <v>2323</v>
      </c>
      <c r="J1723" t="str">
        <f>HYPERLINK("https://climate.onebuilding.org/WMO_Region_6_Europe/CHE_Switzerland/GR_Graubunden/CHE_GR_Scalottas.068460_TMYx.2007-2021.zip")</f>
        <v>https://climate.onebuilding.org/WMO_Region_6_Europe/CHE_Switzerland/GR_Graubunden/CHE_GR_Scalottas.068460_TMYx.2007-2021.zip</v>
      </c>
    </row>
    <row r="1724" spans="1:10" x14ac:dyDescent="0.25">
      <c r="A1724" t="s">
        <v>702</v>
      </c>
      <c r="B1724" t="s">
        <v>1057</v>
      </c>
      <c r="C1724" t="s">
        <v>1142</v>
      </c>
      <c r="D1724" s="1" t="s">
        <v>1143</v>
      </c>
      <c r="E1724" t="s">
        <v>14</v>
      </c>
      <c r="F1724">
        <v>46.721400000000003</v>
      </c>
      <c r="G1724">
        <v>9.5107999999999997</v>
      </c>
      <c r="H1724">
        <v>1</v>
      </c>
      <c r="I1724">
        <v>2323</v>
      </c>
      <c r="J1724" t="str">
        <f>HYPERLINK("https://climate.onebuilding.org/WMO_Region_6_Europe/CHE_Switzerland/GR_Graubunden/CHE_GR_Scalottas.068460_TMYx.2009-2023.zip")</f>
        <v>https://climate.onebuilding.org/WMO_Region_6_Europe/CHE_Switzerland/GR_Graubunden/CHE_GR_Scalottas.068460_TMYx.2009-2023.zip</v>
      </c>
    </row>
    <row r="1725" spans="1:10" x14ac:dyDescent="0.25">
      <c r="A1725" t="s">
        <v>702</v>
      </c>
      <c r="B1725" t="s">
        <v>1057</v>
      </c>
      <c r="C1725" t="s">
        <v>1142</v>
      </c>
      <c r="D1725" s="1" t="s">
        <v>1143</v>
      </c>
      <c r="E1725" t="s">
        <v>14</v>
      </c>
      <c r="F1725">
        <v>46.721400000000003</v>
      </c>
      <c r="G1725">
        <v>9.5107999999999997</v>
      </c>
      <c r="H1725">
        <v>1</v>
      </c>
      <c r="I1725">
        <v>2323</v>
      </c>
      <c r="J1725" t="str">
        <f>HYPERLINK("https://climate.onebuilding.org/WMO_Region_6_Europe/CHE_Switzerland/GR_Graubunden/CHE_GR_Scalottas.068460_TMYx.zip")</f>
        <v>https://climate.onebuilding.org/WMO_Region_6_Europe/CHE_Switzerland/GR_Graubunden/CHE_GR_Scalottas.068460_TMYx.zip</v>
      </c>
    </row>
    <row r="1726" spans="1:10" x14ac:dyDescent="0.25">
      <c r="A1726" t="s">
        <v>702</v>
      </c>
      <c r="B1726" t="s">
        <v>793</v>
      </c>
      <c r="C1726" t="s">
        <v>1144</v>
      </c>
      <c r="D1726" s="1" t="s">
        <v>1145</v>
      </c>
      <c r="E1726" t="s">
        <v>78</v>
      </c>
      <c r="F1726">
        <v>46.974699999999999</v>
      </c>
      <c r="G1726">
        <v>9.5022000000000002</v>
      </c>
      <c r="H1726">
        <v>1</v>
      </c>
      <c r="I1726">
        <v>1490</v>
      </c>
      <c r="J1726" t="str">
        <f>HYPERLINK("https://climate.onebuilding.org/WMO_Region_6_Europe/CHE_Switzerland/SG_Sankt_Gallen/CHE_SG_Pfaefers-St.Margretenberg.068480_TMYx.2007-2021.zip")</f>
        <v>https://climate.onebuilding.org/WMO_Region_6_Europe/CHE_Switzerland/SG_Sankt_Gallen/CHE_SG_Pfaefers-St.Margretenberg.068480_TMYx.2007-2021.zip</v>
      </c>
    </row>
    <row r="1727" spans="1:10" x14ac:dyDescent="0.25">
      <c r="A1727" t="s">
        <v>702</v>
      </c>
      <c r="B1727" t="s">
        <v>793</v>
      </c>
      <c r="C1727" t="s">
        <v>1144</v>
      </c>
      <c r="D1727" s="1" t="s">
        <v>1145</v>
      </c>
      <c r="E1727" t="s">
        <v>78</v>
      </c>
      <c r="F1727">
        <v>46.974699999999999</v>
      </c>
      <c r="G1727">
        <v>9.5022000000000002</v>
      </c>
      <c r="H1727">
        <v>1</v>
      </c>
      <c r="I1727">
        <v>1490</v>
      </c>
      <c r="J1727" t="str">
        <f>HYPERLINK("https://climate.onebuilding.org/WMO_Region_6_Europe/CHE_Switzerland/SG_Sankt_Gallen/CHE_SG_Pfaefers-St.Margretenberg.068480_TMYx.2009-2023.zip")</f>
        <v>https://climate.onebuilding.org/WMO_Region_6_Europe/CHE_Switzerland/SG_Sankt_Gallen/CHE_SG_Pfaefers-St.Margretenberg.068480_TMYx.2009-2023.zip</v>
      </c>
    </row>
    <row r="1728" spans="1:10" x14ac:dyDescent="0.25">
      <c r="A1728" t="s">
        <v>702</v>
      </c>
      <c r="B1728" t="s">
        <v>793</v>
      </c>
      <c r="C1728" t="s">
        <v>1144</v>
      </c>
      <c r="D1728" s="1" t="s">
        <v>1145</v>
      </c>
      <c r="E1728" t="s">
        <v>78</v>
      </c>
      <c r="F1728">
        <v>46.974699999999999</v>
      </c>
      <c r="G1728">
        <v>9.5022000000000002</v>
      </c>
      <c r="H1728">
        <v>1</v>
      </c>
      <c r="I1728">
        <v>1490</v>
      </c>
      <c r="J1728" t="str">
        <f>HYPERLINK("https://climate.onebuilding.org/WMO_Region_6_Europe/CHE_Switzerland/SG_Sankt_Gallen/CHE_SG_Pfaefers-St.Margretenberg.068480_TMYx.zip")</f>
        <v>https://climate.onebuilding.org/WMO_Region_6_Europe/CHE_Switzerland/SG_Sankt_Gallen/CHE_SG_Pfaefers-St.Margretenberg.068480_TMYx.zip</v>
      </c>
    </row>
    <row r="1729" spans="1:10" x14ac:dyDescent="0.25">
      <c r="A1729" t="s">
        <v>702</v>
      </c>
      <c r="B1729" t="s">
        <v>730</v>
      </c>
      <c r="C1729" t="s">
        <v>1146</v>
      </c>
      <c r="D1729" s="1" t="s">
        <v>1147</v>
      </c>
      <c r="E1729" t="s">
        <v>78</v>
      </c>
      <c r="F1729">
        <v>47.244199999999999</v>
      </c>
      <c r="G1729">
        <v>8.77</v>
      </c>
      <c r="H1729">
        <v>1</v>
      </c>
      <c r="I1729">
        <v>496</v>
      </c>
      <c r="J1729" t="str">
        <f>HYPERLINK("https://climate.onebuilding.org/WMO_Region_6_Europe/CHE_Switzerland/ZH_Zurich/CHE_ZH_Hombrechtikom.068510_TMYx.2007-2021.zip")</f>
        <v>https://climate.onebuilding.org/WMO_Region_6_Europe/CHE_Switzerland/ZH_Zurich/CHE_ZH_Hombrechtikom.068510_TMYx.2007-2021.zip</v>
      </c>
    </row>
    <row r="1730" spans="1:10" x14ac:dyDescent="0.25">
      <c r="A1730" t="s">
        <v>702</v>
      </c>
      <c r="B1730" t="s">
        <v>730</v>
      </c>
      <c r="C1730" t="s">
        <v>1146</v>
      </c>
      <c r="D1730" s="1" t="s">
        <v>1147</v>
      </c>
      <c r="E1730" t="s">
        <v>78</v>
      </c>
      <c r="F1730">
        <v>47.244199999999999</v>
      </c>
      <c r="G1730">
        <v>8.77</v>
      </c>
      <c r="H1730">
        <v>1</v>
      </c>
      <c r="I1730">
        <v>496</v>
      </c>
      <c r="J1730" t="str">
        <f>HYPERLINK("https://climate.onebuilding.org/WMO_Region_6_Europe/CHE_Switzerland/ZH_Zurich/CHE_ZH_Hombrechtikom.068510_TMYx.2009-2023.zip")</f>
        <v>https://climate.onebuilding.org/WMO_Region_6_Europe/CHE_Switzerland/ZH_Zurich/CHE_ZH_Hombrechtikom.068510_TMYx.2009-2023.zip</v>
      </c>
    </row>
    <row r="1731" spans="1:10" x14ac:dyDescent="0.25">
      <c r="A1731" t="s">
        <v>702</v>
      </c>
      <c r="B1731" t="s">
        <v>730</v>
      </c>
      <c r="C1731" t="s">
        <v>1146</v>
      </c>
      <c r="D1731" s="1" t="s">
        <v>1147</v>
      </c>
      <c r="E1731" t="s">
        <v>78</v>
      </c>
      <c r="F1731">
        <v>47.244199999999999</v>
      </c>
      <c r="G1731">
        <v>8.77</v>
      </c>
      <c r="H1731">
        <v>1</v>
      </c>
      <c r="I1731">
        <v>496</v>
      </c>
      <c r="J1731" t="str">
        <f>HYPERLINK("https://climate.onebuilding.org/WMO_Region_6_Europe/CHE_Switzerland/ZH_Zurich/CHE_ZH_Hombrechtikom.068510_TMYx.zip")</f>
        <v>https://climate.onebuilding.org/WMO_Region_6_Europe/CHE_Switzerland/ZH_Zurich/CHE_ZH_Hombrechtikom.068510_TMYx.zip</v>
      </c>
    </row>
    <row r="1732" spans="1:10" x14ac:dyDescent="0.25">
      <c r="A1732" t="s">
        <v>1148</v>
      </c>
      <c r="B1732" t="s">
        <v>1149</v>
      </c>
      <c r="C1732" t="s">
        <v>1150</v>
      </c>
      <c r="D1732">
        <v>175000</v>
      </c>
      <c r="E1732" t="s">
        <v>1151</v>
      </c>
      <c r="F1732">
        <v>35.183</v>
      </c>
      <c r="G1732">
        <v>32.982999999999997</v>
      </c>
      <c r="H1732">
        <v>2</v>
      </c>
      <c r="I1732">
        <v>52</v>
      </c>
      <c r="J1732" t="str">
        <f>HYPERLINK("https://climate.onebuilding.org/WMO_Region_6_Europe/CYP_Cyprus/NI_Nicosia/CYP_NI_Guzelyurt.175000_TMYx.2004-2018.zip")</f>
        <v>https://climate.onebuilding.org/WMO_Region_6_Europe/CYP_Cyprus/NI_Nicosia/CYP_NI_Guzelyurt.175000_TMYx.2004-2018.zip</v>
      </c>
    </row>
    <row r="1733" spans="1:10" x14ac:dyDescent="0.25">
      <c r="A1733" t="s">
        <v>1148</v>
      </c>
      <c r="B1733" t="s">
        <v>1149</v>
      </c>
      <c r="C1733" t="s">
        <v>1150</v>
      </c>
      <c r="D1733">
        <v>175000</v>
      </c>
      <c r="E1733" t="s">
        <v>14</v>
      </c>
      <c r="F1733">
        <v>35.183</v>
      </c>
      <c r="G1733">
        <v>32.982999999999997</v>
      </c>
      <c r="H1733">
        <v>2</v>
      </c>
      <c r="I1733">
        <v>52</v>
      </c>
      <c r="J1733" t="str">
        <f>HYPERLINK("https://climate.onebuilding.org/WMO_Region_6_Europe/CYP_Cyprus/NI_Nicosia/CYP_NI_Guzelyurt.175000_TMYx.2007-2021.zip")</f>
        <v>https://climate.onebuilding.org/WMO_Region_6_Europe/CYP_Cyprus/NI_Nicosia/CYP_NI_Guzelyurt.175000_TMYx.2007-2021.zip</v>
      </c>
    </row>
    <row r="1734" spans="1:10" x14ac:dyDescent="0.25">
      <c r="A1734" t="s">
        <v>1148</v>
      </c>
      <c r="B1734" t="s">
        <v>1149</v>
      </c>
      <c r="C1734" t="s">
        <v>1150</v>
      </c>
      <c r="D1734">
        <v>175000</v>
      </c>
      <c r="E1734" t="s">
        <v>14</v>
      </c>
      <c r="F1734">
        <v>35.183</v>
      </c>
      <c r="G1734">
        <v>32.982999999999997</v>
      </c>
      <c r="H1734">
        <v>2</v>
      </c>
      <c r="I1734">
        <v>52</v>
      </c>
      <c r="J1734" t="str">
        <f>HYPERLINK("https://climate.onebuilding.org/WMO_Region_6_Europe/CYP_Cyprus/NI_Nicosia/CYP_NI_Guzelyurt.175000_TMYx.2009-2023.zip")</f>
        <v>https://climate.onebuilding.org/WMO_Region_6_Europe/CYP_Cyprus/NI_Nicosia/CYP_NI_Guzelyurt.175000_TMYx.2009-2023.zip</v>
      </c>
    </row>
    <row r="1735" spans="1:10" x14ac:dyDescent="0.25">
      <c r="A1735" t="s">
        <v>1148</v>
      </c>
      <c r="B1735" t="s">
        <v>1149</v>
      </c>
      <c r="C1735" t="s">
        <v>1150</v>
      </c>
      <c r="D1735">
        <v>175000</v>
      </c>
      <c r="E1735" t="s">
        <v>14</v>
      </c>
      <c r="F1735">
        <v>35.183</v>
      </c>
      <c r="G1735">
        <v>32.982999999999997</v>
      </c>
      <c r="H1735">
        <v>2</v>
      </c>
      <c r="I1735">
        <v>52</v>
      </c>
      <c r="J1735" t="str">
        <f>HYPERLINK("https://climate.onebuilding.org/WMO_Region_6_Europe/CYP_Cyprus/NI_Nicosia/CYP_NI_Guzelyurt.175000_TMYx.zip")</f>
        <v>https://climate.onebuilding.org/WMO_Region_6_Europe/CYP_Cyprus/NI_Nicosia/CYP_NI_Guzelyurt.175000_TMYx.zip</v>
      </c>
    </row>
    <row r="1736" spans="1:10" x14ac:dyDescent="0.25">
      <c r="A1736" t="s">
        <v>1148</v>
      </c>
      <c r="B1736" t="s">
        <v>1149</v>
      </c>
      <c r="C1736" t="s">
        <v>1152</v>
      </c>
      <c r="D1736">
        <v>175010</v>
      </c>
      <c r="E1736" t="s">
        <v>1153</v>
      </c>
      <c r="F1736">
        <v>35.095999999999997</v>
      </c>
      <c r="G1736">
        <v>32.841999999999999</v>
      </c>
      <c r="H1736">
        <v>2</v>
      </c>
      <c r="I1736">
        <v>129</v>
      </c>
      <c r="J1736" t="str">
        <f>HYPERLINK("https://climate.onebuilding.org/WMO_Region_6_Europe/CYP_Cyprus/NI_Nicosia/CYP_NI_Lefka.175010_TMYx.2004-2018.zip")</f>
        <v>https://climate.onebuilding.org/WMO_Region_6_Europe/CYP_Cyprus/NI_Nicosia/CYP_NI_Lefka.175010_TMYx.2004-2018.zip</v>
      </c>
    </row>
    <row r="1737" spans="1:10" x14ac:dyDescent="0.25">
      <c r="A1737" t="s">
        <v>1148</v>
      </c>
      <c r="B1737" t="s">
        <v>1149</v>
      </c>
      <c r="C1737" t="s">
        <v>1152</v>
      </c>
      <c r="D1737">
        <v>175010</v>
      </c>
      <c r="E1737" t="s">
        <v>14</v>
      </c>
      <c r="F1737">
        <v>35.095999999999997</v>
      </c>
      <c r="G1737">
        <v>32.841999999999999</v>
      </c>
      <c r="H1737">
        <v>2</v>
      </c>
      <c r="I1737">
        <v>129</v>
      </c>
      <c r="J1737" t="str">
        <f>HYPERLINK("https://climate.onebuilding.org/WMO_Region_6_Europe/CYP_Cyprus/NI_Nicosia/CYP_NI_Lefka.175010_TMYx.2007-2021.zip")</f>
        <v>https://climate.onebuilding.org/WMO_Region_6_Europe/CYP_Cyprus/NI_Nicosia/CYP_NI_Lefka.175010_TMYx.2007-2021.zip</v>
      </c>
    </row>
    <row r="1738" spans="1:10" x14ac:dyDescent="0.25">
      <c r="A1738" t="s">
        <v>1148</v>
      </c>
      <c r="B1738" t="s">
        <v>1149</v>
      </c>
      <c r="C1738" t="s">
        <v>1152</v>
      </c>
      <c r="D1738">
        <v>175010</v>
      </c>
      <c r="E1738" t="s">
        <v>14</v>
      </c>
      <c r="F1738">
        <v>35.095999999999997</v>
      </c>
      <c r="G1738">
        <v>32.841999999999999</v>
      </c>
      <c r="H1738">
        <v>2</v>
      </c>
      <c r="I1738">
        <v>129</v>
      </c>
      <c r="J1738" t="str">
        <f>HYPERLINK("https://climate.onebuilding.org/WMO_Region_6_Europe/CYP_Cyprus/NI_Nicosia/CYP_NI_Lefka.175010_TMYx.2009-2023.zip")</f>
        <v>https://climate.onebuilding.org/WMO_Region_6_Europe/CYP_Cyprus/NI_Nicosia/CYP_NI_Lefka.175010_TMYx.2009-2023.zip</v>
      </c>
    </row>
    <row r="1739" spans="1:10" x14ac:dyDescent="0.25">
      <c r="A1739" t="s">
        <v>1148</v>
      </c>
      <c r="B1739" t="s">
        <v>1149</v>
      </c>
      <c r="C1739" t="s">
        <v>1152</v>
      </c>
      <c r="D1739">
        <v>175010</v>
      </c>
      <c r="E1739" t="s">
        <v>14</v>
      </c>
      <c r="F1739">
        <v>35.095999999999997</v>
      </c>
      <c r="G1739">
        <v>32.841999999999999</v>
      </c>
      <c r="H1739">
        <v>2</v>
      </c>
      <c r="I1739">
        <v>129</v>
      </c>
      <c r="J1739" t="str">
        <f>HYPERLINK("https://climate.onebuilding.org/WMO_Region_6_Europe/CYP_Cyprus/NI_Nicosia/CYP_NI_Lefka.175010_TMYx.zip")</f>
        <v>https://climate.onebuilding.org/WMO_Region_6_Europe/CYP_Cyprus/NI_Nicosia/CYP_NI_Lefka.175010_TMYx.zip</v>
      </c>
    </row>
    <row r="1740" spans="1:10" x14ac:dyDescent="0.25">
      <c r="A1740" t="s">
        <v>1148</v>
      </c>
      <c r="B1740" t="s">
        <v>530</v>
      </c>
      <c r="C1740" t="s">
        <v>1154</v>
      </c>
      <c r="D1740">
        <v>175050</v>
      </c>
      <c r="E1740" t="s">
        <v>1155</v>
      </c>
      <c r="F1740">
        <v>35.299999999999997</v>
      </c>
      <c r="G1740">
        <v>32.966999999999999</v>
      </c>
      <c r="H1740">
        <v>2</v>
      </c>
      <c r="I1740">
        <v>89</v>
      </c>
      <c r="J1740" t="str">
        <f>HYPERLINK("https://climate.onebuilding.org/WMO_Region_6_Europe/CYP_Cyprus/KY_Kyrenia/CYP_KY_Akdeniz.175050_TMYx.2004-2018.zip")</f>
        <v>https://climate.onebuilding.org/WMO_Region_6_Europe/CYP_Cyprus/KY_Kyrenia/CYP_KY_Akdeniz.175050_TMYx.2004-2018.zip</v>
      </c>
    </row>
    <row r="1741" spans="1:10" x14ac:dyDescent="0.25">
      <c r="A1741" t="s">
        <v>1148</v>
      </c>
      <c r="B1741" t="s">
        <v>530</v>
      </c>
      <c r="C1741" t="s">
        <v>1154</v>
      </c>
      <c r="D1741">
        <v>175050</v>
      </c>
      <c r="E1741" t="s">
        <v>14</v>
      </c>
      <c r="F1741">
        <v>35.299999999999997</v>
      </c>
      <c r="G1741">
        <v>32.966999999999999</v>
      </c>
      <c r="H1741">
        <v>2</v>
      </c>
      <c r="I1741">
        <v>89</v>
      </c>
      <c r="J1741" t="str">
        <f>HYPERLINK("https://climate.onebuilding.org/WMO_Region_6_Europe/CYP_Cyprus/KY_Kyrenia/CYP_KY_Akdeniz.175050_TMYx.2007-2021.zip")</f>
        <v>https://climate.onebuilding.org/WMO_Region_6_Europe/CYP_Cyprus/KY_Kyrenia/CYP_KY_Akdeniz.175050_TMYx.2007-2021.zip</v>
      </c>
    </row>
    <row r="1742" spans="1:10" x14ac:dyDescent="0.25">
      <c r="A1742" t="s">
        <v>1148</v>
      </c>
      <c r="B1742" t="s">
        <v>530</v>
      </c>
      <c r="C1742" t="s">
        <v>1154</v>
      </c>
      <c r="D1742">
        <v>175050</v>
      </c>
      <c r="E1742" t="s">
        <v>14</v>
      </c>
      <c r="F1742">
        <v>35.299999999999997</v>
      </c>
      <c r="G1742">
        <v>32.966999999999999</v>
      </c>
      <c r="H1742">
        <v>2</v>
      </c>
      <c r="I1742">
        <v>89</v>
      </c>
      <c r="J1742" t="str">
        <f>HYPERLINK("https://climate.onebuilding.org/WMO_Region_6_Europe/CYP_Cyprus/KY_Kyrenia/CYP_KY_Akdeniz.175050_TMYx.2009-2023.zip")</f>
        <v>https://climate.onebuilding.org/WMO_Region_6_Europe/CYP_Cyprus/KY_Kyrenia/CYP_KY_Akdeniz.175050_TMYx.2009-2023.zip</v>
      </c>
    </row>
    <row r="1743" spans="1:10" x14ac:dyDescent="0.25">
      <c r="A1743" t="s">
        <v>1148</v>
      </c>
      <c r="B1743" t="s">
        <v>530</v>
      </c>
      <c r="C1743" t="s">
        <v>1154</v>
      </c>
      <c r="D1743">
        <v>175050</v>
      </c>
      <c r="E1743" t="s">
        <v>14</v>
      </c>
      <c r="F1743">
        <v>35.299999999999997</v>
      </c>
      <c r="G1743">
        <v>32.966999999999999</v>
      </c>
      <c r="H1743">
        <v>2</v>
      </c>
      <c r="I1743">
        <v>89</v>
      </c>
      <c r="J1743" t="str">
        <f>HYPERLINK("https://climate.onebuilding.org/WMO_Region_6_Europe/CYP_Cyprus/KY_Kyrenia/CYP_KY_Akdeniz.175050_TMYx.zip")</f>
        <v>https://climate.onebuilding.org/WMO_Region_6_Europe/CYP_Cyprus/KY_Kyrenia/CYP_KY_Akdeniz.175050_TMYx.zip</v>
      </c>
    </row>
    <row r="1744" spans="1:10" x14ac:dyDescent="0.25">
      <c r="A1744" t="s">
        <v>1148</v>
      </c>
      <c r="B1744" t="s">
        <v>1149</v>
      </c>
      <c r="C1744" t="s">
        <v>1156</v>
      </c>
      <c r="D1744">
        <v>175070</v>
      </c>
      <c r="E1744" t="s">
        <v>1157</v>
      </c>
      <c r="F1744">
        <v>35.167000000000002</v>
      </c>
      <c r="G1744">
        <v>32.732999999999997</v>
      </c>
      <c r="H1744">
        <v>2</v>
      </c>
      <c r="I1744">
        <v>20</v>
      </c>
      <c r="J1744" t="str">
        <f>HYPERLINK("https://climate.onebuilding.org/WMO_Region_6_Europe/CYP_Cyprus/NI_Nicosia/CYP_NI_Yesilirmak.175070_TMYx.2004-2018.zip")</f>
        <v>https://climate.onebuilding.org/WMO_Region_6_Europe/CYP_Cyprus/NI_Nicosia/CYP_NI_Yesilirmak.175070_TMYx.2004-2018.zip</v>
      </c>
    </row>
    <row r="1745" spans="1:10" x14ac:dyDescent="0.25">
      <c r="A1745" t="s">
        <v>1148</v>
      </c>
      <c r="B1745" t="s">
        <v>1149</v>
      </c>
      <c r="C1745" t="s">
        <v>1156</v>
      </c>
      <c r="D1745">
        <v>175070</v>
      </c>
      <c r="E1745" t="s">
        <v>14</v>
      </c>
      <c r="F1745">
        <v>35.167000000000002</v>
      </c>
      <c r="G1745">
        <v>32.732999999999997</v>
      </c>
      <c r="H1745">
        <v>2</v>
      </c>
      <c r="I1745">
        <v>20</v>
      </c>
      <c r="J1745" t="str">
        <f>HYPERLINK("https://climate.onebuilding.org/WMO_Region_6_Europe/CYP_Cyprus/NI_Nicosia/CYP_NI_Yesilirmak.175070_TMYx.2007-2021.zip")</f>
        <v>https://climate.onebuilding.org/WMO_Region_6_Europe/CYP_Cyprus/NI_Nicosia/CYP_NI_Yesilirmak.175070_TMYx.2007-2021.zip</v>
      </c>
    </row>
    <row r="1746" spans="1:10" x14ac:dyDescent="0.25">
      <c r="A1746" t="s">
        <v>1148</v>
      </c>
      <c r="B1746" t="s">
        <v>1149</v>
      </c>
      <c r="C1746" t="s">
        <v>1156</v>
      </c>
      <c r="D1746">
        <v>175070</v>
      </c>
      <c r="E1746" t="s">
        <v>14</v>
      </c>
      <c r="F1746">
        <v>35.167000000000002</v>
      </c>
      <c r="G1746">
        <v>32.732999999999997</v>
      </c>
      <c r="H1746">
        <v>2</v>
      </c>
      <c r="I1746">
        <v>20</v>
      </c>
      <c r="J1746" t="str">
        <f>HYPERLINK("https://climate.onebuilding.org/WMO_Region_6_Europe/CYP_Cyprus/NI_Nicosia/CYP_NI_Yesilirmak.175070_TMYx.2009-2023.zip")</f>
        <v>https://climate.onebuilding.org/WMO_Region_6_Europe/CYP_Cyprus/NI_Nicosia/CYP_NI_Yesilirmak.175070_TMYx.2009-2023.zip</v>
      </c>
    </row>
    <row r="1747" spans="1:10" x14ac:dyDescent="0.25">
      <c r="A1747" t="s">
        <v>1148</v>
      </c>
      <c r="B1747" t="s">
        <v>1149</v>
      </c>
      <c r="C1747" t="s">
        <v>1156</v>
      </c>
      <c r="D1747">
        <v>175070</v>
      </c>
      <c r="E1747" t="s">
        <v>14</v>
      </c>
      <c r="F1747">
        <v>35.167000000000002</v>
      </c>
      <c r="G1747">
        <v>32.732999999999997</v>
      </c>
      <c r="H1747">
        <v>2</v>
      </c>
      <c r="I1747">
        <v>20</v>
      </c>
      <c r="J1747" t="str">
        <f>HYPERLINK("https://climate.onebuilding.org/WMO_Region_6_Europe/CYP_Cyprus/NI_Nicosia/CYP_NI_Yesilirmak.175070_TMYx.zip")</f>
        <v>https://climate.onebuilding.org/WMO_Region_6_Europe/CYP_Cyprus/NI_Nicosia/CYP_NI_Yesilirmak.175070_TMYx.zip</v>
      </c>
    </row>
    <row r="1748" spans="1:10" x14ac:dyDescent="0.25">
      <c r="A1748" t="s">
        <v>1148</v>
      </c>
      <c r="B1748" t="s">
        <v>530</v>
      </c>
      <c r="C1748" t="s">
        <v>1158</v>
      </c>
      <c r="D1748">
        <v>175100</v>
      </c>
      <c r="E1748" t="s">
        <v>1159</v>
      </c>
      <c r="F1748">
        <v>35.35</v>
      </c>
      <c r="G1748">
        <v>33.332999999999998</v>
      </c>
      <c r="H1748">
        <v>2</v>
      </c>
      <c r="I1748">
        <v>10</v>
      </c>
      <c r="J1748" t="str">
        <f>HYPERLINK("https://climate.onebuilding.org/WMO_Region_6_Europe/CYP_Cyprus/KY_Kyrenia/CYP_KY_Girne.175100_TMYx.2004-2018.zip")</f>
        <v>https://climate.onebuilding.org/WMO_Region_6_Europe/CYP_Cyprus/KY_Kyrenia/CYP_KY_Girne.175100_TMYx.2004-2018.zip</v>
      </c>
    </row>
    <row r="1749" spans="1:10" x14ac:dyDescent="0.25">
      <c r="A1749" t="s">
        <v>1148</v>
      </c>
      <c r="B1749" t="s">
        <v>530</v>
      </c>
      <c r="C1749" t="s">
        <v>1158</v>
      </c>
      <c r="D1749">
        <v>175100</v>
      </c>
      <c r="E1749" t="s">
        <v>14</v>
      </c>
      <c r="F1749">
        <v>35.35</v>
      </c>
      <c r="G1749">
        <v>33.332999999999998</v>
      </c>
      <c r="H1749">
        <v>2</v>
      </c>
      <c r="I1749">
        <v>10</v>
      </c>
      <c r="J1749" t="str">
        <f>HYPERLINK("https://climate.onebuilding.org/WMO_Region_6_Europe/CYP_Cyprus/KY_Kyrenia/CYP_KY_Girne.175100_TMYx.2007-2021.zip")</f>
        <v>https://climate.onebuilding.org/WMO_Region_6_Europe/CYP_Cyprus/KY_Kyrenia/CYP_KY_Girne.175100_TMYx.2007-2021.zip</v>
      </c>
    </row>
    <row r="1750" spans="1:10" x14ac:dyDescent="0.25">
      <c r="A1750" t="s">
        <v>1148</v>
      </c>
      <c r="B1750" t="s">
        <v>530</v>
      </c>
      <c r="C1750" t="s">
        <v>1158</v>
      </c>
      <c r="D1750">
        <v>175100</v>
      </c>
      <c r="E1750" t="s">
        <v>14</v>
      </c>
      <c r="F1750">
        <v>35.35</v>
      </c>
      <c r="G1750">
        <v>33.332999999999998</v>
      </c>
      <c r="H1750">
        <v>2</v>
      </c>
      <c r="I1750">
        <v>10</v>
      </c>
      <c r="J1750" t="str">
        <f>HYPERLINK("https://climate.onebuilding.org/WMO_Region_6_Europe/CYP_Cyprus/KY_Kyrenia/CYP_KY_Girne.175100_TMYx.2009-2023.zip")</f>
        <v>https://climate.onebuilding.org/WMO_Region_6_Europe/CYP_Cyprus/KY_Kyrenia/CYP_KY_Girne.175100_TMYx.2009-2023.zip</v>
      </c>
    </row>
    <row r="1751" spans="1:10" x14ac:dyDescent="0.25">
      <c r="A1751" t="s">
        <v>1148</v>
      </c>
      <c r="B1751" t="s">
        <v>530</v>
      </c>
      <c r="C1751" t="s">
        <v>1158</v>
      </c>
      <c r="D1751">
        <v>175100</v>
      </c>
      <c r="E1751" t="s">
        <v>14</v>
      </c>
      <c r="F1751">
        <v>35.35</v>
      </c>
      <c r="G1751">
        <v>33.332999999999998</v>
      </c>
      <c r="H1751">
        <v>2</v>
      </c>
      <c r="I1751">
        <v>10</v>
      </c>
      <c r="J1751" t="str">
        <f>HYPERLINK("https://climate.onebuilding.org/WMO_Region_6_Europe/CYP_Cyprus/KY_Kyrenia/CYP_KY_Girne.175100_TMYx.zip")</f>
        <v>https://climate.onebuilding.org/WMO_Region_6_Europe/CYP_Cyprus/KY_Kyrenia/CYP_KY_Girne.175100_TMYx.zip</v>
      </c>
    </row>
    <row r="1752" spans="1:10" x14ac:dyDescent="0.25">
      <c r="A1752" t="s">
        <v>1148</v>
      </c>
      <c r="B1752" t="s">
        <v>1149</v>
      </c>
      <c r="C1752" t="s">
        <v>1160</v>
      </c>
      <c r="D1752">
        <v>175150</v>
      </c>
      <c r="E1752" t="s">
        <v>1161</v>
      </c>
      <c r="F1752">
        <v>35.200000000000003</v>
      </c>
      <c r="G1752">
        <v>33.35</v>
      </c>
      <c r="H1752">
        <v>2</v>
      </c>
      <c r="I1752">
        <v>131</v>
      </c>
      <c r="J1752" t="str">
        <f>HYPERLINK("https://climate.onebuilding.org/WMO_Region_6_Europe/CYP_Cyprus/NI_Nicosia/CYP_NI_Lefkosa.175150_TMYx.2004-2018.zip")</f>
        <v>https://climate.onebuilding.org/WMO_Region_6_Europe/CYP_Cyprus/NI_Nicosia/CYP_NI_Lefkosa.175150_TMYx.2004-2018.zip</v>
      </c>
    </row>
    <row r="1753" spans="1:10" x14ac:dyDescent="0.25">
      <c r="A1753" t="s">
        <v>1148</v>
      </c>
      <c r="B1753" t="s">
        <v>1149</v>
      </c>
      <c r="C1753" t="s">
        <v>1160</v>
      </c>
      <c r="D1753">
        <v>175150</v>
      </c>
      <c r="E1753" t="s">
        <v>14</v>
      </c>
      <c r="F1753">
        <v>35.200000000000003</v>
      </c>
      <c r="G1753">
        <v>33.35</v>
      </c>
      <c r="H1753">
        <v>2</v>
      </c>
      <c r="I1753">
        <v>131</v>
      </c>
      <c r="J1753" t="str">
        <f>HYPERLINK("https://climate.onebuilding.org/WMO_Region_6_Europe/CYP_Cyprus/NI_Nicosia/CYP_NI_Lefkosa.175150_TMYx.2007-2021.zip")</f>
        <v>https://climate.onebuilding.org/WMO_Region_6_Europe/CYP_Cyprus/NI_Nicosia/CYP_NI_Lefkosa.175150_TMYx.2007-2021.zip</v>
      </c>
    </row>
    <row r="1754" spans="1:10" x14ac:dyDescent="0.25">
      <c r="A1754" t="s">
        <v>1148</v>
      </c>
      <c r="B1754" t="s">
        <v>1149</v>
      </c>
      <c r="C1754" t="s">
        <v>1160</v>
      </c>
      <c r="D1754">
        <v>175150</v>
      </c>
      <c r="E1754" t="s">
        <v>14</v>
      </c>
      <c r="F1754">
        <v>35.200000000000003</v>
      </c>
      <c r="G1754">
        <v>33.35</v>
      </c>
      <c r="H1754">
        <v>2</v>
      </c>
      <c r="I1754">
        <v>131</v>
      </c>
      <c r="J1754" t="str">
        <f>HYPERLINK("https://climate.onebuilding.org/WMO_Region_6_Europe/CYP_Cyprus/NI_Nicosia/CYP_NI_Lefkosa.175150_TMYx.2009-2023.zip")</f>
        <v>https://climate.onebuilding.org/WMO_Region_6_Europe/CYP_Cyprus/NI_Nicosia/CYP_NI_Lefkosa.175150_TMYx.2009-2023.zip</v>
      </c>
    </row>
    <row r="1755" spans="1:10" x14ac:dyDescent="0.25">
      <c r="A1755" t="s">
        <v>1148</v>
      </c>
      <c r="B1755" t="s">
        <v>1149</v>
      </c>
      <c r="C1755" t="s">
        <v>1160</v>
      </c>
      <c r="D1755">
        <v>175150</v>
      </c>
      <c r="E1755" t="s">
        <v>14</v>
      </c>
      <c r="F1755">
        <v>35.200000000000003</v>
      </c>
      <c r="G1755">
        <v>33.35</v>
      </c>
      <c r="H1755">
        <v>2</v>
      </c>
      <c r="I1755">
        <v>131</v>
      </c>
      <c r="J1755" t="str">
        <f>HYPERLINK("https://climate.onebuilding.org/WMO_Region_6_Europe/CYP_Cyprus/NI_Nicosia/CYP_NI_Lefkosa.175150_TMYx.zip")</f>
        <v>https://climate.onebuilding.org/WMO_Region_6_Europe/CYP_Cyprus/NI_Nicosia/CYP_NI_Lefkosa.175150_TMYx.zip</v>
      </c>
    </row>
    <row r="1756" spans="1:10" x14ac:dyDescent="0.25">
      <c r="A1756" t="s">
        <v>1148</v>
      </c>
      <c r="B1756" t="s">
        <v>1162</v>
      </c>
      <c r="C1756" t="s">
        <v>1163</v>
      </c>
      <c r="D1756">
        <v>175300</v>
      </c>
      <c r="E1756" t="s">
        <v>1164</v>
      </c>
      <c r="F1756">
        <v>35.232999999999997</v>
      </c>
      <c r="G1756">
        <v>33.732999999999997</v>
      </c>
      <c r="H1756">
        <v>2</v>
      </c>
      <c r="I1756">
        <v>45</v>
      </c>
      <c r="J1756" t="str">
        <f>HYPERLINK("https://climate.onebuilding.org/WMO_Region_6_Europe/CYP_Cyprus/FA_Famagusta/CYP_FA_Gecitkale.AP.175300_TMYx.2004-2018.zip")</f>
        <v>https://climate.onebuilding.org/WMO_Region_6_Europe/CYP_Cyprus/FA_Famagusta/CYP_FA_Gecitkale.AP.175300_TMYx.2004-2018.zip</v>
      </c>
    </row>
    <row r="1757" spans="1:10" x14ac:dyDescent="0.25">
      <c r="A1757" t="s">
        <v>1148</v>
      </c>
      <c r="B1757" t="s">
        <v>1162</v>
      </c>
      <c r="C1757" t="s">
        <v>1163</v>
      </c>
      <c r="D1757">
        <v>175300</v>
      </c>
      <c r="E1757" t="s">
        <v>14</v>
      </c>
      <c r="F1757">
        <v>35.232999999999997</v>
      </c>
      <c r="G1757">
        <v>33.732999999999997</v>
      </c>
      <c r="H1757">
        <v>2</v>
      </c>
      <c r="I1757">
        <v>45</v>
      </c>
      <c r="J1757" t="str">
        <f>HYPERLINK("https://climate.onebuilding.org/WMO_Region_6_Europe/CYP_Cyprus/FA_Famagusta/CYP_FA_Gecitkale.AP.175300_TMYx.2007-2021.zip")</f>
        <v>https://climate.onebuilding.org/WMO_Region_6_Europe/CYP_Cyprus/FA_Famagusta/CYP_FA_Gecitkale.AP.175300_TMYx.2007-2021.zip</v>
      </c>
    </row>
    <row r="1758" spans="1:10" x14ac:dyDescent="0.25">
      <c r="A1758" t="s">
        <v>1148</v>
      </c>
      <c r="B1758" t="s">
        <v>1162</v>
      </c>
      <c r="C1758" t="s">
        <v>1163</v>
      </c>
      <c r="D1758">
        <v>175300</v>
      </c>
      <c r="E1758" t="s">
        <v>14</v>
      </c>
      <c r="F1758">
        <v>35.232999999999997</v>
      </c>
      <c r="G1758">
        <v>33.732999999999997</v>
      </c>
      <c r="H1758">
        <v>2</v>
      </c>
      <c r="I1758">
        <v>45</v>
      </c>
      <c r="J1758" t="str">
        <f>HYPERLINK("https://climate.onebuilding.org/WMO_Region_6_Europe/CYP_Cyprus/FA_Famagusta/CYP_FA_Gecitkale.AP.175300_TMYx.2009-2023.zip")</f>
        <v>https://climate.onebuilding.org/WMO_Region_6_Europe/CYP_Cyprus/FA_Famagusta/CYP_FA_Gecitkale.AP.175300_TMYx.2009-2023.zip</v>
      </c>
    </row>
    <row r="1759" spans="1:10" x14ac:dyDescent="0.25">
      <c r="A1759" t="s">
        <v>1148</v>
      </c>
      <c r="B1759" t="s">
        <v>1162</v>
      </c>
      <c r="C1759" t="s">
        <v>1163</v>
      </c>
      <c r="D1759">
        <v>175300</v>
      </c>
      <c r="E1759" t="s">
        <v>14</v>
      </c>
      <c r="F1759">
        <v>35.232999999999997</v>
      </c>
      <c r="G1759">
        <v>33.732999999999997</v>
      </c>
      <c r="H1759">
        <v>2</v>
      </c>
      <c r="I1759">
        <v>45</v>
      </c>
      <c r="J1759" t="str">
        <f>HYPERLINK("https://climate.onebuilding.org/WMO_Region_6_Europe/CYP_Cyprus/FA_Famagusta/CYP_FA_Gecitkale.AP.175300_TMYx.zip")</f>
        <v>https://climate.onebuilding.org/WMO_Region_6_Europe/CYP_Cyprus/FA_Famagusta/CYP_FA_Gecitkale.AP.175300_TMYx.zip</v>
      </c>
    </row>
    <row r="1760" spans="1:10" x14ac:dyDescent="0.25">
      <c r="A1760" t="s">
        <v>1148</v>
      </c>
      <c r="B1760" t="s">
        <v>1162</v>
      </c>
      <c r="C1760" t="s">
        <v>1165</v>
      </c>
      <c r="D1760">
        <v>175350</v>
      </c>
      <c r="E1760" t="s">
        <v>1166</v>
      </c>
      <c r="F1760">
        <v>35.283000000000001</v>
      </c>
      <c r="G1760">
        <v>33.883000000000003</v>
      </c>
      <c r="H1760">
        <v>2</v>
      </c>
      <c r="I1760">
        <v>39</v>
      </c>
      <c r="J1760" t="str">
        <f>HYPERLINK("https://climate.onebuilding.org/WMO_Region_6_Europe/CYP_Cyprus/FA_Famagusta/CYP_FA_Iskele.175350_TMYx.2004-2018.zip")</f>
        <v>https://climate.onebuilding.org/WMO_Region_6_Europe/CYP_Cyprus/FA_Famagusta/CYP_FA_Iskele.175350_TMYx.2004-2018.zip</v>
      </c>
    </row>
    <row r="1761" spans="1:10" x14ac:dyDescent="0.25">
      <c r="A1761" t="s">
        <v>1148</v>
      </c>
      <c r="B1761" t="s">
        <v>1162</v>
      </c>
      <c r="C1761" t="s">
        <v>1165</v>
      </c>
      <c r="D1761">
        <v>175350</v>
      </c>
      <c r="E1761" t="s">
        <v>14</v>
      </c>
      <c r="F1761">
        <v>35.283000000000001</v>
      </c>
      <c r="G1761">
        <v>33.883000000000003</v>
      </c>
      <c r="H1761">
        <v>2</v>
      </c>
      <c r="I1761">
        <v>39</v>
      </c>
      <c r="J1761" t="str">
        <f>HYPERLINK("https://climate.onebuilding.org/WMO_Region_6_Europe/CYP_Cyprus/FA_Famagusta/CYP_FA_Iskele.175350_TMYx.2007-2021.zip")</f>
        <v>https://climate.onebuilding.org/WMO_Region_6_Europe/CYP_Cyprus/FA_Famagusta/CYP_FA_Iskele.175350_TMYx.2007-2021.zip</v>
      </c>
    </row>
    <row r="1762" spans="1:10" x14ac:dyDescent="0.25">
      <c r="A1762" t="s">
        <v>1148</v>
      </c>
      <c r="B1762" t="s">
        <v>1162</v>
      </c>
      <c r="C1762" t="s">
        <v>1165</v>
      </c>
      <c r="D1762">
        <v>175350</v>
      </c>
      <c r="E1762" t="s">
        <v>14</v>
      </c>
      <c r="F1762">
        <v>35.283000000000001</v>
      </c>
      <c r="G1762">
        <v>33.883000000000003</v>
      </c>
      <c r="H1762">
        <v>2</v>
      </c>
      <c r="I1762">
        <v>39</v>
      </c>
      <c r="J1762" t="str">
        <f>HYPERLINK("https://climate.onebuilding.org/WMO_Region_6_Europe/CYP_Cyprus/FA_Famagusta/CYP_FA_Iskele.175350_TMYx.2009-2023.zip")</f>
        <v>https://climate.onebuilding.org/WMO_Region_6_Europe/CYP_Cyprus/FA_Famagusta/CYP_FA_Iskele.175350_TMYx.2009-2023.zip</v>
      </c>
    </row>
    <row r="1763" spans="1:10" x14ac:dyDescent="0.25">
      <c r="A1763" t="s">
        <v>1148</v>
      </c>
      <c r="B1763" t="s">
        <v>1162</v>
      </c>
      <c r="C1763" t="s">
        <v>1165</v>
      </c>
      <c r="D1763">
        <v>175350</v>
      </c>
      <c r="E1763" t="s">
        <v>14</v>
      </c>
      <c r="F1763">
        <v>35.283000000000001</v>
      </c>
      <c r="G1763">
        <v>33.883000000000003</v>
      </c>
      <c r="H1763">
        <v>2</v>
      </c>
      <c r="I1763">
        <v>39</v>
      </c>
      <c r="J1763" t="str">
        <f>HYPERLINK("https://climate.onebuilding.org/WMO_Region_6_Europe/CYP_Cyprus/FA_Famagusta/CYP_FA_Iskele.175350_TMYx.zip")</f>
        <v>https://climate.onebuilding.org/WMO_Region_6_Europe/CYP_Cyprus/FA_Famagusta/CYP_FA_Iskele.175350_TMYx.zip</v>
      </c>
    </row>
    <row r="1764" spans="1:10" x14ac:dyDescent="0.25">
      <c r="A1764" t="s">
        <v>1148</v>
      </c>
      <c r="B1764" t="s">
        <v>1162</v>
      </c>
      <c r="C1764" t="s">
        <v>1167</v>
      </c>
      <c r="D1764">
        <v>175400</v>
      </c>
      <c r="E1764" t="s">
        <v>1168</v>
      </c>
      <c r="F1764">
        <v>35.133000000000003</v>
      </c>
      <c r="G1764">
        <v>33.933</v>
      </c>
      <c r="H1764">
        <v>2</v>
      </c>
      <c r="I1764">
        <v>0</v>
      </c>
      <c r="J1764" t="str">
        <f>HYPERLINK("https://climate.onebuilding.org/WMO_Region_6_Europe/CYP_Cyprus/FA_Famagusta/CYP_FA_Famagusta.175400_TMYx.2004-2018.zip")</f>
        <v>https://climate.onebuilding.org/WMO_Region_6_Europe/CYP_Cyprus/FA_Famagusta/CYP_FA_Famagusta.175400_TMYx.2004-2018.zip</v>
      </c>
    </row>
    <row r="1765" spans="1:10" x14ac:dyDescent="0.25">
      <c r="A1765" t="s">
        <v>1148</v>
      </c>
      <c r="B1765" t="s">
        <v>1162</v>
      </c>
      <c r="C1765" t="s">
        <v>1167</v>
      </c>
      <c r="D1765">
        <v>175400</v>
      </c>
      <c r="E1765" t="s">
        <v>14</v>
      </c>
      <c r="F1765">
        <v>35.133000000000003</v>
      </c>
      <c r="G1765">
        <v>33.933</v>
      </c>
      <c r="H1765">
        <v>2</v>
      </c>
      <c r="I1765">
        <v>0</v>
      </c>
      <c r="J1765" t="str">
        <f>HYPERLINK("https://climate.onebuilding.org/WMO_Region_6_Europe/CYP_Cyprus/FA_Famagusta/CYP_FA_Famagusta.175400_TMYx.2007-2021.zip")</f>
        <v>https://climate.onebuilding.org/WMO_Region_6_Europe/CYP_Cyprus/FA_Famagusta/CYP_FA_Famagusta.175400_TMYx.2007-2021.zip</v>
      </c>
    </row>
    <row r="1766" spans="1:10" x14ac:dyDescent="0.25">
      <c r="A1766" t="s">
        <v>1148</v>
      </c>
      <c r="B1766" t="s">
        <v>1162</v>
      </c>
      <c r="C1766" t="s">
        <v>1167</v>
      </c>
      <c r="D1766">
        <v>175400</v>
      </c>
      <c r="E1766" t="s">
        <v>14</v>
      </c>
      <c r="F1766">
        <v>35.133000000000003</v>
      </c>
      <c r="G1766">
        <v>33.933</v>
      </c>
      <c r="H1766">
        <v>2</v>
      </c>
      <c r="I1766">
        <v>0</v>
      </c>
      <c r="J1766" t="str">
        <f>HYPERLINK("https://climate.onebuilding.org/WMO_Region_6_Europe/CYP_Cyprus/FA_Famagusta/CYP_FA_Famagusta.175400_TMYx.2009-2023.zip")</f>
        <v>https://climate.onebuilding.org/WMO_Region_6_Europe/CYP_Cyprus/FA_Famagusta/CYP_FA_Famagusta.175400_TMYx.2009-2023.zip</v>
      </c>
    </row>
    <row r="1767" spans="1:10" x14ac:dyDescent="0.25">
      <c r="A1767" t="s">
        <v>1148</v>
      </c>
      <c r="B1767" t="s">
        <v>1162</v>
      </c>
      <c r="C1767" t="s">
        <v>1167</v>
      </c>
      <c r="D1767">
        <v>175400</v>
      </c>
      <c r="E1767" t="s">
        <v>14</v>
      </c>
      <c r="F1767">
        <v>35.133000000000003</v>
      </c>
      <c r="G1767">
        <v>33.933</v>
      </c>
      <c r="H1767">
        <v>2</v>
      </c>
      <c r="I1767">
        <v>0</v>
      </c>
      <c r="J1767" t="str">
        <f>HYPERLINK("https://climate.onebuilding.org/WMO_Region_6_Europe/CYP_Cyprus/FA_Famagusta/CYP_FA_Famagusta.175400_TMYx.zip")</f>
        <v>https://climate.onebuilding.org/WMO_Region_6_Europe/CYP_Cyprus/FA_Famagusta/CYP_FA_Famagusta.175400_TMYx.zip</v>
      </c>
    </row>
    <row r="1768" spans="1:10" x14ac:dyDescent="0.25">
      <c r="A1768" t="s">
        <v>1148</v>
      </c>
      <c r="B1768" t="s">
        <v>1162</v>
      </c>
      <c r="C1768" t="s">
        <v>1169</v>
      </c>
      <c r="D1768">
        <v>175470</v>
      </c>
      <c r="E1768" t="s">
        <v>1170</v>
      </c>
      <c r="F1768">
        <v>35.582999999999998</v>
      </c>
      <c r="G1768">
        <v>34.383000000000003</v>
      </c>
      <c r="H1768">
        <v>2</v>
      </c>
      <c r="I1768">
        <v>136</v>
      </c>
      <c r="J1768" t="str">
        <f>HYPERLINK("https://climate.onebuilding.org/WMO_Region_6_Europe/CYP_Cyprus/FA_Famagusta/CYP_FA_Dipkarpaz.175470_TMYx.2004-2018.zip")</f>
        <v>https://climate.onebuilding.org/WMO_Region_6_Europe/CYP_Cyprus/FA_Famagusta/CYP_FA_Dipkarpaz.175470_TMYx.2004-2018.zip</v>
      </c>
    </row>
    <row r="1769" spans="1:10" x14ac:dyDescent="0.25">
      <c r="A1769" t="s">
        <v>1148</v>
      </c>
      <c r="B1769" t="s">
        <v>1162</v>
      </c>
      <c r="C1769" t="s">
        <v>1169</v>
      </c>
      <c r="D1769">
        <v>175470</v>
      </c>
      <c r="E1769" t="s">
        <v>14</v>
      </c>
      <c r="F1769">
        <v>35.582999999999998</v>
      </c>
      <c r="G1769">
        <v>34.383000000000003</v>
      </c>
      <c r="H1769">
        <v>2</v>
      </c>
      <c r="I1769">
        <v>136</v>
      </c>
      <c r="J1769" t="str">
        <f>HYPERLINK("https://climate.onebuilding.org/WMO_Region_6_Europe/CYP_Cyprus/FA_Famagusta/CYP_FA_Dipkarpaz.175470_TMYx.2007-2021.zip")</f>
        <v>https://climate.onebuilding.org/WMO_Region_6_Europe/CYP_Cyprus/FA_Famagusta/CYP_FA_Dipkarpaz.175470_TMYx.2007-2021.zip</v>
      </c>
    </row>
    <row r="1770" spans="1:10" x14ac:dyDescent="0.25">
      <c r="A1770" t="s">
        <v>1148</v>
      </c>
      <c r="B1770" t="s">
        <v>1162</v>
      </c>
      <c r="C1770" t="s">
        <v>1169</v>
      </c>
      <c r="D1770">
        <v>175470</v>
      </c>
      <c r="E1770" t="s">
        <v>14</v>
      </c>
      <c r="F1770">
        <v>35.582999999999998</v>
      </c>
      <c r="G1770">
        <v>34.383000000000003</v>
      </c>
      <c r="H1770">
        <v>2</v>
      </c>
      <c r="I1770">
        <v>136</v>
      </c>
      <c r="J1770" t="str">
        <f>HYPERLINK("https://climate.onebuilding.org/WMO_Region_6_Europe/CYP_Cyprus/FA_Famagusta/CYP_FA_Dipkarpaz.175470_TMYx.2009-2023.zip")</f>
        <v>https://climate.onebuilding.org/WMO_Region_6_Europe/CYP_Cyprus/FA_Famagusta/CYP_FA_Dipkarpaz.175470_TMYx.2009-2023.zip</v>
      </c>
    </row>
    <row r="1771" spans="1:10" x14ac:dyDescent="0.25">
      <c r="A1771" t="s">
        <v>1148</v>
      </c>
      <c r="B1771" t="s">
        <v>1162</v>
      </c>
      <c r="C1771" t="s">
        <v>1169</v>
      </c>
      <c r="D1771">
        <v>175470</v>
      </c>
      <c r="E1771" t="s">
        <v>14</v>
      </c>
      <c r="F1771">
        <v>35.582999999999998</v>
      </c>
      <c r="G1771">
        <v>34.383000000000003</v>
      </c>
      <c r="H1771">
        <v>2</v>
      </c>
      <c r="I1771">
        <v>136</v>
      </c>
      <c r="J1771" t="str">
        <f>HYPERLINK("https://climate.onebuilding.org/WMO_Region_6_Europe/CYP_Cyprus/FA_Famagusta/CYP_FA_Dipkarpaz.175470_TMYx.zip")</f>
        <v>https://climate.onebuilding.org/WMO_Region_6_Europe/CYP_Cyprus/FA_Famagusta/CYP_FA_Dipkarpaz.175470_TMYx.zip</v>
      </c>
    </row>
    <row r="1772" spans="1:10" x14ac:dyDescent="0.25">
      <c r="A1772" t="s">
        <v>1148</v>
      </c>
      <c r="B1772" t="s">
        <v>1162</v>
      </c>
      <c r="C1772" t="s">
        <v>1171</v>
      </c>
      <c r="D1772">
        <v>175500</v>
      </c>
      <c r="E1772" t="s">
        <v>1172</v>
      </c>
      <c r="F1772">
        <v>35.533000000000001</v>
      </c>
      <c r="G1772">
        <v>34.17</v>
      </c>
      <c r="H1772">
        <v>2</v>
      </c>
      <c r="I1772">
        <v>123</v>
      </c>
      <c r="J1772" t="str">
        <f>HYPERLINK("https://climate.onebuilding.org/WMO_Region_6_Europe/CYP_Cyprus/FA_Famagusta/CYP_FA_Yeni.Erenkoy.175500_TMYx.2004-2018.zip")</f>
        <v>https://climate.onebuilding.org/WMO_Region_6_Europe/CYP_Cyprus/FA_Famagusta/CYP_FA_Yeni.Erenkoy.175500_TMYx.2004-2018.zip</v>
      </c>
    </row>
    <row r="1773" spans="1:10" x14ac:dyDescent="0.25">
      <c r="A1773" t="s">
        <v>1148</v>
      </c>
      <c r="B1773" t="s">
        <v>1162</v>
      </c>
      <c r="C1773" t="s">
        <v>1171</v>
      </c>
      <c r="D1773">
        <v>175500</v>
      </c>
      <c r="E1773" t="s">
        <v>14</v>
      </c>
      <c r="F1773">
        <v>35.533000000000001</v>
      </c>
      <c r="G1773">
        <v>34.17</v>
      </c>
      <c r="H1773">
        <v>2</v>
      </c>
      <c r="I1773">
        <v>123</v>
      </c>
      <c r="J1773" t="str">
        <f>HYPERLINK("https://climate.onebuilding.org/WMO_Region_6_Europe/CYP_Cyprus/FA_Famagusta/CYP_FA_Yeni.Erenkoy.175500_TMYx.2007-2021.zip")</f>
        <v>https://climate.onebuilding.org/WMO_Region_6_Europe/CYP_Cyprus/FA_Famagusta/CYP_FA_Yeni.Erenkoy.175500_TMYx.2007-2021.zip</v>
      </c>
    </row>
    <row r="1774" spans="1:10" x14ac:dyDescent="0.25">
      <c r="A1774" t="s">
        <v>1148</v>
      </c>
      <c r="B1774" t="s">
        <v>1162</v>
      </c>
      <c r="C1774" t="s">
        <v>1171</v>
      </c>
      <c r="D1774">
        <v>175500</v>
      </c>
      <c r="E1774" t="s">
        <v>14</v>
      </c>
      <c r="F1774">
        <v>35.533000000000001</v>
      </c>
      <c r="G1774">
        <v>34.17</v>
      </c>
      <c r="H1774">
        <v>2</v>
      </c>
      <c r="I1774">
        <v>123</v>
      </c>
      <c r="J1774" t="str">
        <f>HYPERLINK("https://climate.onebuilding.org/WMO_Region_6_Europe/CYP_Cyprus/FA_Famagusta/CYP_FA_Yeni.Erenkoy.175500_TMYx.2009-2023.zip")</f>
        <v>https://climate.onebuilding.org/WMO_Region_6_Europe/CYP_Cyprus/FA_Famagusta/CYP_FA_Yeni.Erenkoy.175500_TMYx.2009-2023.zip</v>
      </c>
    </row>
    <row r="1775" spans="1:10" x14ac:dyDescent="0.25">
      <c r="A1775" t="s">
        <v>1148</v>
      </c>
      <c r="B1775" t="s">
        <v>1162</v>
      </c>
      <c r="C1775" t="s">
        <v>1171</v>
      </c>
      <c r="D1775">
        <v>175500</v>
      </c>
      <c r="E1775" t="s">
        <v>14</v>
      </c>
      <c r="F1775">
        <v>35.533000000000001</v>
      </c>
      <c r="G1775">
        <v>34.17</v>
      </c>
      <c r="H1775">
        <v>2</v>
      </c>
      <c r="I1775">
        <v>123</v>
      </c>
      <c r="J1775" t="str">
        <f>HYPERLINK("https://climate.onebuilding.org/WMO_Region_6_Europe/CYP_Cyprus/FA_Famagusta/CYP_FA_Yeni.Erenkoy.175500_TMYx.zip")</f>
        <v>https://climate.onebuilding.org/WMO_Region_6_Europe/CYP_Cyprus/FA_Famagusta/CYP_FA_Yeni.Erenkoy.175500_TMYx.zip</v>
      </c>
    </row>
    <row r="1776" spans="1:10" x14ac:dyDescent="0.25">
      <c r="A1776" t="s">
        <v>1148</v>
      </c>
      <c r="B1776" t="s">
        <v>1173</v>
      </c>
      <c r="C1776" t="s">
        <v>1174</v>
      </c>
      <c r="D1776">
        <v>176000</v>
      </c>
      <c r="E1776" t="s">
        <v>1175</v>
      </c>
      <c r="F1776">
        <v>34.718000000000004</v>
      </c>
      <c r="G1776">
        <v>32.485999999999997</v>
      </c>
      <c r="H1776">
        <v>2</v>
      </c>
      <c r="I1776">
        <v>12.5</v>
      </c>
      <c r="J1776" t="str">
        <f>HYPERLINK("https://climate.onebuilding.org/WMO_Region_6_Europe/CYP_Cyprus/PA_Paphos/CYP_PA_Paphos.Intl.AP.176000_TMYx.2004-2018.zip")</f>
        <v>https://climate.onebuilding.org/WMO_Region_6_Europe/CYP_Cyprus/PA_Paphos/CYP_PA_Paphos.Intl.AP.176000_TMYx.2004-2018.zip</v>
      </c>
    </row>
    <row r="1777" spans="1:10" x14ac:dyDescent="0.25">
      <c r="A1777" t="s">
        <v>1148</v>
      </c>
      <c r="B1777" t="s">
        <v>1173</v>
      </c>
      <c r="C1777" t="s">
        <v>1174</v>
      </c>
      <c r="D1777">
        <v>176000</v>
      </c>
      <c r="E1777" t="s">
        <v>14</v>
      </c>
      <c r="F1777">
        <v>34.718000000000004</v>
      </c>
      <c r="G1777">
        <v>32.485999999999997</v>
      </c>
      <c r="H1777">
        <v>2</v>
      </c>
      <c r="I1777">
        <v>12.5</v>
      </c>
      <c r="J1777" t="str">
        <f>HYPERLINK("https://climate.onebuilding.org/WMO_Region_6_Europe/CYP_Cyprus/PA_Paphos/CYP_PA_Paphos.Intl.AP.176000_TMYx.2007-2021.zip")</f>
        <v>https://climate.onebuilding.org/WMO_Region_6_Europe/CYP_Cyprus/PA_Paphos/CYP_PA_Paphos.Intl.AP.176000_TMYx.2007-2021.zip</v>
      </c>
    </row>
    <row r="1778" spans="1:10" x14ac:dyDescent="0.25">
      <c r="A1778" t="s">
        <v>1148</v>
      </c>
      <c r="B1778" t="s">
        <v>1173</v>
      </c>
      <c r="C1778" t="s">
        <v>1174</v>
      </c>
      <c r="D1778">
        <v>176000</v>
      </c>
      <c r="E1778" t="s">
        <v>14</v>
      </c>
      <c r="F1778">
        <v>34.718000000000004</v>
      </c>
      <c r="G1778">
        <v>32.485999999999997</v>
      </c>
      <c r="H1778">
        <v>2</v>
      </c>
      <c r="I1778">
        <v>12.5</v>
      </c>
      <c r="J1778" t="str">
        <f>HYPERLINK("https://climate.onebuilding.org/WMO_Region_6_Europe/CYP_Cyprus/PA_Paphos/CYP_PA_Paphos.Intl.AP.176000_TMYx.2009-2023.zip")</f>
        <v>https://climate.onebuilding.org/WMO_Region_6_Europe/CYP_Cyprus/PA_Paphos/CYP_PA_Paphos.Intl.AP.176000_TMYx.2009-2023.zip</v>
      </c>
    </row>
    <row r="1779" spans="1:10" x14ac:dyDescent="0.25">
      <c r="A1779" t="s">
        <v>1148</v>
      </c>
      <c r="B1779" t="s">
        <v>1173</v>
      </c>
      <c r="C1779" t="s">
        <v>1174</v>
      </c>
      <c r="D1779">
        <v>176000</v>
      </c>
      <c r="E1779" t="s">
        <v>14</v>
      </c>
      <c r="F1779">
        <v>34.718000000000004</v>
      </c>
      <c r="G1779">
        <v>32.485999999999997</v>
      </c>
      <c r="H1779">
        <v>2</v>
      </c>
      <c r="I1779">
        <v>12.5</v>
      </c>
      <c r="J1779" t="str">
        <f>HYPERLINK("https://climate.onebuilding.org/WMO_Region_6_Europe/CYP_Cyprus/PA_Paphos/CYP_PA_Paphos.Intl.AP.176000_TMYx.zip")</f>
        <v>https://climate.onebuilding.org/WMO_Region_6_Europe/CYP_Cyprus/PA_Paphos/CYP_PA_Paphos.Intl.AP.176000_TMYx.zip</v>
      </c>
    </row>
    <row r="1780" spans="1:10" x14ac:dyDescent="0.25">
      <c r="A1780" t="s">
        <v>1148</v>
      </c>
      <c r="B1780" t="s">
        <v>1176</v>
      </c>
      <c r="C1780" t="s">
        <v>1177</v>
      </c>
      <c r="D1780">
        <v>176010</v>
      </c>
      <c r="E1780" t="s">
        <v>1178</v>
      </c>
      <c r="F1780">
        <v>34.590000000000003</v>
      </c>
      <c r="G1780">
        <v>32.988</v>
      </c>
      <c r="H1780">
        <v>2</v>
      </c>
      <c r="I1780">
        <v>23.2</v>
      </c>
      <c r="J1780" t="str">
        <f>HYPERLINK("https://climate.onebuilding.org/WMO_Region_6_Europe/CYP_Cyprus/LI_Limassol/CYP_LI_Akrotiri.AFB.176010_TMYx.2004-2018.zip")</f>
        <v>https://climate.onebuilding.org/WMO_Region_6_Europe/CYP_Cyprus/LI_Limassol/CYP_LI_Akrotiri.AFB.176010_TMYx.2004-2018.zip</v>
      </c>
    </row>
    <row r="1781" spans="1:10" x14ac:dyDescent="0.25">
      <c r="A1781" t="s">
        <v>1148</v>
      </c>
      <c r="B1781" t="s">
        <v>1176</v>
      </c>
      <c r="C1781" t="s">
        <v>1177</v>
      </c>
      <c r="D1781">
        <v>176010</v>
      </c>
      <c r="E1781" t="s">
        <v>14</v>
      </c>
      <c r="F1781">
        <v>34.590000000000003</v>
      </c>
      <c r="G1781">
        <v>32.988</v>
      </c>
      <c r="H1781">
        <v>2</v>
      </c>
      <c r="I1781">
        <v>23.2</v>
      </c>
      <c r="J1781" t="str">
        <f>HYPERLINK("https://climate.onebuilding.org/WMO_Region_6_Europe/CYP_Cyprus/LI_Limassol/CYP_LI_Akrotiri.AFB.176010_TMYx.2007-2021.zip")</f>
        <v>https://climate.onebuilding.org/WMO_Region_6_Europe/CYP_Cyprus/LI_Limassol/CYP_LI_Akrotiri.AFB.176010_TMYx.2007-2021.zip</v>
      </c>
    </row>
    <row r="1782" spans="1:10" x14ac:dyDescent="0.25">
      <c r="A1782" t="s">
        <v>1148</v>
      </c>
      <c r="B1782" t="s">
        <v>1176</v>
      </c>
      <c r="C1782" t="s">
        <v>1177</v>
      </c>
      <c r="D1782">
        <v>176010</v>
      </c>
      <c r="E1782" t="s">
        <v>14</v>
      </c>
      <c r="F1782">
        <v>34.590000000000003</v>
      </c>
      <c r="G1782">
        <v>32.988</v>
      </c>
      <c r="H1782">
        <v>2</v>
      </c>
      <c r="I1782">
        <v>23.2</v>
      </c>
      <c r="J1782" t="str">
        <f>HYPERLINK("https://climate.onebuilding.org/WMO_Region_6_Europe/CYP_Cyprus/LI_Limassol/CYP_LI_Akrotiri.AFB.176010_TMYx.2009-2023.zip")</f>
        <v>https://climate.onebuilding.org/WMO_Region_6_Europe/CYP_Cyprus/LI_Limassol/CYP_LI_Akrotiri.AFB.176010_TMYx.2009-2023.zip</v>
      </c>
    </row>
    <row r="1783" spans="1:10" x14ac:dyDescent="0.25">
      <c r="A1783" t="s">
        <v>1148</v>
      </c>
      <c r="B1783" t="s">
        <v>1176</v>
      </c>
      <c r="C1783" t="s">
        <v>1177</v>
      </c>
      <c r="D1783">
        <v>176010</v>
      </c>
      <c r="E1783" t="s">
        <v>14</v>
      </c>
      <c r="F1783">
        <v>34.590000000000003</v>
      </c>
      <c r="G1783">
        <v>32.988</v>
      </c>
      <c r="H1783">
        <v>2</v>
      </c>
      <c r="I1783">
        <v>23.2</v>
      </c>
      <c r="J1783" t="str">
        <f>HYPERLINK("https://climate.onebuilding.org/WMO_Region_6_Europe/CYP_Cyprus/LI_Limassol/CYP_LI_Akrotiri.AFB.176010_TMYx.zip")</f>
        <v>https://climate.onebuilding.org/WMO_Region_6_Europe/CYP_Cyprus/LI_Limassol/CYP_LI_Akrotiri.AFB.176010_TMYx.zip</v>
      </c>
    </row>
    <row r="1784" spans="1:10" x14ac:dyDescent="0.25">
      <c r="A1784" t="s">
        <v>1148</v>
      </c>
      <c r="B1784" t="s">
        <v>1149</v>
      </c>
      <c r="C1784" t="s">
        <v>1179</v>
      </c>
      <c r="D1784">
        <v>176060</v>
      </c>
      <c r="E1784" t="s">
        <v>14</v>
      </c>
      <c r="F1784">
        <v>35.15</v>
      </c>
      <c r="G1784">
        <v>33.283000000000001</v>
      </c>
      <c r="H1784">
        <v>2</v>
      </c>
      <c r="I1784">
        <v>216.7</v>
      </c>
      <c r="J1784" t="str">
        <f>HYPERLINK("https://climate.onebuilding.org/WMO_Region_6_Europe/CYP_Cyprus/NI_Nicosia/CYP_NI_Nicosia.AP.176060_TMYx.zip")</f>
        <v>https://climate.onebuilding.org/WMO_Region_6_Europe/CYP_Cyprus/NI_Nicosia/CYP_NI_Nicosia.AP.176060_TMYx.zip</v>
      </c>
    </row>
    <row r="1785" spans="1:10" x14ac:dyDescent="0.25">
      <c r="A1785" t="s">
        <v>1148</v>
      </c>
      <c r="B1785" t="s">
        <v>1149</v>
      </c>
      <c r="C1785" t="s">
        <v>1180</v>
      </c>
      <c r="D1785">
        <v>176070</v>
      </c>
      <c r="E1785" t="s">
        <v>1181</v>
      </c>
      <c r="F1785">
        <v>35.15</v>
      </c>
      <c r="G1785">
        <v>33.4</v>
      </c>
      <c r="H1785">
        <v>2</v>
      </c>
      <c r="I1785">
        <v>161</v>
      </c>
      <c r="J1785" t="str">
        <f>HYPERLINK("https://climate.onebuilding.org/WMO_Region_6_Europe/CYP_Cyprus/NI_Nicosia/CYP_NI_Nicosia.Aglantzia.176070_TMYx.2004-2018.zip")</f>
        <v>https://climate.onebuilding.org/WMO_Region_6_Europe/CYP_Cyprus/NI_Nicosia/CYP_NI_Nicosia.Aglantzia.176070_TMYx.2004-2018.zip</v>
      </c>
    </row>
    <row r="1786" spans="1:10" x14ac:dyDescent="0.25">
      <c r="A1786" t="s">
        <v>1148</v>
      </c>
      <c r="B1786" t="s">
        <v>1149</v>
      </c>
      <c r="C1786" t="s">
        <v>1180</v>
      </c>
      <c r="D1786">
        <v>176070</v>
      </c>
      <c r="E1786" t="s">
        <v>14</v>
      </c>
      <c r="F1786">
        <v>35.15</v>
      </c>
      <c r="G1786">
        <v>33.4</v>
      </c>
      <c r="H1786">
        <v>2</v>
      </c>
      <c r="I1786">
        <v>161</v>
      </c>
      <c r="J1786" t="str">
        <f>HYPERLINK("https://climate.onebuilding.org/WMO_Region_6_Europe/CYP_Cyprus/NI_Nicosia/CYP_NI_Nicosia.Aglantzia.176070_TMYx.2007-2021.zip")</f>
        <v>https://climate.onebuilding.org/WMO_Region_6_Europe/CYP_Cyprus/NI_Nicosia/CYP_NI_Nicosia.Aglantzia.176070_TMYx.2007-2021.zip</v>
      </c>
    </row>
    <row r="1787" spans="1:10" x14ac:dyDescent="0.25">
      <c r="A1787" t="s">
        <v>1148</v>
      </c>
      <c r="B1787" t="s">
        <v>1149</v>
      </c>
      <c r="C1787" t="s">
        <v>1180</v>
      </c>
      <c r="D1787">
        <v>176070</v>
      </c>
      <c r="E1787" t="s">
        <v>14</v>
      </c>
      <c r="F1787">
        <v>35.15</v>
      </c>
      <c r="G1787">
        <v>33.4</v>
      </c>
      <c r="H1787">
        <v>2</v>
      </c>
      <c r="I1787">
        <v>161</v>
      </c>
      <c r="J1787" t="str">
        <f>HYPERLINK("https://climate.onebuilding.org/WMO_Region_6_Europe/CYP_Cyprus/NI_Nicosia/CYP_NI_Nicosia.Aglantzia.176070_TMYx.2009-2023.zip")</f>
        <v>https://climate.onebuilding.org/WMO_Region_6_Europe/CYP_Cyprus/NI_Nicosia/CYP_NI_Nicosia.Aglantzia.176070_TMYx.2009-2023.zip</v>
      </c>
    </row>
    <row r="1788" spans="1:10" x14ac:dyDescent="0.25">
      <c r="A1788" t="s">
        <v>1148</v>
      </c>
      <c r="B1788" t="s">
        <v>1149</v>
      </c>
      <c r="C1788" t="s">
        <v>1180</v>
      </c>
      <c r="D1788">
        <v>176070</v>
      </c>
      <c r="E1788" t="s">
        <v>14</v>
      </c>
      <c r="F1788">
        <v>35.15</v>
      </c>
      <c r="G1788">
        <v>33.4</v>
      </c>
      <c r="H1788">
        <v>2</v>
      </c>
      <c r="I1788">
        <v>161</v>
      </c>
      <c r="J1788" t="str">
        <f>HYPERLINK("https://climate.onebuilding.org/WMO_Region_6_Europe/CYP_Cyprus/NI_Nicosia/CYP_NI_Nicosia.Aglantzia.176070_TMYx.zip")</f>
        <v>https://climate.onebuilding.org/WMO_Region_6_Europe/CYP_Cyprus/NI_Nicosia/CYP_NI_Nicosia.Aglantzia.176070_TMYx.zip</v>
      </c>
    </row>
    <row r="1789" spans="1:10" x14ac:dyDescent="0.25">
      <c r="A1789" t="s">
        <v>1148</v>
      </c>
      <c r="B1789" t="s">
        <v>1149</v>
      </c>
      <c r="C1789" t="s">
        <v>1182</v>
      </c>
      <c r="D1789">
        <v>176074</v>
      </c>
      <c r="E1789" t="s">
        <v>1183</v>
      </c>
      <c r="F1789">
        <v>35.15</v>
      </c>
      <c r="G1789">
        <v>33.5</v>
      </c>
      <c r="H1789">
        <v>2</v>
      </c>
      <c r="I1789">
        <v>91</v>
      </c>
      <c r="J1789" t="str">
        <f>HYPERLINK("https://climate.onebuilding.org/WMO_Region_6_Europe/CYP_Cyprus/NI_Nicosia/CYP_NI_Ercan.Intl.AP.176074_TMYx.2004-2018.zip")</f>
        <v>https://climate.onebuilding.org/WMO_Region_6_Europe/CYP_Cyprus/NI_Nicosia/CYP_NI_Ercan.Intl.AP.176074_TMYx.2004-2018.zip</v>
      </c>
    </row>
    <row r="1790" spans="1:10" x14ac:dyDescent="0.25">
      <c r="A1790" t="s">
        <v>1148</v>
      </c>
      <c r="B1790" t="s">
        <v>1149</v>
      </c>
      <c r="C1790" t="s">
        <v>1182</v>
      </c>
      <c r="D1790">
        <v>176074</v>
      </c>
      <c r="E1790" t="s">
        <v>14</v>
      </c>
      <c r="F1790">
        <v>35.15</v>
      </c>
      <c r="G1790">
        <v>33.5</v>
      </c>
      <c r="H1790">
        <v>2</v>
      </c>
      <c r="I1790">
        <v>91</v>
      </c>
      <c r="J1790" t="str">
        <f>HYPERLINK("https://climate.onebuilding.org/WMO_Region_6_Europe/CYP_Cyprus/NI_Nicosia/CYP_NI_Ercan.Intl.AP.176074_TMYx.2007-2021.zip")</f>
        <v>https://climate.onebuilding.org/WMO_Region_6_Europe/CYP_Cyprus/NI_Nicosia/CYP_NI_Ercan.Intl.AP.176074_TMYx.2007-2021.zip</v>
      </c>
    </row>
    <row r="1791" spans="1:10" x14ac:dyDescent="0.25">
      <c r="A1791" t="s">
        <v>1148</v>
      </c>
      <c r="B1791" t="s">
        <v>1149</v>
      </c>
      <c r="C1791" t="s">
        <v>1182</v>
      </c>
      <c r="D1791">
        <v>176074</v>
      </c>
      <c r="E1791" t="s">
        <v>14</v>
      </c>
      <c r="F1791">
        <v>35.15</v>
      </c>
      <c r="G1791">
        <v>33.5</v>
      </c>
      <c r="H1791">
        <v>2</v>
      </c>
      <c r="I1791">
        <v>91</v>
      </c>
      <c r="J1791" t="str">
        <f>HYPERLINK("https://climate.onebuilding.org/WMO_Region_6_Europe/CYP_Cyprus/NI_Nicosia/CYP_NI_Ercan.Intl.AP.176074_TMYx.2009-2023.zip")</f>
        <v>https://climate.onebuilding.org/WMO_Region_6_Europe/CYP_Cyprus/NI_Nicosia/CYP_NI_Ercan.Intl.AP.176074_TMYx.2009-2023.zip</v>
      </c>
    </row>
    <row r="1792" spans="1:10" x14ac:dyDescent="0.25">
      <c r="A1792" t="s">
        <v>1148</v>
      </c>
      <c r="B1792" t="s">
        <v>1149</v>
      </c>
      <c r="C1792" t="s">
        <v>1182</v>
      </c>
      <c r="D1792">
        <v>176074</v>
      </c>
      <c r="E1792" t="s">
        <v>14</v>
      </c>
      <c r="F1792">
        <v>35.15</v>
      </c>
      <c r="G1792">
        <v>33.5</v>
      </c>
      <c r="H1792">
        <v>2</v>
      </c>
      <c r="I1792">
        <v>91</v>
      </c>
      <c r="J1792" t="str">
        <f>HYPERLINK("https://climate.onebuilding.org/WMO_Region_6_Europe/CYP_Cyprus/NI_Nicosia/CYP_NI_Ercan.Intl.AP.176074_TMYx.zip")</f>
        <v>https://climate.onebuilding.org/WMO_Region_6_Europe/CYP_Cyprus/NI_Nicosia/CYP_NI_Ercan.Intl.AP.176074_TMYx.zip</v>
      </c>
    </row>
    <row r="1793" spans="1:10" x14ac:dyDescent="0.25">
      <c r="A1793" t="s">
        <v>1148</v>
      </c>
      <c r="B1793" t="s">
        <v>1184</v>
      </c>
      <c r="C1793" t="s">
        <v>1185</v>
      </c>
      <c r="D1793">
        <v>176090</v>
      </c>
      <c r="E1793" t="s">
        <v>1186</v>
      </c>
      <c r="F1793">
        <v>34.875</v>
      </c>
      <c r="G1793">
        <v>33.625</v>
      </c>
      <c r="H1793">
        <v>2</v>
      </c>
      <c r="I1793">
        <v>2.4</v>
      </c>
      <c r="J1793" t="str">
        <f>HYPERLINK("https://climate.onebuilding.org/WMO_Region_6_Europe/CYP_Cyprus/LA_Larnaca/CYP_LA_Larnaca.Intl.AP.176090_TMYx.2004-2018.zip")</f>
        <v>https://climate.onebuilding.org/WMO_Region_6_Europe/CYP_Cyprus/LA_Larnaca/CYP_LA_Larnaca.Intl.AP.176090_TMYx.2004-2018.zip</v>
      </c>
    </row>
    <row r="1794" spans="1:10" x14ac:dyDescent="0.25">
      <c r="A1794" t="s">
        <v>1148</v>
      </c>
      <c r="B1794" t="s">
        <v>1184</v>
      </c>
      <c r="C1794" t="s">
        <v>1185</v>
      </c>
      <c r="D1794">
        <v>176090</v>
      </c>
      <c r="E1794" t="s">
        <v>14</v>
      </c>
      <c r="F1794">
        <v>34.875</v>
      </c>
      <c r="G1794">
        <v>33.625</v>
      </c>
      <c r="H1794">
        <v>2</v>
      </c>
      <c r="I1794">
        <v>2.4</v>
      </c>
      <c r="J1794" t="str">
        <f>HYPERLINK("https://climate.onebuilding.org/WMO_Region_6_Europe/CYP_Cyprus/LA_Larnaca/CYP_LA_Larnaca.Intl.AP.176090_TMYx.2007-2021.zip")</f>
        <v>https://climate.onebuilding.org/WMO_Region_6_Europe/CYP_Cyprus/LA_Larnaca/CYP_LA_Larnaca.Intl.AP.176090_TMYx.2007-2021.zip</v>
      </c>
    </row>
    <row r="1795" spans="1:10" x14ac:dyDescent="0.25">
      <c r="A1795" t="s">
        <v>1148</v>
      </c>
      <c r="B1795" t="s">
        <v>1184</v>
      </c>
      <c r="C1795" t="s">
        <v>1185</v>
      </c>
      <c r="D1795">
        <v>176090</v>
      </c>
      <c r="E1795" t="s">
        <v>14</v>
      </c>
      <c r="F1795">
        <v>34.875</v>
      </c>
      <c r="G1795">
        <v>33.625</v>
      </c>
      <c r="H1795">
        <v>2</v>
      </c>
      <c r="I1795">
        <v>2.4</v>
      </c>
      <c r="J1795" t="str">
        <f>HYPERLINK("https://climate.onebuilding.org/WMO_Region_6_Europe/CYP_Cyprus/LA_Larnaca/CYP_LA_Larnaca.Intl.AP.176090_TMYx.2009-2023.zip")</f>
        <v>https://climate.onebuilding.org/WMO_Region_6_Europe/CYP_Cyprus/LA_Larnaca/CYP_LA_Larnaca.Intl.AP.176090_TMYx.2009-2023.zip</v>
      </c>
    </row>
    <row r="1796" spans="1:10" x14ac:dyDescent="0.25">
      <c r="A1796" t="s">
        <v>1148</v>
      </c>
      <c r="B1796" t="s">
        <v>1184</v>
      </c>
      <c r="C1796" t="s">
        <v>1185</v>
      </c>
      <c r="D1796">
        <v>176090</v>
      </c>
      <c r="E1796" t="s">
        <v>14</v>
      </c>
      <c r="F1796">
        <v>34.875</v>
      </c>
      <c r="G1796">
        <v>33.625</v>
      </c>
      <c r="H1796">
        <v>2</v>
      </c>
      <c r="I1796">
        <v>2.4</v>
      </c>
      <c r="J1796" t="str">
        <f>HYPERLINK("https://climate.onebuilding.org/WMO_Region_6_Europe/CYP_Cyprus/LA_Larnaca/CYP_LA_Larnaca.Intl.AP.176090_TMYx.zip")</f>
        <v>https://climate.onebuilding.org/WMO_Region_6_Europe/CYP_Cyprus/LA_Larnaca/CYP_LA_Larnaca.Intl.AP.176090_TMYx.zip</v>
      </c>
    </row>
    <row r="1797" spans="1:10" x14ac:dyDescent="0.25">
      <c r="A1797" t="s">
        <v>1148</v>
      </c>
      <c r="B1797" t="s">
        <v>1162</v>
      </c>
      <c r="C1797" t="s">
        <v>1187</v>
      </c>
      <c r="D1797">
        <v>176110</v>
      </c>
      <c r="E1797" t="s">
        <v>14</v>
      </c>
      <c r="F1797">
        <v>35.082999999999998</v>
      </c>
      <c r="G1797">
        <v>33.9</v>
      </c>
      <c r="H1797">
        <v>2</v>
      </c>
      <c r="I1797">
        <v>37</v>
      </c>
      <c r="J1797" t="str">
        <f>HYPERLINK("https://climate.onebuilding.org/WMO_Region_6_Europe/CYP_Cyprus/FA_Famagusta/CYP_FA_Ayios.Nicolaos.176110_TMYx.zip")</f>
        <v>https://climate.onebuilding.org/WMO_Region_6_Europe/CYP_Cyprus/FA_Famagusta/CYP_FA_Ayios.Nicolaos.176110_TMYx.zip</v>
      </c>
    </row>
    <row r="1798" spans="1:10" x14ac:dyDescent="0.25">
      <c r="A1798" t="s">
        <v>1148</v>
      </c>
      <c r="B1798" t="s">
        <v>1162</v>
      </c>
      <c r="C1798" t="s">
        <v>1188</v>
      </c>
      <c r="D1798">
        <v>176170</v>
      </c>
      <c r="E1798" t="s">
        <v>14</v>
      </c>
      <c r="F1798">
        <v>35.667000000000002</v>
      </c>
      <c r="G1798">
        <v>34.567</v>
      </c>
      <c r="H1798">
        <v>2</v>
      </c>
      <c r="I1798">
        <v>6</v>
      </c>
      <c r="J1798" t="str">
        <f>HYPERLINK("https://climate.onebuilding.org/WMO_Region_6_Europe/CYP_Cyprus/FA_Famagusta/CYP_FA_Karpasia.Peninsula.176170_TMYx.zip")</f>
        <v>https://climate.onebuilding.org/WMO_Region_6_Europe/CYP_Cyprus/FA_Famagusta/CYP_FA_Karpasia.Peninsula.176170_TMYx.zip</v>
      </c>
    </row>
    <row r="1799" spans="1:10" x14ac:dyDescent="0.25">
      <c r="A1799" t="s">
        <v>1189</v>
      </c>
      <c r="B1799" t="s">
        <v>26</v>
      </c>
      <c r="C1799" t="s">
        <v>1190</v>
      </c>
      <c r="D1799">
        <v>114060</v>
      </c>
      <c r="E1799" t="s">
        <v>1191</v>
      </c>
      <c r="F1799">
        <v>50.067</v>
      </c>
      <c r="G1799">
        <v>12.382999999999999</v>
      </c>
      <c r="H1799">
        <v>1</v>
      </c>
      <c r="I1799">
        <v>490</v>
      </c>
      <c r="J1799" t="str">
        <f>HYPERLINK("https://climate.onebuilding.org/WMO_Region_6_Europe/CZE_Czechia/KK_Karlovarsky_Karlovy_Vary/CZE_KK_Cheb.114060_TMYx.2004-2018.zip")</f>
        <v>https://climate.onebuilding.org/WMO_Region_6_Europe/CZE_Czechia/KK_Karlovarsky_Karlovy_Vary/CZE_KK_Cheb.114060_TMYx.2004-2018.zip</v>
      </c>
    </row>
    <row r="1800" spans="1:10" x14ac:dyDescent="0.25">
      <c r="A1800" t="s">
        <v>1189</v>
      </c>
      <c r="B1800" t="s">
        <v>26</v>
      </c>
      <c r="C1800" t="s">
        <v>1190</v>
      </c>
      <c r="D1800">
        <v>114060</v>
      </c>
      <c r="E1800" t="s">
        <v>14</v>
      </c>
      <c r="F1800">
        <v>50.067</v>
      </c>
      <c r="G1800">
        <v>12.382999999999999</v>
      </c>
      <c r="H1800">
        <v>1</v>
      </c>
      <c r="I1800">
        <v>490</v>
      </c>
      <c r="J1800" t="str">
        <f>HYPERLINK("https://climate.onebuilding.org/WMO_Region_6_Europe/CZE_Czechia/KK_Karlovarsky_Karlovy_Vary/CZE_KK_Cheb.114060_TMYx.2007-2021.zip")</f>
        <v>https://climate.onebuilding.org/WMO_Region_6_Europe/CZE_Czechia/KK_Karlovarsky_Karlovy_Vary/CZE_KK_Cheb.114060_TMYx.2007-2021.zip</v>
      </c>
    </row>
    <row r="1801" spans="1:10" x14ac:dyDescent="0.25">
      <c r="A1801" t="s">
        <v>1189</v>
      </c>
      <c r="B1801" t="s">
        <v>26</v>
      </c>
      <c r="C1801" t="s">
        <v>1190</v>
      </c>
      <c r="D1801">
        <v>114060</v>
      </c>
      <c r="E1801" t="s">
        <v>14</v>
      </c>
      <c r="F1801">
        <v>50.067</v>
      </c>
      <c r="G1801">
        <v>12.382999999999999</v>
      </c>
      <c r="H1801">
        <v>1</v>
      </c>
      <c r="I1801">
        <v>490</v>
      </c>
      <c r="J1801" t="str">
        <f>HYPERLINK("https://climate.onebuilding.org/WMO_Region_6_Europe/CZE_Czechia/KK_Karlovarsky_Karlovy_Vary/CZE_KK_Cheb.114060_TMYx.2009-2023.zip")</f>
        <v>https://climate.onebuilding.org/WMO_Region_6_Europe/CZE_Czechia/KK_Karlovarsky_Karlovy_Vary/CZE_KK_Cheb.114060_TMYx.2009-2023.zip</v>
      </c>
    </row>
    <row r="1802" spans="1:10" x14ac:dyDescent="0.25">
      <c r="A1802" t="s">
        <v>1189</v>
      </c>
      <c r="B1802" t="s">
        <v>26</v>
      </c>
      <c r="C1802" t="s">
        <v>1190</v>
      </c>
      <c r="D1802">
        <v>114060</v>
      </c>
      <c r="E1802" t="s">
        <v>14</v>
      </c>
      <c r="F1802">
        <v>50.067</v>
      </c>
      <c r="G1802">
        <v>12.382999999999999</v>
      </c>
      <c r="H1802">
        <v>1</v>
      </c>
      <c r="I1802">
        <v>490</v>
      </c>
      <c r="J1802" t="str">
        <f>HYPERLINK("https://climate.onebuilding.org/WMO_Region_6_Europe/CZE_Czechia/KK_Karlovarsky_Karlovy_Vary/CZE_KK_Cheb.114060_TMYx.zip")</f>
        <v>https://climate.onebuilding.org/WMO_Region_6_Europe/CZE_Czechia/KK_Karlovarsky_Karlovy_Vary/CZE_KK_Cheb.114060_TMYx.zip</v>
      </c>
    </row>
    <row r="1803" spans="1:10" x14ac:dyDescent="0.25">
      <c r="A1803" t="s">
        <v>1189</v>
      </c>
      <c r="B1803" t="s">
        <v>26</v>
      </c>
      <c r="C1803" t="s">
        <v>1192</v>
      </c>
      <c r="D1803">
        <v>114140</v>
      </c>
      <c r="E1803" t="s">
        <v>1193</v>
      </c>
      <c r="F1803">
        <v>50.203000000000003</v>
      </c>
      <c r="G1803">
        <v>12.914999999999999</v>
      </c>
      <c r="H1803">
        <v>1</v>
      </c>
      <c r="I1803">
        <v>606.20000000000005</v>
      </c>
      <c r="J1803" t="str">
        <f>HYPERLINK("https://climate.onebuilding.org/WMO_Region_6_Europe/CZE_Czechia/KK_Karlovarsky_Karlovy_Vary/CZE_KK_Karlovy.Vary.114140_TMYx.2004-2018.zip")</f>
        <v>https://climate.onebuilding.org/WMO_Region_6_Europe/CZE_Czechia/KK_Karlovarsky_Karlovy_Vary/CZE_KK_Karlovy.Vary.114140_TMYx.2004-2018.zip</v>
      </c>
    </row>
    <row r="1804" spans="1:10" x14ac:dyDescent="0.25">
      <c r="A1804" t="s">
        <v>1189</v>
      </c>
      <c r="B1804" t="s">
        <v>26</v>
      </c>
      <c r="C1804" t="s">
        <v>1192</v>
      </c>
      <c r="D1804">
        <v>114140</v>
      </c>
      <c r="E1804" t="s">
        <v>14</v>
      </c>
      <c r="F1804">
        <v>50.203000000000003</v>
      </c>
      <c r="G1804">
        <v>12.914999999999999</v>
      </c>
      <c r="H1804">
        <v>1</v>
      </c>
      <c r="I1804">
        <v>606.20000000000005</v>
      </c>
      <c r="J1804" t="str">
        <f>HYPERLINK("https://climate.onebuilding.org/WMO_Region_6_Europe/CZE_Czechia/KK_Karlovarsky_Karlovy_Vary/CZE_KK_Karlovy.Vary.114140_TMYx.2007-2021.zip")</f>
        <v>https://climate.onebuilding.org/WMO_Region_6_Europe/CZE_Czechia/KK_Karlovarsky_Karlovy_Vary/CZE_KK_Karlovy.Vary.114140_TMYx.2007-2021.zip</v>
      </c>
    </row>
    <row r="1805" spans="1:10" x14ac:dyDescent="0.25">
      <c r="A1805" t="s">
        <v>1189</v>
      </c>
      <c r="B1805" t="s">
        <v>26</v>
      </c>
      <c r="C1805" t="s">
        <v>1192</v>
      </c>
      <c r="D1805">
        <v>114140</v>
      </c>
      <c r="E1805" t="s">
        <v>14</v>
      </c>
      <c r="F1805">
        <v>50.203000000000003</v>
      </c>
      <c r="G1805">
        <v>12.914999999999999</v>
      </c>
      <c r="H1805">
        <v>1</v>
      </c>
      <c r="I1805">
        <v>606.20000000000005</v>
      </c>
      <c r="J1805" t="str">
        <f>HYPERLINK("https://climate.onebuilding.org/WMO_Region_6_Europe/CZE_Czechia/KK_Karlovarsky_Karlovy_Vary/CZE_KK_Karlovy.Vary.114140_TMYx.2009-2023.zip")</f>
        <v>https://climate.onebuilding.org/WMO_Region_6_Europe/CZE_Czechia/KK_Karlovarsky_Karlovy_Vary/CZE_KK_Karlovy.Vary.114140_TMYx.2009-2023.zip</v>
      </c>
    </row>
    <row r="1806" spans="1:10" x14ac:dyDescent="0.25">
      <c r="A1806" t="s">
        <v>1189</v>
      </c>
      <c r="B1806" t="s">
        <v>26</v>
      </c>
      <c r="C1806" t="s">
        <v>1192</v>
      </c>
      <c r="D1806">
        <v>114140</v>
      </c>
      <c r="E1806" t="s">
        <v>14</v>
      </c>
      <c r="F1806">
        <v>50.203000000000003</v>
      </c>
      <c r="G1806">
        <v>12.914999999999999</v>
      </c>
      <c r="H1806">
        <v>1</v>
      </c>
      <c r="I1806">
        <v>606.20000000000005</v>
      </c>
      <c r="J1806" t="str">
        <f>HYPERLINK("https://climate.onebuilding.org/WMO_Region_6_Europe/CZE_Czechia/KK_Karlovarsky_Karlovy_Vary/CZE_KK_Karlovy.Vary.114140_TMYx.zip")</f>
        <v>https://climate.onebuilding.org/WMO_Region_6_Europe/CZE_Czechia/KK_Karlovarsky_Karlovy_Vary/CZE_KK_Karlovy.Vary.114140_TMYx.zip</v>
      </c>
    </row>
    <row r="1807" spans="1:10" x14ac:dyDescent="0.25">
      <c r="A1807" t="s">
        <v>1189</v>
      </c>
      <c r="B1807" t="s">
        <v>26</v>
      </c>
      <c r="C1807" t="s">
        <v>1194</v>
      </c>
      <c r="D1807">
        <v>114180</v>
      </c>
      <c r="E1807" t="s">
        <v>14</v>
      </c>
      <c r="F1807">
        <v>49.917000000000002</v>
      </c>
      <c r="G1807">
        <v>12.717000000000001</v>
      </c>
      <c r="H1807">
        <v>1</v>
      </c>
      <c r="I1807">
        <v>541</v>
      </c>
      <c r="J1807" t="str">
        <f>HYPERLINK("https://climate.onebuilding.org/WMO_Region_6_Europe/CZE_Czechia/KK_Karlovarsky_Karlovy_Vary/CZE_KK_Marianske.Lazne.114180_TMYx.zip")</f>
        <v>https://climate.onebuilding.org/WMO_Region_6_Europe/CZE_Czechia/KK_Karlovarsky_Karlovy_Vary/CZE_KK_Marianske.Lazne.114180_TMYx.zip</v>
      </c>
    </row>
    <row r="1808" spans="1:10" x14ac:dyDescent="0.25">
      <c r="A1808" t="s">
        <v>1189</v>
      </c>
      <c r="B1808" t="s">
        <v>1195</v>
      </c>
      <c r="C1808" t="s">
        <v>1196</v>
      </c>
      <c r="D1808">
        <v>114230</v>
      </c>
      <c r="E1808" t="s">
        <v>1197</v>
      </c>
      <c r="F1808">
        <v>49.667000000000002</v>
      </c>
      <c r="G1808">
        <v>12.683</v>
      </c>
      <c r="H1808">
        <v>1</v>
      </c>
      <c r="I1808">
        <v>747.4</v>
      </c>
      <c r="J1808" t="str">
        <f>HYPERLINK("https://climate.onebuilding.org/WMO_Region_6_Europe/CZE_Czechia/PK_Plzensky_Plzen/CZE_PK_Primda.114230_TMYx.2004-2018.zip")</f>
        <v>https://climate.onebuilding.org/WMO_Region_6_Europe/CZE_Czechia/PK_Plzensky_Plzen/CZE_PK_Primda.114230_TMYx.2004-2018.zip</v>
      </c>
    </row>
    <row r="1809" spans="1:10" x14ac:dyDescent="0.25">
      <c r="A1809" t="s">
        <v>1189</v>
      </c>
      <c r="B1809" t="s">
        <v>1195</v>
      </c>
      <c r="C1809" t="s">
        <v>1196</v>
      </c>
      <c r="D1809">
        <v>114230</v>
      </c>
      <c r="E1809" t="s">
        <v>14</v>
      </c>
      <c r="F1809">
        <v>49.667000000000002</v>
      </c>
      <c r="G1809">
        <v>12.683</v>
      </c>
      <c r="H1809">
        <v>1</v>
      </c>
      <c r="I1809">
        <v>747.4</v>
      </c>
      <c r="J1809" t="str">
        <f>HYPERLINK("https://climate.onebuilding.org/WMO_Region_6_Europe/CZE_Czechia/PK_Plzensky_Plzen/CZE_PK_Primda.114230_TMYx.2007-2021.zip")</f>
        <v>https://climate.onebuilding.org/WMO_Region_6_Europe/CZE_Czechia/PK_Plzensky_Plzen/CZE_PK_Primda.114230_TMYx.2007-2021.zip</v>
      </c>
    </row>
    <row r="1810" spans="1:10" x14ac:dyDescent="0.25">
      <c r="A1810" t="s">
        <v>1189</v>
      </c>
      <c r="B1810" t="s">
        <v>1195</v>
      </c>
      <c r="C1810" t="s">
        <v>1196</v>
      </c>
      <c r="D1810">
        <v>114230</v>
      </c>
      <c r="E1810" t="s">
        <v>14</v>
      </c>
      <c r="F1810">
        <v>49.667000000000002</v>
      </c>
      <c r="G1810">
        <v>12.683</v>
      </c>
      <c r="H1810">
        <v>1</v>
      </c>
      <c r="I1810">
        <v>747.4</v>
      </c>
      <c r="J1810" t="str">
        <f>HYPERLINK("https://climate.onebuilding.org/WMO_Region_6_Europe/CZE_Czechia/PK_Plzensky_Plzen/CZE_PK_Primda.114230_TMYx.2009-2023.zip")</f>
        <v>https://climate.onebuilding.org/WMO_Region_6_Europe/CZE_Czechia/PK_Plzensky_Plzen/CZE_PK_Primda.114230_TMYx.2009-2023.zip</v>
      </c>
    </row>
    <row r="1811" spans="1:10" x14ac:dyDescent="0.25">
      <c r="A1811" t="s">
        <v>1189</v>
      </c>
      <c r="B1811" t="s">
        <v>1195</v>
      </c>
      <c r="C1811" t="s">
        <v>1196</v>
      </c>
      <c r="D1811">
        <v>114230</v>
      </c>
      <c r="E1811" t="s">
        <v>14</v>
      </c>
      <c r="F1811">
        <v>49.667000000000002</v>
      </c>
      <c r="G1811">
        <v>12.683</v>
      </c>
      <c r="H1811">
        <v>1</v>
      </c>
      <c r="I1811">
        <v>747.4</v>
      </c>
      <c r="J1811" t="str">
        <f>HYPERLINK("https://climate.onebuilding.org/WMO_Region_6_Europe/CZE_Czechia/PK_Plzensky_Plzen/CZE_PK_Primda.114230_TMYx.zip")</f>
        <v>https://climate.onebuilding.org/WMO_Region_6_Europe/CZE_Czechia/PK_Plzensky_Plzen/CZE_PK_Primda.114230_TMYx.zip</v>
      </c>
    </row>
    <row r="1812" spans="1:10" x14ac:dyDescent="0.25">
      <c r="A1812" t="s">
        <v>1189</v>
      </c>
      <c r="B1812" t="s">
        <v>1198</v>
      </c>
      <c r="C1812" t="s">
        <v>1199</v>
      </c>
      <c r="D1812">
        <v>114233</v>
      </c>
      <c r="E1812" t="s">
        <v>1200</v>
      </c>
      <c r="F1812">
        <v>49.029000000000003</v>
      </c>
      <c r="G1812">
        <v>17.440000000000001</v>
      </c>
      <c r="H1812">
        <v>1</v>
      </c>
      <c r="I1812">
        <v>177.1</v>
      </c>
      <c r="J1812" t="str">
        <f>HYPERLINK("https://climate.onebuilding.org/WMO_Region_6_Europe/CZE_Czechia/ZK_Zlinsky_Zlin/CZE_ZK_Kunovice.114233_TMYx.2004-2018.zip")</f>
        <v>https://climate.onebuilding.org/WMO_Region_6_Europe/CZE_Czechia/ZK_Zlinsky_Zlin/CZE_ZK_Kunovice.114233_TMYx.2004-2018.zip</v>
      </c>
    </row>
    <row r="1813" spans="1:10" x14ac:dyDescent="0.25">
      <c r="A1813" t="s">
        <v>1189</v>
      </c>
      <c r="B1813" t="s">
        <v>1198</v>
      </c>
      <c r="C1813" t="s">
        <v>1199</v>
      </c>
      <c r="D1813">
        <v>114233</v>
      </c>
      <c r="E1813" t="s">
        <v>14</v>
      </c>
      <c r="F1813">
        <v>49.029000000000003</v>
      </c>
      <c r="G1813">
        <v>17.440000000000001</v>
      </c>
      <c r="H1813">
        <v>1</v>
      </c>
      <c r="I1813">
        <v>177.1</v>
      </c>
      <c r="J1813" t="str">
        <f>HYPERLINK("https://climate.onebuilding.org/WMO_Region_6_Europe/CZE_Czechia/ZK_Zlinsky_Zlin/CZE_ZK_Kunovice.114233_TMYx.2007-2021.zip")</f>
        <v>https://climate.onebuilding.org/WMO_Region_6_Europe/CZE_Czechia/ZK_Zlinsky_Zlin/CZE_ZK_Kunovice.114233_TMYx.2007-2021.zip</v>
      </c>
    </row>
    <row r="1814" spans="1:10" x14ac:dyDescent="0.25">
      <c r="A1814" t="s">
        <v>1189</v>
      </c>
      <c r="B1814" t="s">
        <v>1198</v>
      </c>
      <c r="C1814" t="s">
        <v>1199</v>
      </c>
      <c r="D1814">
        <v>114233</v>
      </c>
      <c r="E1814" t="s">
        <v>14</v>
      </c>
      <c r="F1814">
        <v>49.029000000000003</v>
      </c>
      <c r="G1814">
        <v>17.440000000000001</v>
      </c>
      <c r="H1814">
        <v>1</v>
      </c>
      <c r="I1814">
        <v>177.1</v>
      </c>
      <c r="J1814" t="str">
        <f>HYPERLINK("https://climate.onebuilding.org/WMO_Region_6_Europe/CZE_Czechia/ZK_Zlinsky_Zlin/CZE_ZK_Kunovice.114233_TMYx.2009-2023.zip")</f>
        <v>https://climate.onebuilding.org/WMO_Region_6_Europe/CZE_Czechia/ZK_Zlinsky_Zlin/CZE_ZK_Kunovice.114233_TMYx.2009-2023.zip</v>
      </c>
    </row>
    <row r="1815" spans="1:10" x14ac:dyDescent="0.25">
      <c r="A1815" t="s">
        <v>1189</v>
      </c>
      <c r="B1815" t="s">
        <v>1198</v>
      </c>
      <c r="C1815" t="s">
        <v>1199</v>
      </c>
      <c r="D1815">
        <v>114233</v>
      </c>
      <c r="E1815" t="s">
        <v>14</v>
      </c>
      <c r="F1815">
        <v>49.029000000000003</v>
      </c>
      <c r="G1815">
        <v>17.440000000000001</v>
      </c>
      <c r="H1815">
        <v>1</v>
      </c>
      <c r="I1815">
        <v>177.1</v>
      </c>
      <c r="J1815" t="str">
        <f>HYPERLINK("https://climate.onebuilding.org/WMO_Region_6_Europe/CZE_Czechia/ZK_Zlinsky_Zlin/CZE_ZK_Kunovice.114233_TMYx.zip")</f>
        <v>https://climate.onebuilding.org/WMO_Region_6_Europe/CZE_Czechia/ZK_Zlinsky_Zlin/CZE_ZK_Kunovice.114233_TMYx.zip</v>
      </c>
    </row>
    <row r="1816" spans="1:10" x14ac:dyDescent="0.25">
      <c r="A1816" t="s">
        <v>1189</v>
      </c>
      <c r="B1816" t="s">
        <v>1201</v>
      </c>
      <c r="C1816" t="s">
        <v>1202</v>
      </c>
      <c r="D1816">
        <v>114380</v>
      </c>
      <c r="E1816" t="s">
        <v>1203</v>
      </c>
      <c r="F1816">
        <v>50.383000000000003</v>
      </c>
      <c r="G1816">
        <v>13.333</v>
      </c>
      <c r="H1816">
        <v>1</v>
      </c>
      <c r="I1816">
        <v>326.2</v>
      </c>
      <c r="J1816" t="str">
        <f>HYPERLINK("https://climate.onebuilding.org/WMO_Region_6_Europe/CZE_Czechia/UK_Ustecky_Usti_nad_Labem/CZE_UK_Tusimice.114380_TMYx.2004-2018.zip")</f>
        <v>https://climate.onebuilding.org/WMO_Region_6_Europe/CZE_Czechia/UK_Ustecky_Usti_nad_Labem/CZE_UK_Tusimice.114380_TMYx.2004-2018.zip</v>
      </c>
    </row>
    <row r="1817" spans="1:10" x14ac:dyDescent="0.25">
      <c r="A1817" t="s">
        <v>1189</v>
      </c>
      <c r="B1817" t="s">
        <v>1201</v>
      </c>
      <c r="C1817" t="s">
        <v>1202</v>
      </c>
      <c r="D1817">
        <v>114380</v>
      </c>
      <c r="E1817" t="s">
        <v>14</v>
      </c>
      <c r="F1817">
        <v>50.383000000000003</v>
      </c>
      <c r="G1817">
        <v>13.333</v>
      </c>
      <c r="H1817">
        <v>1</v>
      </c>
      <c r="I1817">
        <v>326.2</v>
      </c>
      <c r="J1817" t="str">
        <f>HYPERLINK("https://climate.onebuilding.org/WMO_Region_6_Europe/CZE_Czechia/UK_Ustecky_Usti_nad_Labem/CZE_UK_Tusimice.114380_TMYx.2007-2021.zip")</f>
        <v>https://climate.onebuilding.org/WMO_Region_6_Europe/CZE_Czechia/UK_Ustecky_Usti_nad_Labem/CZE_UK_Tusimice.114380_TMYx.2007-2021.zip</v>
      </c>
    </row>
    <row r="1818" spans="1:10" x14ac:dyDescent="0.25">
      <c r="A1818" t="s">
        <v>1189</v>
      </c>
      <c r="B1818" t="s">
        <v>1201</v>
      </c>
      <c r="C1818" t="s">
        <v>1202</v>
      </c>
      <c r="D1818">
        <v>114380</v>
      </c>
      <c r="E1818" t="s">
        <v>14</v>
      </c>
      <c r="F1818">
        <v>50.383000000000003</v>
      </c>
      <c r="G1818">
        <v>13.333</v>
      </c>
      <c r="H1818">
        <v>1</v>
      </c>
      <c r="I1818">
        <v>326.2</v>
      </c>
      <c r="J1818" t="str">
        <f>HYPERLINK("https://climate.onebuilding.org/WMO_Region_6_Europe/CZE_Czechia/UK_Ustecky_Usti_nad_Labem/CZE_UK_Tusimice.114380_TMYx.2009-2023.zip")</f>
        <v>https://climate.onebuilding.org/WMO_Region_6_Europe/CZE_Czechia/UK_Ustecky_Usti_nad_Labem/CZE_UK_Tusimice.114380_TMYx.2009-2023.zip</v>
      </c>
    </row>
    <row r="1819" spans="1:10" x14ac:dyDescent="0.25">
      <c r="A1819" t="s">
        <v>1189</v>
      </c>
      <c r="B1819" t="s">
        <v>1201</v>
      </c>
      <c r="C1819" t="s">
        <v>1202</v>
      </c>
      <c r="D1819">
        <v>114380</v>
      </c>
      <c r="E1819" t="s">
        <v>14</v>
      </c>
      <c r="F1819">
        <v>50.383000000000003</v>
      </c>
      <c r="G1819">
        <v>13.333</v>
      </c>
      <c r="H1819">
        <v>1</v>
      </c>
      <c r="I1819">
        <v>326.2</v>
      </c>
      <c r="J1819" t="str">
        <f>HYPERLINK("https://climate.onebuilding.org/WMO_Region_6_Europe/CZE_Czechia/UK_Ustecky_Usti_nad_Labem/CZE_UK_Tusimice.114380_TMYx.zip")</f>
        <v>https://climate.onebuilding.org/WMO_Region_6_Europe/CZE_Czechia/UK_Ustecky_Usti_nad_Labem/CZE_UK_Tusimice.114380_TMYx.zip</v>
      </c>
    </row>
    <row r="1820" spans="1:10" x14ac:dyDescent="0.25">
      <c r="A1820" t="s">
        <v>1189</v>
      </c>
      <c r="B1820" t="s">
        <v>1195</v>
      </c>
      <c r="C1820" t="s">
        <v>1204</v>
      </c>
      <c r="D1820">
        <v>114480</v>
      </c>
      <c r="E1820" t="s">
        <v>1205</v>
      </c>
      <c r="F1820">
        <v>49.674999999999997</v>
      </c>
      <c r="G1820">
        <v>13.275</v>
      </c>
      <c r="H1820">
        <v>1</v>
      </c>
      <c r="I1820">
        <v>362.1</v>
      </c>
      <c r="J1820" t="str">
        <f>HYPERLINK("https://climate.onebuilding.org/WMO_Region_6_Europe/CZE_Czechia/PK_Plzensky_Plzen/CZE_PK_Plzen-Line.AP.114480_TMYx.2004-2018.zip")</f>
        <v>https://climate.onebuilding.org/WMO_Region_6_Europe/CZE_Czechia/PK_Plzensky_Plzen/CZE_PK_Plzen-Line.AP.114480_TMYx.2004-2018.zip</v>
      </c>
    </row>
    <row r="1821" spans="1:10" x14ac:dyDescent="0.25">
      <c r="A1821" t="s">
        <v>1189</v>
      </c>
      <c r="B1821" t="s">
        <v>1195</v>
      </c>
      <c r="C1821" t="s">
        <v>1204</v>
      </c>
      <c r="D1821">
        <v>114480</v>
      </c>
      <c r="E1821" t="s">
        <v>14</v>
      </c>
      <c r="F1821">
        <v>49.674999999999997</v>
      </c>
      <c r="G1821">
        <v>13.275</v>
      </c>
      <c r="H1821">
        <v>1</v>
      </c>
      <c r="I1821">
        <v>362.1</v>
      </c>
      <c r="J1821" t="str">
        <f>HYPERLINK("https://climate.onebuilding.org/WMO_Region_6_Europe/CZE_Czechia/PK_Plzensky_Plzen/CZE_PK_Plzen-Line.AP.114480_TMYx.2007-2021.zip")</f>
        <v>https://climate.onebuilding.org/WMO_Region_6_Europe/CZE_Czechia/PK_Plzensky_Plzen/CZE_PK_Plzen-Line.AP.114480_TMYx.2007-2021.zip</v>
      </c>
    </row>
    <row r="1822" spans="1:10" x14ac:dyDescent="0.25">
      <c r="A1822" t="s">
        <v>1189</v>
      </c>
      <c r="B1822" t="s">
        <v>1195</v>
      </c>
      <c r="C1822" t="s">
        <v>1204</v>
      </c>
      <c r="D1822">
        <v>114480</v>
      </c>
      <c r="E1822" t="s">
        <v>14</v>
      </c>
      <c r="F1822">
        <v>49.674999999999997</v>
      </c>
      <c r="G1822">
        <v>13.275</v>
      </c>
      <c r="H1822">
        <v>1</v>
      </c>
      <c r="I1822">
        <v>362.1</v>
      </c>
      <c r="J1822" t="str">
        <f>HYPERLINK("https://climate.onebuilding.org/WMO_Region_6_Europe/CZE_Czechia/PK_Plzensky_Plzen/CZE_PK_Plzen-Line.AP.114480_TMYx.2009-2023.zip")</f>
        <v>https://climate.onebuilding.org/WMO_Region_6_Europe/CZE_Czechia/PK_Plzensky_Plzen/CZE_PK_Plzen-Line.AP.114480_TMYx.2009-2023.zip</v>
      </c>
    </row>
    <row r="1823" spans="1:10" x14ac:dyDescent="0.25">
      <c r="A1823" t="s">
        <v>1189</v>
      </c>
      <c r="B1823" t="s">
        <v>1195</v>
      </c>
      <c r="C1823" t="s">
        <v>1204</v>
      </c>
      <c r="D1823">
        <v>114480</v>
      </c>
      <c r="E1823" t="s">
        <v>14</v>
      </c>
      <c r="F1823">
        <v>49.674999999999997</v>
      </c>
      <c r="G1823">
        <v>13.275</v>
      </c>
      <c r="H1823">
        <v>1</v>
      </c>
      <c r="I1823">
        <v>362.1</v>
      </c>
      <c r="J1823" t="str">
        <f>HYPERLINK("https://climate.onebuilding.org/WMO_Region_6_Europe/CZE_Czechia/PK_Plzensky_Plzen/CZE_PK_Plzen-Line.AP.114480_TMYx.zip")</f>
        <v>https://climate.onebuilding.org/WMO_Region_6_Europe/CZE_Czechia/PK_Plzensky_Plzen/CZE_PK_Plzen-Line.AP.114480_TMYx.zip</v>
      </c>
    </row>
    <row r="1824" spans="1:10" x14ac:dyDescent="0.25">
      <c r="A1824" t="s">
        <v>1189</v>
      </c>
      <c r="B1824" t="s">
        <v>1195</v>
      </c>
      <c r="C1824" t="s">
        <v>1206</v>
      </c>
      <c r="D1824">
        <v>114500</v>
      </c>
      <c r="E1824" t="s">
        <v>1207</v>
      </c>
      <c r="F1824">
        <v>49.767000000000003</v>
      </c>
      <c r="G1824">
        <v>13.382999999999999</v>
      </c>
      <c r="H1824">
        <v>1</v>
      </c>
      <c r="I1824">
        <v>371.5</v>
      </c>
      <c r="J1824" t="str">
        <f>HYPERLINK("https://climate.onebuilding.org/WMO_Region_6_Europe/CZE_Czechia/PK_Plzensky_Plzen/CZE_PK_Plzen-Mikulka.114500_TMYx.2004-2018.zip")</f>
        <v>https://climate.onebuilding.org/WMO_Region_6_Europe/CZE_Czechia/PK_Plzensky_Plzen/CZE_PK_Plzen-Mikulka.114500_TMYx.2004-2018.zip</v>
      </c>
    </row>
    <row r="1825" spans="1:10" x14ac:dyDescent="0.25">
      <c r="A1825" t="s">
        <v>1189</v>
      </c>
      <c r="B1825" t="s">
        <v>1195</v>
      </c>
      <c r="C1825" t="s">
        <v>1206</v>
      </c>
      <c r="D1825">
        <v>114500</v>
      </c>
      <c r="E1825" t="s">
        <v>14</v>
      </c>
      <c r="F1825">
        <v>49.767000000000003</v>
      </c>
      <c r="G1825">
        <v>13.382999999999999</v>
      </c>
      <c r="H1825">
        <v>1</v>
      </c>
      <c r="I1825">
        <v>371.5</v>
      </c>
      <c r="J1825" t="str">
        <f>HYPERLINK("https://climate.onebuilding.org/WMO_Region_6_Europe/CZE_Czechia/PK_Plzensky_Plzen/CZE_PK_Plzen-Mikulka.114500_TMYx.2007-2021.zip")</f>
        <v>https://climate.onebuilding.org/WMO_Region_6_Europe/CZE_Czechia/PK_Plzensky_Plzen/CZE_PK_Plzen-Mikulka.114500_TMYx.2007-2021.zip</v>
      </c>
    </row>
    <row r="1826" spans="1:10" x14ac:dyDescent="0.25">
      <c r="A1826" t="s">
        <v>1189</v>
      </c>
      <c r="B1826" t="s">
        <v>1195</v>
      </c>
      <c r="C1826" t="s">
        <v>1206</v>
      </c>
      <c r="D1826">
        <v>114500</v>
      </c>
      <c r="E1826" t="s">
        <v>14</v>
      </c>
      <c r="F1826">
        <v>49.767000000000003</v>
      </c>
      <c r="G1826">
        <v>13.382999999999999</v>
      </c>
      <c r="H1826">
        <v>1</v>
      </c>
      <c r="I1826">
        <v>371.5</v>
      </c>
      <c r="J1826" t="str">
        <f>HYPERLINK("https://climate.onebuilding.org/WMO_Region_6_Europe/CZE_Czechia/PK_Plzensky_Plzen/CZE_PK_Plzen-Mikulka.114500_TMYx.2009-2023.zip")</f>
        <v>https://climate.onebuilding.org/WMO_Region_6_Europe/CZE_Czechia/PK_Plzensky_Plzen/CZE_PK_Plzen-Mikulka.114500_TMYx.2009-2023.zip</v>
      </c>
    </row>
    <row r="1827" spans="1:10" x14ac:dyDescent="0.25">
      <c r="A1827" t="s">
        <v>1189</v>
      </c>
      <c r="B1827" t="s">
        <v>1195</v>
      </c>
      <c r="C1827" t="s">
        <v>1206</v>
      </c>
      <c r="D1827">
        <v>114500</v>
      </c>
      <c r="E1827" t="s">
        <v>14</v>
      </c>
      <c r="F1827">
        <v>49.767000000000003</v>
      </c>
      <c r="G1827">
        <v>13.382999999999999</v>
      </c>
      <c r="H1827">
        <v>1</v>
      </c>
      <c r="I1827">
        <v>371.5</v>
      </c>
      <c r="J1827" t="str">
        <f>HYPERLINK("https://climate.onebuilding.org/WMO_Region_6_Europe/CZE_Czechia/PK_Plzensky_Plzen/CZE_PK_Plzen-Mikulka.114500_TMYx.zip")</f>
        <v>https://climate.onebuilding.org/WMO_Region_6_Europe/CZE_Czechia/PK_Plzensky_Plzen/CZE_PK_Plzen-Mikulka.114500_TMYx.zip</v>
      </c>
    </row>
    <row r="1828" spans="1:10" x14ac:dyDescent="0.25">
      <c r="A1828" t="s">
        <v>1189</v>
      </c>
      <c r="B1828" t="s">
        <v>1195</v>
      </c>
      <c r="C1828" t="s">
        <v>1208</v>
      </c>
      <c r="D1828">
        <v>114550</v>
      </c>
      <c r="E1828" t="s">
        <v>78</v>
      </c>
      <c r="F1828">
        <v>49.383000000000003</v>
      </c>
      <c r="G1828">
        <v>13.3</v>
      </c>
      <c r="H1828">
        <v>1</v>
      </c>
      <c r="I1828">
        <v>397</v>
      </c>
      <c r="J1828" t="str">
        <f>HYPERLINK("https://climate.onebuilding.org/WMO_Region_6_Europe/CZE_Czechia/PK_Plzensky_Plzen/CZE_PK_Luby.114550_TMYx.2007-2021.zip")</f>
        <v>https://climate.onebuilding.org/WMO_Region_6_Europe/CZE_Czechia/PK_Plzensky_Plzen/CZE_PK_Luby.114550_TMYx.2007-2021.zip</v>
      </c>
    </row>
    <row r="1829" spans="1:10" x14ac:dyDescent="0.25">
      <c r="A1829" t="s">
        <v>1189</v>
      </c>
      <c r="B1829" t="s">
        <v>1195</v>
      </c>
      <c r="C1829" t="s">
        <v>1208</v>
      </c>
      <c r="D1829">
        <v>114550</v>
      </c>
      <c r="E1829" t="s">
        <v>78</v>
      </c>
      <c r="F1829">
        <v>49.383000000000003</v>
      </c>
      <c r="G1829">
        <v>13.3</v>
      </c>
      <c r="H1829">
        <v>1</v>
      </c>
      <c r="I1829">
        <v>397</v>
      </c>
      <c r="J1829" t="str">
        <f>HYPERLINK("https://climate.onebuilding.org/WMO_Region_6_Europe/CZE_Czechia/PK_Plzensky_Plzen/CZE_PK_Luby.114550_TMYx.2009-2023.zip")</f>
        <v>https://climate.onebuilding.org/WMO_Region_6_Europe/CZE_Czechia/PK_Plzensky_Plzen/CZE_PK_Luby.114550_TMYx.2009-2023.zip</v>
      </c>
    </row>
    <row r="1830" spans="1:10" x14ac:dyDescent="0.25">
      <c r="A1830" t="s">
        <v>1189</v>
      </c>
      <c r="B1830" t="s">
        <v>1195</v>
      </c>
      <c r="C1830" t="s">
        <v>1208</v>
      </c>
      <c r="D1830">
        <v>114550</v>
      </c>
      <c r="E1830" t="s">
        <v>78</v>
      </c>
      <c r="F1830">
        <v>49.383000000000003</v>
      </c>
      <c r="G1830">
        <v>13.3</v>
      </c>
      <c r="H1830">
        <v>1</v>
      </c>
      <c r="I1830">
        <v>397</v>
      </c>
      <c r="J1830" t="str">
        <f>HYPERLINK("https://climate.onebuilding.org/WMO_Region_6_Europe/CZE_Czechia/PK_Plzensky_Plzen/CZE_PK_Luby.114550_TMYx.zip")</f>
        <v>https://climate.onebuilding.org/WMO_Region_6_Europe/CZE_Czechia/PK_Plzensky_Plzen/CZE_PK_Luby.114550_TMYx.zip</v>
      </c>
    </row>
    <row r="1831" spans="1:10" x14ac:dyDescent="0.25">
      <c r="A1831" t="s">
        <v>1189</v>
      </c>
      <c r="B1831" t="s">
        <v>1209</v>
      </c>
      <c r="C1831" t="s">
        <v>1210</v>
      </c>
      <c r="D1831">
        <v>114570</v>
      </c>
      <c r="E1831" t="s">
        <v>1211</v>
      </c>
      <c r="F1831">
        <v>49.067</v>
      </c>
      <c r="G1831">
        <v>13.617000000000001</v>
      </c>
      <c r="H1831">
        <v>1</v>
      </c>
      <c r="I1831">
        <v>1122.2</v>
      </c>
      <c r="J1831" t="str">
        <f>HYPERLINK("https://climate.onebuilding.org/WMO_Region_6_Europe/CZE_Czechia/CK_Jihocesky_South_Bohemia/CZE_CK_Churanov.114570_TMYx.2004-2018.zip")</f>
        <v>https://climate.onebuilding.org/WMO_Region_6_Europe/CZE_Czechia/CK_Jihocesky_South_Bohemia/CZE_CK_Churanov.114570_TMYx.2004-2018.zip</v>
      </c>
    </row>
    <row r="1832" spans="1:10" x14ac:dyDescent="0.25">
      <c r="A1832" t="s">
        <v>1189</v>
      </c>
      <c r="B1832" t="s">
        <v>1209</v>
      </c>
      <c r="C1832" t="s">
        <v>1210</v>
      </c>
      <c r="D1832">
        <v>114570</v>
      </c>
      <c r="E1832" t="s">
        <v>14</v>
      </c>
      <c r="F1832">
        <v>49.067</v>
      </c>
      <c r="G1832">
        <v>13.617000000000001</v>
      </c>
      <c r="H1832">
        <v>1</v>
      </c>
      <c r="I1832">
        <v>1122.2</v>
      </c>
      <c r="J1832" t="str">
        <f>HYPERLINK("https://climate.onebuilding.org/WMO_Region_6_Europe/CZE_Czechia/CK_Jihocesky_South_Bohemia/CZE_CK_Churanov.114570_TMYx.2007-2021.zip")</f>
        <v>https://climate.onebuilding.org/WMO_Region_6_Europe/CZE_Czechia/CK_Jihocesky_South_Bohemia/CZE_CK_Churanov.114570_TMYx.2007-2021.zip</v>
      </c>
    </row>
    <row r="1833" spans="1:10" x14ac:dyDescent="0.25">
      <c r="A1833" t="s">
        <v>1189</v>
      </c>
      <c r="B1833" t="s">
        <v>1209</v>
      </c>
      <c r="C1833" t="s">
        <v>1210</v>
      </c>
      <c r="D1833">
        <v>114570</v>
      </c>
      <c r="E1833" t="s">
        <v>14</v>
      </c>
      <c r="F1833">
        <v>49.067</v>
      </c>
      <c r="G1833">
        <v>13.617000000000001</v>
      </c>
      <c r="H1833">
        <v>1</v>
      </c>
      <c r="I1833">
        <v>1122.2</v>
      </c>
      <c r="J1833" t="str">
        <f>HYPERLINK("https://climate.onebuilding.org/WMO_Region_6_Europe/CZE_Czechia/CK_Jihocesky_South_Bohemia/CZE_CK_Churanov.114570_TMYx.2009-2023.zip")</f>
        <v>https://climate.onebuilding.org/WMO_Region_6_Europe/CZE_Czechia/CK_Jihocesky_South_Bohemia/CZE_CK_Churanov.114570_TMYx.2009-2023.zip</v>
      </c>
    </row>
    <row r="1834" spans="1:10" x14ac:dyDescent="0.25">
      <c r="A1834" t="s">
        <v>1189</v>
      </c>
      <c r="B1834" t="s">
        <v>1209</v>
      </c>
      <c r="C1834" t="s">
        <v>1210</v>
      </c>
      <c r="D1834">
        <v>114570</v>
      </c>
      <c r="E1834" t="s">
        <v>14</v>
      </c>
      <c r="F1834">
        <v>49.067</v>
      </c>
      <c r="G1834">
        <v>13.617000000000001</v>
      </c>
      <c r="H1834">
        <v>1</v>
      </c>
      <c r="I1834">
        <v>1122.2</v>
      </c>
      <c r="J1834" t="str">
        <f>HYPERLINK("https://climate.onebuilding.org/WMO_Region_6_Europe/CZE_Czechia/CK_Jihocesky_South_Bohemia/CZE_CK_Churanov.114570_TMYx.zip")</f>
        <v>https://climate.onebuilding.org/WMO_Region_6_Europe/CZE_Czechia/CK_Jihocesky_South_Bohemia/CZE_CK_Churanov.114570_TMYx.zip</v>
      </c>
    </row>
    <row r="1835" spans="1:10" x14ac:dyDescent="0.25">
      <c r="A1835" t="s">
        <v>1189</v>
      </c>
      <c r="B1835" t="s">
        <v>1201</v>
      </c>
      <c r="C1835" t="s">
        <v>1212</v>
      </c>
      <c r="D1835">
        <v>114640</v>
      </c>
      <c r="E1835" t="s">
        <v>1213</v>
      </c>
      <c r="F1835">
        <v>50.55</v>
      </c>
      <c r="G1835">
        <v>13.933</v>
      </c>
      <c r="H1835">
        <v>1</v>
      </c>
      <c r="I1835">
        <v>842.6</v>
      </c>
      <c r="J1835" t="str">
        <f>HYPERLINK("https://climate.onebuilding.org/WMO_Region_6_Europe/CZE_Czechia/UK_Ustecky_Usti_nad_Labem/CZE_UK_Milesovka.114640_TMYx.2004-2018.zip")</f>
        <v>https://climate.onebuilding.org/WMO_Region_6_Europe/CZE_Czechia/UK_Ustecky_Usti_nad_Labem/CZE_UK_Milesovka.114640_TMYx.2004-2018.zip</v>
      </c>
    </row>
    <row r="1836" spans="1:10" x14ac:dyDescent="0.25">
      <c r="A1836" t="s">
        <v>1189</v>
      </c>
      <c r="B1836" t="s">
        <v>1201</v>
      </c>
      <c r="C1836" t="s">
        <v>1212</v>
      </c>
      <c r="D1836">
        <v>114640</v>
      </c>
      <c r="E1836" t="s">
        <v>14</v>
      </c>
      <c r="F1836">
        <v>50.55</v>
      </c>
      <c r="G1836">
        <v>13.933</v>
      </c>
      <c r="H1836">
        <v>1</v>
      </c>
      <c r="I1836">
        <v>842.6</v>
      </c>
      <c r="J1836" t="str">
        <f>HYPERLINK("https://climate.onebuilding.org/WMO_Region_6_Europe/CZE_Czechia/UK_Ustecky_Usti_nad_Labem/CZE_UK_Milesovka.114640_TMYx.2007-2021.zip")</f>
        <v>https://climate.onebuilding.org/WMO_Region_6_Europe/CZE_Czechia/UK_Ustecky_Usti_nad_Labem/CZE_UK_Milesovka.114640_TMYx.2007-2021.zip</v>
      </c>
    </row>
    <row r="1837" spans="1:10" x14ac:dyDescent="0.25">
      <c r="A1837" t="s">
        <v>1189</v>
      </c>
      <c r="B1837" t="s">
        <v>1201</v>
      </c>
      <c r="C1837" t="s">
        <v>1212</v>
      </c>
      <c r="D1837">
        <v>114640</v>
      </c>
      <c r="E1837" t="s">
        <v>14</v>
      </c>
      <c r="F1837">
        <v>50.55</v>
      </c>
      <c r="G1837">
        <v>13.933</v>
      </c>
      <c r="H1837">
        <v>1</v>
      </c>
      <c r="I1837">
        <v>842.6</v>
      </c>
      <c r="J1837" t="str">
        <f>HYPERLINK("https://climate.onebuilding.org/WMO_Region_6_Europe/CZE_Czechia/UK_Ustecky_Usti_nad_Labem/CZE_UK_Milesovka.114640_TMYx.2009-2023.zip")</f>
        <v>https://climate.onebuilding.org/WMO_Region_6_Europe/CZE_Czechia/UK_Ustecky_Usti_nad_Labem/CZE_UK_Milesovka.114640_TMYx.2009-2023.zip</v>
      </c>
    </row>
    <row r="1838" spans="1:10" x14ac:dyDescent="0.25">
      <c r="A1838" t="s">
        <v>1189</v>
      </c>
      <c r="B1838" t="s">
        <v>1201</v>
      </c>
      <c r="C1838" t="s">
        <v>1212</v>
      </c>
      <c r="D1838">
        <v>114640</v>
      </c>
      <c r="E1838" t="s">
        <v>14</v>
      </c>
      <c r="F1838">
        <v>50.55</v>
      </c>
      <c r="G1838">
        <v>13.933</v>
      </c>
      <c r="H1838">
        <v>1</v>
      </c>
      <c r="I1838">
        <v>842.6</v>
      </c>
      <c r="J1838" t="str">
        <f>HYPERLINK("https://climate.onebuilding.org/WMO_Region_6_Europe/CZE_Czechia/UK_Ustecky_Usti_nad_Labem/CZE_UK_Milesovka.114640_TMYx.zip")</f>
        <v>https://climate.onebuilding.org/WMO_Region_6_Europe/CZE_Czechia/UK_Ustecky_Usti_nad_Labem/CZE_UK_Milesovka.114640_TMYx.zip</v>
      </c>
    </row>
    <row r="1839" spans="1:10" x14ac:dyDescent="0.25">
      <c r="A1839" t="s">
        <v>1189</v>
      </c>
      <c r="B1839" t="s">
        <v>1201</v>
      </c>
      <c r="C1839" t="s">
        <v>1214</v>
      </c>
      <c r="D1839">
        <v>114650</v>
      </c>
      <c r="E1839" t="s">
        <v>78</v>
      </c>
      <c r="F1839">
        <v>50.650799999999997</v>
      </c>
      <c r="G1839">
        <v>13.793699999999999</v>
      </c>
      <c r="H1839">
        <v>1</v>
      </c>
      <c r="I1839">
        <v>266</v>
      </c>
      <c r="J1839" t="str">
        <f>HYPERLINK("https://climate.onebuilding.org/WMO_Region_6_Europe/CZE_Czechia/UK_Ustecky_Usti_nad_Labem/CZE_UK_Teplice.114650_TMYx.2007-2021.zip")</f>
        <v>https://climate.onebuilding.org/WMO_Region_6_Europe/CZE_Czechia/UK_Ustecky_Usti_nad_Labem/CZE_UK_Teplice.114650_TMYx.2007-2021.zip</v>
      </c>
    </row>
    <row r="1840" spans="1:10" x14ac:dyDescent="0.25">
      <c r="A1840" t="s">
        <v>1189</v>
      </c>
      <c r="B1840" t="s">
        <v>1201</v>
      </c>
      <c r="C1840" t="s">
        <v>1214</v>
      </c>
      <c r="D1840">
        <v>114650</v>
      </c>
      <c r="E1840" t="s">
        <v>78</v>
      </c>
      <c r="F1840">
        <v>50.650799999999997</v>
      </c>
      <c r="G1840">
        <v>13.793699999999999</v>
      </c>
      <c r="H1840">
        <v>1</v>
      </c>
      <c r="I1840">
        <v>266</v>
      </c>
      <c r="J1840" t="str">
        <f>HYPERLINK("https://climate.onebuilding.org/WMO_Region_6_Europe/CZE_Czechia/UK_Ustecky_Usti_nad_Labem/CZE_UK_Teplice.114650_TMYx.2009-2023.zip")</f>
        <v>https://climate.onebuilding.org/WMO_Region_6_Europe/CZE_Czechia/UK_Ustecky_Usti_nad_Labem/CZE_UK_Teplice.114650_TMYx.2009-2023.zip</v>
      </c>
    </row>
    <row r="1841" spans="1:10" x14ac:dyDescent="0.25">
      <c r="A1841" t="s">
        <v>1189</v>
      </c>
      <c r="B1841" t="s">
        <v>1201</v>
      </c>
      <c r="C1841" t="s">
        <v>1214</v>
      </c>
      <c r="D1841">
        <v>114650</v>
      </c>
      <c r="E1841" t="s">
        <v>78</v>
      </c>
      <c r="F1841">
        <v>50.650799999999997</v>
      </c>
      <c r="G1841">
        <v>13.793699999999999</v>
      </c>
      <c r="H1841">
        <v>1</v>
      </c>
      <c r="I1841">
        <v>266</v>
      </c>
      <c r="J1841" t="str">
        <f>HYPERLINK("https://climate.onebuilding.org/WMO_Region_6_Europe/CZE_Czechia/UK_Ustecky_Usti_nad_Labem/CZE_UK_Teplice.114650_TMYx.zip")</f>
        <v>https://climate.onebuilding.org/WMO_Region_6_Europe/CZE_Czechia/UK_Ustecky_Usti_nad_Labem/CZE_UK_Teplice.114650_TMYx.zip</v>
      </c>
    </row>
    <row r="1842" spans="1:10" x14ac:dyDescent="0.25">
      <c r="A1842" t="s">
        <v>1189</v>
      </c>
      <c r="B1842" t="s">
        <v>1209</v>
      </c>
      <c r="C1842" t="s">
        <v>1215</v>
      </c>
      <c r="D1842">
        <v>114870</v>
      </c>
      <c r="E1842" t="s">
        <v>1216</v>
      </c>
      <c r="F1842">
        <v>49.466999999999999</v>
      </c>
      <c r="G1842">
        <v>13.833</v>
      </c>
      <c r="H1842">
        <v>1</v>
      </c>
      <c r="I1842">
        <v>521.9</v>
      </c>
      <c r="J1842" t="str">
        <f>HYPERLINK("https://climate.onebuilding.org/WMO_Region_6_Europe/CZE_Czechia/CK_Jihocesky_South_Bohemia/CZE_CK_Kocelovice.114870_TMYx.2004-2018.zip")</f>
        <v>https://climate.onebuilding.org/WMO_Region_6_Europe/CZE_Czechia/CK_Jihocesky_South_Bohemia/CZE_CK_Kocelovice.114870_TMYx.2004-2018.zip</v>
      </c>
    </row>
    <row r="1843" spans="1:10" x14ac:dyDescent="0.25">
      <c r="A1843" t="s">
        <v>1189</v>
      </c>
      <c r="B1843" t="s">
        <v>1209</v>
      </c>
      <c r="C1843" t="s">
        <v>1215</v>
      </c>
      <c r="D1843">
        <v>114870</v>
      </c>
      <c r="E1843" t="s">
        <v>14</v>
      </c>
      <c r="F1843">
        <v>49.466999999999999</v>
      </c>
      <c r="G1843">
        <v>13.833</v>
      </c>
      <c r="H1843">
        <v>1</v>
      </c>
      <c r="I1843">
        <v>521.9</v>
      </c>
      <c r="J1843" t="str">
        <f>HYPERLINK("https://climate.onebuilding.org/WMO_Region_6_Europe/CZE_Czechia/CK_Jihocesky_South_Bohemia/CZE_CK_Kocelovice.114870_TMYx.2007-2021.zip")</f>
        <v>https://climate.onebuilding.org/WMO_Region_6_Europe/CZE_Czechia/CK_Jihocesky_South_Bohemia/CZE_CK_Kocelovice.114870_TMYx.2007-2021.zip</v>
      </c>
    </row>
    <row r="1844" spans="1:10" x14ac:dyDescent="0.25">
      <c r="A1844" t="s">
        <v>1189</v>
      </c>
      <c r="B1844" t="s">
        <v>1209</v>
      </c>
      <c r="C1844" t="s">
        <v>1215</v>
      </c>
      <c r="D1844">
        <v>114870</v>
      </c>
      <c r="E1844" t="s">
        <v>14</v>
      </c>
      <c r="F1844">
        <v>49.466999999999999</v>
      </c>
      <c r="G1844">
        <v>13.833</v>
      </c>
      <c r="H1844">
        <v>1</v>
      </c>
      <c r="I1844">
        <v>521.9</v>
      </c>
      <c r="J1844" t="str">
        <f>HYPERLINK("https://climate.onebuilding.org/WMO_Region_6_Europe/CZE_Czechia/CK_Jihocesky_South_Bohemia/CZE_CK_Kocelovice.114870_TMYx.2009-2023.zip")</f>
        <v>https://climate.onebuilding.org/WMO_Region_6_Europe/CZE_Czechia/CK_Jihocesky_South_Bohemia/CZE_CK_Kocelovice.114870_TMYx.2009-2023.zip</v>
      </c>
    </row>
    <row r="1845" spans="1:10" x14ac:dyDescent="0.25">
      <c r="A1845" t="s">
        <v>1189</v>
      </c>
      <c r="B1845" t="s">
        <v>1209</v>
      </c>
      <c r="C1845" t="s">
        <v>1215</v>
      </c>
      <c r="D1845">
        <v>114870</v>
      </c>
      <c r="E1845" t="s">
        <v>14</v>
      </c>
      <c r="F1845">
        <v>49.466999999999999</v>
      </c>
      <c r="G1845">
        <v>13.833</v>
      </c>
      <c r="H1845">
        <v>1</v>
      </c>
      <c r="I1845">
        <v>521.9</v>
      </c>
      <c r="J1845" t="str">
        <f>HYPERLINK("https://climate.onebuilding.org/WMO_Region_6_Europe/CZE_Czechia/CK_Jihocesky_South_Bohemia/CZE_CK_Kocelovice.114870_TMYx.zip")</f>
        <v>https://climate.onebuilding.org/WMO_Region_6_Europe/CZE_Czechia/CK_Jihocesky_South_Bohemia/CZE_CK_Kocelovice.114870_TMYx.zip</v>
      </c>
    </row>
    <row r="1846" spans="1:10" x14ac:dyDescent="0.25">
      <c r="A1846" t="s">
        <v>1189</v>
      </c>
      <c r="B1846" t="s">
        <v>1201</v>
      </c>
      <c r="C1846" t="s">
        <v>1217</v>
      </c>
      <c r="D1846">
        <v>115020</v>
      </c>
      <c r="E1846" t="s">
        <v>1218</v>
      </c>
      <c r="F1846">
        <v>50.683</v>
      </c>
      <c r="G1846">
        <v>14.032999999999999</v>
      </c>
      <c r="H1846">
        <v>1</v>
      </c>
      <c r="I1846">
        <v>378.6</v>
      </c>
      <c r="J1846" t="str">
        <f>HYPERLINK("https://climate.onebuilding.org/WMO_Region_6_Europe/CZE_Czechia/UK_Ustecky_Usti_nad_Labem/CZE_UK_Usti.nad.Labem.115020_TMYx.2004-2018.zip")</f>
        <v>https://climate.onebuilding.org/WMO_Region_6_Europe/CZE_Czechia/UK_Ustecky_Usti_nad_Labem/CZE_UK_Usti.nad.Labem.115020_TMYx.2004-2018.zip</v>
      </c>
    </row>
    <row r="1847" spans="1:10" x14ac:dyDescent="0.25">
      <c r="A1847" t="s">
        <v>1189</v>
      </c>
      <c r="B1847" t="s">
        <v>1201</v>
      </c>
      <c r="C1847" t="s">
        <v>1217</v>
      </c>
      <c r="D1847">
        <v>115020</v>
      </c>
      <c r="E1847" t="s">
        <v>14</v>
      </c>
      <c r="F1847">
        <v>50.683</v>
      </c>
      <c r="G1847">
        <v>14.032999999999999</v>
      </c>
      <c r="H1847">
        <v>1</v>
      </c>
      <c r="I1847">
        <v>378.6</v>
      </c>
      <c r="J1847" t="str">
        <f>HYPERLINK("https://climate.onebuilding.org/WMO_Region_6_Europe/CZE_Czechia/UK_Ustecky_Usti_nad_Labem/CZE_UK_Usti.nad.Labem.115020_TMYx.2007-2021.zip")</f>
        <v>https://climate.onebuilding.org/WMO_Region_6_Europe/CZE_Czechia/UK_Ustecky_Usti_nad_Labem/CZE_UK_Usti.nad.Labem.115020_TMYx.2007-2021.zip</v>
      </c>
    </row>
    <row r="1848" spans="1:10" x14ac:dyDescent="0.25">
      <c r="A1848" t="s">
        <v>1189</v>
      </c>
      <c r="B1848" t="s">
        <v>1201</v>
      </c>
      <c r="C1848" t="s">
        <v>1217</v>
      </c>
      <c r="D1848">
        <v>115020</v>
      </c>
      <c r="E1848" t="s">
        <v>14</v>
      </c>
      <c r="F1848">
        <v>50.683</v>
      </c>
      <c r="G1848">
        <v>14.032999999999999</v>
      </c>
      <c r="H1848">
        <v>1</v>
      </c>
      <c r="I1848">
        <v>378.6</v>
      </c>
      <c r="J1848" t="str">
        <f>HYPERLINK("https://climate.onebuilding.org/WMO_Region_6_Europe/CZE_Czechia/UK_Ustecky_Usti_nad_Labem/CZE_UK_Usti.nad.Labem.115020_TMYx.2009-2023.zip")</f>
        <v>https://climate.onebuilding.org/WMO_Region_6_Europe/CZE_Czechia/UK_Ustecky_Usti_nad_Labem/CZE_UK_Usti.nad.Labem.115020_TMYx.2009-2023.zip</v>
      </c>
    </row>
    <row r="1849" spans="1:10" x14ac:dyDescent="0.25">
      <c r="A1849" t="s">
        <v>1189</v>
      </c>
      <c r="B1849" t="s">
        <v>1201</v>
      </c>
      <c r="C1849" t="s">
        <v>1217</v>
      </c>
      <c r="D1849">
        <v>115020</v>
      </c>
      <c r="E1849" t="s">
        <v>14</v>
      </c>
      <c r="F1849">
        <v>50.683</v>
      </c>
      <c r="G1849">
        <v>14.032999999999999</v>
      </c>
      <c r="H1849">
        <v>1</v>
      </c>
      <c r="I1849">
        <v>378.6</v>
      </c>
      <c r="J1849" t="str">
        <f>HYPERLINK("https://climate.onebuilding.org/WMO_Region_6_Europe/CZE_Czechia/UK_Ustecky_Usti_nad_Labem/CZE_UK_Usti.nad.Labem.115020_TMYx.zip")</f>
        <v>https://climate.onebuilding.org/WMO_Region_6_Europe/CZE_Czechia/UK_Ustecky_Usti_nad_Labem/CZE_UK_Usti.nad.Labem.115020_TMYx.zip</v>
      </c>
    </row>
    <row r="1850" spans="1:10" x14ac:dyDescent="0.25">
      <c r="A1850" t="s">
        <v>1189</v>
      </c>
      <c r="B1850" t="s">
        <v>1201</v>
      </c>
      <c r="C1850" t="s">
        <v>1219</v>
      </c>
      <c r="D1850">
        <v>115090</v>
      </c>
      <c r="E1850" t="s">
        <v>1220</v>
      </c>
      <c r="F1850">
        <v>50.466999999999999</v>
      </c>
      <c r="G1850">
        <v>14.167</v>
      </c>
      <c r="H1850">
        <v>1</v>
      </c>
      <c r="I1850">
        <v>160.19999999999999</v>
      </c>
      <c r="J1850" t="str">
        <f>HYPERLINK("https://climate.onebuilding.org/WMO_Region_6_Europe/CZE_Czechia/UK_Ustecky_Usti_nad_Labem/CZE_UK_Doksany.115090_TMYx.2004-2018.zip")</f>
        <v>https://climate.onebuilding.org/WMO_Region_6_Europe/CZE_Czechia/UK_Ustecky_Usti_nad_Labem/CZE_UK_Doksany.115090_TMYx.2004-2018.zip</v>
      </c>
    </row>
    <row r="1851" spans="1:10" x14ac:dyDescent="0.25">
      <c r="A1851" t="s">
        <v>1189</v>
      </c>
      <c r="B1851" t="s">
        <v>1201</v>
      </c>
      <c r="C1851" t="s">
        <v>1219</v>
      </c>
      <c r="D1851">
        <v>115090</v>
      </c>
      <c r="E1851" t="s">
        <v>14</v>
      </c>
      <c r="F1851">
        <v>50.466999999999999</v>
      </c>
      <c r="G1851">
        <v>14.167</v>
      </c>
      <c r="H1851">
        <v>1</v>
      </c>
      <c r="I1851">
        <v>160.19999999999999</v>
      </c>
      <c r="J1851" t="str">
        <f>HYPERLINK("https://climate.onebuilding.org/WMO_Region_6_Europe/CZE_Czechia/UK_Ustecky_Usti_nad_Labem/CZE_UK_Doksany.115090_TMYx.2007-2021.zip")</f>
        <v>https://climate.onebuilding.org/WMO_Region_6_Europe/CZE_Czechia/UK_Ustecky_Usti_nad_Labem/CZE_UK_Doksany.115090_TMYx.2007-2021.zip</v>
      </c>
    </row>
    <row r="1852" spans="1:10" x14ac:dyDescent="0.25">
      <c r="A1852" t="s">
        <v>1189</v>
      </c>
      <c r="B1852" t="s">
        <v>1201</v>
      </c>
      <c r="C1852" t="s">
        <v>1219</v>
      </c>
      <c r="D1852">
        <v>115090</v>
      </c>
      <c r="E1852" t="s">
        <v>14</v>
      </c>
      <c r="F1852">
        <v>50.466999999999999</v>
      </c>
      <c r="G1852">
        <v>14.167</v>
      </c>
      <c r="H1852">
        <v>1</v>
      </c>
      <c r="I1852">
        <v>160.19999999999999</v>
      </c>
      <c r="J1852" t="str">
        <f>HYPERLINK("https://climate.onebuilding.org/WMO_Region_6_Europe/CZE_Czechia/UK_Ustecky_Usti_nad_Labem/CZE_UK_Doksany.115090_TMYx.2009-2023.zip")</f>
        <v>https://climate.onebuilding.org/WMO_Region_6_Europe/CZE_Czechia/UK_Ustecky_Usti_nad_Labem/CZE_UK_Doksany.115090_TMYx.2009-2023.zip</v>
      </c>
    </row>
    <row r="1853" spans="1:10" x14ac:dyDescent="0.25">
      <c r="A1853" t="s">
        <v>1189</v>
      </c>
      <c r="B1853" t="s">
        <v>1201</v>
      </c>
      <c r="C1853" t="s">
        <v>1219</v>
      </c>
      <c r="D1853">
        <v>115090</v>
      </c>
      <c r="E1853" t="s">
        <v>14</v>
      </c>
      <c r="F1853">
        <v>50.466999999999999</v>
      </c>
      <c r="G1853">
        <v>14.167</v>
      </c>
      <c r="H1853">
        <v>1</v>
      </c>
      <c r="I1853">
        <v>160.19999999999999</v>
      </c>
      <c r="J1853" t="str">
        <f>HYPERLINK("https://climate.onebuilding.org/WMO_Region_6_Europe/CZE_Czechia/UK_Ustecky_Usti_nad_Labem/CZE_UK_Doksany.115090_TMYx.zip")</f>
        <v>https://climate.onebuilding.org/WMO_Region_6_Europe/CZE_Czechia/UK_Ustecky_Usti_nad_Labem/CZE_UK_Doksany.115090_TMYx.zip</v>
      </c>
    </row>
    <row r="1854" spans="1:10" x14ac:dyDescent="0.25">
      <c r="A1854" t="s">
        <v>1189</v>
      </c>
      <c r="B1854" t="s">
        <v>1221</v>
      </c>
      <c r="C1854" t="s">
        <v>1222</v>
      </c>
      <c r="D1854">
        <v>115180</v>
      </c>
      <c r="E1854" t="s">
        <v>1223</v>
      </c>
      <c r="F1854">
        <v>50.100999999999999</v>
      </c>
      <c r="G1854">
        <v>14.26</v>
      </c>
      <c r="H1854">
        <v>1</v>
      </c>
      <c r="I1854">
        <v>380.1</v>
      </c>
      <c r="J1854" t="str">
        <f>HYPERLINK("https://climate.onebuilding.org/WMO_Region_6_Europe/CZE_Czechia/PM_Praha_Prague/CZE_PM_Praha-Ruzyne.AP.115180_TMYx.2004-2018.zip")</f>
        <v>https://climate.onebuilding.org/WMO_Region_6_Europe/CZE_Czechia/PM_Praha_Prague/CZE_PM_Praha-Ruzyne.AP.115180_TMYx.2004-2018.zip</v>
      </c>
    </row>
    <row r="1855" spans="1:10" x14ac:dyDescent="0.25">
      <c r="A1855" t="s">
        <v>1189</v>
      </c>
      <c r="B1855" t="s">
        <v>1221</v>
      </c>
      <c r="C1855" t="s">
        <v>1222</v>
      </c>
      <c r="D1855">
        <v>115180</v>
      </c>
      <c r="E1855" t="s">
        <v>14</v>
      </c>
      <c r="F1855">
        <v>50.100999999999999</v>
      </c>
      <c r="G1855">
        <v>14.26</v>
      </c>
      <c r="H1855">
        <v>1</v>
      </c>
      <c r="I1855">
        <v>380.1</v>
      </c>
      <c r="J1855" t="str">
        <f>HYPERLINK("https://climate.onebuilding.org/WMO_Region_6_Europe/CZE_Czechia/PM_Praha_Prague/CZE_PM_Praha-Ruzyne.AP.115180_TMYx.2007-2021.zip")</f>
        <v>https://climate.onebuilding.org/WMO_Region_6_Europe/CZE_Czechia/PM_Praha_Prague/CZE_PM_Praha-Ruzyne.AP.115180_TMYx.2007-2021.zip</v>
      </c>
    </row>
    <row r="1856" spans="1:10" x14ac:dyDescent="0.25">
      <c r="A1856" t="s">
        <v>1189</v>
      </c>
      <c r="B1856" t="s">
        <v>1221</v>
      </c>
      <c r="C1856" t="s">
        <v>1222</v>
      </c>
      <c r="D1856">
        <v>115180</v>
      </c>
      <c r="E1856" t="s">
        <v>14</v>
      </c>
      <c r="F1856">
        <v>50.100999999999999</v>
      </c>
      <c r="G1856">
        <v>14.26</v>
      </c>
      <c r="H1856">
        <v>1</v>
      </c>
      <c r="I1856">
        <v>380.1</v>
      </c>
      <c r="J1856" t="str">
        <f>HYPERLINK("https://climate.onebuilding.org/WMO_Region_6_Europe/CZE_Czechia/PM_Praha_Prague/CZE_PM_Praha-Ruzyne.AP.115180_TMYx.2009-2023.zip")</f>
        <v>https://climate.onebuilding.org/WMO_Region_6_Europe/CZE_Czechia/PM_Praha_Prague/CZE_PM_Praha-Ruzyne.AP.115180_TMYx.2009-2023.zip</v>
      </c>
    </row>
    <row r="1857" spans="1:10" x14ac:dyDescent="0.25">
      <c r="A1857" t="s">
        <v>1189</v>
      </c>
      <c r="B1857" t="s">
        <v>1221</v>
      </c>
      <c r="C1857" t="s">
        <v>1222</v>
      </c>
      <c r="D1857">
        <v>115180</v>
      </c>
      <c r="E1857" t="s">
        <v>14</v>
      </c>
      <c r="F1857">
        <v>50.100999999999999</v>
      </c>
      <c r="G1857">
        <v>14.26</v>
      </c>
      <c r="H1857">
        <v>1</v>
      </c>
      <c r="I1857">
        <v>380.1</v>
      </c>
      <c r="J1857" t="str">
        <f>HYPERLINK("https://climate.onebuilding.org/WMO_Region_6_Europe/CZE_Czechia/PM_Praha_Prague/CZE_PM_Praha-Ruzyne.AP.115180_TMYx.zip")</f>
        <v>https://climate.onebuilding.org/WMO_Region_6_Europe/CZE_Czechia/PM_Praha_Prague/CZE_PM_Praha-Ruzyne.AP.115180_TMYx.zip</v>
      </c>
    </row>
    <row r="1858" spans="1:10" x14ac:dyDescent="0.25">
      <c r="A1858" t="s">
        <v>1189</v>
      </c>
      <c r="B1858" t="s">
        <v>1221</v>
      </c>
      <c r="C1858" t="s">
        <v>1224</v>
      </c>
      <c r="D1858">
        <v>115190</v>
      </c>
      <c r="E1858" t="s">
        <v>1225</v>
      </c>
      <c r="F1858">
        <v>50.067</v>
      </c>
      <c r="G1858">
        <v>14.433</v>
      </c>
      <c r="H1858">
        <v>1</v>
      </c>
      <c r="I1858">
        <v>254</v>
      </c>
      <c r="J1858" t="str">
        <f>HYPERLINK("https://climate.onebuilding.org/WMO_Region_6_Europe/CZE_Czechia/PM_Praha_Prague/CZE_PM_Praha-Karlov-Klementinum.115190_TMYx.2004-2018.zip")</f>
        <v>https://climate.onebuilding.org/WMO_Region_6_Europe/CZE_Czechia/PM_Praha_Prague/CZE_PM_Praha-Karlov-Klementinum.115190_TMYx.2004-2018.zip</v>
      </c>
    </row>
    <row r="1859" spans="1:10" x14ac:dyDescent="0.25">
      <c r="A1859" t="s">
        <v>1189</v>
      </c>
      <c r="B1859" t="s">
        <v>1221</v>
      </c>
      <c r="C1859" t="s">
        <v>1224</v>
      </c>
      <c r="D1859">
        <v>115190</v>
      </c>
      <c r="E1859" t="s">
        <v>14</v>
      </c>
      <c r="F1859">
        <v>50.067</v>
      </c>
      <c r="G1859">
        <v>14.433</v>
      </c>
      <c r="H1859">
        <v>1</v>
      </c>
      <c r="I1859">
        <v>254</v>
      </c>
      <c r="J1859" t="str">
        <f>HYPERLINK("https://climate.onebuilding.org/WMO_Region_6_Europe/CZE_Czechia/PM_Praha_Prague/CZE_PM_Praha-Karlov-Klementinum.115190_TMYx.2007-2021.zip")</f>
        <v>https://climate.onebuilding.org/WMO_Region_6_Europe/CZE_Czechia/PM_Praha_Prague/CZE_PM_Praha-Karlov-Klementinum.115190_TMYx.2007-2021.zip</v>
      </c>
    </row>
    <row r="1860" spans="1:10" x14ac:dyDescent="0.25">
      <c r="A1860" t="s">
        <v>1189</v>
      </c>
      <c r="B1860" t="s">
        <v>1221</v>
      </c>
      <c r="C1860" t="s">
        <v>1224</v>
      </c>
      <c r="D1860">
        <v>115190</v>
      </c>
      <c r="E1860" t="s">
        <v>14</v>
      </c>
      <c r="F1860">
        <v>50.067</v>
      </c>
      <c r="G1860">
        <v>14.433</v>
      </c>
      <c r="H1860">
        <v>1</v>
      </c>
      <c r="I1860">
        <v>254</v>
      </c>
      <c r="J1860" t="str">
        <f>HYPERLINK("https://climate.onebuilding.org/WMO_Region_6_Europe/CZE_Czechia/PM_Praha_Prague/CZE_PM_Praha-Karlov-Klementinum.115190_TMYx.2009-2023.zip")</f>
        <v>https://climate.onebuilding.org/WMO_Region_6_Europe/CZE_Czechia/PM_Praha_Prague/CZE_PM_Praha-Karlov-Klementinum.115190_TMYx.2009-2023.zip</v>
      </c>
    </row>
    <row r="1861" spans="1:10" x14ac:dyDescent="0.25">
      <c r="A1861" t="s">
        <v>1189</v>
      </c>
      <c r="B1861" t="s">
        <v>1221</v>
      </c>
      <c r="C1861" t="s">
        <v>1224</v>
      </c>
      <c r="D1861">
        <v>115190</v>
      </c>
      <c r="E1861" t="s">
        <v>14</v>
      </c>
      <c r="F1861">
        <v>50.067</v>
      </c>
      <c r="G1861">
        <v>14.433</v>
      </c>
      <c r="H1861">
        <v>1</v>
      </c>
      <c r="I1861">
        <v>254</v>
      </c>
      <c r="J1861" t="str">
        <f>HYPERLINK("https://climate.onebuilding.org/WMO_Region_6_Europe/CZE_Czechia/PM_Praha_Prague/CZE_PM_Praha-Karlov-Klementinum.115190_TMYx.zip")</f>
        <v>https://climate.onebuilding.org/WMO_Region_6_Europe/CZE_Czechia/PM_Praha_Prague/CZE_PM_Praha-Karlov-Klementinum.115190_TMYx.zip</v>
      </c>
    </row>
    <row r="1862" spans="1:10" x14ac:dyDescent="0.25">
      <c r="A1862" t="s">
        <v>1189</v>
      </c>
      <c r="B1862" t="s">
        <v>1221</v>
      </c>
      <c r="C1862" t="s">
        <v>1226</v>
      </c>
      <c r="D1862">
        <v>115200</v>
      </c>
      <c r="E1862" t="s">
        <v>1227</v>
      </c>
      <c r="F1862">
        <v>50</v>
      </c>
      <c r="G1862">
        <v>14.45</v>
      </c>
      <c r="H1862">
        <v>1</v>
      </c>
      <c r="I1862">
        <v>303.7</v>
      </c>
      <c r="J1862" t="str">
        <f>HYPERLINK("https://climate.onebuilding.org/WMO_Region_6_Europe/CZE_Czechia/PM_Praha_Prague/CZE_PM_Praha-Libus.115200_TMYx.2004-2018.zip")</f>
        <v>https://climate.onebuilding.org/WMO_Region_6_Europe/CZE_Czechia/PM_Praha_Prague/CZE_PM_Praha-Libus.115200_TMYx.2004-2018.zip</v>
      </c>
    </row>
    <row r="1863" spans="1:10" x14ac:dyDescent="0.25">
      <c r="A1863" t="s">
        <v>1189</v>
      </c>
      <c r="B1863" t="s">
        <v>1221</v>
      </c>
      <c r="C1863" t="s">
        <v>1226</v>
      </c>
      <c r="D1863">
        <v>115200</v>
      </c>
      <c r="E1863" t="s">
        <v>14</v>
      </c>
      <c r="F1863">
        <v>50</v>
      </c>
      <c r="G1863">
        <v>14.45</v>
      </c>
      <c r="H1863">
        <v>1</v>
      </c>
      <c r="I1863">
        <v>303.7</v>
      </c>
      <c r="J1863" t="str">
        <f>HYPERLINK("https://climate.onebuilding.org/WMO_Region_6_Europe/CZE_Czechia/PM_Praha_Prague/CZE_PM_Praha-Libus.115200_TMYx.2007-2021.zip")</f>
        <v>https://climate.onebuilding.org/WMO_Region_6_Europe/CZE_Czechia/PM_Praha_Prague/CZE_PM_Praha-Libus.115200_TMYx.2007-2021.zip</v>
      </c>
    </row>
    <row r="1864" spans="1:10" x14ac:dyDescent="0.25">
      <c r="A1864" t="s">
        <v>1189</v>
      </c>
      <c r="B1864" t="s">
        <v>1221</v>
      </c>
      <c r="C1864" t="s">
        <v>1226</v>
      </c>
      <c r="D1864">
        <v>115200</v>
      </c>
      <c r="E1864" t="s">
        <v>14</v>
      </c>
      <c r="F1864">
        <v>50</v>
      </c>
      <c r="G1864">
        <v>14.45</v>
      </c>
      <c r="H1864">
        <v>1</v>
      </c>
      <c r="I1864">
        <v>303.7</v>
      </c>
      <c r="J1864" t="str">
        <f>HYPERLINK("https://climate.onebuilding.org/WMO_Region_6_Europe/CZE_Czechia/PM_Praha_Prague/CZE_PM_Praha-Libus.115200_TMYx.2009-2023.zip")</f>
        <v>https://climate.onebuilding.org/WMO_Region_6_Europe/CZE_Czechia/PM_Praha_Prague/CZE_PM_Praha-Libus.115200_TMYx.2009-2023.zip</v>
      </c>
    </row>
    <row r="1865" spans="1:10" x14ac:dyDescent="0.25">
      <c r="A1865" t="s">
        <v>1189</v>
      </c>
      <c r="B1865" t="s">
        <v>1221</v>
      </c>
      <c r="C1865" t="s">
        <v>1226</v>
      </c>
      <c r="D1865">
        <v>115200</v>
      </c>
      <c r="E1865" t="s">
        <v>14</v>
      </c>
      <c r="F1865">
        <v>50</v>
      </c>
      <c r="G1865">
        <v>14.45</v>
      </c>
      <c r="H1865">
        <v>1</v>
      </c>
      <c r="I1865">
        <v>303.7</v>
      </c>
      <c r="J1865" t="str">
        <f>HYPERLINK("https://climate.onebuilding.org/WMO_Region_6_Europe/CZE_Czechia/PM_Praha_Prague/CZE_PM_Praha-Libus.115200_TMYx.zip")</f>
        <v>https://climate.onebuilding.org/WMO_Region_6_Europe/CZE_Czechia/PM_Praha_Prague/CZE_PM_Praha-Libus.115200_TMYx.zip</v>
      </c>
    </row>
    <row r="1866" spans="1:10" x14ac:dyDescent="0.25">
      <c r="A1866" t="s">
        <v>1189</v>
      </c>
      <c r="B1866" t="s">
        <v>1209</v>
      </c>
      <c r="C1866" t="s">
        <v>1228</v>
      </c>
      <c r="D1866">
        <v>115380</v>
      </c>
      <c r="E1866" t="s">
        <v>1229</v>
      </c>
      <c r="F1866">
        <v>49.2</v>
      </c>
      <c r="G1866">
        <v>14.35</v>
      </c>
      <c r="H1866">
        <v>1</v>
      </c>
      <c r="I1866">
        <v>508</v>
      </c>
      <c r="J1866" t="str">
        <f>HYPERLINK("https://climate.onebuilding.org/WMO_Region_6_Europe/CZE_Czechia/CK_Jihocesky_South_Bohemia/CZE_CK_Temelin.115380_TMYx.2004-2018.zip")</f>
        <v>https://climate.onebuilding.org/WMO_Region_6_Europe/CZE_Czechia/CK_Jihocesky_South_Bohemia/CZE_CK_Temelin.115380_TMYx.2004-2018.zip</v>
      </c>
    </row>
    <row r="1867" spans="1:10" x14ac:dyDescent="0.25">
      <c r="A1867" t="s">
        <v>1189</v>
      </c>
      <c r="B1867" t="s">
        <v>1209</v>
      </c>
      <c r="C1867" t="s">
        <v>1228</v>
      </c>
      <c r="D1867">
        <v>115380</v>
      </c>
      <c r="E1867" t="s">
        <v>14</v>
      </c>
      <c r="F1867">
        <v>49.2</v>
      </c>
      <c r="G1867">
        <v>14.35</v>
      </c>
      <c r="H1867">
        <v>1</v>
      </c>
      <c r="I1867">
        <v>508</v>
      </c>
      <c r="J1867" t="str">
        <f>HYPERLINK("https://climate.onebuilding.org/WMO_Region_6_Europe/CZE_Czechia/CK_Jihocesky_South_Bohemia/CZE_CK_Temelin.115380_TMYx.2007-2021.zip")</f>
        <v>https://climate.onebuilding.org/WMO_Region_6_Europe/CZE_Czechia/CK_Jihocesky_South_Bohemia/CZE_CK_Temelin.115380_TMYx.2007-2021.zip</v>
      </c>
    </row>
    <row r="1868" spans="1:10" x14ac:dyDescent="0.25">
      <c r="A1868" t="s">
        <v>1189</v>
      </c>
      <c r="B1868" t="s">
        <v>1209</v>
      </c>
      <c r="C1868" t="s">
        <v>1228</v>
      </c>
      <c r="D1868">
        <v>115380</v>
      </c>
      <c r="E1868" t="s">
        <v>14</v>
      </c>
      <c r="F1868">
        <v>49.2</v>
      </c>
      <c r="G1868">
        <v>14.35</v>
      </c>
      <c r="H1868">
        <v>1</v>
      </c>
      <c r="I1868">
        <v>508</v>
      </c>
      <c r="J1868" t="str">
        <f>HYPERLINK("https://climate.onebuilding.org/WMO_Region_6_Europe/CZE_Czechia/CK_Jihocesky_South_Bohemia/CZE_CK_Temelin.115380_TMYx.2009-2023.zip")</f>
        <v>https://climate.onebuilding.org/WMO_Region_6_Europe/CZE_Czechia/CK_Jihocesky_South_Bohemia/CZE_CK_Temelin.115380_TMYx.2009-2023.zip</v>
      </c>
    </row>
    <row r="1869" spans="1:10" x14ac:dyDescent="0.25">
      <c r="A1869" t="s">
        <v>1189</v>
      </c>
      <c r="B1869" t="s">
        <v>1209</v>
      </c>
      <c r="C1869" t="s">
        <v>1228</v>
      </c>
      <c r="D1869">
        <v>115380</v>
      </c>
      <c r="E1869" t="s">
        <v>14</v>
      </c>
      <c r="F1869">
        <v>49.2</v>
      </c>
      <c r="G1869">
        <v>14.35</v>
      </c>
      <c r="H1869">
        <v>1</v>
      </c>
      <c r="I1869">
        <v>508</v>
      </c>
      <c r="J1869" t="str">
        <f>HYPERLINK("https://climate.onebuilding.org/WMO_Region_6_Europe/CZE_Czechia/CK_Jihocesky_South_Bohemia/CZE_CK_Temelin.115380_TMYx.zip")</f>
        <v>https://climate.onebuilding.org/WMO_Region_6_Europe/CZE_Czechia/CK_Jihocesky_South_Bohemia/CZE_CK_Temelin.115380_TMYx.zip</v>
      </c>
    </row>
    <row r="1870" spans="1:10" x14ac:dyDescent="0.25">
      <c r="A1870" t="s">
        <v>1189</v>
      </c>
      <c r="B1870" t="s">
        <v>1209</v>
      </c>
      <c r="C1870" t="s">
        <v>1230</v>
      </c>
      <c r="D1870">
        <v>115400</v>
      </c>
      <c r="E1870" t="s">
        <v>14</v>
      </c>
      <c r="F1870">
        <v>49.033000000000001</v>
      </c>
      <c r="G1870">
        <v>14.483000000000001</v>
      </c>
      <c r="H1870">
        <v>1</v>
      </c>
      <c r="I1870">
        <v>488</v>
      </c>
      <c r="J1870" t="str">
        <f>HYPERLINK("https://climate.onebuilding.org/WMO_Region_6_Europe/CZE_Czechia/CK_Jihocesky_South_Bohemia/CZE_CK_HOSIN.115400_TMYx.zip")</f>
        <v>https://climate.onebuilding.org/WMO_Region_6_Europe/CZE_Czechia/CK_Jihocesky_South_Bohemia/CZE_CK_HOSIN.115400_TMYx.zip</v>
      </c>
    </row>
    <row r="1871" spans="1:10" x14ac:dyDescent="0.25">
      <c r="A1871" t="s">
        <v>1189</v>
      </c>
      <c r="B1871" t="s">
        <v>1209</v>
      </c>
      <c r="C1871" t="s">
        <v>1231</v>
      </c>
      <c r="D1871">
        <v>115410</v>
      </c>
      <c r="E1871" t="s">
        <v>14</v>
      </c>
      <c r="F1871">
        <v>48.95</v>
      </c>
      <c r="G1871">
        <v>14.433</v>
      </c>
      <c r="H1871">
        <v>1</v>
      </c>
      <c r="I1871">
        <v>436</v>
      </c>
      <c r="J1871" t="str">
        <f>HYPERLINK("https://climate.onebuilding.org/WMO_Region_6_Europe/CZE_Czechia/CK_Jihocesky_South_Bohemia/CZE_CK_Ceske.Budejovice.115410_TMYx.zip")</f>
        <v>https://climate.onebuilding.org/WMO_Region_6_Europe/CZE_Czechia/CK_Jihocesky_South_Bohemia/CZE_CK_Ceske.Budejovice.115410_TMYx.zip</v>
      </c>
    </row>
    <row r="1872" spans="1:10" x14ac:dyDescent="0.25">
      <c r="A1872" t="s">
        <v>1189</v>
      </c>
      <c r="B1872" t="s">
        <v>1209</v>
      </c>
      <c r="C1872" t="s">
        <v>1232</v>
      </c>
      <c r="D1872">
        <v>115460</v>
      </c>
      <c r="E1872" t="s">
        <v>1233</v>
      </c>
      <c r="F1872">
        <v>48.95</v>
      </c>
      <c r="G1872">
        <v>14.467000000000001</v>
      </c>
      <c r="H1872">
        <v>1</v>
      </c>
      <c r="I1872">
        <v>396.4</v>
      </c>
      <c r="J1872" t="str">
        <f>HYPERLINK("https://climate.onebuilding.org/WMO_Region_6_Europe/CZE_Czechia/CK_Jihocesky_South_Bohemia/CZE_CK_Ceske.Budejovice-Roznov.115460_TMYx.2004-2018.zip")</f>
        <v>https://climate.onebuilding.org/WMO_Region_6_Europe/CZE_Czechia/CK_Jihocesky_South_Bohemia/CZE_CK_Ceske.Budejovice-Roznov.115460_TMYx.2004-2018.zip</v>
      </c>
    </row>
    <row r="1873" spans="1:10" x14ac:dyDescent="0.25">
      <c r="A1873" t="s">
        <v>1189</v>
      </c>
      <c r="B1873" t="s">
        <v>1209</v>
      </c>
      <c r="C1873" t="s">
        <v>1232</v>
      </c>
      <c r="D1873">
        <v>115460</v>
      </c>
      <c r="E1873" t="s">
        <v>14</v>
      </c>
      <c r="F1873">
        <v>48.95</v>
      </c>
      <c r="G1873">
        <v>14.467000000000001</v>
      </c>
      <c r="H1873">
        <v>1</v>
      </c>
      <c r="I1873">
        <v>396.4</v>
      </c>
      <c r="J1873" t="str">
        <f>HYPERLINK("https://climate.onebuilding.org/WMO_Region_6_Europe/CZE_Czechia/CK_Jihocesky_South_Bohemia/CZE_CK_Ceske.Budejovice-Roznov.115460_TMYx.2007-2021.zip")</f>
        <v>https://climate.onebuilding.org/WMO_Region_6_Europe/CZE_Czechia/CK_Jihocesky_South_Bohemia/CZE_CK_Ceske.Budejovice-Roznov.115460_TMYx.2007-2021.zip</v>
      </c>
    </row>
    <row r="1874" spans="1:10" x14ac:dyDescent="0.25">
      <c r="A1874" t="s">
        <v>1189</v>
      </c>
      <c r="B1874" t="s">
        <v>1209</v>
      </c>
      <c r="C1874" t="s">
        <v>1232</v>
      </c>
      <c r="D1874">
        <v>115460</v>
      </c>
      <c r="E1874" t="s">
        <v>14</v>
      </c>
      <c r="F1874">
        <v>48.95</v>
      </c>
      <c r="G1874">
        <v>14.467000000000001</v>
      </c>
      <c r="H1874">
        <v>1</v>
      </c>
      <c r="I1874">
        <v>396.4</v>
      </c>
      <c r="J1874" t="str">
        <f>HYPERLINK("https://climate.onebuilding.org/WMO_Region_6_Europe/CZE_Czechia/CK_Jihocesky_South_Bohemia/CZE_CK_Ceske.Budejovice-Roznov.115460_TMYx.2009-2023.zip")</f>
        <v>https://climate.onebuilding.org/WMO_Region_6_Europe/CZE_Czechia/CK_Jihocesky_South_Bohemia/CZE_CK_Ceske.Budejovice-Roznov.115460_TMYx.2009-2023.zip</v>
      </c>
    </row>
    <row r="1875" spans="1:10" x14ac:dyDescent="0.25">
      <c r="A1875" t="s">
        <v>1189</v>
      </c>
      <c r="B1875" t="s">
        <v>1209</v>
      </c>
      <c r="C1875" t="s">
        <v>1232</v>
      </c>
      <c r="D1875">
        <v>115460</v>
      </c>
      <c r="E1875" t="s">
        <v>14</v>
      </c>
      <c r="F1875">
        <v>48.95</v>
      </c>
      <c r="G1875">
        <v>14.467000000000001</v>
      </c>
      <c r="H1875">
        <v>1</v>
      </c>
      <c r="I1875">
        <v>396.4</v>
      </c>
      <c r="J1875" t="str">
        <f>HYPERLINK("https://climate.onebuilding.org/WMO_Region_6_Europe/CZE_Czechia/CK_Jihocesky_South_Bohemia/CZE_CK_Ceske.Budejovice-Roznov.115460_TMYx.zip")</f>
        <v>https://climate.onebuilding.org/WMO_Region_6_Europe/CZE_Czechia/CK_Jihocesky_South_Bohemia/CZE_CK_Ceske.Budejovice-Roznov.115460_TMYx.zip</v>
      </c>
    </row>
    <row r="1876" spans="1:10" x14ac:dyDescent="0.25">
      <c r="A1876" t="s">
        <v>1189</v>
      </c>
      <c r="B1876" t="s">
        <v>1221</v>
      </c>
      <c r="C1876" t="s">
        <v>1234</v>
      </c>
      <c r="D1876">
        <v>115670</v>
      </c>
      <c r="E1876" t="s">
        <v>1235</v>
      </c>
      <c r="F1876">
        <v>50.116999999999997</v>
      </c>
      <c r="G1876">
        <v>14.532999999999999</v>
      </c>
      <c r="H1876">
        <v>1</v>
      </c>
      <c r="I1876">
        <v>285.5</v>
      </c>
      <c r="J1876" t="str">
        <f>HYPERLINK("https://climate.onebuilding.org/WMO_Region_6_Europe/CZE_Czechia/PM_Praha_Prague/CZE_PM_Praha-Kbely.115670_TMYx.2004-2018.zip")</f>
        <v>https://climate.onebuilding.org/WMO_Region_6_Europe/CZE_Czechia/PM_Praha_Prague/CZE_PM_Praha-Kbely.115670_TMYx.2004-2018.zip</v>
      </c>
    </row>
    <row r="1877" spans="1:10" x14ac:dyDescent="0.25">
      <c r="A1877" t="s">
        <v>1189</v>
      </c>
      <c r="B1877" t="s">
        <v>1221</v>
      </c>
      <c r="C1877" t="s">
        <v>1234</v>
      </c>
      <c r="D1877">
        <v>115670</v>
      </c>
      <c r="E1877" t="s">
        <v>14</v>
      </c>
      <c r="F1877">
        <v>50.116999999999997</v>
      </c>
      <c r="G1877">
        <v>14.532999999999999</v>
      </c>
      <c r="H1877">
        <v>1</v>
      </c>
      <c r="I1877">
        <v>285.5</v>
      </c>
      <c r="J1877" t="str">
        <f>HYPERLINK("https://climate.onebuilding.org/WMO_Region_6_Europe/CZE_Czechia/PM_Praha_Prague/CZE_PM_Praha-Kbely.115670_TMYx.2007-2021.zip")</f>
        <v>https://climate.onebuilding.org/WMO_Region_6_Europe/CZE_Czechia/PM_Praha_Prague/CZE_PM_Praha-Kbely.115670_TMYx.2007-2021.zip</v>
      </c>
    </row>
    <row r="1878" spans="1:10" x14ac:dyDescent="0.25">
      <c r="A1878" t="s">
        <v>1189</v>
      </c>
      <c r="B1878" t="s">
        <v>1221</v>
      </c>
      <c r="C1878" t="s">
        <v>1234</v>
      </c>
      <c r="D1878">
        <v>115670</v>
      </c>
      <c r="E1878" t="s">
        <v>14</v>
      </c>
      <c r="F1878">
        <v>50.116999999999997</v>
      </c>
      <c r="G1878">
        <v>14.532999999999999</v>
      </c>
      <c r="H1878">
        <v>1</v>
      </c>
      <c r="I1878">
        <v>285.5</v>
      </c>
      <c r="J1878" t="str">
        <f>HYPERLINK("https://climate.onebuilding.org/WMO_Region_6_Europe/CZE_Czechia/PM_Praha_Prague/CZE_PM_Praha-Kbely.115670_TMYx.2009-2023.zip")</f>
        <v>https://climate.onebuilding.org/WMO_Region_6_Europe/CZE_Czechia/PM_Praha_Prague/CZE_PM_Praha-Kbely.115670_TMYx.2009-2023.zip</v>
      </c>
    </row>
    <row r="1879" spans="1:10" x14ac:dyDescent="0.25">
      <c r="A1879" t="s">
        <v>1189</v>
      </c>
      <c r="B1879" t="s">
        <v>1221</v>
      </c>
      <c r="C1879" t="s">
        <v>1234</v>
      </c>
      <c r="D1879">
        <v>115670</v>
      </c>
      <c r="E1879" t="s">
        <v>14</v>
      </c>
      <c r="F1879">
        <v>50.116999999999997</v>
      </c>
      <c r="G1879">
        <v>14.532999999999999</v>
      </c>
      <c r="H1879">
        <v>1</v>
      </c>
      <c r="I1879">
        <v>285.5</v>
      </c>
      <c r="J1879" t="str">
        <f>HYPERLINK("https://climate.onebuilding.org/WMO_Region_6_Europe/CZE_Czechia/PM_Praha_Prague/CZE_PM_Praha-Kbely.115670_TMYx.zip")</f>
        <v>https://climate.onebuilding.org/WMO_Region_6_Europe/CZE_Czechia/PM_Praha_Prague/CZE_PM_Praha-Kbely.115670_TMYx.zip</v>
      </c>
    </row>
    <row r="1880" spans="1:10" x14ac:dyDescent="0.25">
      <c r="A1880" t="s">
        <v>1189</v>
      </c>
      <c r="B1880" t="s">
        <v>1236</v>
      </c>
      <c r="C1880" t="s">
        <v>1237</v>
      </c>
      <c r="D1880">
        <v>116030</v>
      </c>
      <c r="E1880" t="s">
        <v>1238</v>
      </c>
      <c r="F1880">
        <v>50.767000000000003</v>
      </c>
      <c r="G1880">
        <v>15.016999999999999</v>
      </c>
      <c r="H1880">
        <v>1</v>
      </c>
      <c r="I1880">
        <v>401.5</v>
      </c>
      <c r="J1880" t="str">
        <f>HYPERLINK("https://climate.onebuilding.org/WMO_Region_6_Europe/CZE_Czechia/LK_Liberecky_Liberec/CZE_LK_Liberec.116030_TMYx.2004-2018.zip")</f>
        <v>https://climate.onebuilding.org/WMO_Region_6_Europe/CZE_Czechia/LK_Liberecky_Liberec/CZE_LK_Liberec.116030_TMYx.2004-2018.zip</v>
      </c>
    </row>
    <row r="1881" spans="1:10" x14ac:dyDescent="0.25">
      <c r="A1881" t="s">
        <v>1189</v>
      </c>
      <c r="B1881" t="s">
        <v>1236</v>
      </c>
      <c r="C1881" t="s">
        <v>1237</v>
      </c>
      <c r="D1881">
        <v>116030</v>
      </c>
      <c r="E1881" t="s">
        <v>14</v>
      </c>
      <c r="F1881">
        <v>50.767000000000003</v>
      </c>
      <c r="G1881">
        <v>15.016999999999999</v>
      </c>
      <c r="H1881">
        <v>1</v>
      </c>
      <c r="I1881">
        <v>401.5</v>
      </c>
      <c r="J1881" t="str">
        <f>HYPERLINK("https://climate.onebuilding.org/WMO_Region_6_Europe/CZE_Czechia/LK_Liberecky_Liberec/CZE_LK_Liberec.116030_TMYx.2007-2021.zip")</f>
        <v>https://climate.onebuilding.org/WMO_Region_6_Europe/CZE_Czechia/LK_Liberecky_Liberec/CZE_LK_Liberec.116030_TMYx.2007-2021.zip</v>
      </c>
    </row>
    <row r="1882" spans="1:10" x14ac:dyDescent="0.25">
      <c r="A1882" t="s">
        <v>1189</v>
      </c>
      <c r="B1882" t="s">
        <v>1236</v>
      </c>
      <c r="C1882" t="s">
        <v>1237</v>
      </c>
      <c r="D1882">
        <v>116030</v>
      </c>
      <c r="E1882" t="s">
        <v>14</v>
      </c>
      <c r="F1882">
        <v>50.767000000000003</v>
      </c>
      <c r="G1882">
        <v>15.016999999999999</v>
      </c>
      <c r="H1882">
        <v>1</v>
      </c>
      <c r="I1882">
        <v>401.5</v>
      </c>
      <c r="J1882" t="str">
        <f>HYPERLINK("https://climate.onebuilding.org/WMO_Region_6_Europe/CZE_Czechia/LK_Liberecky_Liberec/CZE_LK_Liberec.116030_TMYx.2009-2023.zip")</f>
        <v>https://climate.onebuilding.org/WMO_Region_6_Europe/CZE_Czechia/LK_Liberecky_Liberec/CZE_LK_Liberec.116030_TMYx.2009-2023.zip</v>
      </c>
    </row>
    <row r="1883" spans="1:10" x14ac:dyDescent="0.25">
      <c r="A1883" t="s">
        <v>1189</v>
      </c>
      <c r="B1883" t="s">
        <v>1236</v>
      </c>
      <c r="C1883" t="s">
        <v>1237</v>
      </c>
      <c r="D1883">
        <v>116030</v>
      </c>
      <c r="E1883" t="s">
        <v>14</v>
      </c>
      <c r="F1883">
        <v>50.767000000000003</v>
      </c>
      <c r="G1883">
        <v>15.016999999999999</v>
      </c>
      <c r="H1883">
        <v>1</v>
      </c>
      <c r="I1883">
        <v>401.5</v>
      </c>
      <c r="J1883" t="str">
        <f>HYPERLINK("https://climate.onebuilding.org/WMO_Region_6_Europe/CZE_Czechia/LK_Liberecky_Liberec/CZE_LK_Liberec.116030_TMYx.zip")</f>
        <v>https://climate.onebuilding.org/WMO_Region_6_Europe/CZE_Czechia/LK_Liberecky_Liberec/CZE_LK_Liberec.116030_TMYx.zip</v>
      </c>
    </row>
    <row r="1884" spans="1:10" x14ac:dyDescent="0.25">
      <c r="A1884" t="s">
        <v>1189</v>
      </c>
      <c r="B1884" t="s">
        <v>1239</v>
      </c>
      <c r="C1884" t="s">
        <v>1240</v>
      </c>
      <c r="D1884">
        <v>116240</v>
      </c>
      <c r="E1884" t="s">
        <v>1241</v>
      </c>
      <c r="F1884">
        <v>49.94</v>
      </c>
      <c r="G1884">
        <v>15.382</v>
      </c>
      <c r="H1884">
        <v>1</v>
      </c>
      <c r="I1884">
        <v>242</v>
      </c>
      <c r="J1884" t="str">
        <f>HYPERLINK("https://climate.onebuilding.org/WMO_Region_6_Europe/CZE_Czechia/SK_Stredocesky_Central_Bohemia/CZE_SK_Caslav.116240_TMYx.2004-2018.zip")</f>
        <v>https://climate.onebuilding.org/WMO_Region_6_Europe/CZE_Czechia/SK_Stredocesky_Central_Bohemia/CZE_SK_Caslav.116240_TMYx.2004-2018.zip</v>
      </c>
    </row>
    <row r="1885" spans="1:10" x14ac:dyDescent="0.25">
      <c r="A1885" t="s">
        <v>1189</v>
      </c>
      <c r="B1885" t="s">
        <v>1239</v>
      </c>
      <c r="C1885" t="s">
        <v>1240</v>
      </c>
      <c r="D1885">
        <v>116240</v>
      </c>
      <c r="E1885" t="s">
        <v>14</v>
      </c>
      <c r="F1885">
        <v>49.94</v>
      </c>
      <c r="G1885">
        <v>15.382</v>
      </c>
      <c r="H1885">
        <v>1</v>
      </c>
      <c r="I1885">
        <v>242</v>
      </c>
      <c r="J1885" t="str">
        <f>HYPERLINK("https://climate.onebuilding.org/WMO_Region_6_Europe/CZE_Czechia/SK_Stredocesky_Central_Bohemia/CZE_SK_Caslav.116240_TMYx.2007-2021.zip")</f>
        <v>https://climate.onebuilding.org/WMO_Region_6_Europe/CZE_Czechia/SK_Stredocesky_Central_Bohemia/CZE_SK_Caslav.116240_TMYx.2007-2021.zip</v>
      </c>
    </row>
    <row r="1886" spans="1:10" x14ac:dyDescent="0.25">
      <c r="A1886" t="s">
        <v>1189</v>
      </c>
      <c r="B1886" t="s">
        <v>1239</v>
      </c>
      <c r="C1886" t="s">
        <v>1240</v>
      </c>
      <c r="D1886">
        <v>116240</v>
      </c>
      <c r="E1886" t="s">
        <v>14</v>
      </c>
      <c r="F1886">
        <v>49.94</v>
      </c>
      <c r="G1886">
        <v>15.382</v>
      </c>
      <c r="H1886">
        <v>1</v>
      </c>
      <c r="I1886">
        <v>242</v>
      </c>
      <c r="J1886" t="str">
        <f>HYPERLINK("https://climate.onebuilding.org/WMO_Region_6_Europe/CZE_Czechia/SK_Stredocesky_Central_Bohemia/CZE_SK_Caslav.116240_TMYx.2009-2023.zip")</f>
        <v>https://climate.onebuilding.org/WMO_Region_6_Europe/CZE_Czechia/SK_Stredocesky_Central_Bohemia/CZE_SK_Caslav.116240_TMYx.2009-2023.zip</v>
      </c>
    </row>
    <row r="1887" spans="1:10" x14ac:dyDescent="0.25">
      <c r="A1887" t="s">
        <v>1189</v>
      </c>
      <c r="B1887" t="s">
        <v>1239</v>
      </c>
      <c r="C1887" t="s">
        <v>1240</v>
      </c>
      <c r="D1887">
        <v>116240</v>
      </c>
      <c r="E1887" t="s">
        <v>14</v>
      </c>
      <c r="F1887">
        <v>49.94</v>
      </c>
      <c r="G1887">
        <v>15.382</v>
      </c>
      <c r="H1887">
        <v>1</v>
      </c>
      <c r="I1887">
        <v>242</v>
      </c>
      <c r="J1887" t="str">
        <f>HYPERLINK("https://climate.onebuilding.org/WMO_Region_6_Europe/CZE_Czechia/SK_Stredocesky_Central_Bohemia/CZE_SK_Caslav.116240_TMYx.zip")</f>
        <v>https://climate.onebuilding.org/WMO_Region_6_Europe/CZE_Czechia/SK_Stredocesky_Central_Bohemia/CZE_SK_Caslav.116240_TMYx.zip</v>
      </c>
    </row>
    <row r="1888" spans="1:10" x14ac:dyDescent="0.25">
      <c r="A1888" t="s">
        <v>1189</v>
      </c>
      <c r="B1888" t="s">
        <v>1242</v>
      </c>
      <c r="C1888" t="s">
        <v>1243</v>
      </c>
      <c r="D1888">
        <v>116280</v>
      </c>
      <c r="E1888" t="s">
        <v>1244</v>
      </c>
      <c r="F1888">
        <v>49.567</v>
      </c>
      <c r="G1888">
        <v>15.083</v>
      </c>
      <c r="H1888">
        <v>1</v>
      </c>
      <c r="I1888">
        <v>532.1</v>
      </c>
      <c r="J1888" t="str">
        <f>HYPERLINK("https://climate.onebuilding.org/WMO_Region_6_Europe/CZE_Czechia/JK_Vysocina_Vysocina/CZE_JK_Kosetice.116280_TMYx.2004-2018.zip")</f>
        <v>https://climate.onebuilding.org/WMO_Region_6_Europe/CZE_Czechia/JK_Vysocina_Vysocina/CZE_JK_Kosetice.116280_TMYx.2004-2018.zip</v>
      </c>
    </row>
    <row r="1889" spans="1:10" x14ac:dyDescent="0.25">
      <c r="A1889" t="s">
        <v>1189</v>
      </c>
      <c r="B1889" t="s">
        <v>1242</v>
      </c>
      <c r="C1889" t="s">
        <v>1243</v>
      </c>
      <c r="D1889">
        <v>116280</v>
      </c>
      <c r="E1889" t="s">
        <v>14</v>
      </c>
      <c r="F1889">
        <v>49.567</v>
      </c>
      <c r="G1889">
        <v>15.083</v>
      </c>
      <c r="H1889">
        <v>1</v>
      </c>
      <c r="I1889">
        <v>532.1</v>
      </c>
      <c r="J1889" t="str">
        <f>HYPERLINK("https://climate.onebuilding.org/WMO_Region_6_Europe/CZE_Czechia/JK_Vysocina_Vysocina/CZE_JK_Kosetice.116280_TMYx.2007-2021.zip")</f>
        <v>https://climate.onebuilding.org/WMO_Region_6_Europe/CZE_Czechia/JK_Vysocina_Vysocina/CZE_JK_Kosetice.116280_TMYx.2007-2021.zip</v>
      </c>
    </row>
    <row r="1890" spans="1:10" x14ac:dyDescent="0.25">
      <c r="A1890" t="s">
        <v>1189</v>
      </c>
      <c r="B1890" t="s">
        <v>1242</v>
      </c>
      <c r="C1890" t="s">
        <v>1243</v>
      </c>
      <c r="D1890">
        <v>116280</v>
      </c>
      <c r="E1890" t="s">
        <v>14</v>
      </c>
      <c r="F1890">
        <v>49.567</v>
      </c>
      <c r="G1890">
        <v>15.083</v>
      </c>
      <c r="H1890">
        <v>1</v>
      </c>
      <c r="I1890">
        <v>532.1</v>
      </c>
      <c r="J1890" t="str">
        <f>HYPERLINK("https://climate.onebuilding.org/WMO_Region_6_Europe/CZE_Czechia/JK_Vysocina_Vysocina/CZE_JK_Kosetice.116280_TMYx.2009-2023.zip")</f>
        <v>https://climate.onebuilding.org/WMO_Region_6_Europe/CZE_Czechia/JK_Vysocina_Vysocina/CZE_JK_Kosetice.116280_TMYx.2009-2023.zip</v>
      </c>
    </row>
    <row r="1891" spans="1:10" x14ac:dyDescent="0.25">
      <c r="A1891" t="s">
        <v>1189</v>
      </c>
      <c r="B1891" t="s">
        <v>1242</v>
      </c>
      <c r="C1891" t="s">
        <v>1243</v>
      </c>
      <c r="D1891">
        <v>116280</v>
      </c>
      <c r="E1891" t="s">
        <v>14</v>
      </c>
      <c r="F1891">
        <v>49.567</v>
      </c>
      <c r="G1891">
        <v>15.083</v>
      </c>
      <c r="H1891">
        <v>1</v>
      </c>
      <c r="I1891">
        <v>532.1</v>
      </c>
      <c r="J1891" t="str">
        <f>HYPERLINK("https://climate.onebuilding.org/WMO_Region_6_Europe/CZE_Czechia/JK_Vysocina_Vysocina/CZE_JK_Kosetice.116280_TMYx.zip")</f>
        <v>https://climate.onebuilding.org/WMO_Region_6_Europe/CZE_Czechia/JK_Vysocina_Vysocina/CZE_JK_Kosetice.116280_TMYx.zip</v>
      </c>
    </row>
    <row r="1892" spans="1:10" x14ac:dyDescent="0.25">
      <c r="A1892" t="s">
        <v>1189</v>
      </c>
      <c r="B1892" t="s">
        <v>1242</v>
      </c>
      <c r="C1892" t="s">
        <v>1245</v>
      </c>
      <c r="D1892">
        <v>116360</v>
      </c>
      <c r="E1892" t="s">
        <v>1246</v>
      </c>
      <c r="F1892">
        <v>49.167000000000002</v>
      </c>
      <c r="G1892">
        <v>15.433</v>
      </c>
      <c r="H1892">
        <v>1</v>
      </c>
      <c r="I1892">
        <v>572.4</v>
      </c>
      <c r="J1892" t="str">
        <f>HYPERLINK("https://climate.onebuilding.org/WMO_Region_6_Europe/CZE_Czechia/JK_Vysocina_Vysocina/CZE_JK_Kostelni.Myslova.116360_TMYx.2004-2018.zip")</f>
        <v>https://climate.onebuilding.org/WMO_Region_6_Europe/CZE_Czechia/JK_Vysocina_Vysocina/CZE_JK_Kostelni.Myslova.116360_TMYx.2004-2018.zip</v>
      </c>
    </row>
    <row r="1893" spans="1:10" x14ac:dyDescent="0.25">
      <c r="A1893" t="s">
        <v>1189</v>
      </c>
      <c r="B1893" t="s">
        <v>1242</v>
      </c>
      <c r="C1893" t="s">
        <v>1245</v>
      </c>
      <c r="D1893">
        <v>116360</v>
      </c>
      <c r="E1893" t="s">
        <v>14</v>
      </c>
      <c r="F1893">
        <v>49.167000000000002</v>
      </c>
      <c r="G1893">
        <v>15.433</v>
      </c>
      <c r="H1893">
        <v>1</v>
      </c>
      <c r="I1893">
        <v>572.4</v>
      </c>
      <c r="J1893" t="str">
        <f>HYPERLINK("https://climate.onebuilding.org/WMO_Region_6_Europe/CZE_Czechia/JK_Vysocina_Vysocina/CZE_JK_Kostelni.Myslova.116360_TMYx.2007-2021.zip")</f>
        <v>https://climate.onebuilding.org/WMO_Region_6_Europe/CZE_Czechia/JK_Vysocina_Vysocina/CZE_JK_Kostelni.Myslova.116360_TMYx.2007-2021.zip</v>
      </c>
    </row>
    <row r="1894" spans="1:10" x14ac:dyDescent="0.25">
      <c r="A1894" t="s">
        <v>1189</v>
      </c>
      <c r="B1894" t="s">
        <v>1242</v>
      </c>
      <c r="C1894" t="s">
        <v>1245</v>
      </c>
      <c r="D1894">
        <v>116360</v>
      </c>
      <c r="E1894" t="s">
        <v>14</v>
      </c>
      <c r="F1894">
        <v>49.167000000000002</v>
      </c>
      <c r="G1894">
        <v>15.433</v>
      </c>
      <c r="H1894">
        <v>1</v>
      </c>
      <c r="I1894">
        <v>572.4</v>
      </c>
      <c r="J1894" t="str">
        <f>HYPERLINK("https://climate.onebuilding.org/WMO_Region_6_Europe/CZE_Czechia/JK_Vysocina_Vysocina/CZE_JK_Kostelni.Myslova.116360_TMYx.2009-2023.zip")</f>
        <v>https://climate.onebuilding.org/WMO_Region_6_Europe/CZE_Czechia/JK_Vysocina_Vysocina/CZE_JK_Kostelni.Myslova.116360_TMYx.2009-2023.zip</v>
      </c>
    </row>
    <row r="1895" spans="1:10" x14ac:dyDescent="0.25">
      <c r="A1895" t="s">
        <v>1189</v>
      </c>
      <c r="B1895" t="s">
        <v>1242</v>
      </c>
      <c r="C1895" t="s">
        <v>1245</v>
      </c>
      <c r="D1895">
        <v>116360</v>
      </c>
      <c r="E1895" t="s">
        <v>14</v>
      </c>
      <c r="F1895">
        <v>49.167000000000002</v>
      </c>
      <c r="G1895">
        <v>15.433</v>
      </c>
      <c r="H1895">
        <v>1</v>
      </c>
      <c r="I1895">
        <v>572.4</v>
      </c>
      <c r="J1895" t="str">
        <f>HYPERLINK("https://climate.onebuilding.org/WMO_Region_6_Europe/CZE_Czechia/JK_Vysocina_Vysocina/CZE_JK_Kostelni.Myslova.116360_TMYx.zip")</f>
        <v>https://climate.onebuilding.org/WMO_Region_6_Europe/CZE_Czechia/JK_Vysocina_Vysocina/CZE_JK_Kostelni.Myslova.116360_TMYx.zip</v>
      </c>
    </row>
    <row r="1896" spans="1:10" x14ac:dyDescent="0.25">
      <c r="A1896" t="s">
        <v>1189</v>
      </c>
      <c r="B1896" t="s">
        <v>1247</v>
      </c>
      <c r="C1896" t="s">
        <v>1248</v>
      </c>
      <c r="D1896">
        <v>116430</v>
      </c>
      <c r="E1896" t="s">
        <v>1249</v>
      </c>
      <c r="F1896">
        <v>50.7</v>
      </c>
      <c r="G1896">
        <v>15.733000000000001</v>
      </c>
      <c r="H1896">
        <v>1</v>
      </c>
      <c r="I1896">
        <v>820.6</v>
      </c>
      <c r="J1896" t="str">
        <f>HYPERLINK("https://climate.onebuilding.org/WMO_Region_6_Europe/CZE_Czechia/HK_Kralovehradecky_Hradec_Kralove/CZE_HK_Pec.pod.Snezkou.116430_TMYx.2004-2018.zip")</f>
        <v>https://climate.onebuilding.org/WMO_Region_6_Europe/CZE_Czechia/HK_Kralovehradecky_Hradec_Kralove/CZE_HK_Pec.pod.Snezkou.116430_TMYx.2004-2018.zip</v>
      </c>
    </row>
    <row r="1897" spans="1:10" x14ac:dyDescent="0.25">
      <c r="A1897" t="s">
        <v>1189</v>
      </c>
      <c r="B1897" t="s">
        <v>1247</v>
      </c>
      <c r="C1897" t="s">
        <v>1248</v>
      </c>
      <c r="D1897">
        <v>116430</v>
      </c>
      <c r="E1897" t="s">
        <v>14</v>
      </c>
      <c r="F1897">
        <v>50.7</v>
      </c>
      <c r="G1897">
        <v>15.733000000000001</v>
      </c>
      <c r="H1897">
        <v>1</v>
      </c>
      <c r="I1897">
        <v>820.6</v>
      </c>
      <c r="J1897" t="str">
        <f>HYPERLINK("https://climate.onebuilding.org/WMO_Region_6_Europe/CZE_Czechia/HK_Kralovehradecky_Hradec_Kralove/CZE_HK_Pec.pod.Snezkou.116430_TMYx.2007-2021.zip")</f>
        <v>https://climate.onebuilding.org/WMO_Region_6_Europe/CZE_Czechia/HK_Kralovehradecky_Hradec_Kralove/CZE_HK_Pec.pod.Snezkou.116430_TMYx.2007-2021.zip</v>
      </c>
    </row>
    <row r="1898" spans="1:10" x14ac:dyDescent="0.25">
      <c r="A1898" t="s">
        <v>1189</v>
      </c>
      <c r="B1898" t="s">
        <v>1247</v>
      </c>
      <c r="C1898" t="s">
        <v>1248</v>
      </c>
      <c r="D1898">
        <v>116430</v>
      </c>
      <c r="E1898" t="s">
        <v>14</v>
      </c>
      <c r="F1898">
        <v>50.7</v>
      </c>
      <c r="G1898">
        <v>15.733000000000001</v>
      </c>
      <c r="H1898">
        <v>1</v>
      </c>
      <c r="I1898">
        <v>820.6</v>
      </c>
      <c r="J1898" t="str">
        <f>HYPERLINK("https://climate.onebuilding.org/WMO_Region_6_Europe/CZE_Czechia/HK_Kralovehradecky_Hradec_Kralove/CZE_HK_Pec.pod.Snezkou.116430_TMYx.2009-2023.zip")</f>
        <v>https://climate.onebuilding.org/WMO_Region_6_Europe/CZE_Czechia/HK_Kralovehradecky_Hradec_Kralove/CZE_HK_Pec.pod.Snezkou.116430_TMYx.2009-2023.zip</v>
      </c>
    </row>
    <row r="1899" spans="1:10" x14ac:dyDescent="0.25">
      <c r="A1899" t="s">
        <v>1189</v>
      </c>
      <c r="B1899" t="s">
        <v>1247</v>
      </c>
      <c r="C1899" t="s">
        <v>1248</v>
      </c>
      <c r="D1899">
        <v>116430</v>
      </c>
      <c r="E1899" t="s">
        <v>14</v>
      </c>
      <c r="F1899">
        <v>50.7</v>
      </c>
      <c r="G1899">
        <v>15.733000000000001</v>
      </c>
      <c r="H1899">
        <v>1</v>
      </c>
      <c r="I1899">
        <v>820.6</v>
      </c>
      <c r="J1899" t="str">
        <f>HYPERLINK("https://climate.onebuilding.org/WMO_Region_6_Europe/CZE_Czechia/HK_Kralovehradecky_Hradec_Kralove/CZE_HK_Pec.pod.Snezkou.116430_TMYx.zip")</f>
        <v>https://climate.onebuilding.org/WMO_Region_6_Europe/CZE_Czechia/HK_Kralovehradecky_Hradec_Kralove/CZE_HK_Pec.pod.Snezkou.116430_TMYx.zip</v>
      </c>
    </row>
    <row r="1900" spans="1:10" x14ac:dyDescent="0.25">
      <c r="A1900" t="s">
        <v>1189</v>
      </c>
      <c r="B1900" t="s">
        <v>1247</v>
      </c>
      <c r="C1900" t="s">
        <v>1250</v>
      </c>
      <c r="D1900">
        <v>116440</v>
      </c>
      <c r="E1900" t="s">
        <v>78</v>
      </c>
      <c r="F1900">
        <v>50.66404</v>
      </c>
      <c r="G1900">
        <v>15.91569</v>
      </c>
      <c r="H1900">
        <v>1</v>
      </c>
      <c r="I1900">
        <v>626</v>
      </c>
      <c r="J1900" t="str">
        <f>HYPERLINK("https://climate.onebuilding.org/WMO_Region_6_Europe/CZE_Czechia/HK_Kralovehradecky_Hradec_Kralove/CZE_HK_Zacler.116440_TMYx.2007-2021.zip")</f>
        <v>https://climate.onebuilding.org/WMO_Region_6_Europe/CZE_Czechia/HK_Kralovehradecky_Hradec_Kralove/CZE_HK_Zacler.116440_TMYx.2007-2021.zip</v>
      </c>
    </row>
    <row r="1901" spans="1:10" x14ac:dyDescent="0.25">
      <c r="A1901" t="s">
        <v>1189</v>
      </c>
      <c r="B1901" t="s">
        <v>1247</v>
      </c>
      <c r="C1901" t="s">
        <v>1250</v>
      </c>
      <c r="D1901">
        <v>116440</v>
      </c>
      <c r="E1901" t="s">
        <v>78</v>
      </c>
      <c r="F1901">
        <v>50.66404</v>
      </c>
      <c r="G1901">
        <v>15.91569</v>
      </c>
      <c r="H1901">
        <v>1</v>
      </c>
      <c r="I1901">
        <v>626</v>
      </c>
      <c r="J1901" t="str">
        <f>HYPERLINK("https://climate.onebuilding.org/WMO_Region_6_Europe/CZE_Czechia/HK_Kralovehradecky_Hradec_Kralove/CZE_HK_Zacler.116440_TMYx.2009-2023.zip")</f>
        <v>https://climate.onebuilding.org/WMO_Region_6_Europe/CZE_Czechia/HK_Kralovehradecky_Hradec_Kralove/CZE_HK_Zacler.116440_TMYx.2009-2023.zip</v>
      </c>
    </row>
    <row r="1902" spans="1:10" x14ac:dyDescent="0.25">
      <c r="A1902" t="s">
        <v>1189</v>
      </c>
      <c r="B1902" t="s">
        <v>1247</v>
      </c>
      <c r="C1902" t="s">
        <v>1250</v>
      </c>
      <c r="D1902">
        <v>116440</v>
      </c>
      <c r="E1902" t="s">
        <v>78</v>
      </c>
      <c r="F1902">
        <v>50.66404</v>
      </c>
      <c r="G1902">
        <v>15.91569</v>
      </c>
      <c r="H1902">
        <v>1</v>
      </c>
      <c r="I1902">
        <v>626</v>
      </c>
      <c r="J1902" t="str">
        <f>HYPERLINK("https://climate.onebuilding.org/WMO_Region_6_Europe/CZE_Czechia/HK_Kralovehradecky_Hradec_Kralove/CZE_HK_Zacler.116440_TMYx.zip")</f>
        <v>https://climate.onebuilding.org/WMO_Region_6_Europe/CZE_Czechia/HK_Kralovehradecky_Hradec_Kralove/CZE_HK_Zacler.116440_TMYx.zip</v>
      </c>
    </row>
    <row r="1903" spans="1:10" x14ac:dyDescent="0.25">
      <c r="A1903" t="s">
        <v>1189</v>
      </c>
      <c r="B1903" t="s">
        <v>1247</v>
      </c>
      <c r="C1903" t="s">
        <v>1251</v>
      </c>
      <c r="D1903">
        <v>116450</v>
      </c>
      <c r="E1903" t="s">
        <v>78</v>
      </c>
      <c r="F1903">
        <v>50.582999999999998</v>
      </c>
      <c r="G1903">
        <v>16.332999999999998</v>
      </c>
      <c r="H1903">
        <v>1</v>
      </c>
      <c r="I1903">
        <v>397</v>
      </c>
      <c r="J1903" t="str">
        <f>HYPERLINK("https://climate.onebuilding.org/WMO_Region_6_Europe/CZE_Czechia/HK_Kralovehradecky_Hradec_Kralove/CZE_HK_Broumov.116450_TMYx.2007-2021.zip")</f>
        <v>https://climate.onebuilding.org/WMO_Region_6_Europe/CZE_Czechia/HK_Kralovehradecky_Hradec_Kralove/CZE_HK_Broumov.116450_TMYx.2007-2021.zip</v>
      </c>
    </row>
    <row r="1904" spans="1:10" x14ac:dyDescent="0.25">
      <c r="A1904" t="s">
        <v>1189</v>
      </c>
      <c r="B1904" t="s">
        <v>1247</v>
      </c>
      <c r="C1904" t="s">
        <v>1251</v>
      </c>
      <c r="D1904">
        <v>116450</v>
      </c>
      <c r="E1904" t="s">
        <v>78</v>
      </c>
      <c r="F1904">
        <v>50.582999999999998</v>
      </c>
      <c r="G1904">
        <v>16.332999999999998</v>
      </c>
      <c r="H1904">
        <v>1</v>
      </c>
      <c r="I1904">
        <v>397</v>
      </c>
      <c r="J1904" t="str">
        <f>HYPERLINK("https://climate.onebuilding.org/WMO_Region_6_Europe/CZE_Czechia/HK_Kralovehradecky_Hradec_Kralove/CZE_HK_Broumov.116450_TMYx.2009-2023.zip")</f>
        <v>https://climate.onebuilding.org/WMO_Region_6_Europe/CZE_Czechia/HK_Kralovehradecky_Hradec_Kralove/CZE_HK_Broumov.116450_TMYx.2009-2023.zip</v>
      </c>
    </row>
    <row r="1905" spans="1:10" x14ac:dyDescent="0.25">
      <c r="A1905" t="s">
        <v>1189</v>
      </c>
      <c r="B1905" t="s">
        <v>1247</v>
      </c>
      <c r="C1905" t="s">
        <v>1251</v>
      </c>
      <c r="D1905">
        <v>116450</v>
      </c>
      <c r="E1905" t="s">
        <v>78</v>
      </c>
      <c r="F1905">
        <v>50.582999999999998</v>
      </c>
      <c r="G1905">
        <v>16.332999999999998</v>
      </c>
      <c r="H1905">
        <v>1</v>
      </c>
      <c r="I1905">
        <v>397</v>
      </c>
      <c r="J1905" t="str">
        <f>HYPERLINK("https://climate.onebuilding.org/WMO_Region_6_Europe/CZE_Czechia/HK_Kralovehradecky_Hradec_Kralove/CZE_HK_Broumov.116450_TMYx.zip")</f>
        <v>https://climate.onebuilding.org/WMO_Region_6_Europe/CZE_Czechia/HK_Kralovehradecky_Hradec_Kralove/CZE_HK_Broumov.116450_TMYx.zip</v>
      </c>
    </row>
    <row r="1906" spans="1:10" x14ac:dyDescent="0.25">
      <c r="A1906" t="s">
        <v>1189</v>
      </c>
      <c r="B1906" t="s">
        <v>1247</v>
      </c>
      <c r="C1906" t="s">
        <v>1252</v>
      </c>
      <c r="D1906">
        <v>116480</v>
      </c>
      <c r="E1906" t="s">
        <v>14</v>
      </c>
      <c r="F1906">
        <v>50.25</v>
      </c>
      <c r="G1906">
        <v>15.85</v>
      </c>
      <c r="H1906">
        <v>1</v>
      </c>
      <c r="I1906">
        <v>244</v>
      </c>
      <c r="J1906" t="str">
        <f>HYPERLINK("https://climate.onebuilding.org/WMO_Region_6_Europe/CZE_Czechia/HK_Kralovehradecky_Hradec_Kralove/CZE_HK_Hradec.Kralove.116480_TMYx.zip")</f>
        <v>https://climate.onebuilding.org/WMO_Region_6_Europe/CZE_Czechia/HK_Kralovehradecky_Hradec_Kralove/CZE_HK_Hradec.Kralove.116480_TMYx.zip</v>
      </c>
    </row>
    <row r="1907" spans="1:10" x14ac:dyDescent="0.25">
      <c r="A1907" t="s">
        <v>1189</v>
      </c>
      <c r="B1907" t="s">
        <v>1242</v>
      </c>
      <c r="C1907" t="s">
        <v>1253</v>
      </c>
      <c r="D1907">
        <v>116500</v>
      </c>
      <c r="E1907" t="s">
        <v>78</v>
      </c>
      <c r="F1907">
        <v>49.616999999999997</v>
      </c>
      <c r="G1907">
        <v>15.583</v>
      </c>
      <c r="H1907">
        <v>1</v>
      </c>
      <c r="I1907">
        <v>456</v>
      </c>
      <c r="J1907" t="str">
        <f>HYPERLINK("https://climate.onebuilding.org/WMO_Region_6_Europe/CZE_Czechia/JK_Vysocina_Vysocina/CZE_JK_Havlickuv.Brod.116500_TMYx.2007-2021.zip")</f>
        <v>https://climate.onebuilding.org/WMO_Region_6_Europe/CZE_Czechia/JK_Vysocina_Vysocina/CZE_JK_Havlickuv.Brod.116500_TMYx.2007-2021.zip</v>
      </c>
    </row>
    <row r="1908" spans="1:10" x14ac:dyDescent="0.25">
      <c r="A1908" t="s">
        <v>1189</v>
      </c>
      <c r="B1908" t="s">
        <v>1242</v>
      </c>
      <c r="C1908" t="s">
        <v>1253</v>
      </c>
      <c r="D1908">
        <v>116500</v>
      </c>
      <c r="E1908" t="s">
        <v>78</v>
      </c>
      <c r="F1908">
        <v>49.616999999999997</v>
      </c>
      <c r="G1908">
        <v>15.583</v>
      </c>
      <c r="H1908">
        <v>1</v>
      </c>
      <c r="I1908">
        <v>456</v>
      </c>
      <c r="J1908" t="str">
        <f>HYPERLINK("https://climate.onebuilding.org/WMO_Region_6_Europe/CZE_Czechia/JK_Vysocina_Vysocina/CZE_JK_Havlickuv.Brod.116500_TMYx.2009-2023.zip")</f>
        <v>https://climate.onebuilding.org/WMO_Region_6_Europe/CZE_Czechia/JK_Vysocina_Vysocina/CZE_JK_Havlickuv.Brod.116500_TMYx.2009-2023.zip</v>
      </c>
    </row>
    <row r="1909" spans="1:10" x14ac:dyDescent="0.25">
      <c r="A1909" t="s">
        <v>1189</v>
      </c>
      <c r="B1909" t="s">
        <v>1242</v>
      </c>
      <c r="C1909" t="s">
        <v>1253</v>
      </c>
      <c r="D1909">
        <v>116500</v>
      </c>
      <c r="E1909" t="s">
        <v>78</v>
      </c>
      <c r="F1909">
        <v>49.616999999999997</v>
      </c>
      <c r="G1909">
        <v>15.583</v>
      </c>
      <c r="H1909">
        <v>1</v>
      </c>
      <c r="I1909">
        <v>456</v>
      </c>
      <c r="J1909" t="str">
        <f>HYPERLINK("https://climate.onebuilding.org/WMO_Region_6_Europe/CZE_Czechia/JK_Vysocina_Vysocina/CZE_JK_Havlickuv.Brod.116500_TMYx.zip")</f>
        <v>https://climate.onebuilding.org/WMO_Region_6_Europe/CZE_Czechia/JK_Vysocina_Vysocina/CZE_JK_Havlickuv.Brod.116500_TMYx.zip</v>
      </c>
    </row>
    <row r="1910" spans="1:10" x14ac:dyDescent="0.25">
      <c r="A1910" t="s">
        <v>1189</v>
      </c>
      <c r="B1910" t="s">
        <v>1254</v>
      </c>
      <c r="C1910" t="s">
        <v>1255</v>
      </c>
      <c r="D1910">
        <v>116520</v>
      </c>
      <c r="E1910" t="s">
        <v>1256</v>
      </c>
      <c r="F1910">
        <v>50.012999999999998</v>
      </c>
      <c r="G1910">
        <v>15.739000000000001</v>
      </c>
      <c r="H1910">
        <v>1</v>
      </c>
      <c r="I1910">
        <v>225.9</v>
      </c>
      <c r="J1910" t="str">
        <f>HYPERLINK("https://climate.onebuilding.org/WMO_Region_6_Europe/CZE_Czechia/EK_Pardubicky_Pardubice/CZE_EK_Pardubice.116520_TMYx.2004-2018.zip")</f>
        <v>https://climate.onebuilding.org/WMO_Region_6_Europe/CZE_Czechia/EK_Pardubicky_Pardubice/CZE_EK_Pardubice.116520_TMYx.2004-2018.zip</v>
      </c>
    </row>
    <row r="1911" spans="1:10" x14ac:dyDescent="0.25">
      <c r="A1911" t="s">
        <v>1189</v>
      </c>
      <c r="B1911" t="s">
        <v>1254</v>
      </c>
      <c r="C1911" t="s">
        <v>1255</v>
      </c>
      <c r="D1911">
        <v>116520</v>
      </c>
      <c r="E1911" t="s">
        <v>14</v>
      </c>
      <c r="F1911">
        <v>50.012999999999998</v>
      </c>
      <c r="G1911">
        <v>15.739000000000001</v>
      </c>
      <c r="H1911">
        <v>1</v>
      </c>
      <c r="I1911">
        <v>225.9</v>
      </c>
      <c r="J1911" t="str">
        <f>HYPERLINK("https://climate.onebuilding.org/WMO_Region_6_Europe/CZE_Czechia/EK_Pardubicky_Pardubice/CZE_EK_Pardubice.116520_TMYx.2007-2021.zip")</f>
        <v>https://climate.onebuilding.org/WMO_Region_6_Europe/CZE_Czechia/EK_Pardubicky_Pardubice/CZE_EK_Pardubice.116520_TMYx.2007-2021.zip</v>
      </c>
    </row>
    <row r="1912" spans="1:10" x14ac:dyDescent="0.25">
      <c r="A1912" t="s">
        <v>1189</v>
      </c>
      <c r="B1912" t="s">
        <v>1254</v>
      </c>
      <c r="C1912" t="s">
        <v>1255</v>
      </c>
      <c r="D1912">
        <v>116520</v>
      </c>
      <c r="E1912" t="s">
        <v>14</v>
      </c>
      <c r="F1912">
        <v>50.012999999999998</v>
      </c>
      <c r="G1912">
        <v>15.739000000000001</v>
      </c>
      <c r="H1912">
        <v>1</v>
      </c>
      <c r="I1912">
        <v>225.9</v>
      </c>
      <c r="J1912" t="str">
        <f>HYPERLINK("https://climate.onebuilding.org/WMO_Region_6_Europe/CZE_Czechia/EK_Pardubicky_Pardubice/CZE_EK_Pardubice.116520_TMYx.2009-2023.zip")</f>
        <v>https://climate.onebuilding.org/WMO_Region_6_Europe/CZE_Czechia/EK_Pardubicky_Pardubice/CZE_EK_Pardubice.116520_TMYx.2009-2023.zip</v>
      </c>
    </row>
    <row r="1913" spans="1:10" x14ac:dyDescent="0.25">
      <c r="A1913" t="s">
        <v>1189</v>
      </c>
      <c r="B1913" t="s">
        <v>1254</v>
      </c>
      <c r="C1913" t="s">
        <v>1255</v>
      </c>
      <c r="D1913">
        <v>116520</v>
      </c>
      <c r="E1913" t="s">
        <v>14</v>
      </c>
      <c r="F1913">
        <v>50.012999999999998</v>
      </c>
      <c r="G1913">
        <v>15.739000000000001</v>
      </c>
      <c r="H1913">
        <v>1</v>
      </c>
      <c r="I1913">
        <v>225.9</v>
      </c>
      <c r="J1913" t="str">
        <f>HYPERLINK("https://climate.onebuilding.org/WMO_Region_6_Europe/CZE_Czechia/EK_Pardubicky_Pardubice/CZE_EK_Pardubice.116520_TMYx.zip")</f>
        <v>https://climate.onebuilding.org/WMO_Region_6_Europe/CZE_Czechia/EK_Pardubicky_Pardubice/CZE_EK_Pardubice.116520_TMYx.zip</v>
      </c>
    </row>
    <row r="1914" spans="1:10" x14ac:dyDescent="0.25">
      <c r="A1914" t="s">
        <v>1189</v>
      </c>
      <c r="B1914" t="s">
        <v>1247</v>
      </c>
      <c r="C1914" t="s">
        <v>1257</v>
      </c>
      <c r="D1914">
        <v>116530</v>
      </c>
      <c r="E1914" t="s">
        <v>1258</v>
      </c>
      <c r="F1914">
        <v>50.732999999999997</v>
      </c>
      <c r="G1914">
        <v>15.733000000000001</v>
      </c>
      <c r="H1914">
        <v>1</v>
      </c>
      <c r="I1914">
        <v>1602</v>
      </c>
      <c r="J1914" t="str">
        <f>HYPERLINK("https://climate.onebuilding.org/WMO_Region_6_Europe/CZE_Czechia/HK_Kralovehradecky_Hradec_Kralove/CZE_HK_Snezka.116530_TMYx.2004-2018.zip")</f>
        <v>https://climate.onebuilding.org/WMO_Region_6_Europe/CZE_Czechia/HK_Kralovehradecky_Hradec_Kralove/CZE_HK_Snezka.116530_TMYx.2004-2018.zip</v>
      </c>
    </row>
    <row r="1915" spans="1:10" x14ac:dyDescent="0.25">
      <c r="A1915" t="s">
        <v>1189</v>
      </c>
      <c r="B1915" t="s">
        <v>1247</v>
      </c>
      <c r="C1915" t="s">
        <v>1257</v>
      </c>
      <c r="D1915">
        <v>116530</v>
      </c>
      <c r="E1915" t="s">
        <v>14</v>
      </c>
      <c r="F1915">
        <v>50.732999999999997</v>
      </c>
      <c r="G1915">
        <v>15.733000000000001</v>
      </c>
      <c r="H1915">
        <v>1</v>
      </c>
      <c r="I1915">
        <v>1602</v>
      </c>
      <c r="J1915" t="str">
        <f>HYPERLINK("https://climate.onebuilding.org/WMO_Region_6_Europe/CZE_Czechia/HK_Kralovehradecky_Hradec_Kralove/CZE_HK_Snezka.116530_TMYx.2007-2021.zip")</f>
        <v>https://climate.onebuilding.org/WMO_Region_6_Europe/CZE_Czechia/HK_Kralovehradecky_Hradec_Kralove/CZE_HK_Snezka.116530_TMYx.2007-2021.zip</v>
      </c>
    </row>
    <row r="1916" spans="1:10" x14ac:dyDescent="0.25">
      <c r="A1916" t="s">
        <v>1189</v>
      </c>
      <c r="B1916" t="s">
        <v>1247</v>
      </c>
      <c r="C1916" t="s">
        <v>1257</v>
      </c>
      <c r="D1916">
        <v>116530</v>
      </c>
      <c r="E1916" t="s">
        <v>14</v>
      </c>
      <c r="F1916">
        <v>50.732999999999997</v>
      </c>
      <c r="G1916">
        <v>15.733000000000001</v>
      </c>
      <c r="H1916">
        <v>1</v>
      </c>
      <c r="I1916">
        <v>1602</v>
      </c>
      <c r="J1916" t="str">
        <f>HYPERLINK("https://climate.onebuilding.org/WMO_Region_6_Europe/CZE_Czechia/HK_Kralovehradecky_Hradec_Kralove/CZE_HK_Snezka.116530_TMYx.2009-2023.zip")</f>
        <v>https://climate.onebuilding.org/WMO_Region_6_Europe/CZE_Czechia/HK_Kralovehradecky_Hradec_Kralove/CZE_HK_Snezka.116530_TMYx.2009-2023.zip</v>
      </c>
    </row>
    <row r="1917" spans="1:10" x14ac:dyDescent="0.25">
      <c r="A1917" t="s">
        <v>1189</v>
      </c>
      <c r="B1917" t="s">
        <v>1247</v>
      </c>
      <c r="C1917" t="s">
        <v>1257</v>
      </c>
      <c r="D1917">
        <v>116530</v>
      </c>
      <c r="E1917" t="s">
        <v>14</v>
      </c>
      <c r="F1917">
        <v>50.732999999999997</v>
      </c>
      <c r="G1917">
        <v>15.733000000000001</v>
      </c>
      <c r="H1917">
        <v>1</v>
      </c>
      <c r="I1917">
        <v>1602</v>
      </c>
      <c r="J1917" t="str">
        <f>HYPERLINK("https://climate.onebuilding.org/WMO_Region_6_Europe/CZE_Czechia/HK_Kralovehradecky_Hradec_Kralove/CZE_HK_Snezka.116530_TMYx.zip")</f>
        <v>https://climate.onebuilding.org/WMO_Region_6_Europe/CZE_Czechia/HK_Kralovehradecky_Hradec_Kralove/CZE_HK_Snezka.116530_TMYx.zip</v>
      </c>
    </row>
    <row r="1918" spans="1:10" x14ac:dyDescent="0.25">
      <c r="A1918" t="s">
        <v>1189</v>
      </c>
      <c r="B1918" t="s">
        <v>1242</v>
      </c>
      <c r="C1918" t="s">
        <v>1259</v>
      </c>
      <c r="D1918">
        <v>116580</v>
      </c>
      <c r="E1918" t="s">
        <v>78</v>
      </c>
      <c r="F1918">
        <v>49.614280000000001</v>
      </c>
      <c r="G1918">
        <v>15.53816</v>
      </c>
      <c r="H1918">
        <v>1</v>
      </c>
      <c r="I1918">
        <v>459</v>
      </c>
      <c r="J1918" t="str">
        <f>HYPERLINK("https://climate.onebuilding.org/WMO_Region_6_Europe/CZE_Czechia/JK_Vysocina_Vysocina/CZE_JK_Veselice.116580_TMYx.2007-2021.zip")</f>
        <v>https://climate.onebuilding.org/WMO_Region_6_Europe/CZE_Czechia/JK_Vysocina_Vysocina/CZE_JK_Veselice.116580_TMYx.2007-2021.zip</v>
      </c>
    </row>
    <row r="1919" spans="1:10" x14ac:dyDescent="0.25">
      <c r="A1919" t="s">
        <v>1189</v>
      </c>
      <c r="B1919" t="s">
        <v>1242</v>
      </c>
      <c r="C1919" t="s">
        <v>1259</v>
      </c>
      <c r="D1919">
        <v>116580</v>
      </c>
      <c r="E1919" t="s">
        <v>78</v>
      </c>
      <c r="F1919">
        <v>49.614280000000001</v>
      </c>
      <c r="G1919">
        <v>15.53816</v>
      </c>
      <c r="H1919">
        <v>1</v>
      </c>
      <c r="I1919">
        <v>459</v>
      </c>
      <c r="J1919" t="str">
        <f>HYPERLINK("https://climate.onebuilding.org/WMO_Region_6_Europe/CZE_Czechia/JK_Vysocina_Vysocina/CZE_JK_Veselice.116580_TMYx.2009-2023.zip")</f>
        <v>https://climate.onebuilding.org/WMO_Region_6_Europe/CZE_Czechia/JK_Vysocina_Vysocina/CZE_JK_Veselice.116580_TMYx.2009-2023.zip</v>
      </c>
    </row>
    <row r="1920" spans="1:10" x14ac:dyDescent="0.25">
      <c r="A1920" t="s">
        <v>1189</v>
      </c>
      <c r="B1920" t="s">
        <v>1242</v>
      </c>
      <c r="C1920" t="s">
        <v>1259</v>
      </c>
      <c r="D1920">
        <v>116580</v>
      </c>
      <c r="E1920" t="s">
        <v>78</v>
      </c>
      <c r="F1920">
        <v>49.614280000000001</v>
      </c>
      <c r="G1920">
        <v>15.53816</v>
      </c>
      <c r="H1920">
        <v>1</v>
      </c>
      <c r="I1920">
        <v>459</v>
      </c>
      <c r="J1920" t="str">
        <f>HYPERLINK("https://climate.onebuilding.org/WMO_Region_6_Europe/CZE_Czechia/JK_Vysocina_Vysocina/CZE_JK_Veselice.116580_TMYx.zip")</f>
        <v>https://climate.onebuilding.org/WMO_Region_6_Europe/CZE_Czechia/JK_Vysocina_Vysocina/CZE_JK_Veselice.116580_TMYx.zip</v>
      </c>
    </row>
    <row r="1921" spans="1:10" x14ac:dyDescent="0.25">
      <c r="A1921" t="s">
        <v>1189</v>
      </c>
      <c r="B1921" t="s">
        <v>1242</v>
      </c>
      <c r="C1921" t="s">
        <v>1260</v>
      </c>
      <c r="D1921">
        <v>116590</v>
      </c>
      <c r="E1921" t="s">
        <v>1261</v>
      </c>
      <c r="F1921">
        <v>49.582999999999998</v>
      </c>
      <c r="G1921">
        <v>15.766999999999999</v>
      </c>
      <c r="H1921">
        <v>1</v>
      </c>
      <c r="I1921">
        <v>536.4</v>
      </c>
      <c r="J1921" t="str">
        <f>HYPERLINK("https://climate.onebuilding.org/WMO_Region_6_Europe/CZE_Czechia/JK_Vysocina_Vysocina/CZE_JK_Pribyslav.116590_TMYx.2004-2018.zip")</f>
        <v>https://climate.onebuilding.org/WMO_Region_6_Europe/CZE_Czechia/JK_Vysocina_Vysocina/CZE_JK_Pribyslav.116590_TMYx.2004-2018.zip</v>
      </c>
    </row>
    <row r="1922" spans="1:10" x14ac:dyDescent="0.25">
      <c r="A1922" t="s">
        <v>1189</v>
      </c>
      <c r="B1922" t="s">
        <v>1242</v>
      </c>
      <c r="C1922" t="s">
        <v>1260</v>
      </c>
      <c r="D1922">
        <v>116590</v>
      </c>
      <c r="E1922" t="s">
        <v>14</v>
      </c>
      <c r="F1922">
        <v>49.582999999999998</v>
      </c>
      <c r="G1922">
        <v>15.766999999999999</v>
      </c>
      <c r="H1922">
        <v>1</v>
      </c>
      <c r="I1922">
        <v>536.4</v>
      </c>
      <c r="J1922" t="str">
        <f>HYPERLINK("https://climate.onebuilding.org/WMO_Region_6_Europe/CZE_Czechia/JK_Vysocina_Vysocina/CZE_JK_Pribyslav.116590_TMYx.2007-2021.zip")</f>
        <v>https://climate.onebuilding.org/WMO_Region_6_Europe/CZE_Czechia/JK_Vysocina_Vysocina/CZE_JK_Pribyslav.116590_TMYx.2007-2021.zip</v>
      </c>
    </row>
    <row r="1923" spans="1:10" x14ac:dyDescent="0.25">
      <c r="A1923" t="s">
        <v>1189</v>
      </c>
      <c r="B1923" t="s">
        <v>1242</v>
      </c>
      <c r="C1923" t="s">
        <v>1260</v>
      </c>
      <c r="D1923">
        <v>116590</v>
      </c>
      <c r="E1923" t="s">
        <v>14</v>
      </c>
      <c r="F1923">
        <v>49.582999999999998</v>
      </c>
      <c r="G1923">
        <v>15.766999999999999</v>
      </c>
      <c r="H1923">
        <v>1</v>
      </c>
      <c r="I1923">
        <v>536.4</v>
      </c>
      <c r="J1923" t="str">
        <f>HYPERLINK("https://climate.onebuilding.org/WMO_Region_6_Europe/CZE_Czechia/JK_Vysocina_Vysocina/CZE_JK_Pribyslav.116590_TMYx.2009-2023.zip")</f>
        <v>https://climate.onebuilding.org/WMO_Region_6_Europe/CZE_Czechia/JK_Vysocina_Vysocina/CZE_JK_Pribyslav.116590_TMYx.2009-2023.zip</v>
      </c>
    </row>
    <row r="1924" spans="1:10" x14ac:dyDescent="0.25">
      <c r="A1924" t="s">
        <v>1189</v>
      </c>
      <c r="B1924" t="s">
        <v>1242</v>
      </c>
      <c r="C1924" t="s">
        <v>1260</v>
      </c>
      <c r="D1924">
        <v>116590</v>
      </c>
      <c r="E1924" t="s">
        <v>14</v>
      </c>
      <c r="F1924">
        <v>49.582999999999998</v>
      </c>
      <c r="G1924">
        <v>15.766999999999999</v>
      </c>
      <c r="H1924">
        <v>1</v>
      </c>
      <c r="I1924">
        <v>536.4</v>
      </c>
      <c r="J1924" t="str">
        <f>HYPERLINK("https://climate.onebuilding.org/WMO_Region_6_Europe/CZE_Czechia/JK_Vysocina_Vysocina/CZE_JK_Pribyslav.116590_TMYx.zip")</f>
        <v>https://climate.onebuilding.org/WMO_Region_6_Europe/CZE_Czechia/JK_Vysocina_Vysocina/CZE_JK_Pribyslav.116590_TMYx.zip</v>
      </c>
    </row>
    <row r="1925" spans="1:10" x14ac:dyDescent="0.25">
      <c r="A1925" t="s">
        <v>1189</v>
      </c>
      <c r="B1925" t="s">
        <v>1247</v>
      </c>
      <c r="C1925" t="s">
        <v>1262</v>
      </c>
      <c r="D1925">
        <v>116690</v>
      </c>
      <c r="E1925" t="s">
        <v>1263</v>
      </c>
      <c r="F1925">
        <v>50.35</v>
      </c>
      <c r="G1925">
        <v>16.317</v>
      </c>
      <c r="H1925">
        <v>1</v>
      </c>
      <c r="I1925">
        <v>747.2</v>
      </c>
      <c r="J1925" t="str">
        <f>HYPERLINK("https://climate.onebuilding.org/WMO_Region_6_Europe/CZE_Czechia/HK_Kralovehradecky_Hradec_Kralove/CZE_HK_Polom.116690_TMYx.2004-2018.zip")</f>
        <v>https://climate.onebuilding.org/WMO_Region_6_Europe/CZE_Czechia/HK_Kralovehradecky_Hradec_Kralove/CZE_HK_Polom.116690_TMYx.2004-2018.zip</v>
      </c>
    </row>
    <row r="1926" spans="1:10" x14ac:dyDescent="0.25">
      <c r="A1926" t="s">
        <v>1189</v>
      </c>
      <c r="B1926" t="s">
        <v>1247</v>
      </c>
      <c r="C1926" t="s">
        <v>1262</v>
      </c>
      <c r="D1926">
        <v>116690</v>
      </c>
      <c r="E1926" t="s">
        <v>14</v>
      </c>
      <c r="F1926">
        <v>50.35</v>
      </c>
      <c r="G1926">
        <v>16.317</v>
      </c>
      <c r="H1926">
        <v>1</v>
      </c>
      <c r="I1926">
        <v>747.2</v>
      </c>
      <c r="J1926" t="str">
        <f>HYPERLINK("https://climate.onebuilding.org/WMO_Region_6_Europe/CZE_Czechia/HK_Kralovehradecky_Hradec_Kralove/CZE_HK_Polom.116690_TMYx.2007-2021.zip")</f>
        <v>https://climate.onebuilding.org/WMO_Region_6_Europe/CZE_Czechia/HK_Kralovehradecky_Hradec_Kralove/CZE_HK_Polom.116690_TMYx.2007-2021.zip</v>
      </c>
    </row>
    <row r="1927" spans="1:10" x14ac:dyDescent="0.25">
      <c r="A1927" t="s">
        <v>1189</v>
      </c>
      <c r="B1927" t="s">
        <v>1247</v>
      </c>
      <c r="C1927" t="s">
        <v>1262</v>
      </c>
      <c r="D1927">
        <v>116690</v>
      </c>
      <c r="E1927" t="s">
        <v>14</v>
      </c>
      <c r="F1927">
        <v>50.35</v>
      </c>
      <c r="G1927">
        <v>16.317</v>
      </c>
      <c r="H1927">
        <v>1</v>
      </c>
      <c r="I1927">
        <v>747.2</v>
      </c>
      <c r="J1927" t="str">
        <f>HYPERLINK("https://climate.onebuilding.org/WMO_Region_6_Europe/CZE_Czechia/HK_Kralovehradecky_Hradec_Kralove/CZE_HK_Polom.116690_TMYx.zip")</f>
        <v>https://climate.onebuilding.org/WMO_Region_6_Europe/CZE_Czechia/HK_Kralovehradecky_Hradec_Kralove/CZE_HK_Polom.116690_TMYx.zip</v>
      </c>
    </row>
    <row r="1928" spans="1:10" x14ac:dyDescent="0.25">
      <c r="A1928" t="s">
        <v>1189</v>
      </c>
      <c r="B1928" t="s">
        <v>1254</v>
      </c>
      <c r="C1928" t="s">
        <v>1264</v>
      </c>
      <c r="D1928">
        <v>116790</v>
      </c>
      <c r="E1928" t="s">
        <v>1265</v>
      </c>
      <c r="F1928">
        <v>49.982999999999997</v>
      </c>
      <c r="G1928">
        <v>16.417000000000002</v>
      </c>
      <c r="H1928">
        <v>1</v>
      </c>
      <c r="I1928">
        <v>404.9</v>
      </c>
      <c r="J1928" t="str">
        <f>HYPERLINK("https://climate.onebuilding.org/WMO_Region_6_Europe/CZE_Czechia/EK_Pardubicky_Pardubice/CZE_EK_Usti.nad.Orlici.116790_TMYx.2004-2018.zip")</f>
        <v>https://climate.onebuilding.org/WMO_Region_6_Europe/CZE_Czechia/EK_Pardubicky_Pardubice/CZE_EK_Usti.nad.Orlici.116790_TMYx.2004-2018.zip</v>
      </c>
    </row>
    <row r="1929" spans="1:10" x14ac:dyDescent="0.25">
      <c r="A1929" t="s">
        <v>1189</v>
      </c>
      <c r="B1929" t="s">
        <v>1254</v>
      </c>
      <c r="C1929" t="s">
        <v>1264</v>
      </c>
      <c r="D1929">
        <v>116790</v>
      </c>
      <c r="E1929" t="s">
        <v>14</v>
      </c>
      <c r="F1929">
        <v>49.982999999999997</v>
      </c>
      <c r="G1929">
        <v>16.417000000000002</v>
      </c>
      <c r="H1929">
        <v>1</v>
      </c>
      <c r="I1929">
        <v>404.9</v>
      </c>
      <c r="J1929" t="str">
        <f>HYPERLINK("https://climate.onebuilding.org/WMO_Region_6_Europe/CZE_Czechia/EK_Pardubicky_Pardubice/CZE_EK_Usti.nad.Orlici.116790_TMYx.2007-2021.zip")</f>
        <v>https://climate.onebuilding.org/WMO_Region_6_Europe/CZE_Czechia/EK_Pardubicky_Pardubice/CZE_EK_Usti.nad.Orlici.116790_TMYx.2007-2021.zip</v>
      </c>
    </row>
    <row r="1930" spans="1:10" x14ac:dyDescent="0.25">
      <c r="A1930" t="s">
        <v>1189</v>
      </c>
      <c r="B1930" t="s">
        <v>1254</v>
      </c>
      <c r="C1930" t="s">
        <v>1264</v>
      </c>
      <c r="D1930">
        <v>116790</v>
      </c>
      <c r="E1930" t="s">
        <v>14</v>
      </c>
      <c r="F1930">
        <v>49.982999999999997</v>
      </c>
      <c r="G1930">
        <v>16.417000000000002</v>
      </c>
      <c r="H1930">
        <v>1</v>
      </c>
      <c r="I1930">
        <v>404.9</v>
      </c>
      <c r="J1930" t="str">
        <f>HYPERLINK("https://climate.onebuilding.org/WMO_Region_6_Europe/CZE_Czechia/EK_Pardubicky_Pardubice/CZE_EK_Usti.nad.Orlici.116790_TMYx.2009-2023.zip")</f>
        <v>https://climate.onebuilding.org/WMO_Region_6_Europe/CZE_Czechia/EK_Pardubicky_Pardubice/CZE_EK_Usti.nad.Orlici.116790_TMYx.2009-2023.zip</v>
      </c>
    </row>
    <row r="1931" spans="1:10" x14ac:dyDescent="0.25">
      <c r="A1931" t="s">
        <v>1189</v>
      </c>
      <c r="B1931" t="s">
        <v>1254</v>
      </c>
      <c r="C1931" t="s">
        <v>1264</v>
      </c>
      <c r="D1931">
        <v>116790</v>
      </c>
      <c r="E1931" t="s">
        <v>14</v>
      </c>
      <c r="F1931">
        <v>49.982999999999997</v>
      </c>
      <c r="G1931">
        <v>16.417000000000002</v>
      </c>
      <c r="H1931">
        <v>1</v>
      </c>
      <c r="I1931">
        <v>404.9</v>
      </c>
      <c r="J1931" t="str">
        <f>HYPERLINK("https://climate.onebuilding.org/WMO_Region_6_Europe/CZE_Czechia/EK_Pardubicky_Pardubice/CZE_EK_Usti.nad.Orlici.116790_TMYx.zip")</f>
        <v>https://climate.onebuilding.org/WMO_Region_6_Europe/CZE_Czechia/EK_Pardubicky_Pardubice/CZE_EK_Usti.nad.Orlici.116790_TMYx.zip</v>
      </c>
    </row>
    <row r="1932" spans="1:10" x14ac:dyDescent="0.25">
      <c r="A1932" t="s">
        <v>1189</v>
      </c>
      <c r="B1932" t="s">
        <v>1254</v>
      </c>
      <c r="C1932" t="s">
        <v>1266</v>
      </c>
      <c r="D1932">
        <v>116830</v>
      </c>
      <c r="E1932" t="s">
        <v>1267</v>
      </c>
      <c r="F1932">
        <v>49.732999999999997</v>
      </c>
      <c r="G1932">
        <v>16.033000000000001</v>
      </c>
      <c r="H1932">
        <v>1</v>
      </c>
      <c r="I1932">
        <v>740.4</v>
      </c>
      <c r="J1932" t="str">
        <f>HYPERLINK("https://climate.onebuilding.org/WMO_Region_6_Europe/CZE_Czechia/EK_Pardubicky_Pardubice/CZE_EK_Svratouch.116830_TMYx.2004-2018.zip")</f>
        <v>https://climate.onebuilding.org/WMO_Region_6_Europe/CZE_Czechia/EK_Pardubicky_Pardubice/CZE_EK_Svratouch.116830_TMYx.2004-2018.zip</v>
      </c>
    </row>
    <row r="1933" spans="1:10" x14ac:dyDescent="0.25">
      <c r="A1933" t="s">
        <v>1189</v>
      </c>
      <c r="B1933" t="s">
        <v>1254</v>
      </c>
      <c r="C1933" t="s">
        <v>1266</v>
      </c>
      <c r="D1933">
        <v>116830</v>
      </c>
      <c r="E1933" t="s">
        <v>14</v>
      </c>
      <c r="F1933">
        <v>49.732999999999997</v>
      </c>
      <c r="G1933">
        <v>16.033000000000001</v>
      </c>
      <c r="H1933">
        <v>1</v>
      </c>
      <c r="I1933">
        <v>740.4</v>
      </c>
      <c r="J1933" t="str">
        <f>HYPERLINK("https://climate.onebuilding.org/WMO_Region_6_Europe/CZE_Czechia/EK_Pardubicky_Pardubice/CZE_EK_Svratouch.116830_TMYx.2007-2021.zip")</f>
        <v>https://climate.onebuilding.org/WMO_Region_6_Europe/CZE_Czechia/EK_Pardubicky_Pardubice/CZE_EK_Svratouch.116830_TMYx.2007-2021.zip</v>
      </c>
    </row>
    <row r="1934" spans="1:10" x14ac:dyDescent="0.25">
      <c r="A1934" t="s">
        <v>1189</v>
      </c>
      <c r="B1934" t="s">
        <v>1254</v>
      </c>
      <c r="C1934" t="s">
        <v>1266</v>
      </c>
      <c r="D1934">
        <v>116830</v>
      </c>
      <c r="E1934" t="s">
        <v>14</v>
      </c>
      <c r="F1934">
        <v>49.732999999999997</v>
      </c>
      <c r="G1934">
        <v>16.033000000000001</v>
      </c>
      <c r="H1934">
        <v>1</v>
      </c>
      <c r="I1934">
        <v>740.4</v>
      </c>
      <c r="J1934" t="str">
        <f>HYPERLINK("https://climate.onebuilding.org/WMO_Region_6_Europe/CZE_Czechia/EK_Pardubicky_Pardubice/CZE_EK_Svratouch.116830_TMYx.2009-2023.zip")</f>
        <v>https://climate.onebuilding.org/WMO_Region_6_Europe/CZE_Czechia/EK_Pardubicky_Pardubice/CZE_EK_Svratouch.116830_TMYx.2009-2023.zip</v>
      </c>
    </row>
    <row r="1935" spans="1:10" x14ac:dyDescent="0.25">
      <c r="A1935" t="s">
        <v>1189</v>
      </c>
      <c r="B1935" t="s">
        <v>1254</v>
      </c>
      <c r="C1935" t="s">
        <v>1266</v>
      </c>
      <c r="D1935">
        <v>116830</v>
      </c>
      <c r="E1935" t="s">
        <v>14</v>
      </c>
      <c r="F1935">
        <v>49.732999999999997</v>
      </c>
      <c r="G1935">
        <v>16.033000000000001</v>
      </c>
      <c r="H1935">
        <v>1</v>
      </c>
      <c r="I1935">
        <v>740.4</v>
      </c>
      <c r="J1935" t="str">
        <f>HYPERLINK("https://climate.onebuilding.org/WMO_Region_6_Europe/CZE_Czechia/EK_Pardubicky_Pardubice/CZE_EK_Svratouch.116830_TMYx.zip")</f>
        <v>https://climate.onebuilding.org/WMO_Region_6_Europe/CZE_Czechia/EK_Pardubicky_Pardubice/CZE_EK_Svratouch.116830_TMYx.zip</v>
      </c>
    </row>
    <row r="1936" spans="1:10" x14ac:dyDescent="0.25">
      <c r="A1936" t="s">
        <v>1189</v>
      </c>
      <c r="B1936" t="s">
        <v>1242</v>
      </c>
      <c r="C1936" t="s">
        <v>1268</v>
      </c>
      <c r="D1936">
        <v>116920</v>
      </c>
      <c r="E1936" t="s">
        <v>1269</v>
      </c>
      <c r="F1936">
        <v>49.165999999999997</v>
      </c>
      <c r="G1936">
        <v>16.125</v>
      </c>
      <c r="H1936">
        <v>1</v>
      </c>
      <c r="I1936">
        <v>471.8</v>
      </c>
      <c r="J1936" t="str">
        <f>HYPERLINK("https://climate.onebuilding.org/WMO_Region_6_Europe/CZE_Czechia/JK_Vysocina_Vysocina/CZE_JK_Namest.nad.Oslavou.116920_TMYx.2004-2018.zip")</f>
        <v>https://climate.onebuilding.org/WMO_Region_6_Europe/CZE_Czechia/JK_Vysocina_Vysocina/CZE_JK_Namest.nad.Oslavou.116920_TMYx.2004-2018.zip</v>
      </c>
    </row>
    <row r="1937" spans="1:10" x14ac:dyDescent="0.25">
      <c r="A1937" t="s">
        <v>1189</v>
      </c>
      <c r="B1937" t="s">
        <v>1242</v>
      </c>
      <c r="C1937" t="s">
        <v>1268</v>
      </c>
      <c r="D1937">
        <v>116920</v>
      </c>
      <c r="E1937" t="s">
        <v>14</v>
      </c>
      <c r="F1937">
        <v>49.165999999999997</v>
      </c>
      <c r="G1937">
        <v>16.125</v>
      </c>
      <c r="H1937">
        <v>1</v>
      </c>
      <c r="I1937">
        <v>471.8</v>
      </c>
      <c r="J1937" t="str">
        <f>HYPERLINK("https://climate.onebuilding.org/WMO_Region_6_Europe/CZE_Czechia/JK_Vysocina_Vysocina/CZE_JK_Namest.nad.Oslavou.116920_TMYx.2007-2021.zip")</f>
        <v>https://climate.onebuilding.org/WMO_Region_6_Europe/CZE_Czechia/JK_Vysocina_Vysocina/CZE_JK_Namest.nad.Oslavou.116920_TMYx.2007-2021.zip</v>
      </c>
    </row>
    <row r="1938" spans="1:10" x14ac:dyDescent="0.25">
      <c r="A1938" t="s">
        <v>1189</v>
      </c>
      <c r="B1938" t="s">
        <v>1242</v>
      </c>
      <c r="C1938" t="s">
        <v>1268</v>
      </c>
      <c r="D1938">
        <v>116920</v>
      </c>
      <c r="E1938" t="s">
        <v>14</v>
      </c>
      <c r="F1938">
        <v>49.165999999999997</v>
      </c>
      <c r="G1938">
        <v>16.125</v>
      </c>
      <c r="H1938">
        <v>1</v>
      </c>
      <c r="I1938">
        <v>471.8</v>
      </c>
      <c r="J1938" t="str">
        <f>HYPERLINK("https://climate.onebuilding.org/WMO_Region_6_Europe/CZE_Czechia/JK_Vysocina_Vysocina/CZE_JK_Namest.nad.Oslavou.116920_TMYx.2009-2023.zip")</f>
        <v>https://climate.onebuilding.org/WMO_Region_6_Europe/CZE_Czechia/JK_Vysocina_Vysocina/CZE_JK_Namest.nad.Oslavou.116920_TMYx.2009-2023.zip</v>
      </c>
    </row>
    <row r="1939" spans="1:10" x14ac:dyDescent="0.25">
      <c r="A1939" t="s">
        <v>1189</v>
      </c>
      <c r="B1939" t="s">
        <v>1242</v>
      </c>
      <c r="C1939" t="s">
        <v>1268</v>
      </c>
      <c r="D1939">
        <v>116920</v>
      </c>
      <c r="E1939" t="s">
        <v>14</v>
      </c>
      <c r="F1939">
        <v>49.165999999999997</v>
      </c>
      <c r="G1939">
        <v>16.125</v>
      </c>
      <c r="H1939">
        <v>1</v>
      </c>
      <c r="I1939">
        <v>471.8</v>
      </c>
      <c r="J1939" t="str">
        <f>HYPERLINK("https://climate.onebuilding.org/WMO_Region_6_Europe/CZE_Czechia/JK_Vysocina_Vysocina/CZE_JK_Namest.nad.Oslavou.116920_TMYx.zip")</f>
        <v>https://climate.onebuilding.org/WMO_Region_6_Europe/CZE_Czechia/JK_Vysocina_Vysocina/CZE_JK_Namest.nad.Oslavou.116920_TMYx.zip</v>
      </c>
    </row>
    <row r="1940" spans="1:10" x14ac:dyDescent="0.25">
      <c r="A1940" t="s">
        <v>1189</v>
      </c>
      <c r="B1940" t="s">
        <v>1242</v>
      </c>
      <c r="C1940" t="s">
        <v>1270</v>
      </c>
      <c r="D1940">
        <v>116930</v>
      </c>
      <c r="E1940" t="s">
        <v>1271</v>
      </c>
      <c r="F1940">
        <v>49.1</v>
      </c>
      <c r="G1940">
        <v>16.132999999999999</v>
      </c>
      <c r="H1940">
        <v>1</v>
      </c>
      <c r="I1940">
        <v>402</v>
      </c>
      <c r="J1940" t="str">
        <f>HYPERLINK("https://climate.onebuilding.org/WMO_Region_6_Europe/CZE_Czechia/JK_Vysocina_Vysocina/CZE_JK_Dukovany.116930_TMYx.2004-2018.zip")</f>
        <v>https://climate.onebuilding.org/WMO_Region_6_Europe/CZE_Czechia/JK_Vysocina_Vysocina/CZE_JK_Dukovany.116930_TMYx.2004-2018.zip</v>
      </c>
    </row>
    <row r="1941" spans="1:10" x14ac:dyDescent="0.25">
      <c r="A1941" t="s">
        <v>1189</v>
      </c>
      <c r="B1941" t="s">
        <v>1242</v>
      </c>
      <c r="C1941" t="s">
        <v>1270</v>
      </c>
      <c r="D1941">
        <v>116930</v>
      </c>
      <c r="E1941" t="s">
        <v>14</v>
      </c>
      <c r="F1941">
        <v>49.1</v>
      </c>
      <c r="G1941">
        <v>16.132999999999999</v>
      </c>
      <c r="H1941">
        <v>1</v>
      </c>
      <c r="I1941">
        <v>402</v>
      </c>
      <c r="J1941" t="str">
        <f>HYPERLINK("https://climate.onebuilding.org/WMO_Region_6_Europe/CZE_Czechia/JK_Vysocina_Vysocina/CZE_JK_Dukovany.116930_TMYx.2007-2021.zip")</f>
        <v>https://climate.onebuilding.org/WMO_Region_6_Europe/CZE_Czechia/JK_Vysocina_Vysocina/CZE_JK_Dukovany.116930_TMYx.2007-2021.zip</v>
      </c>
    </row>
    <row r="1942" spans="1:10" x14ac:dyDescent="0.25">
      <c r="A1942" t="s">
        <v>1189</v>
      </c>
      <c r="B1942" t="s">
        <v>1242</v>
      </c>
      <c r="C1942" t="s">
        <v>1270</v>
      </c>
      <c r="D1942">
        <v>116930</v>
      </c>
      <c r="E1942" t="s">
        <v>14</v>
      </c>
      <c r="F1942">
        <v>49.1</v>
      </c>
      <c r="G1942">
        <v>16.132999999999999</v>
      </c>
      <c r="H1942">
        <v>1</v>
      </c>
      <c r="I1942">
        <v>402</v>
      </c>
      <c r="J1942" t="str">
        <f>HYPERLINK("https://climate.onebuilding.org/WMO_Region_6_Europe/CZE_Czechia/JK_Vysocina_Vysocina/CZE_JK_Dukovany.116930_TMYx.2009-2023.zip")</f>
        <v>https://climate.onebuilding.org/WMO_Region_6_Europe/CZE_Czechia/JK_Vysocina_Vysocina/CZE_JK_Dukovany.116930_TMYx.2009-2023.zip</v>
      </c>
    </row>
    <row r="1943" spans="1:10" x14ac:dyDescent="0.25">
      <c r="A1943" t="s">
        <v>1189</v>
      </c>
      <c r="B1943" t="s">
        <v>1242</v>
      </c>
      <c r="C1943" t="s">
        <v>1270</v>
      </c>
      <c r="D1943">
        <v>116930</v>
      </c>
      <c r="E1943" t="s">
        <v>14</v>
      </c>
      <c r="F1943">
        <v>49.1</v>
      </c>
      <c r="G1943">
        <v>16.132999999999999</v>
      </c>
      <c r="H1943">
        <v>1</v>
      </c>
      <c r="I1943">
        <v>402</v>
      </c>
      <c r="J1943" t="str">
        <f>HYPERLINK("https://climate.onebuilding.org/WMO_Region_6_Europe/CZE_Czechia/JK_Vysocina_Vysocina/CZE_JK_Dukovany.116930_TMYx.zip")</f>
        <v>https://climate.onebuilding.org/WMO_Region_6_Europe/CZE_Czechia/JK_Vysocina_Vysocina/CZE_JK_Dukovany.116930_TMYx.zip</v>
      </c>
    </row>
    <row r="1944" spans="1:10" x14ac:dyDescent="0.25">
      <c r="A1944" t="s">
        <v>1189</v>
      </c>
      <c r="B1944" t="s">
        <v>1272</v>
      </c>
      <c r="C1944" t="s">
        <v>1273</v>
      </c>
      <c r="D1944">
        <v>116980</v>
      </c>
      <c r="E1944" t="s">
        <v>1274</v>
      </c>
      <c r="F1944">
        <v>48.883000000000003</v>
      </c>
      <c r="G1944">
        <v>16.082999999999998</v>
      </c>
      <c r="H1944">
        <v>1</v>
      </c>
      <c r="I1944">
        <v>338.7</v>
      </c>
      <c r="J1944" t="str">
        <f>HYPERLINK("https://climate.onebuilding.org/WMO_Region_6_Europe/CZE_Czechia/BK_Jihomoravsky_South_Moravia/CZE_BK_Kucharovice.116980_TMYx.2004-2018.zip")</f>
        <v>https://climate.onebuilding.org/WMO_Region_6_Europe/CZE_Czechia/BK_Jihomoravsky_South_Moravia/CZE_BK_Kucharovice.116980_TMYx.2004-2018.zip</v>
      </c>
    </row>
    <row r="1945" spans="1:10" x14ac:dyDescent="0.25">
      <c r="A1945" t="s">
        <v>1189</v>
      </c>
      <c r="B1945" t="s">
        <v>1272</v>
      </c>
      <c r="C1945" t="s">
        <v>1273</v>
      </c>
      <c r="D1945">
        <v>116980</v>
      </c>
      <c r="E1945" t="s">
        <v>14</v>
      </c>
      <c r="F1945">
        <v>48.883000000000003</v>
      </c>
      <c r="G1945">
        <v>16.082999999999998</v>
      </c>
      <c r="H1945">
        <v>1</v>
      </c>
      <c r="I1945">
        <v>338.7</v>
      </c>
      <c r="J1945" t="str">
        <f>HYPERLINK("https://climate.onebuilding.org/WMO_Region_6_Europe/CZE_Czechia/BK_Jihomoravsky_South_Moravia/CZE_BK_Kucharovice.116980_TMYx.2007-2021.zip")</f>
        <v>https://climate.onebuilding.org/WMO_Region_6_Europe/CZE_Czechia/BK_Jihomoravsky_South_Moravia/CZE_BK_Kucharovice.116980_TMYx.2007-2021.zip</v>
      </c>
    </row>
    <row r="1946" spans="1:10" x14ac:dyDescent="0.25">
      <c r="A1946" t="s">
        <v>1189</v>
      </c>
      <c r="B1946" t="s">
        <v>1272</v>
      </c>
      <c r="C1946" t="s">
        <v>1273</v>
      </c>
      <c r="D1946">
        <v>116980</v>
      </c>
      <c r="E1946" t="s">
        <v>14</v>
      </c>
      <c r="F1946">
        <v>48.883000000000003</v>
      </c>
      <c r="G1946">
        <v>16.082999999999998</v>
      </c>
      <c r="H1946">
        <v>1</v>
      </c>
      <c r="I1946">
        <v>338.7</v>
      </c>
      <c r="J1946" t="str">
        <f>HYPERLINK("https://climate.onebuilding.org/WMO_Region_6_Europe/CZE_Czechia/BK_Jihomoravsky_South_Moravia/CZE_BK_Kucharovice.116980_TMYx.2009-2023.zip")</f>
        <v>https://climate.onebuilding.org/WMO_Region_6_Europe/CZE_Czechia/BK_Jihomoravsky_South_Moravia/CZE_BK_Kucharovice.116980_TMYx.2009-2023.zip</v>
      </c>
    </row>
    <row r="1947" spans="1:10" x14ac:dyDescent="0.25">
      <c r="A1947" t="s">
        <v>1189</v>
      </c>
      <c r="B1947" t="s">
        <v>1272</v>
      </c>
      <c r="C1947" t="s">
        <v>1273</v>
      </c>
      <c r="D1947">
        <v>116980</v>
      </c>
      <c r="E1947" t="s">
        <v>14</v>
      </c>
      <c r="F1947">
        <v>48.883000000000003</v>
      </c>
      <c r="G1947">
        <v>16.082999999999998</v>
      </c>
      <c r="H1947">
        <v>1</v>
      </c>
      <c r="I1947">
        <v>338.7</v>
      </c>
      <c r="J1947" t="str">
        <f>HYPERLINK("https://climate.onebuilding.org/WMO_Region_6_Europe/CZE_Czechia/BK_Jihomoravsky_South_Moravia/CZE_BK_Kucharovice.116980_TMYx.zip")</f>
        <v>https://climate.onebuilding.org/WMO_Region_6_Europe/CZE_Czechia/BK_Jihomoravsky_South_Moravia/CZE_BK_Kucharovice.116980_TMYx.zip</v>
      </c>
    </row>
    <row r="1948" spans="1:10" x14ac:dyDescent="0.25">
      <c r="A1948" t="s">
        <v>1189</v>
      </c>
      <c r="B1948" t="s">
        <v>1275</v>
      </c>
      <c r="C1948" t="s">
        <v>1276</v>
      </c>
      <c r="D1948">
        <v>117100</v>
      </c>
      <c r="E1948" t="s">
        <v>1277</v>
      </c>
      <c r="F1948">
        <v>49.65</v>
      </c>
      <c r="G1948">
        <v>16.95</v>
      </c>
      <c r="H1948">
        <v>1</v>
      </c>
      <c r="I1948">
        <v>515.6</v>
      </c>
      <c r="J1948" t="str">
        <f>HYPERLINK("https://climate.onebuilding.org/WMO_Region_6_Europe/CZE_Czechia/OK_Olomoucky_Olomouc/CZE_OK_Luka.117100_TMYx.2004-2018.zip")</f>
        <v>https://climate.onebuilding.org/WMO_Region_6_Europe/CZE_Czechia/OK_Olomoucky_Olomouc/CZE_OK_Luka.117100_TMYx.2004-2018.zip</v>
      </c>
    </row>
    <row r="1949" spans="1:10" x14ac:dyDescent="0.25">
      <c r="A1949" t="s">
        <v>1189</v>
      </c>
      <c r="B1949" t="s">
        <v>1275</v>
      </c>
      <c r="C1949" t="s">
        <v>1276</v>
      </c>
      <c r="D1949">
        <v>117100</v>
      </c>
      <c r="E1949" t="s">
        <v>14</v>
      </c>
      <c r="F1949">
        <v>49.65</v>
      </c>
      <c r="G1949">
        <v>16.95</v>
      </c>
      <c r="H1949">
        <v>1</v>
      </c>
      <c r="I1949">
        <v>515.6</v>
      </c>
      <c r="J1949" t="str">
        <f>HYPERLINK("https://climate.onebuilding.org/WMO_Region_6_Europe/CZE_Czechia/OK_Olomoucky_Olomouc/CZE_OK_Luka.117100_TMYx.2007-2021.zip")</f>
        <v>https://climate.onebuilding.org/WMO_Region_6_Europe/CZE_Czechia/OK_Olomoucky_Olomouc/CZE_OK_Luka.117100_TMYx.2007-2021.zip</v>
      </c>
    </row>
    <row r="1950" spans="1:10" x14ac:dyDescent="0.25">
      <c r="A1950" t="s">
        <v>1189</v>
      </c>
      <c r="B1950" t="s">
        <v>1275</v>
      </c>
      <c r="C1950" t="s">
        <v>1276</v>
      </c>
      <c r="D1950">
        <v>117100</v>
      </c>
      <c r="E1950" t="s">
        <v>14</v>
      </c>
      <c r="F1950">
        <v>49.65</v>
      </c>
      <c r="G1950">
        <v>16.95</v>
      </c>
      <c r="H1950">
        <v>1</v>
      </c>
      <c r="I1950">
        <v>515.6</v>
      </c>
      <c r="J1950" t="str">
        <f>HYPERLINK("https://climate.onebuilding.org/WMO_Region_6_Europe/CZE_Czechia/OK_Olomoucky_Olomouc/CZE_OK_Luka.117100_TMYx.2009-2023.zip")</f>
        <v>https://climate.onebuilding.org/WMO_Region_6_Europe/CZE_Czechia/OK_Olomoucky_Olomouc/CZE_OK_Luka.117100_TMYx.2009-2023.zip</v>
      </c>
    </row>
    <row r="1951" spans="1:10" x14ac:dyDescent="0.25">
      <c r="A1951" t="s">
        <v>1189</v>
      </c>
      <c r="B1951" t="s">
        <v>1275</v>
      </c>
      <c r="C1951" t="s">
        <v>1276</v>
      </c>
      <c r="D1951">
        <v>117100</v>
      </c>
      <c r="E1951" t="s">
        <v>14</v>
      </c>
      <c r="F1951">
        <v>49.65</v>
      </c>
      <c r="G1951">
        <v>16.95</v>
      </c>
      <c r="H1951">
        <v>1</v>
      </c>
      <c r="I1951">
        <v>515.6</v>
      </c>
      <c r="J1951" t="str">
        <f>HYPERLINK("https://climate.onebuilding.org/WMO_Region_6_Europe/CZE_Czechia/OK_Olomoucky_Olomouc/CZE_OK_Luka.117100_TMYx.zip")</f>
        <v>https://climate.onebuilding.org/WMO_Region_6_Europe/CZE_Czechia/OK_Olomoucky_Olomouc/CZE_OK_Luka.117100_TMYx.zip</v>
      </c>
    </row>
    <row r="1952" spans="1:10" x14ac:dyDescent="0.25">
      <c r="A1952" t="s">
        <v>1189</v>
      </c>
      <c r="B1952" t="s">
        <v>1272</v>
      </c>
      <c r="C1952" t="s">
        <v>1278</v>
      </c>
      <c r="D1952">
        <v>117220</v>
      </c>
      <c r="E1952" t="s">
        <v>14</v>
      </c>
      <c r="F1952">
        <v>49.116999999999997</v>
      </c>
      <c r="G1952">
        <v>16.75</v>
      </c>
      <c r="H1952">
        <v>1</v>
      </c>
      <c r="I1952">
        <v>300</v>
      </c>
      <c r="J1952" t="str">
        <f>HYPERLINK("https://climate.onebuilding.org/WMO_Region_6_Europe/CZE_Czechia/BK_Jihomoravsky_South_Moravia/CZE_BK_Brno.Sokolnice.117220_TMYx.zip")</f>
        <v>https://climate.onebuilding.org/WMO_Region_6_Europe/CZE_Czechia/BK_Jihomoravsky_South_Moravia/CZE_BK_Brno.Sokolnice.117220_TMYx.zip</v>
      </c>
    </row>
    <row r="1953" spans="1:10" x14ac:dyDescent="0.25">
      <c r="A1953" t="s">
        <v>1189</v>
      </c>
      <c r="B1953" t="s">
        <v>1272</v>
      </c>
      <c r="C1953" t="s">
        <v>1279</v>
      </c>
      <c r="D1953">
        <v>117230</v>
      </c>
      <c r="E1953" t="s">
        <v>1280</v>
      </c>
      <c r="F1953">
        <v>49.151000000000003</v>
      </c>
      <c r="G1953">
        <v>16.693999999999999</v>
      </c>
      <c r="H1953">
        <v>1</v>
      </c>
      <c r="I1953">
        <v>237.1</v>
      </c>
      <c r="J1953" t="str">
        <f>HYPERLINK("https://climate.onebuilding.org/WMO_Region_6_Europe/CZE_Czechia/BK_Jihomoravsky_South_Moravia/CZE_BK_Brno.Turany.117230_TMYx.2004-2018.zip")</f>
        <v>https://climate.onebuilding.org/WMO_Region_6_Europe/CZE_Czechia/BK_Jihomoravsky_South_Moravia/CZE_BK_Brno.Turany.117230_TMYx.2004-2018.zip</v>
      </c>
    </row>
    <row r="1954" spans="1:10" x14ac:dyDescent="0.25">
      <c r="A1954" t="s">
        <v>1189</v>
      </c>
      <c r="B1954" t="s">
        <v>1272</v>
      </c>
      <c r="C1954" t="s">
        <v>1279</v>
      </c>
      <c r="D1954">
        <v>117230</v>
      </c>
      <c r="E1954" t="s">
        <v>14</v>
      </c>
      <c r="F1954">
        <v>49.151000000000003</v>
      </c>
      <c r="G1954">
        <v>16.693999999999999</v>
      </c>
      <c r="H1954">
        <v>1</v>
      </c>
      <c r="I1954">
        <v>237.1</v>
      </c>
      <c r="J1954" t="str">
        <f>HYPERLINK("https://climate.onebuilding.org/WMO_Region_6_Europe/CZE_Czechia/BK_Jihomoravsky_South_Moravia/CZE_BK_Brno.Turany.117230_TMYx.2007-2021.zip")</f>
        <v>https://climate.onebuilding.org/WMO_Region_6_Europe/CZE_Czechia/BK_Jihomoravsky_South_Moravia/CZE_BK_Brno.Turany.117230_TMYx.2007-2021.zip</v>
      </c>
    </row>
    <row r="1955" spans="1:10" x14ac:dyDescent="0.25">
      <c r="A1955" t="s">
        <v>1189</v>
      </c>
      <c r="B1955" t="s">
        <v>1272</v>
      </c>
      <c r="C1955" t="s">
        <v>1279</v>
      </c>
      <c r="D1955">
        <v>117230</v>
      </c>
      <c r="E1955" t="s">
        <v>14</v>
      </c>
      <c r="F1955">
        <v>49.151000000000003</v>
      </c>
      <c r="G1955">
        <v>16.693999999999999</v>
      </c>
      <c r="H1955">
        <v>1</v>
      </c>
      <c r="I1955">
        <v>237.1</v>
      </c>
      <c r="J1955" t="str">
        <f>HYPERLINK("https://climate.onebuilding.org/WMO_Region_6_Europe/CZE_Czechia/BK_Jihomoravsky_South_Moravia/CZE_BK_Brno.Turany.117230_TMYx.2009-2023.zip")</f>
        <v>https://climate.onebuilding.org/WMO_Region_6_Europe/CZE_Czechia/BK_Jihomoravsky_South_Moravia/CZE_BK_Brno.Turany.117230_TMYx.2009-2023.zip</v>
      </c>
    </row>
    <row r="1956" spans="1:10" x14ac:dyDescent="0.25">
      <c r="A1956" t="s">
        <v>1189</v>
      </c>
      <c r="B1956" t="s">
        <v>1272</v>
      </c>
      <c r="C1956" t="s">
        <v>1279</v>
      </c>
      <c r="D1956">
        <v>117230</v>
      </c>
      <c r="E1956" t="s">
        <v>14</v>
      </c>
      <c r="F1956">
        <v>49.151000000000003</v>
      </c>
      <c r="G1956">
        <v>16.693999999999999</v>
      </c>
      <c r="H1956">
        <v>1</v>
      </c>
      <c r="I1956">
        <v>237.1</v>
      </c>
      <c r="J1956" t="str">
        <f>HYPERLINK("https://climate.onebuilding.org/WMO_Region_6_Europe/CZE_Czechia/BK_Jihomoravsky_South_Moravia/CZE_BK_Brno.Turany.117230_TMYx.zip")</f>
        <v>https://climate.onebuilding.org/WMO_Region_6_Europe/CZE_Czechia/BK_Jihomoravsky_South_Moravia/CZE_BK_Brno.Turany.117230_TMYx.zip</v>
      </c>
    </row>
    <row r="1957" spans="1:10" x14ac:dyDescent="0.25">
      <c r="A1957" t="s">
        <v>1189</v>
      </c>
      <c r="B1957" t="s">
        <v>1254</v>
      </c>
      <c r="C1957" t="s">
        <v>1281</v>
      </c>
      <c r="D1957">
        <v>117240</v>
      </c>
      <c r="E1957" t="s">
        <v>78</v>
      </c>
      <c r="F1957">
        <v>50.096229999999998</v>
      </c>
      <c r="G1957">
        <v>16.67925</v>
      </c>
      <c r="H1957">
        <v>1</v>
      </c>
      <c r="I1957">
        <v>529</v>
      </c>
      <c r="J1957" t="str">
        <f>HYPERLINK("https://climate.onebuilding.org/WMO_Region_6_Europe/CZE_Czechia/EK_Pardubicky_Pardubice/CZE_EK_Lichkov.117240_TMYx.2007-2021.zip")</f>
        <v>https://climate.onebuilding.org/WMO_Region_6_Europe/CZE_Czechia/EK_Pardubicky_Pardubice/CZE_EK_Lichkov.117240_TMYx.2007-2021.zip</v>
      </c>
    </row>
    <row r="1958" spans="1:10" x14ac:dyDescent="0.25">
      <c r="A1958" t="s">
        <v>1189</v>
      </c>
      <c r="B1958" t="s">
        <v>1254</v>
      </c>
      <c r="C1958" t="s">
        <v>1281</v>
      </c>
      <c r="D1958">
        <v>117240</v>
      </c>
      <c r="E1958" t="s">
        <v>78</v>
      </c>
      <c r="F1958">
        <v>50.096229999999998</v>
      </c>
      <c r="G1958">
        <v>16.67925</v>
      </c>
      <c r="H1958">
        <v>1</v>
      </c>
      <c r="I1958">
        <v>529</v>
      </c>
      <c r="J1958" t="str">
        <f>HYPERLINK("https://climate.onebuilding.org/WMO_Region_6_Europe/CZE_Czechia/EK_Pardubicky_Pardubice/CZE_EK_Lichkov.117240_TMYx.2009-2023.zip")</f>
        <v>https://climate.onebuilding.org/WMO_Region_6_Europe/CZE_Czechia/EK_Pardubicky_Pardubice/CZE_EK_Lichkov.117240_TMYx.2009-2023.zip</v>
      </c>
    </row>
    <row r="1959" spans="1:10" x14ac:dyDescent="0.25">
      <c r="A1959" t="s">
        <v>1189</v>
      </c>
      <c r="B1959" t="s">
        <v>1254</v>
      </c>
      <c r="C1959" t="s">
        <v>1281</v>
      </c>
      <c r="D1959">
        <v>117240</v>
      </c>
      <c r="E1959" t="s">
        <v>78</v>
      </c>
      <c r="F1959">
        <v>50.096229999999998</v>
      </c>
      <c r="G1959">
        <v>16.67925</v>
      </c>
      <c r="H1959">
        <v>1</v>
      </c>
      <c r="I1959">
        <v>529</v>
      </c>
      <c r="J1959" t="str">
        <f>HYPERLINK("https://climate.onebuilding.org/WMO_Region_6_Europe/CZE_Czechia/EK_Pardubicky_Pardubice/CZE_EK_Lichkov.117240_TMYx.zip")</f>
        <v>https://climate.onebuilding.org/WMO_Region_6_Europe/CZE_Czechia/EK_Pardubicky_Pardubice/CZE_EK_Lichkov.117240_TMYx.zip</v>
      </c>
    </row>
    <row r="1960" spans="1:10" x14ac:dyDescent="0.25">
      <c r="A1960" t="s">
        <v>1189</v>
      </c>
      <c r="B1960" t="s">
        <v>1282</v>
      </c>
      <c r="C1960" t="s">
        <v>1283</v>
      </c>
      <c r="D1960">
        <v>117250</v>
      </c>
      <c r="E1960" t="s">
        <v>78</v>
      </c>
      <c r="F1960">
        <v>49.922150000000002</v>
      </c>
      <c r="G1960">
        <v>18.095880000000001</v>
      </c>
      <c r="H1960">
        <v>1</v>
      </c>
      <c r="I1960">
        <v>235</v>
      </c>
      <c r="J1960" t="str">
        <f>HYPERLINK("https://climate.onebuilding.org/WMO_Region_6_Europe/CZE_Czechia/VK_Moravskoslezsky_Moravia-Silesia/CZE_VK_Dolni.Benesov.117250_TMYx.2007-2021.zip")</f>
        <v>https://climate.onebuilding.org/WMO_Region_6_Europe/CZE_Czechia/VK_Moravskoslezsky_Moravia-Silesia/CZE_VK_Dolni.Benesov.117250_TMYx.2007-2021.zip</v>
      </c>
    </row>
    <row r="1961" spans="1:10" x14ac:dyDescent="0.25">
      <c r="A1961" t="s">
        <v>1189</v>
      </c>
      <c r="B1961" t="s">
        <v>1282</v>
      </c>
      <c r="C1961" t="s">
        <v>1283</v>
      </c>
      <c r="D1961">
        <v>117250</v>
      </c>
      <c r="E1961" t="s">
        <v>78</v>
      </c>
      <c r="F1961">
        <v>49.922150000000002</v>
      </c>
      <c r="G1961">
        <v>18.095880000000001</v>
      </c>
      <c r="H1961">
        <v>1</v>
      </c>
      <c r="I1961">
        <v>235</v>
      </c>
      <c r="J1961" t="str">
        <f>HYPERLINK("https://climate.onebuilding.org/WMO_Region_6_Europe/CZE_Czechia/VK_Moravskoslezsky_Moravia-Silesia/CZE_VK_Dolni.Benesov.117250_TMYx.2009-2023.zip")</f>
        <v>https://climate.onebuilding.org/WMO_Region_6_Europe/CZE_Czechia/VK_Moravskoslezsky_Moravia-Silesia/CZE_VK_Dolni.Benesov.117250_TMYx.2009-2023.zip</v>
      </c>
    </row>
    <row r="1962" spans="1:10" x14ac:dyDescent="0.25">
      <c r="A1962" t="s">
        <v>1189</v>
      </c>
      <c r="B1962" t="s">
        <v>1282</v>
      </c>
      <c r="C1962" t="s">
        <v>1283</v>
      </c>
      <c r="D1962">
        <v>117250</v>
      </c>
      <c r="E1962" t="s">
        <v>78</v>
      </c>
      <c r="F1962">
        <v>49.922150000000002</v>
      </c>
      <c r="G1962">
        <v>18.095880000000001</v>
      </c>
      <c r="H1962">
        <v>1</v>
      </c>
      <c r="I1962">
        <v>235</v>
      </c>
      <c r="J1962" t="str">
        <f>HYPERLINK("https://climate.onebuilding.org/WMO_Region_6_Europe/CZE_Czechia/VK_Moravskoslezsky_Moravia-Silesia/CZE_VK_Dolni.Benesov.117250_TMYx.zip")</f>
        <v>https://climate.onebuilding.org/WMO_Region_6_Europe/CZE_Czechia/VK_Moravskoslezsky_Moravia-Silesia/CZE_VK_Dolni.Benesov.117250_TMYx.zip</v>
      </c>
    </row>
    <row r="1963" spans="1:10" x14ac:dyDescent="0.25">
      <c r="A1963" t="s">
        <v>1189</v>
      </c>
      <c r="B1963" t="s">
        <v>1275</v>
      </c>
      <c r="C1963" t="s">
        <v>1284</v>
      </c>
      <c r="D1963">
        <v>117300</v>
      </c>
      <c r="E1963" t="s">
        <v>1285</v>
      </c>
      <c r="F1963">
        <v>50.183</v>
      </c>
      <c r="G1963">
        <v>17.117000000000001</v>
      </c>
      <c r="H1963">
        <v>1</v>
      </c>
      <c r="I1963">
        <v>1327.5</v>
      </c>
      <c r="J1963" t="str">
        <f>HYPERLINK("https://climate.onebuilding.org/WMO_Region_6_Europe/CZE_Czechia/OK_Olomoucky_Olomouc/CZE_OK_Serak.117300_TMYx.2004-2018.zip")</f>
        <v>https://climate.onebuilding.org/WMO_Region_6_Europe/CZE_Czechia/OK_Olomoucky_Olomouc/CZE_OK_Serak.117300_TMYx.2004-2018.zip</v>
      </c>
    </row>
    <row r="1964" spans="1:10" x14ac:dyDescent="0.25">
      <c r="A1964" t="s">
        <v>1189</v>
      </c>
      <c r="B1964" t="s">
        <v>1275</v>
      </c>
      <c r="C1964" t="s">
        <v>1284</v>
      </c>
      <c r="D1964">
        <v>117300</v>
      </c>
      <c r="E1964" t="s">
        <v>14</v>
      </c>
      <c r="F1964">
        <v>50.183</v>
      </c>
      <c r="G1964">
        <v>17.117000000000001</v>
      </c>
      <c r="H1964">
        <v>1</v>
      </c>
      <c r="I1964">
        <v>1327.5</v>
      </c>
      <c r="J1964" t="str">
        <f>HYPERLINK("https://climate.onebuilding.org/WMO_Region_6_Europe/CZE_Czechia/OK_Olomoucky_Olomouc/CZE_OK_Serak.117300_TMYx.2007-2021.zip")</f>
        <v>https://climate.onebuilding.org/WMO_Region_6_Europe/CZE_Czechia/OK_Olomoucky_Olomouc/CZE_OK_Serak.117300_TMYx.2007-2021.zip</v>
      </c>
    </row>
    <row r="1965" spans="1:10" x14ac:dyDescent="0.25">
      <c r="A1965" t="s">
        <v>1189</v>
      </c>
      <c r="B1965" t="s">
        <v>1275</v>
      </c>
      <c r="C1965" t="s">
        <v>1284</v>
      </c>
      <c r="D1965">
        <v>117300</v>
      </c>
      <c r="E1965" t="s">
        <v>14</v>
      </c>
      <c r="F1965">
        <v>50.183</v>
      </c>
      <c r="G1965">
        <v>17.117000000000001</v>
      </c>
      <c r="H1965">
        <v>1</v>
      </c>
      <c r="I1965">
        <v>1327.5</v>
      </c>
      <c r="J1965" t="str">
        <f>HYPERLINK("https://climate.onebuilding.org/WMO_Region_6_Europe/CZE_Czechia/OK_Olomoucky_Olomouc/CZE_OK_Serak.117300_TMYx.2009-2023.zip")</f>
        <v>https://climate.onebuilding.org/WMO_Region_6_Europe/CZE_Czechia/OK_Olomoucky_Olomouc/CZE_OK_Serak.117300_TMYx.2009-2023.zip</v>
      </c>
    </row>
    <row r="1966" spans="1:10" x14ac:dyDescent="0.25">
      <c r="A1966" t="s">
        <v>1189</v>
      </c>
      <c r="B1966" t="s">
        <v>1275</v>
      </c>
      <c r="C1966" t="s">
        <v>1284</v>
      </c>
      <c r="D1966">
        <v>117300</v>
      </c>
      <c r="E1966" t="s">
        <v>14</v>
      </c>
      <c r="F1966">
        <v>50.183</v>
      </c>
      <c r="G1966">
        <v>17.117000000000001</v>
      </c>
      <c r="H1966">
        <v>1</v>
      </c>
      <c r="I1966">
        <v>1327.5</v>
      </c>
      <c r="J1966" t="str">
        <f>HYPERLINK("https://climate.onebuilding.org/WMO_Region_6_Europe/CZE_Czechia/OK_Olomoucky_Olomouc/CZE_OK_Serak.117300_TMYx.zip")</f>
        <v>https://climate.onebuilding.org/WMO_Region_6_Europe/CZE_Czechia/OK_Olomoucky_Olomouc/CZE_OK_Serak.117300_TMYx.zip</v>
      </c>
    </row>
    <row r="1967" spans="1:10" x14ac:dyDescent="0.25">
      <c r="A1967" t="s">
        <v>1189</v>
      </c>
      <c r="B1967" t="s">
        <v>1282</v>
      </c>
      <c r="C1967" t="s">
        <v>1286</v>
      </c>
      <c r="D1967">
        <v>117350</v>
      </c>
      <c r="E1967" t="s">
        <v>14</v>
      </c>
      <c r="F1967">
        <v>50.067</v>
      </c>
      <c r="G1967">
        <v>17.233000000000001</v>
      </c>
      <c r="H1967">
        <v>1</v>
      </c>
      <c r="I1967">
        <v>1492</v>
      </c>
      <c r="J1967" t="str">
        <f>HYPERLINK("https://climate.onebuilding.org/WMO_Region_6_Europe/CZE_Czechia/VK_Moravskoslezsky_Moravia-Silesia/CZE_VK_Praded.Mountain.117350_TMYx.zip")</f>
        <v>https://climate.onebuilding.org/WMO_Region_6_Europe/CZE_Czechia/VK_Moravskoslezsky_Moravia-Silesia/CZE_VK_Praded.Mountain.117350_TMYx.zip</v>
      </c>
    </row>
    <row r="1968" spans="1:10" x14ac:dyDescent="0.25">
      <c r="A1968" t="s">
        <v>1189</v>
      </c>
      <c r="B1968" t="s">
        <v>1282</v>
      </c>
      <c r="C1968" t="s">
        <v>1287</v>
      </c>
      <c r="D1968">
        <v>117400</v>
      </c>
      <c r="E1968" t="s">
        <v>78</v>
      </c>
      <c r="F1968">
        <v>49.933</v>
      </c>
      <c r="G1968">
        <v>17.882999999999999</v>
      </c>
      <c r="H1968">
        <v>1</v>
      </c>
      <c r="I1968">
        <v>267</v>
      </c>
      <c r="J1968" t="str">
        <f>HYPERLINK("https://climate.onebuilding.org/WMO_Region_6_Europe/CZE_Czechia/VK_Moravskoslezsky_Moravia-Silesia/CZE_VK_Opava.117400_TMYx.2007-2021.zip")</f>
        <v>https://climate.onebuilding.org/WMO_Region_6_Europe/CZE_Czechia/VK_Moravskoslezsky_Moravia-Silesia/CZE_VK_Opava.117400_TMYx.2007-2021.zip</v>
      </c>
    </row>
    <row r="1969" spans="1:10" x14ac:dyDescent="0.25">
      <c r="A1969" t="s">
        <v>1189</v>
      </c>
      <c r="B1969" t="s">
        <v>1282</v>
      </c>
      <c r="C1969" t="s">
        <v>1287</v>
      </c>
      <c r="D1969">
        <v>117400</v>
      </c>
      <c r="E1969" t="s">
        <v>78</v>
      </c>
      <c r="F1969">
        <v>49.933</v>
      </c>
      <c r="G1969">
        <v>17.882999999999999</v>
      </c>
      <c r="H1969">
        <v>1</v>
      </c>
      <c r="I1969">
        <v>267</v>
      </c>
      <c r="J1969" t="str">
        <f>HYPERLINK("https://climate.onebuilding.org/WMO_Region_6_Europe/CZE_Czechia/VK_Moravskoslezsky_Moravia-Silesia/CZE_VK_Opava.117400_TMYx.2009-2023.zip")</f>
        <v>https://climate.onebuilding.org/WMO_Region_6_Europe/CZE_Czechia/VK_Moravskoslezsky_Moravia-Silesia/CZE_VK_Opava.117400_TMYx.2009-2023.zip</v>
      </c>
    </row>
    <row r="1970" spans="1:10" x14ac:dyDescent="0.25">
      <c r="A1970" t="s">
        <v>1189</v>
      </c>
      <c r="B1970" t="s">
        <v>1282</v>
      </c>
      <c r="C1970" t="s">
        <v>1287</v>
      </c>
      <c r="D1970">
        <v>117400</v>
      </c>
      <c r="E1970" t="s">
        <v>78</v>
      </c>
      <c r="F1970">
        <v>49.933</v>
      </c>
      <c r="G1970">
        <v>17.882999999999999</v>
      </c>
      <c r="H1970">
        <v>1</v>
      </c>
      <c r="I1970">
        <v>267</v>
      </c>
      <c r="J1970" t="str">
        <f>HYPERLINK("https://climate.onebuilding.org/WMO_Region_6_Europe/CZE_Czechia/VK_Moravskoslezsky_Moravia-Silesia/CZE_VK_Opava.117400_TMYx.zip")</f>
        <v>https://climate.onebuilding.org/WMO_Region_6_Europe/CZE_Czechia/VK_Moravskoslezsky_Moravia-Silesia/CZE_VK_Opava.117400_TMYx.zip</v>
      </c>
    </row>
    <row r="1971" spans="1:10" x14ac:dyDescent="0.25">
      <c r="A1971" t="s">
        <v>1189</v>
      </c>
      <c r="B1971" t="s">
        <v>1275</v>
      </c>
      <c r="C1971" t="s">
        <v>1288</v>
      </c>
      <c r="D1971">
        <v>117440</v>
      </c>
      <c r="E1971" t="s">
        <v>78</v>
      </c>
      <c r="F1971">
        <v>49.6</v>
      </c>
      <c r="G1971">
        <v>17.216999999999999</v>
      </c>
      <c r="H1971">
        <v>1</v>
      </c>
      <c r="I1971">
        <v>263</v>
      </c>
      <c r="J1971" t="str">
        <f>HYPERLINK("https://climate.onebuilding.org/WMO_Region_6_Europe/CZE_Czechia/OK_Olomoucky_Olomouc/CZE_OK_Olomouc.117440_TMYx.2007-2021.zip")</f>
        <v>https://climate.onebuilding.org/WMO_Region_6_Europe/CZE_Czechia/OK_Olomoucky_Olomouc/CZE_OK_Olomouc.117440_TMYx.2007-2021.zip</v>
      </c>
    </row>
    <row r="1972" spans="1:10" x14ac:dyDescent="0.25">
      <c r="A1972" t="s">
        <v>1189</v>
      </c>
      <c r="B1972" t="s">
        <v>1275</v>
      </c>
      <c r="C1972" t="s">
        <v>1288</v>
      </c>
      <c r="D1972">
        <v>117440</v>
      </c>
      <c r="E1972" t="s">
        <v>78</v>
      </c>
      <c r="F1972">
        <v>49.6</v>
      </c>
      <c r="G1972">
        <v>17.216999999999999</v>
      </c>
      <c r="H1972">
        <v>1</v>
      </c>
      <c r="I1972">
        <v>263</v>
      </c>
      <c r="J1972" t="str">
        <f>HYPERLINK("https://climate.onebuilding.org/WMO_Region_6_Europe/CZE_Czechia/OK_Olomoucky_Olomouc/CZE_OK_Olomouc.117440_TMYx.2009-2023.zip")</f>
        <v>https://climate.onebuilding.org/WMO_Region_6_Europe/CZE_Czechia/OK_Olomoucky_Olomouc/CZE_OK_Olomouc.117440_TMYx.2009-2023.zip</v>
      </c>
    </row>
    <row r="1973" spans="1:10" x14ac:dyDescent="0.25">
      <c r="A1973" t="s">
        <v>1189</v>
      </c>
      <c r="B1973" t="s">
        <v>1275</v>
      </c>
      <c r="C1973" t="s">
        <v>1288</v>
      </c>
      <c r="D1973">
        <v>117440</v>
      </c>
      <c r="E1973" t="s">
        <v>78</v>
      </c>
      <c r="F1973">
        <v>49.6</v>
      </c>
      <c r="G1973">
        <v>17.216999999999999</v>
      </c>
      <c r="H1973">
        <v>1</v>
      </c>
      <c r="I1973">
        <v>263</v>
      </c>
      <c r="J1973" t="str">
        <f>HYPERLINK("https://climate.onebuilding.org/WMO_Region_6_Europe/CZE_Czechia/OK_Olomoucky_Olomouc/CZE_OK_Olomouc.117440_TMYx.zip")</f>
        <v>https://climate.onebuilding.org/WMO_Region_6_Europe/CZE_Czechia/OK_Olomoucky_Olomouc/CZE_OK_Olomouc.117440_TMYx.zip</v>
      </c>
    </row>
    <row r="1974" spans="1:10" x14ac:dyDescent="0.25">
      <c r="A1974" t="s">
        <v>1189</v>
      </c>
      <c r="B1974" t="s">
        <v>1275</v>
      </c>
      <c r="C1974" t="s">
        <v>1289</v>
      </c>
      <c r="D1974">
        <v>117470</v>
      </c>
      <c r="E1974" t="s">
        <v>14</v>
      </c>
      <c r="F1974">
        <v>49.45</v>
      </c>
      <c r="G1974">
        <v>17.132999999999999</v>
      </c>
      <c r="H1974">
        <v>1</v>
      </c>
      <c r="I1974">
        <v>216</v>
      </c>
      <c r="J1974" t="str">
        <f>HYPERLINK("https://climate.onebuilding.org/WMO_Region_6_Europe/CZE_Czechia/OK_Olomoucky_Olomouc/CZE_OK_Prostejov.AP.117470_TMYx.2007-2021.zip")</f>
        <v>https://climate.onebuilding.org/WMO_Region_6_Europe/CZE_Czechia/OK_Olomoucky_Olomouc/CZE_OK_Prostejov.AP.117470_TMYx.2007-2021.zip</v>
      </c>
    </row>
    <row r="1975" spans="1:10" x14ac:dyDescent="0.25">
      <c r="A1975" t="s">
        <v>1189</v>
      </c>
      <c r="B1975" t="s">
        <v>1275</v>
      </c>
      <c r="C1975" t="s">
        <v>1289</v>
      </c>
      <c r="D1975">
        <v>117470</v>
      </c>
      <c r="E1975" t="s">
        <v>14</v>
      </c>
      <c r="F1975">
        <v>49.45</v>
      </c>
      <c r="G1975">
        <v>17.132999999999999</v>
      </c>
      <c r="H1975">
        <v>1</v>
      </c>
      <c r="I1975">
        <v>216</v>
      </c>
      <c r="J1975" t="str">
        <f>HYPERLINK("https://climate.onebuilding.org/WMO_Region_6_Europe/CZE_Czechia/OK_Olomoucky_Olomouc/CZE_OK_Prostejov.AP.117470_TMYx.2009-2023.zip")</f>
        <v>https://climate.onebuilding.org/WMO_Region_6_Europe/CZE_Czechia/OK_Olomoucky_Olomouc/CZE_OK_Prostejov.AP.117470_TMYx.2009-2023.zip</v>
      </c>
    </row>
    <row r="1976" spans="1:10" x14ac:dyDescent="0.25">
      <c r="A1976" t="s">
        <v>1189</v>
      </c>
      <c r="B1976" t="s">
        <v>1275</v>
      </c>
      <c r="C1976" t="s">
        <v>1289</v>
      </c>
      <c r="D1976">
        <v>117470</v>
      </c>
      <c r="E1976" t="s">
        <v>14</v>
      </c>
      <c r="F1976">
        <v>49.45</v>
      </c>
      <c r="G1976">
        <v>17.132999999999999</v>
      </c>
      <c r="H1976">
        <v>1</v>
      </c>
      <c r="I1976">
        <v>216</v>
      </c>
      <c r="J1976" t="str">
        <f>HYPERLINK("https://climate.onebuilding.org/WMO_Region_6_Europe/CZE_Czechia/OK_Olomoucky_Olomouc/CZE_OK_Prostejov.AP.117470_TMYx.zip")</f>
        <v>https://climate.onebuilding.org/WMO_Region_6_Europe/CZE_Czechia/OK_Olomoucky_Olomouc/CZE_OK_Prostejov.AP.117470_TMYx.zip</v>
      </c>
    </row>
    <row r="1977" spans="1:10" x14ac:dyDescent="0.25">
      <c r="A1977" t="s">
        <v>1189</v>
      </c>
      <c r="B1977" t="s">
        <v>1275</v>
      </c>
      <c r="C1977" t="s">
        <v>1290</v>
      </c>
      <c r="D1977">
        <v>117480</v>
      </c>
      <c r="E1977" t="s">
        <v>1291</v>
      </c>
      <c r="F1977">
        <v>49.426000000000002</v>
      </c>
      <c r="G1977">
        <v>17.405000000000001</v>
      </c>
      <c r="H1977">
        <v>1</v>
      </c>
      <c r="I1977">
        <v>206</v>
      </c>
      <c r="J1977" t="str">
        <f>HYPERLINK("https://climate.onebuilding.org/WMO_Region_6_Europe/CZE_Czechia/OK_Olomoucky_Olomouc/CZE_OK_Prerov.117480_TMYx.2004-2018.zip")</f>
        <v>https://climate.onebuilding.org/WMO_Region_6_Europe/CZE_Czechia/OK_Olomoucky_Olomouc/CZE_OK_Prerov.117480_TMYx.2004-2018.zip</v>
      </c>
    </row>
    <row r="1978" spans="1:10" x14ac:dyDescent="0.25">
      <c r="A1978" t="s">
        <v>1189</v>
      </c>
      <c r="B1978" t="s">
        <v>1275</v>
      </c>
      <c r="C1978" t="s">
        <v>1290</v>
      </c>
      <c r="D1978">
        <v>117480</v>
      </c>
      <c r="E1978" t="s">
        <v>14</v>
      </c>
      <c r="F1978">
        <v>49.426000000000002</v>
      </c>
      <c r="G1978">
        <v>17.405000000000001</v>
      </c>
      <c r="H1978">
        <v>1</v>
      </c>
      <c r="I1978">
        <v>206</v>
      </c>
      <c r="J1978" t="str">
        <f>HYPERLINK("https://climate.onebuilding.org/WMO_Region_6_Europe/CZE_Czechia/OK_Olomoucky_Olomouc/CZE_OK_Prerov.117480_TMYx.2007-2021.zip")</f>
        <v>https://climate.onebuilding.org/WMO_Region_6_Europe/CZE_Czechia/OK_Olomoucky_Olomouc/CZE_OK_Prerov.117480_TMYx.2007-2021.zip</v>
      </c>
    </row>
    <row r="1979" spans="1:10" x14ac:dyDescent="0.25">
      <c r="A1979" t="s">
        <v>1189</v>
      </c>
      <c r="B1979" t="s">
        <v>1275</v>
      </c>
      <c r="C1979" t="s">
        <v>1290</v>
      </c>
      <c r="D1979">
        <v>117480</v>
      </c>
      <c r="E1979" t="s">
        <v>14</v>
      </c>
      <c r="F1979">
        <v>49.426000000000002</v>
      </c>
      <c r="G1979">
        <v>17.405000000000001</v>
      </c>
      <c r="H1979">
        <v>1</v>
      </c>
      <c r="I1979">
        <v>206</v>
      </c>
      <c r="J1979" t="str">
        <f>HYPERLINK("https://climate.onebuilding.org/WMO_Region_6_Europe/CZE_Czechia/OK_Olomoucky_Olomouc/CZE_OK_Prerov.117480_TMYx.2009-2023.zip")</f>
        <v>https://climate.onebuilding.org/WMO_Region_6_Europe/CZE_Czechia/OK_Olomoucky_Olomouc/CZE_OK_Prerov.117480_TMYx.2009-2023.zip</v>
      </c>
    </row>
    <row r="1980" spans="1:10" x14ac:dyDescent="0.25">
      <c r="A1980" t="s">
        <v>1189</v>
      </c>
      <c r="B1980" t="s">
        <v>1275</v>
      </c>
      <c r="C1980" t="s">
        <v>1290</v>
      </c>
      <c r="D1980">
        <v>117480</v>
      </c>
      <c r="E1980" t="s">
        <v>14</v>
      </c>
      <c r="F1980">
        <v>49.426000000000002</v>
      </c>
      <c r="G1980">
        <v>17.405000000000001</v>
      </c>
      <c r="H1980">
        <v>1</v>
      </c>
      <c r="I1980">
        <v>206</v>
      </c>
      <c r="J1980" t="str">
        <f>HYPERLINK("https://climate.onebuilding.org/WMO_Region_6_Europe/CZE_Czechia/OK_Olomoucky_Olomouc/CZE_OK_Prerov.117480_TMYx.zip")</f>
        <v>https://climate.onebuilding.org/WMO_Region_6_Europe/CZE_Czechia/OK_Olomoucky_Olomouc/CZE_OK_Prerov.117480_TMYx.zip</v>
      </c>
    </row>
    <row r="1981" spans="1:10" x14ac:dyDescent="0.25">
      <c r="A1981" t="s">
        <v>1189</v>
      </c>
      <c r="B1981" t="s">
        <v>1282</v>
      </c>
      <c r="C1981" t="s">
        <v>1292</v>
      </c>
      <c r="D1981">
        <v>117660</v>
      </c>
      <c r="E1981" t="s">
        <v>1293</v>
      </c>
      <c r="F1981">
        <v>49.783000000000001</v>
      </c>
      <c r="G1981">
        <v>17.55</v>
      </c>
      <c r="H1981">
        <v>1</v>
      </c>
      <c r="I1981">
        <v>753.3</v>
      </c>
      <c r="J1981" t="str">
        <f>HYPERLINK("https://climate.onebuilding.org/WMO_Region_6_Europe/CZE_Czechia/VK_Moravskoslezsky_Moravia-Silesia/CZE_VK_Cervena.117660_TMYx.2004-2018.zip")</f>
        <v>https://climate.onebuilding.org/WMO_Region_6_Europe/CZE_Czechia/VK_Moravskoslezsky_Moravia-Silesia/CZE_VK_Cervena.117660_TMYx.2004-2018.zip</v>
      </c>
    </row>
    <row r="1982" spans="1:10" x14ac:dyDescent="0.25">
      <c r="A1982" t="s">
        <v>1189</v>
      </c>
      <c r="B1982" t="s">
        <v>1282</v>
      </c>
      <c r="C1982" t="s">
        <v>1292</v>
      </c>
      <c r="D1982">
        <v>117660</v>
      </c>
      <c r="E1982" t="s">
        <v>14</v>
      </c>
      <c r="F1982">
        <v>49.783000000000001</v>
      </c>
      <c r="G1982">
        <v>17.55</v>
      </c>
      <c r="H1982">
        <v>1</v>
      </c>
      <c r="I1982">
        <v>753.3</v>
      </c>
      <c r="J1982" t="str">
        <f>HYPERLINK("https://climate.onebuilding.org/WMO_Region_6_Europe/CZE_Czechia/VK_Moravskoslezsky_Moravia-Silesia/CZE_VK_Cervena.117660_TMYx.2007-2021.zip")</f>
        <v>https://climate.onebuilding.org/WMO_Region_6_Europe/CZE_Czechia/VK_Moravskoslezsky_Moravia-Silesia/CZE_VK_Cervena.117660_TMYx.2007-2021.zip</v>
      </c>
    </row>
    <row r="1983" spans="1:10" x14ac:dyDescent="0.25">
      <c r="A1983" t="s">
        <v>1189</v>
      </c>
      <c r="B1983" t="s">
        <v>1282</v>
      </c>
      <c r="C1983" t="s">
        <v>1292</v>
      </c>
      <c r="D1983">
        <v>117660</v>
      </c>
      <c r="E1983" t="s">
        <v>14</v>
      </c>
      <c r="F1983">
        <v>49.783000000000001</v>
      </c>
      <c r="G1983">
        <v>17.55</v>
      </c>
      <c r="H1983">
        <v>1</v>
      </c>
      <c r="I1983">
        <v>753.3</v>
      </c>
      <c r="J1983" t="str">
        <f>HYPERLINK("https://climate.onebuilding.org/WMO_Region_6_Europe/CZE_Czechia/VK_Moravskoslezsky_Moravia-Silesia/CZE_VK_Cervena.117660_TMYx.2009-2023.zip")</f>
        <v>https://climate.onebuilding.org/WMO_Region_6_Europe/CZE_Czechia/VK_Moravskoslezsky_Moravia-Silesia/CZE_VK_Cervena.117660_TMYx.2009-2023.zip</v>
      </c>
    </row>
    <row r="1984" spans="1:10" x14ac:dyDescent="0.25">
      <c r="A1984" t="s">
        <v>1189</v>
      </c>
      <c r="B1984" t="s">
        <v>1282</v>
      </c>
      <c r="C1984" t="s">
        <v>1292</v>
      </c>
      <c r="D1984">
        <v>117660</v>
      </c>
      <c r="E1984" t="s">
        <v>14</v>
      </c>
      <c r="F1984">
        <v>49.783000000000001</v>
      </c>
      <c r="G1984">
        <v>17.55</v>
      </c>
      <c r="H1984">
        <v>1</v>
      </c>
      <c r="I1984">
        <v>753.3</v>
      </c>
      <c r="J1984" t="str">
        <f>HYPERLINK("https://climate.onebuilding.org/WMO_Region_6_Europe/CZE_Czechia/VK_Moravskoslezsky_Moravia-Silesia/CZE_VK_Cervena.117660_TMYx.zip")</f>
        <v>https://climate.onebuilding.org/WMO_Region_6_Europe/CZE_Czechia/VK_Moravskoslezsky_Moravia-Silesia/CZE_VK_Cervena.117660_TMYx.zip</v>
      </c>
    </row>
    <row r="1985" spans="1:10" x14ac:dyDescent="0.25">
      <c r="A1985" t="s">
        <v>1189</v>
      </c>
      <c r="B1985" t="s">
        <v>1198</v>
      </c>
      <c r="C1985" t="s">
        <v>1294</v>
      </c>
      <c r="D1985">
        <v>117740</v>
      </c>
      <c r="E1985" t="s">
        <v>1295</v>
      </c>
      <c r="F1985">
        <v>49.317</v>
      </c>
      <c r="G1985">
        <v>17.567</v>
      </c>
      <c r="H1985">
        <v>1</v>
      </c>
      <c r="I1985">
        <v>224</v>
      </c>
      <c r="J1985" t="str">
        <f>HYPERLINK("https://climate.onebuilding.org/WMO_Region_6_Europe/CZE_Czechia/ZK_Zlinsky_Zlin/CZE_ZK_Holesov.117740_TMYx.2004-2018.zip")</f>
        <v>https://climate.onebuilding.org/WMO_Region_6_Europe/CZE_Czechia/ZK_Zlinsky_Zlin/CZE_ZK_Holesov.117740_TMYx.2004-2018.zip</v>
      </c>
    </row>
    <row r="1986" spans="1:10" x14ac:dyDescent="0.25">
      <c r="A1986" t="s">
        <v>1189</v>
      </c>
      <c r="B1986" t="s">
        <v>1198</v>
      </c>
      <c r="C1986" t="s">
        <v>1294</v>
      </c>
      <c r="D1986">
        <v>117740</v>
      </c>
      <c r="E1986" t="s">
        <v>14</v>
      </c>
      <c r="F1986">
        <v>49.317</v>
      </c>
      <c r="G1986">
        <v>17.567</v>
      </c>
      <c r="H1986">
        <v>1</v>
      </c>
      <c r="I1986">
        <v>224</v>
      </c>
      <c r="J1986" t="str">
        <f>HYPERLINK("https://climate.onebuilding.org/WMO_Region_6_Europe/CZE_Czechia/ZK_Zlinsky_Zlin/CZE_ZK_Holesov.117740_TMYx.2007-2021.zip")</f>
        <v>https://climate.onebuilding.org/WMO_Region_6_Europe/CZE_Czechia/ZK_Zlinsky_Zlin/CZE_ZK_Holesov.117740_TMYx.2007-2021.zip</v>
      </c>
    </row>
    <row r="1987" spans="1:10" x14ac:dyDescent="0.25">
      <c r="A1987" t="s">
        <v>1189</v>
      </c>
      <c r="B1987" t="s">
        <v>1198</v>
      </c>
      <c r="C1987" t="s">
        <v>1294</v>
      </c>
      <c r="D1987">
        <v>117740</v>
      </c>
      <c r="E1987" t="s">
        <v>14</v>
      </c>
      <c r="F1987">
        <v>49.317</v>
      </c>
      <c r="G1987">
        <v>17.567</v>
      </c>
      <c r="H1987">
        <v>1</v>
      </c>
      <c r="I1987">
        <v>224</v>
      </c>
      <c r="J1987" t="str">
        <f>HYPERLINK("https://climate.onebuilding.org/WMO_Region_6_Europe/CZE_Czechia/ZK_Zlinsky_Zlin/CZE_ZK_Holesov.117740_TMYx.2009-2023.zip")</f>
        <v>https://climate.onebuilding.org/WMO_Region_6_Europe/CZE_Czechia/ZK_Zlinsky_Zlin/CZE_ZK_Holesov.117740_TMYx.2009-2023.zip</v>
      </c>
    </row>
    <row r="1988" spans="1:10" x14ac:dyDescent="0.25">
      <c r="A1988" t="s">
        <v>1189</v>
      </c>
      <c r="B1988" t="s">
        <v>1198</v>
      </c>
      <c r="C1988" t="s">
        <v>1294</v>
      </c>
      <c r="D1988">
        <v>117740</v>
      </c>
      <c r="E1988" t="s">
        <v>14</v>
      </c>
      <c r="F1988">
        <v>49.317</v>
      </c>
      <c r="G1988">
        <v>17.567</v>
      </c>
      <c r="H1988">
        <v>1</v>
      </c>
      <c r="I1988">
        <v>224</v>
      </c>
      <c r="J1988" t="str">
        <f>HYPERLINK("https://climate.onebuilding.org/WMO_Region_6_Europe/CZE_Czechia/ZK_Zlinsky_Zlin/CZE_ZK_Holesov.117740_TMYx.zip")</f>
        <v>https://climate.onebuilding.org/WMO_Region_6_Europe/CZE_Czechia/ZK_Zlinsky_Zlin/CZE_ZK_Holesov.117740_TMYx.zip</v>
      </c>
    </row>
    <row r="1989" spans="1:10" x14ac:dyDescent="0.25">
      <c r="A1989" t="s">
        <v>1189</v>
      </c>
      <c r="B1989" t="s">
        <v>1282</v>
      </c>
      <c r="C1989" t="s">
        <v>1296</v>
      </c>
      <c r="D1989">
        <v>117810</v>
      </c>
      <c r="E1989" t="s">
        <v>78</v>
      </c>
      <c r="F1989">
        <v>49.6</v>
      </c>
      <c r="G1989">
        <v>18.016999999999999</v>
      </c>
      <c r="H1989">
        <v>1</v>
      </c>
      <c r="I1989">
        <v>87</v>
      </c>
      <c r="J1989" t="str">
        <f>HYPERLINK("https://climate.onebuilding.org/WMO_Region_6_Europe/CZE_Czechia/VK_Moravskoslezsky_Moravia-Silesia/CZE_VK_Novy.Jicin.117810_TMYx.2007-2021.zip")</f>
        <v>https://climate.onebuilding.org/WMO_Region_6_Europe/CZE_Czechia/VK_Moravskoslezsky_Moravia-Silesia/CZE_VK_Novy.Jicin.117810_TMYx.2007-2021.zip</v>
      </c>
    </row>
    <row r="1990" spans="1:10" x14ac:dyDescent="0.25">
      <c r="A1990" t="s">
        <v>1189</v>
      </c>
      <c r="B1990" t="s">
        <v>1282</v>
      </c>
      <c r="C1990" t="s">
        <v>1296</v>
      </c>
      <c r="D1990">
        <v>117810</v>
      </c>
      <c r="E1990" t="s">
        <v>78</v>
      </c>
      <c r="F1990">
        <v>49.6</v>
      </c>
      <c r="G1990">
        <v>18.016999999999999</v>
      </c>
      <c r="H1990">
        <v>1</v>
      </c>
      <c r="I1990">
        <v>273</v>
      </c>
      <c r="J1990" t="str">
        <f>HYPERLINK("https://climate.onebuilding.org/WMO_Region_6_Europe/CZE_Czechia/VK_Moravskoslezsky_Moravia-Silesia/CZE_VK_Novy.Jicin.117810_TMYx.2009-2023.zip")</f>
        <v>https://climate.onebuilding.org/WMO_Region_6_Europe/CZE_Czechia/VK_Moravskoslezsky_Moravia-Silesia/CZE_VK_Novy.Jicin.117810_TMYx.2009-2023.zip</v>
      </c>
    </row>
    <row r="1991" spans="1:10" x14ac:dyDescent="0.25">
      <c r="A1991" t="s">
        <v>1189</v>
      </c>
      <c r="B1991" t="s">
        <v>1282</v>
      </c>
      <c r="C1991" t="s">
        <v>1296</v>
      </c>
      <c r="D1991">
        <v>117810</v>
      </c>
      <c r="E1991" t="s">
        <v>78</v>
      </c>
      <c r="F1991">
        <v>49.6</v>
      </c>
      <c r="G1991">
        <v>18.016999999999999</v>
      </c>
      <c r="H1991">
        <v>1</v>
      </c>
      <c r="I1991">
        <v>273</v>
      </c>
      <c r="J1991" t="str">
        <f>HYPERLINK("https://climate.onebuilding.org/WMO_Region_6_Europe/CZE_Czechia/VK_Moravskoslezsky_Moravia-Silesia/CZE_VK_Novy.Jicin.117810_TMYx.zip")</f>
        <v>https://climate.onebuilding.org/WMO_Region_6_Europe/CZE_Czechia/VK_Moravskoslezsky_Moravia-Silesia/CZE_VK_Novy.Jicin.117810_TMYx.zip</v>
      </c>
    </row>
    <row r="1992" spans="1:10" x14ac:dyDescent="0.25">
      <c r="A1992" t="s">
        <v>1189</v>
      </c>
      <c r="B1992" t="s">
        <v>1282</v>
      </c>
      <c r="C1992" t="s">
        <v>1297</v>
      </c>
      <c r="D1992">
        <v>117820</v>
      </c>
      <c r="E1992" t="s">
        <v>1298</v>
      </c>
      <c r="F1992">
        <v>49.695999999999998</v>
      </c>
      <c r="G1992">
        <v>18.111000000000001</v>
      </c>
      <c r="H1992">
        <v>1</v>
      </c>
      <c r="I1992">
        <v>257.3</v>
      </c>
      <c r="J1992" t="str">
        <f>HYPERLINK("https://climate.onebuilding.org/WMO_Region_6_Europe/CZE_Czechia/VK_Moravskoslezsky_Moravia-Silesia/CZE_VK_Mosnov.117820_TMYx.2004-2018.zip")</f>
        <v>https://climate.onebuilding.org/WMO_Region_6_Europe/CZE_Czechia/VK_Moravskoslezsky_Moravia-Silesia/CZE_VK_Mosnov.117820_TMYx.2004-2018.zip</v>
      </c>
    </row>
    <row r="1993" spans="1:10" x14ac:dyDescent="0.25">
      <c r="A1993" t="s">
        <v>1189</v>
      </c>
      <c r="B1993" t="s">
        <v>1282</v>
      </c>
      <c r="C1993" t="s">
        <v>1297</v>
      </c>
      <c r="D1993">
        <v>117820</v>
      </c>
      <c r="E1993" t="s">
        <v>14</v>
      </c>
      <c r="F1993">
        <v>49.695999999999998</v>
      </c>
      <c r="G1993">
        <v>18.111000000000001</v>
      </c>
      <c r="H1993">
        <v>1</v>
      </c>
      <c r="I1993">
        <v>257.3</v>
      </c>
      <c r="J1993" t="str">
        <f>HYPERLINK("https://climate.onebuilding.org/WMO_Region_6_Europe/CZE_Czechia/VK_Moravskoslezsky_Moravia-Silesia/CZE_VK_Mosnov.117820_TMYx.2007-2021.zip")</f>
        <v>https://climate.onebuilding.org/WMO_Region_6_Europe/CZE_Czechia/VK_Moravskoslezsky_Moravia-Silesia/CZE_VK_Mosnov.117820_TMYx.2007-2021.zip</v>
      </c>
    </row>
    <row r="1994" spans="1:10" x14ac:dyDescent="0.25">
      <c r="A1994" t="s">
        <v>1189</v>
      </c>
      <c r="B1994" t="s">
        <v>1282</v>
      </c>
      <c r="C1994" t="s">
        <v>1297</v>
      </c>
      <c r="D1994">
        <v>117820</v>
      </c>
      <c r="E1994" t="s">
        <v>14</v>
      </c>
      <c r="F1994">
        <v>49.695999999999998</v>
      </c>
      <c r="G1994">
        <v>18.111000000000001</v>
      </c>
      <c r="H1994">
        <v>1</v>
      </c>
      <c r="I1994">
        <v>257.3</v>
      </c>
      <c r="J1994" t="str">
        <f>HYPERLINK("https://climate.onebuilding.org/WMO_Region_6_Europe/CZE_Czechia/VK_Moravskoslezsky_Moravia-Silesia/CZE_VK_Mosnov.117820_TMYx.2009-2023.zip")</f>
        <v>https://climate.onebuilding.org/WMO_Region_6_Europe/CZE_Czechia/VK_Moravskoslezsky_Moravia-Silesia/CZE_VK_Mosnov.117820_TMYx.2009-2023.zip</v>
      </c>
    </row>
    <row r="1995" spans="1:10" x14ac:dyDescent="0.25">
      <c r="A1995" t="s">
        <v>1189</v>
      </c>
      <c r="B1995" t="s">
        <v>1282</v>
      </c>
      <c r="C1995" t="s">
        <v>1297</v>
      </c>
      <c r="D1995">
        <v>117820</v>
      </c>
      <c r="E1995" t="s">
        <v>14</v>
      </c>
      <c r="F1995">
        <v>49.695999999999998</v>
      </c>
      <c r="G1995">
        <v>18.111000000000001</v>
      </c>
      <c r="H1995">
        <v>1</v>
      </c>
      <c r="I1995">
        <v>257.3</v>
      </c>
      <c r="J1995" t="str">
        <f>HYPERLINK("https://climate.onebuilding.org/WMO_Region_6_Europe/CZE_Czechia/VK_Moravskoslezsky_Moravia-Silesia/CZE_VK_Mosnov.117820_TMYx.zip")</f>
        <v>https://climate.onebuilding.org/WMO_Region_6_Europe/CZE_Czechia/VK_Moravskoslezsky_Moravia-Silesia/CZE_VK_Mosnov.117820_TMYx.zip</v>
      </c>
    </row>
    <row r="1996" spans="1:10" x14ac:dyDescent="0.25">
      <c r="A1996" t="s">
        <v>1189</v>
      </c>
      <c r="B1996" t="s">
        <v>1282</v>
      </c>
      <c r="C1996" t="s">
        <v>1299</v>
      </c>
      <c r="D1996">
        <v>117870</v>
      </c>
      <c r="E1996" t="s">
        <v>1300</v>
      </c>
      <c r="F1996">
        <v>49.55</v>
      </c>
      <c r="G1996">
        <v>18.45</v>
      </c>
      <c r="H1996">
        <v>1</v>
      </c>
      <c r="I1996">
        <v>1326.8</v>
      </c>
      <c r="J1996" t="str">
        <f>HYPERLINK("https://climate.onebuilding.org/WMO_Region_6_Europe/CZE_Czechia/VK_Moravskoslezsky_Moravia-Silesia/CZE_VK_Lysa.Hora.117870_TMYx.2004-2018.zip")</f>
        <v>https://climate.onebuilding.org/WMO_Region_6_Europe/CZE_Czechia/VK_Moravskoslezsky_Moravia-Silesia/CZE_VK_Lysa.Hora.117870_TMYx.2004-2018.zip</v>
      </c>
    </row>
    <row r="1997" spans="1:10" x14ac:dyDescent="0.25">
      <c r="A1997" t="s">
        <v>1189</v>
      </c>
      <c r="B1997" t="s">
        <v>1282</v>
      </c>
      <c r="C1997" t="s">
        <v>1299</v>
      </c>
      <c r="D1997">
        <v>117870</v>
      </c>
      <c r="E1997" t="s">
        <v>14</v>
      </c>
      <c r="F1997">
        <v>49.55</v>
      </c>
      <c r="G1997">
        <v>18.45</v>
      </c>
      <c r="H1997">
        <v>1</v>
      </c>
      <c r="I1997">
        <v>1326.8</v>
      </c>
      <c r="J1997" t="str">
        <f>HYPERLINK("https://climate.onebuilding.org/WMO_Region_6_Europe/CZE_Czechia/VK_Moravskoslezsky_Moravia-Silesia/CZE_VK_Lysa.Hora.117870_TMYx.2007-2021.zip")</f>
        <v>https://climate.onebuilding.org/WMO_Region_6_Europe/CZE_Czechia/VK_Moravskoslezsky_Moravia-Silesia/CZE_VK_Lysa.Hora.117870_TMYx.2007-2021.zip</v>
      </c>
    </row>
    <row r="1998" spans="1:10" x14ac:dyDescent="0.25">
      <c r="A1998" t="s">
        <v>1189</v>
      </c>
      <c r="B1998" t="s">
        <v>1282</v>
      </c>
      <c r="C1998" t="s">
        <v>1299</v>
      </c>
      <c r="D1998">
        <v>117870</v>
      </c>
      <c r="E1998" t="s">
        <v>14</v>
      </c>
      <c r="F1998">
        <v>49.55</v>
      </c>
      <c r="G1998">
        <v>18.45</v>
      </c>
      <c r="H1998">
        <v>1</v>
      </c>
      <c r="I1998">
        <v>1326.8</v>
      </c>
      <c r="J1998" t="str">
        <f>HYPERLINK("https://climate.onebuilding.org/WMO_Region_6_Europe/CZE_Czechia/VK_Moravskoslezsky_Moravia-Silesia/CZE_VK_Lysa.Hora.117870_TMYx.2009-2023.zip")</f>
        <v>https://climate.onebuilding.org/WMO_Region_6_Europe/CZE_Czechia/VK_Moravskoslezsky_Moravia-Silesia/CZE_VK_Lysa.Hora.117870_TMYx.2009-2023.zip</v>
      </c>
    </row>
    <row r="1999" spans="1:10" x14ac:dyDescent="0.25">
      <c r="A1999" t="s">
        <v>1189</v>
      </c>
      <c r="B1999" t="s">
        <v>1282</v>
      </c>
      <c r="C1999" t="s">
        <v>1299</v>
      </c>
      <c r="D1999">
        <v>117870</v>
      </c>
      <c r="E1999" t="s">
        <v>14</v>
      </c>
      <c r="F1999">
        <v>49.55</v>
      </c>
      <c r="G1999">
        <v>18.45</v>
      </c>
      <c r="H1999">
        <v>1</v>
      </c>
      <c r="I1999">
        <v>1326.8</v>
      </c>
      <c r="J1999" t="str">
        <f>HYPERLINK("https://climate.onebuilding.org/WMO_Region_6_Europe/CZE_Czechia/VK_Moravskoslezsky_Moravia-Silesia/CZE_VK_Lysa.Hora.117870_TMYx.zip")</f>
        <v>https://climate.onebuilding.org/WMO_Region_6_Europe/CZE_Czechia/VK_Moravskoslezsky_Moravia-Silesia/CZE_VK_Lysa.Hora.117870_TMYx.zip</v>
      </c>
    </row>
    <row r="2000" spans="1:10" x14ac:dyDescent="0.25">
      <c r="A2000" t="s">
        <v>1301</v>
      </c>
      <c r="B2000" t="s">
        <v>855</v>
      </c>
      <c r="C2000" t="s">
        <v>1302</v>
      </c>
      <c r="D2000">
        <v>100001</v>
      </c>
      <c r="E2000" t="s">
        <v>1303</v>
      </c>
      <c r="F2000">
        <v>51.601999999999997</v>
      </c>
      <c r="G2000">
        <v>6.1420000000000003</v>
      </c>
      <c r="H2000">
        <v>1</v>
      </c>
      <c r="I2000">
        <v>32.299999999999997</v>
      </c>
      <c r="J2000" t="str">
        <f>HYPERLINK("https://climate.onebuilding.org/WMO_Region_6_Europe/DEU_Germany/NW_Nordrhein-Westfalen/DEU_NW_Weeze.AP.100001_TMYx.2004-2018.zip")</f>
        <v>https://climate.onebuilding.org/WMO_Region_6_Europe/DEU_Germany/NW_Nordrhein-Westfalen/DEU_NW_Weeze.AP.100001_TMYx.2004-2018.zip</v>
      </c>
    </row>
    <row r="2001" spans="1:10" x14ac:dyDescent="0.25">
      <c r="A2001" t="s">
        <v>1301</v>
      </c>
      <c r="B2001" t="s">
        <v>855</v>
      </c>
      <c r="C2001" t="s">
        <v>1302</v>
      </c>
      <c r="D2001">
        <v>100001</v>
      </c>
      <c r="E2001" t="s">
        <v>14</v>
      </c>
      <c r="F2001">
        <v>51.601999999999997</v>
      </c>
      <c r="G2001">
        <v>6.1420000000000003</v>
      </c>
      <c r="H2001">
        <v>1</v>
      </c>
      <c r="I2001">
        <v>32.299999999999997</v>
      </c>
      <c r="J2001" t="str">
        <f>HYPERLINK("https://climate.onebuilding.org/WMO_Region_6_Europe/DEU_Germany/NW_Nordrhein-Westfalen/DEU_NW_Weeze.AP.100001_TMYx.2007-2021.zip")</f>
        <v>https://climate.onebuilding.org/WMO_Region_6_Europe/DEU_Germany/NW_Nordrhein-Westfalen/DEU_NW_Weeze.AP.100001_TMYx.2007-2021.zip</v>
      </c>
    </row>
    <row r="2002" spans="1:10" x14ac:dyDescent="0.25">
      <c r="A2002" t="s">
        <v>1301</v>
      </c>
      <c r="B2002" t="s">
        <v>855</v>
      </c>
      <c r="C2002" t="s">
        <v>1302</v>
      </c>
      <c r="D2002">
        <v>100001</v>
      </c>
      <c r="E2002" t="s">
        <v>14</v>
      </c>
      <c r="F2002">
        <v>51.601999999999997</v>
      </c>
      <c r="G2002">
        <v>6.1420000000000003</v>
      </c>
      <c r="H2002">
        <v>1</v>
      </c>
      <c r="I2002">
        <v>32.299999999999997</v>
      </c>
      <c r="J2002" t="str">
        <f>HYPERLINK("https://climate.onebuilding.org/WMO_Region_6_Europe/DEU_Germany/NW_Nordrhein-Westfalen/DEU_NW_Weeze.AP.100001_TMYx.2009-2023.zip")</f>
        <v>https://climate.onebuilding.org/WMO_Region_6_Europe/DEU_Germany/NW_Nordrhein-Westfalen/DEU_NW_Weeze.AP.100001_TMYx.2009-2023.zip</v>
      </c>
    </row>
    <row r="2003" spans="1:10" x14ac:dyDescent="0.25">
      <c r="A2003" t="s">
        <v>1301</v>
      </c>
      <c r="B2003" t="s">
        <v>855</v>
      </c>
      <c r="C2003" t="s">
        <v>1302</v>
      </c>
      <c r="D2003">
        <v>100001</v>
      </c>
      <c r="E2003" t="s">
        <v>14</v>
      </c>
      <c r="F2003">
        <v>51.601999999999997</v>
      </c>
      <c r="G2003">
        <v>6.1420000000000003</v>
      </c>
      <c r="H2003">
        <v>1</v>
      </c>
      <c r="I2003">
        <v>32.299999999999997</v>
      </c>
      <c r="J2003" t="str">
        <f>HYPERLINK("https://climate.onebuilding.org/WMO_Region_6_Europe/DEU_Germany/NW_Nordrhein-Westfalen/DEU_NW_Weeze.AP.100001_TMYx.zip")</f>
        <v>https://climate.onebuilding.org/WMO_Region_6_Europe/DEU_Germany/NW_Nordrhein-Westfalen/DEU_NW_Weeze.AP.100001_TMYx.zip</v>
      </c>
    </row>
    <row r="2004" spans="1:10" x14ac:dyDescent="0.25">
      <c r="A2004" t="s">
        <v>1301</v>
      </c>
      <c r="B2004" t="s">
        <v>1304</v>
      </c>
      <c r="C2004" t="s">
        <v>1305</v>
      </c>
      <c r="D2004">
        <v>100020</v>
      </c>
      <c r="E2004" t="s">
        <v>14</v>
      </c>
      <c r="F2004">
        <v>53.8</v>
      </c>
      <c r="G2004">
        <v>6.367</v>
      </c>
      <c r="H2004">
        <v>1</v>
      </c>
      <c r="I2004">
        <v>6</v>
      </c>
      <c r="J2004" t="str">
        <f>HYPERLINK("https://climate.onebuilding.org/WMO_Region_6_Europe/DEU_Germany/HB_Bremen/DEU_HB_Borkumriff.Lightship.100020_TMYx.zip")</f>
        <v>https://climate.onebuilding.org/WMO_Region_6_Europe/DEU_Germany/HB_Bremen/DEU_HB_Borkumriff.Lightship.100020_TMYx.zip</v>
      </c>
    </row>
    <row r="2005" spans="1:10" x14ac:dyDescent="0.25">
      <c r="A2005" t="s">
        <v>1301</v>
      </c>
      <c r="B2005" t="s">
        <v>1149</v>
      </c>
      <c r="C2005" t="s">
        <v>1306</v>
      </c>
      <c r="D2005">
        <v>100050</v>
      </c>
      <c r="E2005" t="s">
        <v>14</v>
      </c>
      <c r="F2005">
        <v>54</v>
      </c>
      <c r="G2005">
        <v>8.1170000000000009</v>
      </c>
      <c r="H2005">
        <v>1</v>
      </c>
      <c r="I2005">
        <v>5</v>
      </c>
      <c r="J2005" t="str">
        <f>HYPERLINK("https://climate.onebuilding.org/WMO_Region_6_Europe/DEU_Germany/NI_Niedersachsen/DEU_NI_Elbe.Lightship.100050_TMYx.zip")</f>
        <v>https://climate.onebuilding.org/WMO_Region_6_Europe/DEU_Germany/NI_Niedersachsen/DEU_NI_Elbe.Lightship.100050_TMYx.zip</v>
      </c>
    </row>
    <row r="2006" spans="1:10" x14ac:dyDescent="0.25">
      <c r="A2006" t="s">
        <v>1301</v>
      </c>
      <c r="B2006" t="s">
        <v>508</v>
      </c>
      <c r="C2006" t="s">
        <v>1307</v>
      </c>
      <c r="D2006">
        <v>100150</v>
      </c>
      <c r="E2006" t="s">
        <v>14</v>
      </c>
      <c r="F2006">
        <v>54.174999999999997</v>
      </c>
      <c r="G2006">
        <v>7.8918999999999997</v>
      </c>
      <c r="H2006">
        <v>1</v>
      </c>
      <c r="I2006">
        <v>3.4</v>
      </c>
      <c r="J2006" t="str">
        <f>HYPERLINK("https://climate.onebuilding.org/WMO_Region_6_Europe/DEU_Germany/SH_Schleswig-Holstein/DEU_SH_Helgoland.Island.100150_TMYx.zip")</f>
        <v>https://climate.onebuilding.org/WMO_Region_6_Europe/DEU_Germany/SH_Schleswig-Holstein/DEU_SH_Helgoland.Island.100150_TMYx.zip</v>
      </c>
    </row>
    <row r="2007" spans="1:10" x14ac:dyDescent="0.25">
      <c r="A2007" t="s">
        <v>1301</v>
      </c>
      <c r="B2007" t="s">
        <v>508</v>
      </c>
      <c r="C2007" t="s">
        <v>1308</v>
      </c>
      <c r="D2007">
        <v>100180</v>
      </c>
      <c r="E2007" t="s">
        <v>1309</v>
      </c>
      <c r="F2007">
        <v>54.912999999999997</v>
      </c>
      <c r="G2007">
        <v>8.34</v>
      </c>
      <c r="H2007">
        <v>1</v>
      </c>
      <c r="I2007">
        <v>15.5</v>
      </c>
      <c r="J2007" t="str">
        <f>HYPERLINK("https://climate.onebuilding.org/WMO_Region_6_Europe/DEU_Germany/SH_Schleswig-Holstein/DEU_SH_Westerland.Sylt.AP.100180_TMYx.2004-2018.zip")</f>
        <v>https://climate.onebuilding.org/WMO_Region_6_Europe/DEU_Germany/SH_Schleswig-Holstein/DEU_SH_Westerland.Sylt.AP.100180_TMYx.2004-2018.zip</v>
      </c>
    </row>
    <row r="2008" spans="1:10" x14ac:dyDescent="0.25">
      <c r="A2008" t="s">
        <v>1301</v>
      </c>
      <c r="B2008" t="s">
        <v>508</v>
      </c>
      <c r="C2008" t="s">
        <v>1308</v>
      </c>
      <c r="D2008">
        <v>100180</v>
      </c>
      <c r="E2008" t="s">
        <v>14</v>
      </c>
      <c r="F2008">
        <v>54.912999999999997</v>
      </c>
      <c r="G2008">
        <v>8.34</v>
      </c>
      <c r="H2008">
        <v>1</v>
      </c>
      <c r="I2008">
        <v>15.5</v>
      </c>
      <c r="J2008" t="str">
        <f>HYPERLINK("https://climate.onebuilding.org/WMO_Region_6_Europe/DEU_Germany/SH_Schleswig-Holstein/DEU_SH_Westerland.Sylt.AP.100180_TMYx.2007-2021.zip")</f>
        <v>https://climate.onebuilding.org/WMO_Region_6_Europe/DEU_Germany/SH_Schleswig-Holstein/DEU_SH_Westerland.Sylt.AP.100180_TMYx.2007-2021.zip</v>
      </c>
    </row>
    <row r="2009" spans="1:10" x14ac:dyDescent="0.25">
      <c r="A2009" t="s">
        <v>1301</v>
      </c>
      <c r="B2009" t="s">
        <v>508</v>
      </c>
      <c r="C2009" t="s">
        <v>1308</v>
      </c>
      <c r="D2009">
        <v>100180</v>
      </c>
      <c r="E2009" t="s">
        <v>14</v>
      </c>
      <c r="F2009">
        <v>54.912999999999997</v>
      </c>
      <c r="G2009">
        <v>8.34</v>
      </c>
      <c r="H2009">
        <v>1</v>
      </c>
      <c r="I2009">
        <v>15.5</v>
      </c>
      <c r="J2009" t="str">
        <f>HYPERLINK("https://climate.onebuilding.org/WMO_Region_6_Europe/DEU_Germany/SH_Schleswig-Holstein/DEU_SH_Westerland.Sylt.AP.100180_TMYx.2009-2023.zip")</f>
        <v>https://climate.onebuilding.org/WMO_Region_6_Europe/DEU_Germany/SH_Schleswig-Holstein/DEU_SH_Westerland.Sylt.AP.100180_TMYx.2009-2023.zip</v>
      </c>
    </row>
    <row r="2010" spans="1:10" x14ac:dyDescent="0.25">
      <c r="A2010" t="s">
        <v>1301</v>
      </c>
      <c r="B2010" t="s">
        <v>508</v>
      </c>
      <c r="C2010" t="s">
        <v>1308</v>
      </c>
      <c r="D2010">
        <v>100180</v>
      </c>
      <c r="E2010" t="s">
        <v>14</v>
      </c>
      <c r="F2010">
        <v>54.912999999999997</v>
      </c>
      <c r="G2010">
        <v>8.34</v>
      </c>
      <c r="H2010">
        <v>1</v>
      </c>
      <c r="I2010">
        <v>15.5</v>
      </c>
      <c r="J2010" t="str">
        <f>HYPERLINK("https://climate.onebuilding.org/WMO_Region_6_Europe/DEU_Germany/SH_Schleswig-Holstein/DEU_SH_Westerland.Sylt.AP.100180_TMYx.zip")</f>
        <v>https://climate.onebuilding.org/WMO_Region_6_Europe/DEU_Germany/SH_Schleswig-Holstein/DEU_SH_Westerland.Sylt.AP.100180_TMYx.zip</v>
      </c>
    </row>
    <row r="2011" spans="1:10" x14ac:dyDescent="0.25">
      <c r="A2011" t="s">
        <v>1301</v>
      </c>
      <c r="B2011" t="s">
        <v>508</v>
      </c>
      <c r="C2011" t="s">
        <v>1310</v>
      </c>
      <c r="D2011">
        <v>100200</v>
      </c>
      <c r="E2011" t="s">
        <v>14</v>
      </c>
      <c r="F2011">
        <v>55.011099999999999</v>
      </c>
      <c r="G2011">
        <v>8.4124999999999996</v>
      </c>
      <c r="H2011">
        <v>1</v>
      </c>
      <c r="I2011">
        <v>27.2</v>
      </c>
      <c r="J2011" t="str">
        <f>HYPERLINK("https://climate.onebuilding.org/WMO_Region_6_Europe/DEU_Germany/SH_Schleswig-Holstein/DEU_SH_List-Sylt.100200_TMYx.zip")</f>
        <v>https://climate.onebuilding.org/WMO_Region_6_Europe/DEU_Germany/SH_Schleswig-Holstein/DEU_SH_List-Sylt.100200_TMYx.zip</v>
      </c>
    </row>
    <row r="2012" spans="1:10" x14ac:dyDescent="0.25">
      <c r="A2012" t="s">
        <v>1301</v>
      </c>
      <c r="B2012" t="s">
        <v>508</v>
      </c>
      <c r="C2012" t="s">
        <v>1311</v>
      </c>
      <c r="D2012">
        <v>100220</v>
      </c>
      <c r="E2012" t="s">
        <v>1312</v>
      </c>
      <c r="F2012">
        <v>54.790300000000002</v>
      </c>
      <c r="G2012">
        <v>8.9513999999999996</v>
      </c>
      <c r="H2012">
        <v>1</v>
      </c>
      <c r="I2012">
        <v>7.8</v>
      </c>
      <c r="J2012" t="str">
        <f>HYPERLINK("https://climate.onebuilding.org/WMO_Region_6_Europe/DEU_Germany/SH_Schleswig-Holstein/DEU_SH_Leck.AP.100220_TMYx.2004-2018.zip")</f>
        <v>https://climate.onebuilding.org/WMO_Region_6_Europe/DEU_Germany/SH_Schleswig-Holstein/DEU_SH_Leck.AP.100220_TMYx.2004-2018.zip</v>
      </c>
    </row>
    <row r="2013" spans="1:10" x14ac:dyDescent="0.25">
      <c r="A2013" t="s">
        <v>1301</v>
      </c>
      <c r="B2013" t="s">
        <v>508</v>
      </c>
      <c r="C2013" t="s">
        <v>1311</v>
      </c>
      <c r="D2013">
        <v>100220</v>
      </c>
      <c r="E2013" t="s">
        <v>14</v>
      </c>
      <c r="F2013">
        <v>54.790300000000002</v>
      </c>
      <c r="G2013">
        <v>8.9513999999999996</v>
      </c>
      <c r="H2013">
        <v>1</v>
      </c>
      <c r="I2013">
        <v>7.8</v>
      </c>
      <c r="J2013" t="str">
        <f>HYPERLINK("https://climate.onebuilding.org/WMO_Region_6_Europe/DEU_Germany/SH_Schleswig-Holstein/DEU_SH_Leck.AP.100220_TMYx.2007-2021.zip")</f>
        <v>https://climate.onebuilding.org/WMO_Region_6_Europe/DEU_Germany/SH_Schleswig-Holstein/DEU_SH_Leck.AP.100220_TMYx.2007-2021.zip</v>
      </c>
    </row>
    <row r="2014" spans="1:10" x14ac:dyDescent="0.25">
      <c r="A2014" t="s">
        <v>1301</v>
      </c>
      <c r="B2014" t="s">
        <v>508</v>
      </c>
      <c r="C2014" t="s">
        <v>1311</v>
      </c>
      <c r="D2014">
        <v>100220</v>
      </c>
      <c r="E2014" t="s">
        <v>14</v>
      </c>
      <c r="F2014">
        <v>54.790300000000002</v>
      </c>
      <c r="G2014">
        <v>8.9513999999999996</v>
      </c>
      <c r="H2014">
        <v>1</v>
      </c>
      <c r="I2014">
        <v>7.8</v>
      </c>
      <c r="J2014" t="str">
        <f>HYPERLINK("https://climate.onebuilding.org/WMO_Region_6_Europe/DEU_Germany/SH_Schleswig-Holstein/DEU_SH_Leck.AP.100220_TMYx.zip")</f>
        <v>https://climate.onebuilding.org/WMO_Region_6_Europe/DEU_Germany/SH_Schleswig-Holstein/DEU_SH_Leck.AP.100220_TMYx.zip</v>
      </c>
    </row>
    <row r="2015" spans="1:10" x14ac:dyDescent="0.25">
      <c r="A2015" t="s">
        <v>1301</v>
      </c>
      <c r="B2015" t="s">
        <v>508</v>
      </c>
      <c r="C2015" t="s">
        <v>1313</v>
      </c>
      <c r="D2015">
        <v>100260</v>
      </c>
      <c r="E2015" t="s">
        <v>14</v>
      </c>
      <c r="F2015">
        <v>54.517000000000003</v>
      </c>
      <c r="G2015">
        <v>9.15</v>
      </c>
      <c r="H2015">
        <v>1</v>
      </c>
      <c r="I2015">
        <v>28</v>
      </c>
      <c r="J2015" t="str">
        <f>HYPERLINK("https://climate.onebuilding.org/WMO_Region_6_Europe/DEU_Germany/SH_Schleswig-Holstein/DEU_SH_Husum.Schwesing.AP.100260_TMYx.zip")</f>
        <v>https://climate.onebuilding.org/WMO_Region_6_Europe/DEU_Germany/SH_Schleswig-Holstein/DEU_SH_Husum.Schwesing.AP.100260_TMYx.zip</v>
      </c>
    </row>
    <row r="2016" spans="1:10" x14ac:dyDescent="0.25">
      <c r="A2016" t="s">
        <v>1301</v>
      </c>
      <c r="B2016" t="s">
        <v>508</v>
      </c>
      <c r="C2016" t="s">
        <v>1314</v>
      </c>
      <c r="D2016">
        <v>100280</v>
      </c>
      <c r="E2016" t="s">
        <v>1315</v>
      </c>
      <c r="F2016">
        <v>54.327800000000003</v>
      </c>
      <c r="G2016">
        <v>8.6030999999999995</v>
      </c>
      <c r="H2016">
        <v>1</v>
      </c>
      <c r="I2016">
        <v>11.2</v>
      </c>
      <c r="J2016" t="str">
        <f>HYPERLINK("https://climate.onebuilding.org/WMO_Region_6_Europe/DEU_Germany/SH_Schleswig-Holstein/DEU_SH_St.Peter.Ording.100280_TMYx.2004-2018.zip")</f>
        <v>https://climate.onebuilding.org/WMO_Region_6_Europe/DEU_Germany/SH_Schleswig-Holstein/DEU_SH_St.Peter.Ording.100280_TMYx.2004-2018.zip</v>
      </c>
    </row>
    <row r="2017" spans="1:10" x14ac:dyDescent="0.25">
      <c r="A2017" t="s">
        <v>1301</v>
      </c>
      <c r="B2017" t="s">
        <v>508</v>
      </c>
      <c r="C2017" t="s">
        <v>1314</v>
      </c>
      <c r="D2017">
        <v>100280</v>
      </c>
      <c r="E2017" t="s">
        <v>14</v>
      </c>
      <c r="F2017">
        <v>54.327800000000003</v>
      </c>
      <c r="G2017">
        <v>8.6030999999999995</v>
      </c>
      <c r="H2017">
        <v>1</v>
      </c>
      <c r="I2017">
        <v>11.2</v>
      </c>
      <c r="J2017" t="str">
        <f>HYPERLINK("https://climate.onebuilding.org/WMO_Region_6_Europe/DEU_Germany/SH_Schleswig-Holstein/DEU_SH_St.Peter.Ording.100280_TMYx.2007-2021.zip")</f>
        <v>https://climate.onebuilding.org/WMO_Region_6_Europe/DEU_Germany/SH_Schleswig-Holstein/DEU_SH_St.Peter.Ording.100280_TMYx.2007-2021.zip</v>
      </c>
    </row>
    <row r="2018" spans="1:10" x14ac:dyDescent="0.25">
      <c r="A2018" t="s">
        <v>1301</v>
      </c>
      <c r="B2018" t="s">
        <v>508</v>
      </c>
      <c r="C2018" t="s">
        <v>1314</v>
      </c>
      <c r="D2018">
        <v>100280</v>
      </c>
      <c r="E2018" t="s">
        <v>14</v>
      </c>
      <c r="F2018">
        <v>54.327800000000003</v>
      </c>
      <c r="G2018">
        <v>8.6030999999999995</v>
      </c>
      <c r="H2018">
        <v>1</v>
      </c>
      <c r="I2018">
        <v>11.2</v>
      </c>
      <c r="J2018" t="str">
        <f>HYPERLINK("https://climate.onebuilding.org/WMO_Region_6_Europe/DEU_Germany/SH_Schleswig-Holstein/DEU_SH_St.Peter.Ording.100280_TMYx.zip")</f>
        <v>https://climate.onebuilding.org/WMO_Region_6_Europe/DEU_Germany/SH_Schleswig-Holstein/DEU_SH_St.Peter.Ording.100280_TMYx.zip</v>
      </c>
    </row>
    <row r="2019" spans="1:10" x14ac:dyDescent="0.25">
      <c r="A2019" t="s">
        <v>1301</v>
      </c>
      <c r="B2019" t="s">
        <v>508</v>
      </c>
      <c r="C2019" t="s">
        <v>1316</v>
      </c>
      <c r="D2019">
        <v>100330</v>
      </c>
      <c r="E2019" t="s">
        <v>1317</v>
      </c>
      <c r="F2019">
        <v>54.827199999999998</v>
      </c>
      <c r="G2019">
        <v>9.5058000000000007</v>
      </c>
      <c r="H2019">
        <v>1</v>
      </c>
      <c r="I2019">
        <v>33.299999999999997</v>
      </c>
      <c r="J2019" t="str">
        <f>HYPERLINK("https://climate.onebuilding.org/WMO_Region_6_Europe/DEU_Germany/SH_Schleswig-Holstein/DEU_SH_Meierwik.100330_TMYx.2004-2018.zip")</f>
        <v>https://climate.onebuilding.org/WMO_Region_6_Europe/DEU_Germany/SH_Schleswig-Holstein/DEU_SH_Meierwik.100330_TMYx.2004-2018.zip</v>
      </c>
    </row>
    <row r="2020" spans="1:10" x14ac:dyDescent="0.25">
      <c r="A2020" t="s">
        <v>1301</v>
      </c>
      <c r="B2020" t="s">
        <v>508</v>
      </c>
      <c r="C2020" t="s">
        <v>1316</v>
      </c>
      <c r="D2020">
        <v>100330</v>
      </c>
      <c r="E2020" t="s">
        <v>14</v>
      </c>
      <c r="F2020">
        <v>54.827199999999998</v>
      </c>
      <c r="G2020">
        <v>9.5058000000000007</v>
      </c>
      <c r="H2020">
        <v>1</v>
      </c>
      <c r="I2020">
        <v>33.299999999999997</v>
      </c>
      <c r="J2020" t="str">
        <f>HYPERLINK("https://climate.onebuilding.org/WMO_Region_6_Europe/DEU_Germany/SH_Schleswig-Holstein/DEU_SH_Meierwik.100330_TMYx.2007-2021.zip")</f>
        <v>https://climate.onebuilding.org/WMO_Region_6_Europe/DEU_Germany/SH_Schleswig-Holstein/DEU_SH_Meierwik.100330_TMYx.2007-2021.zip</v>
      </c>
    </row>
    <row r="2021" spans="1:10" x14ac:dyDescent="0.25">
      <c r="A2021" t="s">
        <v>1301</v>
      </c>
      <c r="B2021" t="s">
        <v>508</v>
      </c>
      <c r="C2021" t="s">
        <v>1316</v>
      </c>
      <c r="D2021">
        <v>100330</v>
      </c>
      <c r="E2021" t="s">
        <v>14</v>
      </c>
      <c r="F2021">
        <v>54.827199999999998</v>
      </c>
      <c r="G2021">
        <v>9.5058000000000007</v>
      </c>
      <c r="H2021">
        <v>1</v>
      </c>
      <c r="I2021">
        <v>33.299999999999997</v>
      </c>
      <c r="J2021" t="str">
        <f>HYPERLINK("https://climate.onebuilding.org/WMO_Region_6_Europe/DEU_Germany/SH_Schleswig-Holstein/DEU_SH_Meierwik.100330_TMYx.2009-2023.zip")</f>
        <v>https://climate.onebuilding.org/WMO_Region_6_Europe/DEU_Germany/SH_Schleswig-Holstein/DEU_SH_Meierwik.100330_TMYx.2009-2023.zip</v>
      </c>
    </row>
    <row r="2022" spans="1:10" x14ac:dyDescent="0.25">
      <c r="A2022" t="s">
        <v>1301</v>
      </c>
      <c r="B2022" t="s">
        <v>508</v>
      </c>
      <c r="C2022" t="s">
        <v>1316</v>
      </c>
      <c r="D2022">
        <v>100330</v>
      </c>
      <c r="E2022" t="s">
        <v>14</v>
      </c>
      <c r="F2022">
        <v>54.827199999999998</v>
      </c>
      <c r="G2022">
        <v>9.5058000000000007</v>
      </c>
      <c r="H2022">
        <v>1</v>
      </c>
      <c r="I2022">
        <v>33.299999999999997</v>
      </c>
      <c r="J2022" t="str">
        <f>HYPERLINK("https://climate.onebuilding.org/WMO_Region_6_Europe/DEU_Germany/SH_Schleswig-Holstein/DEU_SH_Meierwik.100330_TMYx.zip")</f>
        <v>https://climate.onebuilding.org/WMO_Region_6_Europe/DEU_Germany/SH_Schleswig-Holstein/DEU_SH_Meierwik.100330_TMYx.zip</v>
      </c>
    </row>
    <row r="2023" spans="1:10" x14ac:dyDescent="0.25">
      <c r="A2023" t="s">
        <v>1301</v>
      </c>
      <c r="B2023" t="s">
        <v>508</v>
      </c>
      <c r="C2023" t="s">
        <v>1318</v>
      </c>
      <c r="D2023">
        <v>100340</v>
      </c>
      <c r="E2023" t="s">
        <v>14</v>
      </c>
      <c r="F2023">
        <v>54.625</v>
      </c>
      <c r="G2023">
        <v>9.3460000000000001</v>
      </c>
      <c r="H2023">
        <v>1</v>
      </c>
      <c r="I2023">
        <v>20</v>
      </c>
      <c r="J2023" t="str">
        <f>HYPERLINK("https://climate.onebuilding.org/WMO_Region_6_Europe/DEU_Germany/SH_Schleswig-Holstein/DEU_SH_Eggebek.AB.100340_TMYx.zip")</f>
        <v>https://climate.onebuilding.org/WMO_Region_6_Europe/DEU_Germany/SH_Schleswig-Holstein/DEU_SH_Eggebek.AB.100340_TMYx.zip</v>
      </c>
    </row>
    <row r="2024" spans="1:10" x14ac:dyDescent="0.25">
      <c r="A2024" t="s">
        <v>1301</v>
      </c>
      <c r="B2024" t="s">
        <v>508</v>
      </c>
      <c r="C2024" t="s">
        <v>1319</v>
      </c>
      <c r="D2024">
        <v>100350</v>
      </c>
      <c r="E2024" t="s">
        <v>14</v>
      </c>
      <c r="F2024">
        <v>54.527500000000003</v>
      </c>
      <c r="G2024">
        <v>9.5486000000000004</v>
      </c>
      <c r="H2024">
        <v>1</v>
      </c>
      <c r="I2024">
        <v>48.1</v>
      </c>
      <c r="J2024" t="str">
        <f>HYPERLINK("https://climate.onebuilding.org/WMO_Region_6_Europe/DEU_Germany/SH_Schleswig-Holstein/DEU_SH_Schleswig.100350_TMYx.zip")</f>
        <v>https://climate.onebuilding.org/WMO_Region_6_Europe/DEU_Germany/SH_Schleswig-Holstein/DEU_SH_Schleswig.100350_TMYx.zip</v>
      </c>
    </row>
    <row r="2025" spans="1:10" x14ac:dyDescent="0.25">
      <c r="A2025" t="s">
        <v>1301</v>
      </c>
      <c r="B2025" t="s">
        <v>508</v>
      </c>
      <c r="C2025" t="s">
        <v>1320</v>
      </c>
      <c r="D2025">
        <v>100370</v>
      </c>
      <c r="E2025" t="s">
        <v>1321</v>
      </c>
      <c r="F2025">
        <v>54.456899999999997</v>
      </c>
      <c r="G2025">
        <v>9.5203000000000007</v>
      </c>
      <c r="H2025">
        <v>1</v>
      </c>
      <c r="I2025">
        <v>25.1</v>
      </c>
      <c r="J2025" t="str">
        <f>HYPERLINK("https://climate.onebuilding.org/WMO_Region_6_Europe/DEU_Germany/SH_Schleswig-Holstein/DEU_SH_Schleswig.AB.100370_TMYx.2004-2018.zip")</f>
        <v>https://climate.onebuilding.org/WMO_Region_6_Europe/DEU_Germany/SH_Schleswig-Holstein/DEU_SH_Schleswig.AB.100370_TMYx.2004-2018.zip</v>
      </c>
    </row>
    <row r="2026" spans="1:10" x14ac:dyDescent="0.25">
      <c r="A2026" t="s">
        <v>1301</v>
      </c>
      <c r="B2026" t="s">
        <v>508</v>
      </c>
      <c r="C2026" t="s">
        <v>1320</v>
      </c>
      <c r="D2026">
        <v>100370</v>
      </c>
      <c r="E2026" t="s">
        <v>14</v>
      </c>
      <c r="F2026">
        <v>54.456899999999997</v>
      </c>
      <c r="G2026">
        <v>9.5203000000000007</v>
      </c>
      <c r="H2026">
        <v>1</v>
      </c>
      <c r="I2026">
        <v>25.1</v>
      </c>
      <c r="J2026" t="str">
        <f>HYPERLINK("https://climate.onebuilding.org/WMO_Region_6_Europe/DEU_Germany/SH_Schleswig-Holstein/DEU_SH_Schleswig.AB.100370_TMYx.2007-2021.zip")</f>
        <v>https://climate.onebuilding.org/WMO_Region_6_Europe/DEU_Germany/SH_Schleswig-Holstein/DEU_SH_Schleswig.AB.100370_TMYx.2007-2021.zip</v>
      </c>
    </row>
    <row r="2027" spans="1:10" x14ac:dyDescent="0.25">
      <c r="A2027" t="s">
        <v>1301</v>
      </c>
      <c r="B2027" t="s">
        <v>508</v>
      </c>
      <c r="C2027" t="s">
        <v>1320</v>
      </c>
      <c r="D2027">
        <v>100370</v>
      </c>
      <c r="E2027" t="s">
        <v>14</v>
      </c>
      <c r="F2027">
        <v>54.456899999999997</v>
      </c>
      <c r="G2027">
        <v>9.5203000000000007</v>
      </c>
      <c r="H2027">
        <v>1</v>
      </c>
      <c r="I2027">
        <v>25.1</v>
      </c>
      <c r="J2027" t="str">
        <f>HYPERLINK("https://climate.onebuilding.org/WMO_Region_6_Europe/DEU_Germany/SH_Schleswig-Holstein/DEU_SH_Schleswig.AB.100370_TMYx.2009-2023.zip")</f>
        <v>https://climate.onebuilding.org/WMO_Region_6_Europe/DEU_Germany/SH_Schleswig-Holstein/DEU_SH_Schleswig.AB.100370_TMYx.2009-2023.zip</v>
      </c>
    </row>
    <row r="2028" spans="1:10" x14ac:dyDescent="0.25">
      <c r="A2028" t="s">
        <v>1301</v>
      </c>
      <c r="B2028" t="s">
        <v>508</v>
      </c>
      <c r="C2028" t="s">
        <v>1320</v>
      </c>
      <c r="D2028">
        <v>100370</v>
      </c>
      <c r="E2028" t="s">
        <v>14</v>
      </c>
      <c r="F2028">
        <v>54.456899999999997</v>
      </c>
      <c r="G2028">
        <v>9.5203000000000007</v>
      </c>
      <c r="H2028">
        <v>1</v>
      </c>
      <c r="I2028">
        <v>25.1</v>
      </c>
      <c r="J2028" t="str">
        <f>HYPERLINK("https://climate.onebuilding.org/WMO_Region_6_Europe/DEU_Germany/SH_Schleswig-Holstein/DEU_SH_Schleswig.AB.100370_TMYx.zip")</f>
        <v>https://climate.onebuilding.org/WMO_Region_6_Europe/DEU_Germany/SH_Schleswig-Holstein/DEU_SH_Schleswig.AB.100370_TMYx.zip</v>
      </c>
    </row>
    <row r="2029" spans="1:10" x14ac:dyDescent="0.25">
      <c r="A2029" t="s">
        <v>1301</v>
      </c>
      <c r="B2029" t="s">
        <v>508</v>
      </c>
      <c r="C2029" t="s">
        <v>1322</v>
      </c>
      <c r="D2029">
        <v>100380</v>
      </c>
      <c r="E2029" t="s">
        <v>1323</v>
      </c>
      <c r="F2029">
        <v>54.314700000000002</v>
      </c>
      <c r="G2029">
        <v>9.5388999999999999</v>
      </c>
      <c r="H2029">
        <v>1</v>
      </c>
      <c r="I2029">
        <v>17.8</v>
      </c>
      <c r="J2029" t="str">
        <f>HYPERLINK("https://climate.onebuilding.org/WMO_Region_6_Europe/DEU_Germany/SH_Schleswig-Holstein/DEU_SH_Hohn.AB.100380_TMYx.2004-2018.zip")</f>
        <v>https://climate.onebuilding.org/WMO_Region_6_Europe/DEU_Germany/SH_Schleswig-Holstein/DEU_SH_Hohn.AB.100380_TMYx.2004-2018.zip</v>
      </c>
    </row>
    <row r="2030" spans="1:10" x14ac:dyDescent="0.25">
      <c r="A2030" t="s">
        <v>1301</v>
      </c>
      <c r="B2030" t="s">
        <v>508</v>
      </c>
      <c r="C2030" t="s">
        <v>1322</v>
      </c>
      <c r="D2030">
        <v>100380</v>
      </c>
      <c r="E2030" t="s">
        <v>14</v>
      </c>
      <c r="F2030">
        <v>54.314700000000002</v>
      </c>
      <c r="G2030">
        <v>9.5388999999999999</v>
      </c>
      <c r="H2030">
        <v>1</v>
      </c>
      <c r="I2030">
        <v>17.8</v>
      </c>
      <c r="J2030" t="str">
        <f>HYPERLINK("https://climate.onebuilding.org/WMO_Region_6_Europe/DEU_Germany/SH_Schleswig-Holstein/DEU_SH_Hohn.AB.100380_TMYx.2007-2021.zip")</f>
        <v>https://climate.onebuilding.org/WMO_Region_6_Europe/DEU_Germany/SH_Schleswig-Holstein/DEU_SH_Hohn.AB.100380_TMYx.2007-2021.zip</v>
      </c>
    </row>
    <row r="2031" spans="1:10" x14ac:dyDescent="0.25">
      <c r="A2031" t="s">
        <v>1301</v>
      </c>
      <c r="B2031" t="s">
        <v>508</v>
      </c>
      <c r="C2031" t="s">
        <v>1322</v>
      </c>
      <c r="D2031">
        <v>100380</v>
      </c>
      <c r="E2031" t="s">
        <v>14</v>
      </c>
      <c r="F2031">
        <v>54.314700000000002</v>
      </c>
      <c r="G2031">
        <v>9.5388999999999999</v>
      </c>
      <c r="H2031">
        <v>1</v>
      </c>
      <c r="I2031">
        <v>17.8</v>
      </c>
      <c r="J2031" t="str">
        <f>HYPERLINK("https://climate.onebuilding.org/WMO_Region_6_Europe/DEU_Germany/SH_Schleswig-Holstein/DEU_SH_Hohn.AB.100380_TMYx.2009-2023.zip")</f>
        <v>https://climate.onebuilding.org/WMO_Region_6_Europe/DEU_Germany/SH_Schleswig-Holstein/DEU_SH_Hohn.AB.100380_TMYx.2009-2023.zip</v>
      </c>
    </row>
    <row r="2032" spans="1:10" x14ac:dyDescent="0.25">
      <c r="A2032" t="s">
        <v>1301</v>
      </c>
      <c r="B2032" t="s">
        <v>508</v>
      </c>
      <c r="C2032" t="s">
        <v>1322</v>
      </c>
      <c r="D2032">
        <v>100380</v>
      </c>
      <c r="E2032" t="s">
        <v>14</v>
      </c>
      <c r="F2032">
        <v>54.314700000000002</v>
      </c>
      <c r="G2032">
        <v>9.5388999999999999</v>
      </c>
      <c r="H2032">
        <v>1</v>
      </c>
      <c r="I2032">
        <v>17.8</v>
      </c>
      <c r="J2032" t="str">
        <f>HYPERLINK("https://climate.onebuilding.org/WMO_Region_6_Europe/DEU_Germany/SH_Schleswig-Holstein/DEU_SH_Hohn.AB.100380_TMYx.zip")</f>
        <v>https://climate.onebuilding.org/WMO_Region_6_Europe/DEU_Germany/SH_Schleswig-Holstein/DEU_SH_Hohn.AB.100380_TMYx.zip</v>
      </c>
    </row>
    <row r="2033" spans="1:10" x14ac:dyDescent="0.25">
      <c r="A2033" t="s">
        <v>1301</v>
      </c>
      <c r="B2033" t="s">
        <v>508</v>
      </c>
      <c r="C2033" t="s">
        <v>1324</v>
      </c>
      <c r="D2033">
        <v>100420</v>
      </c>
      <c r="E2033" t="s">
        <v>14</v>
      </c>
      <c r="F2033">
        <v>54.641100000000002</v>
      </c>
      <c r="G2033">
        <v>10.023899999999999</v>
      </c>
      <c r="H2033">
        <v>1</v>
      </c>
      <c r="I2033">
        <v>2</v>
      </c>
      <c r="J2033" t="str">
        <f>HYPERLINK("https://climate.onebuilding.org/WMO_Region_6_Europe/DEU_Germany/SH_Schleswig-Holstein/DEU_SH_Schonhagen.100420_TMYx.zip")</f>
        <v>https://climate.onebuilding.org/WMO_Region_6_Europe/DEU_Germany/SH_Schleswig-Holstein/DEU_SH_Schonhagen.100420_TMYx.zip</v>
      </c>
    </row>
    <row r="2034" spans="1:10" x14ac:dyDescent="0.25">
      <c r="A2034" t="s">
        <v>1301</v>
      </c>
      <c r="B2034" t="s">
        <v>508</v>
      </c>
      <c r="C2034" t="s">
        <v>1325</v>
      </c>
      <c r="D2034">
        <v>100440</v>
      </c>
      <c r="E2034" t="s">
        <v>14</v>
      </c>
      <c r="F2034">
        <v>54.499699999999997</v>
      </c>
      <c r="G2034">
        <v>10.2736</v>
      </c>
      <c r="H2034">
        <v>1</v>
      </c>
      <c r="I2034">
        <v>26</v>
      </c>
      <c r="J2034" t="str">
        <f>HYPERLINK("https://climate.onebuilding.org/WMO_Region_6_Europe/DEU_Germany/SH_Schleswig-Holstein/DEU_SH_Kiel.Lighthouse.100440_TMYx.zip")</f>
        <v>https://climate.onebuilding.org/WMO_Region_6_Europe/DEU_Germany/SH_Schleswig-Holstein/DEU_SH_Kiel.Lighthouse.100440_TMYx.zip</v>
      </c>
    </row>
    <row r="2035" spans="1:10" x14ac:dyDescent="0.25">
      <c r="A2035" t="s">
        <v>1301</v>
      </c>
      <c r="B2035" t="s">
        <v>508</v>
      </c>
      <c r="C2035" t="s">
        <v>1326</v>
      </c>
      <c r="D2035">
        <v>100450</v>
      </c>
      <c r="E2035" t="s">
        <v>14</v>
      </c>
      <c r="F2035">
        <v>54.332999999999998</v>
      </c>
      <c r="G2035">
        <v>10.1</v>
      </c>
      <c r="H2035">
        <v>1</v>
      </c>
      <c r="I2035">
        <v>19</v>
      </c>
      <c r="J2035" t="str">
        <f>HYPERLINK("https://climate.onebuilding.org/WMO_Region_6_Europe/DEU_Germany/SH_Schleswig-Holstein/DEU_SH_Kiel.Kronshagen.100450_TMYx.zip")</f>
        <v>https://climate.onebuilding.org/WMO_Region_6_Europe/DEU_Germany/SH_Schleswig-Holstein/DEU_SH_Kiel.Kronshagen.100450_TMYx.zip</v>
      </c>
    </row>
    <row r="2036" spans="1:10" x14ac:dyDescent="0.25">
      <c r="A2036" t="s">
        <v>1301</v>
      </c>
      <c r="B2036" t="s">
        <v>508</v>
      </c>
      <c r="C2036" t="s">
        <v>1327</v>
      </c>
      <c r="D2036">
        <v>100460</v>
      </c>
      <c r="E2036" t="s">
        <v>1328</v>
      </c>
      <c r="F2036">
        <v>54.376100000000001</v>
      </c>
      <c r="G2036">
        <v>10.1433</v>
      </c>
      <c r="H2036">
        <v>1</v>
      </c>
      <c r="I2036">
        <v>28</v>
      </c>
      <c r="J2036" t="str">
        <f>HYPERLINK("https://climate.onebuilding.org/WMO_Region_6_Europe/DEU_Germany/SH_Schleswig-Holstein/DEU_SH_Kiel.Holtenau.AP.100460_TMYx.2004-2018.zip")</f>
        <v>https://climate.onebuilding.org/WMO_Region_6_Europe/DEU_Germany/SH_Schleswig-Holstein/DEU_SH_Kiel.Holtenau.AP.100460_TMYx.2004-2018.zip</v>
      </c>
    </row>
    <row r="2037" spans="1:10" x14ac:dyDescent="0.25">
      <c r="A2037" t="s">
        <v>1301</v>
      </c>
      <c r="B2037" t="s">
        <v>508</v>
      </c>
      <c r="C2037" t="s">
        <v>1327</v>
      </c>
      <c r="D2037">
        <v>100460</v>
      </c>
      <c r="E2037" t="s">
        <v>14</v>
      </c>
      <c r="F2037">
        <v>54.376100000000001</v>
      </c>
      <c r="G2037">
        <v>10.1433</v>
      </c>
      <c r="H2037">
        <v>1</v>
      </c>
      <c r="I2037">
        <v>28</v>
      </c>
      <c r="J2037" t="str">
        <f>HYPERLINK("https://climate.onebuilding.org/WMO_Region_6_Europe/DEU_Germany/SH_Schleswig-Holstein/DEU_SH_Kiel.Holtenau.AP.100460_TMYx.2007-2021.zip")</f>
        <v>https://climate.onebuilding.org/WMO_Region_6_Europe/DEU_Germany/SH_Schleswig-Holstein/DEU_SH_Kiel.Holtenau.AP.100460_TMYx.2007-2021.zip</v>
      </c>
    </row>
    <row r="2038" spans="1:10" x14ac:dyDescent="0.25">
      <c r="A2038" t="s">
        <v>1301</v>
      </c>
      <c r="B2038" t="s">
        <v>508</v>
      </c>
      <c r="C2038" t="s">
        <v>1327</v>
      </c>
      <c r="D2038">
        <v>100460</v>
      </c>
      <c r="E2038" t="s">
        <v>14</v>
      </c>
      <c r="F2038">
        <v>54.376100000000001</v>
      </c>
      <c r="G2038">
        <v>10.1433</v>
      </c>
      <c r="H2038">
        <v>1</v>
      </c>
      <c r="I2038">
        <v>28</v>
      </c>
      <c r="J2038" t="str">
        <f>HYPERLINK("https://climate.onebuilding.org/WMO_Region_6_Europe/DEU_Germany/SH_Schleswig-Holstein/DEU_SH_Kiel.Holtenau.AP.100460_TMYx.2009-2023.zip")</f>
        <v>https://climate.onebuilding.org/WMO_Region_6_Europe/DEU_Germany/SH_Schleswig-Holstein/DEU_SH_Kiel.Holtenau.AP.100460_TMYx.2009-2023.zip</v>
      </c>
    </row>
    <row r="2039" spans="1:10" x14ac:dyDescent="0.25">
      <c r="A2039" t="s">
        <v>1301</v>
      </c>
      <c r="B2039" t="s">
        <v>508</v>
      </c>
      <c r="C2039" t="s">
        <v>1327</v>
      </c>
      <c r="D2039">
        <v>100460</v>
      </c>
      <c r="E2039" t="s">
        <v>14</v>
      </c>
      <c r="F2039">
        <v>54.376100000000001</v>
      </c>
      <c r="G2039">
        <v>10.1433</v>
      </c>
      <c r="H2039">
        <v>1</v>
      </c>
      <c r="I2039">
        <v>28</v>
      </c>
      <c r="J2039" t="str">
        <f>HYPERLINK("https://climate.onebuilding.org/WMO_Region_6_Europe/DEU_Germany/SH_Schleswig-Holstein/DEU_SH_Kiel.Holtenau.AP.100460_TMYx.zip")</f>
        <v>https://climate.onebuilding.org/WMO_Region_6_Europe/DEU_Germany/SH_Schleswig-Holstein/DEU_SH_Kiel.Holtenau.AP.100460_TMYx.zip</v>
      </c>
    </row>
    <row r="2040" spans="1:10" x14ac:dyDescent="0.25">
      <c r="A2040" t="s">
        <v>1301</v>
      </c>
      <c r="B2040" t="s">
        <v>508</v>
      </c>
      <c r="C2040" t="s">
        <v>1329</v>
      </c>
      <c r="D2040">
        <v>100550</v>
      </c>
      <c r="E2040" t="s">
        <v>1330</v>
      </c>
      <c r="F2040">
        <v>54.528300000000002</v>
      </c>
      <c r="G2040">
        <v>11.060600000000001</v>
      </c>
      <c r="H2040">
        <v>1</v>
      </c>
      <c r="I2040">
        <v>8.5</v>
      </c>
      <c r="J2040" t="str">
        <f>HYPERLINK("https://climate.onebuilding.org/WMO_Region_6_Europe/DEU_Germany/SH_Schleswig-Holstein/DEU_SH_Fehmar.100550_TMYx.2004-2018.zip")</f>
        <v>https://climate.onebuilding.org/WMO_Region_6_Europe/DEU_Germany/SH_Schleswig-Holstein/DEU_SH_Fehmar.100550_TMYx.2004-2018.zip</v>
      </c>
    </row>
    <row r="2041" spans="1:10" x14ac:dyDescent="0.25">
      <c r="A2041" t="s">
        <v>1301</v>
      </c>
      <c r="B2041" t="s">
        <v>508</v>
      </c>
      <c r="C2041" t="s">
        <v>1329</v>
      </c>
      <c r="D2041">
        <v>100550</v>
      </c>
      <c r="E2041" t="s">
        <v>14</v>
      </c>
      <c r="F2041">
        <v>54.528300000000002</v>
      </c>
      <c r="G2041">
        <v>11.060600000000001</v>
      </c>
      <c r="H2041">
        <v>1</v>
      </c>
      <c r="I2041">
        <v>8.5</v>
      </c>
      <c r="J2041" t="str">
        <f>HYPERLINK("https://climate.onebuilding.org/WMO_Region_6_Europe/DEU_Germany/SH_Schleswig-Holstein/DEU_SH_Fehmar.100550_TMYx.2007-2021.zip")</f>
        <v>https://climate.onebuilding.org/WMO_Region_6_Europe/DEU_Germany/SH_Schleswig-Holstein/DEU_SH_Fehmar.100550_TMYx.2007-2021.zip</v>
      </c>
    </row>
    <row r="2042" spans="1:10" x14ac:dyDescent="0.25">
      <c r="A2042" t="s">
        <v>1301</v>
      </c>
      <c r="B2042" t="s">
        <v>508</v>
      </c>
      <c r="C2042" t="s">
        <v>1329</v>
      </c>
      <c r="D2042">
        <v>100550</v>
      </c>
      <c r="E2042" t="s">
        <v>14</v>
      </c>
      <c r="F2042">
        <v>54.528300000000002</v>
      </c>
      <c r="G2042">
        <v>11.060600000000001</v>
      </c>
      <c r="H2042">
        <v>1</v>
      </c>
      <c r="I2042">
        <v>8.5</v>
      </c>
      <c r="J2042" t="str">
        <f>HYPERLINK("https://climate.onebuilding.org/WMO_Region_6_Europe/DEU_Germany/SH_Schleswig-Holstein/DEU_SH_Fehmar.100550_TMYx.zip")</f>
        <v>https://climate.onebuilding.org/WMO_Region_6_Europe/DEU_Germany/SH_Schleswig-Holstein/DEU_SH_Fehmar.100550_TMYx.zip</v>
      </c>
    </row>
    <row r="2043" spans="1:10" x14ac:dyDescent="0.25">
      <c r="A2043" t="s">
        <v>1301</v>
      </c>
      <c r="B2043" t="s">
        <v>508</v>
      </c>
      <c r="C2043" t="s">
        <v>1331</v>
      </c>
      <c r="D2043">
        <v>100670</v>
      </c>
      <c r="E2043" t="s">
        <v>14</v>
      </c>
      <c r="F2043">
        <v>54.493600000000001</v>
      </c>
      <c r="G2043">
        <v>11.240600000000001</v>
      </c>
      <c r="H2043">
        <v>1</v>
      </c>
      <c r="I2043">
        <v>12</v>
      </c>
      <c r="J2043" t="str">
        <f>HYPERLINK("https://climate.onebuilding.org/WMO_Region_6_Europe/DEU_Germany/SH_Schleswig-Holstein/DEU_SH_Marienleuchte-Puttgarden.100670_TMYx.zip")</f>
        <v>https://climate.onebuilding.org/WMO_Region_6_Europe/DEU_Germany/SH_Schleswig-Holstein/DEU_SH_Marienleuchte-Puttgarden.100670_TMYx.zip</v>
      </c>
    </row>
    <row r="2044" spans="1:10" x14ac:dyDescent="0.25">
      <c r="A2044" t="s">
        <v>1301</v>
      </c>
      <c r="B2044" t="s">
        <v>1332</v>
      </c>
      <c r="C2044" t="s">
        <v>1333</v>
      </c>
      <c r="D2044">
        <v>100910</v>
      </c>
      <c r="E2044" t="s">
        <v>14</v>
      </c>
      <c r="F2044">
        <v>54.679200000000002</v>
      </c>
      <c r="G2044">
        <v>13.434200000000001</v>
      </c>
      <c r="H2044">
        <v>1</v>
      </c>
      <c r="I2044">
        <v>41.7</v>
      </c>
      <c r="J2044" t="str">
        <f>HYPERLINK("https://climate.onebuilding.org/WMO_Region_6_Europe/DEU_Germany/MV_Mecklenburg-Vorpommern/DEU_MV_Cape.Arkona.100910_TMYx.zip")</f>
        <v>https://climate.onebuilding.org/WMO_Region_6_Europe/DEU_Germany/MV_Mecklenburg-Vorpommern/DEU_MV_Cape.Arkona.100910_TMYx.zip</v>
      </c>
    </row>
    <row r="2045" spans="1:10" x14ac:dyDescent="0.25">
      <c r="A2045" t="s">
        <v>1301</v>
      </c>
      <c r="B2045" t="s">
        <v>1332</v>
      </c>
      <c r="C2045" t="s">
        <v>1334</v>
      </c>
      <c r="D2045">
        <v>100970</v>
      </c>
      <c r="E2045" t="s">
        <v>1335</v>
      </c>
      <c r="F2045">
        <v>54.243600000000001</v>
      </c>
      <c r="G2045">
        <v>13.910299999999999</v>
      </c>
      <c r="H2045">
        <v>1</v>
      </c>
      <c r="I2045">
        <v>11.2</v>
      </c>
      <c r="J2045" t="str">
        <f>HYPERLINK("https://climate.onebuilding.org/WMO_Region_6_Europe/DEU_Germany/MV_Mecklenburg-Vorpommern/DEU_MV_Greifswalder.Oie.100970_TMYx.2004-2018.zip")</f>
        <v>https://climate.onebuilding.org/WMO_Region_6_Europe/DEU_Germany/MV_Mecklenburg-Vorpommern/DEU_MV_Greifswalder.Oie.100970_TMYx.2004-2018.zip</v>
      </c>
    </row>
    <row r="2046" spans="1:10" x14ac:dyDescent="0.25">
      <c r="A2046" t="s">
        <v>1301</v>
      </c>
      <c r="B2046" t="s">
        <v>1332</v>
      </c>
      <c r="C2046" t="s">
        <v>1334</v>
      </c>
      <c r="D2046">
        <v>100970</v>
      </c>
      <c r="E2046" t="s">
        <v>14</v>
      </c>
      <c r="F2046">
        <v>54.243600000000001</v>
      </c>
      <c r="G2046">
        <v>13.910299999999999</v>
      </c>
      <c r="H2046">
        <v>1</v>
      </c>
      <c r="I2046">
        <v>11.2</v>
      </c>
      <c r="J2046" t="str">
        <f>HYPERLINK("https://climate.onebuilding.org/WMO_Region_6_Europe/DEU_Germany/MV_Mecklenburg-Vorpommern/DEU_MV_Greifswalder.Oie.100970_TMYx.2007-2021.zip")</f>
        <v>https://climate.onebuilding.org/WMO_Region_6_Europe/DEU_Germany/MV_Mecklenburg-Vorpommern/DEU_MV_Greifswalder.Oie.100970_TMYx.2007-2021.zip</v>
      </c>
    </row>
    <row r="2047" spans="1:10" x14ac:dyDescent="0.25">
      <c r="A2047" t="s">
        <v>1301</v>
      </c>
      <c r="B2047" t="s">
        <v>1332</v>
      </c>
      <c r="C2047" t="s">
        <v>1334</v>
      </c>
      <c r="D2047">
        <v>100970</v>
      </c>
      <c r="E2047" t="s">
        <v>14</v>
      </c>
      <c r="F2047">
        <v>54.243600000000001</v>
      </c>
      <c r="G2047">
        <v>13.910299999999999</v>
      </c>
      <c r="H2047">
        <v>1</v>
      </c>
      <c r="I2047">
        <v>11.2</v>
      </c>
      <c r="J2047" t="str">
        <f>HYPERLINK("https://climate.onebuilding.org/WMO_Region_6_Europe/DEU_Germany/MV_Mecklenburg-Vorpommern/DEU_MV_Greifswalder.Oie.100970_TMYx.zip")</f>
        <v>https://climate.onebuilding.org/WMO_Region_6_Europe/DEU_Germany/MV_Mecklenburg-Vorpommern/DEU_MV_Greifswalder.Oie.100970_TMYx.zip</v>
      </c>
    </row>
    <row r="2048" spans="1:10" x14ac:dyDescent="0.25">
      <c r="A2048" t="s">
        <v>1301</v>
      </c>
      <c r="B2048" t="s">
        <v>1149</v>
      </c>
      <c r="C2048" t="s">
        <v>1336</v>
      </c>
      <c r="D2048">
        <v>101130</v>
      </c>
      <c r="E2048" t="s">
        <v>14</v>
      </c>
      <c r="F2048">
        <v>53.712200000000003</v>
      </c>
      <c r="G2048">
        <v>7.1519000000000004</v>
      </c>
      <c r="H2048">
        <v>1</v>
      </c>
      <c r="I2048">
        <v>15.8</v>
      </c>
      <c r="J2048" t="str">
        <f>HYPERLINK("https://climate.onebuilding.org/WMO_Region_6_Europe/DEU_Germany/NI_Niedersachsen/DEU_NI_Norderney.Island.101130_TMYx.zip")</f>
        <v>https://climate.onebuilding.org/WMO_Region_6_Europe/DEU_Germany/NI_Niedersachsen/DEU_NI_Norderney.Island.101130_TMYx.zip</v>
      </c>
    </row>
    <row r="2049" spans="1:10" x14ac:dyDescent="0.25">
      <c r="A2049" t="s">
        <v>1301</v>
      </c>
      <c r="B2049" t="s">
        <v>1149</v>
      </c>
      <c r="C2049" t="s">
        <v>1337</v>
      </c>
      <c r="D2049">
        <v>101220</v>
      </c>
      <c r="E2049" t="s">
        <v>14</v>
      </c>
      <c r="F2049">
        <v>53.533999999999999</v>
      </c>
      <c r="G2049">
        <v>7.8890000000000002</v>
      </c>
      <c r="H2049">
        <v>1</v>
      </c>
      <c r="I2049">
        <v>7.3</v>
      </c>
      <c r="J2049" t="str">
        <f>HYPERLINK("https://climate.onebuilding.org/WMO_Region_6_Europe/DEU_Germany/NI_Niedersachsen/DEU_NI_Jever.AB.101220_TMYx.2007-2021.zip")</f>
        <v>https://climate.onebuilding.org/WMO_Region_6_Europe/DEU_Germany/NI_Niedersachsen/DEU_NI_Jever.AB.101220_TMYx.2007-2021.zip</v>
      </c>
    </row>
    <row r="2050" spans="1:10" x14ac:dyDescent="0.25">
      <c r="A2050" t="s">
        <v>1301</v>
      </c>
      <c r="B2050" t="s">
        <v>1149</v>
      </c>
      <c r="C2050" t="s">
        <v>1337</v>
      </c>
      <c r="D2050">
        <v>101220</v>
      </c>
      <c r="E2050" t="s">
        <v>14</v>
      </c>
      <c r="F2050">
        <v>53.533999999999999</v>
      </c>
      <c r="G2050">
        <v>7.8890000000000002</v>
      </c>
      <c r="H2050">
        <v>1</v>
      </c>
      <c r="I2050">
        <v>7.3</v>
      </c>
      <c r="J2050" t="str">
        <f>HYPERLINK("https://climate.onebuilding.org/WMO_Region_6_Europe/DEU_Germany/NI_Niedersachsen/DEU_NI_Jever.AB.101220_TMYx.2009-2023.zip")</f>
        <v>https://climate.onebuilding.org/WMO_Region_6_Europe/DEU_Germany/NI_Niedersachsen/DEU_NI_Jever.AB.101220_TMYx.2009-2023.zip</v>
      </c>
    </row>
    <row r="2051" spans="1:10" x14ac:dyDescent="0.25">
      <c r="A2051" t="s">
        <v>1301</v>
      </c>
      <c r="B2051" t="s">
        <v>1149</v>
      </c>
      <c r="C2051" t="s">
        <v>1337</v>
      </c>
      <c r="D2051">
        <v>101220</v>
      </c>
      <c r="E2051" t="s">
        <v>14</v>
      </c>
      <c r="F2051">
        <v>53.533999999999999</v>
      </c>
      <c r="G2051">
        <v>7.8890000000000002</v>
      </c>
      <c r="H2051">
        <v>1</v>
      </c>
      <c r="I2051">
        <v>7.3</v>
      </c>
      <c r="J2051" t="str">
        <f>HYPERLINK("https://climate.onebuilding.org/WMO_Region_6_Europe/DEU_Germany/NI_Niedersachsen/DEU_NI_Jever.AB.101220_TMYx.zip")</f>
        <v>https://climate.onebuilding.org/WMO_Region_6_Europe/DEU_Germany/NI_Niedersachsen/DEU_NI_Jever.AB.101220_TMYx.zip</v>
      </c>
    </row>
    <row r="2052" spans="1:10" x14ac:dyDescent="0.25">
      <c r="A2052" t="s">
        <v>1301</v>
      </c>
      <c r="B2052" t="s">
        <v>1149</v>
      </c>
      <c r="C2052" t="s">
        <v>1338</v>
      </c>
      <c r="D2052">
        <v>101230</v>
      </c>
      <c r="E2052" t="s">
        <v>14</v>
      </c>
      <c r="F2052">
        <v>53.7928</v>
      </c>
      <c r="G2052">
        <v>7.8944999999999999</v>
      </c>
      <c r="H2052">
        <v>1</v>
      </c>
      <c r="I2052">
        <v>2</v>
      </c>
      <c r="J2052" t="str">
        <f>HYPERLINK("https://climate.onebuilding.org/WMO_Region_6_Europe/DEU_Germany/NI_Niedersachsen/DEU_NI_Wangerogge.Island.101230_TMYx.zip")</f>
        <v>https://climate.onebuilding.org/WMO_Region_6_Europe/DEU_Germany/NI_Niedersachsen/DEU_NI_Wangerogge.Island.101230_TMYx.zip</v>
      </c>
    </row>
    <row r="2053" spans="1:10" x14ac:dyDescent="0.25">
      <c r="A2053" t="s">
        <v>1301</v>
      </c>
      <c r="B2053" t="s">
        <v>1149</v>
      </c>
      <c r="C2053" t="s">
        <v>1339</v>
      </c>
      <c r="D2053">
        <v>101240</v>
      </c>
      <c r="E2053" t="s">
        <v>14</v>
      </c>
      <c r="F2053">
        <v>53.863300000000002</v>
      </c>
      <c r="G2053">
        <v>8.1274999999999995</v>
      </c>
      <c r="H2053">
        <v>1</v>
      </c>
      <c r="I2053">
        <v>30.5</v>
      </c>
      <c r="J2053" t="str">
        <f>HYPERLINK("https://climate.onebuilding.org/WMO_Region_6_Europe/DEU_Germany/NI_Niedersachsen/DEU_NI_Alte.Weser.Lighthouse.101240_TMYx.zip")</f>
        <v>https://climate.onebuilding.org/WMO_Region_6_Europe/DEU_Germany/NI_Niedersachsen/DEU_NI_Alte.Weser.Lighthouse.101240_TMYx.zip</v>
      </c>
    </row>
    <row r="2054" spans="1:10" x14ac:dyDescent="0.25">
      <c r="A2054" t="s">
        <v>1301</v>
      </c>
      <c r="B2054" t="s">
        <v>1149</v>
      </c>
      <c r="C2054" t="s">
        <v>1340</v>
      </c>
      <c r="D2054">
        <v>101260</v>
      </c>
      <c r="E2054" t="s">
        <v>1341</v>
      </c>
      <c r="F2054">
        <v>53.5503</v>
      </c>
      <c r="G2054">
        <v>7.6672000000000002</v>
      </c>
      <c r="H2054">
        <v>1</v>
      </c>
      <c r="I2054">
        <v>11.8</v>
      </c>
      <c r="J2054" t="str">
        <f>HYPERLINK("https://climate.onebuilding.org/WMO_Region_6_Europe/DEU_Germany/NI_Niedersachsen/DEU_NI_Wittmundhafen.AB.101260_TMYx.2004-2018.zip")</f>
        <v>https://climate.onebuilding.org/WMO_Region_6_Europe/DEU_Germany/NI_Niedersachsen/DEU_NI_Wittmundhafen.AB.101260_TMYx.2004-2018.zip</v>
      </c>
    </row>
    <row r="2055" spans="1:10" x14ac:dyDescent="0.25">
      <c r="A2055" t="s">
        <v>1301</v>
      </c>
      <c r="B2055" t="s">
        <v>1149</v>
      </c>
      <c r="C2055" t="s">
        <v>1340</v>
      </c>
      <c r="D2055">
        <v>101260</v>
      </c>
      <c r="E2055" t="s">
        <v>14</v>
      </c>
      <c r="F2055">
        <v>53.5503</v>
      </c>
      <c r="G2055">
        <v>7.6672000000000002</v>
      </c>
      <c r="H2055">
        <v>1</v>
      </c>
      <c r="I2055">
        <v>11.8</v>
      </c>
      <c r="J2055" t="str">
        <f>HYPERLINK("https://climate.onebuilding.org/WMO_Region_6_Europe/DEU_Germany/NI_Niedersachsen/DEU_NI_Wittmundhafen.AB.101260_TMYx.2007-2021.zip")</f>
        <v>https://climate.onebuilding.org/WMO_Region_6_Europe/DEU_Germany/NI_Niedersachsen/DEU_NI_Wittmundhafen.AB.101260_TMYx.2007-2021.zip</v>
      </c>
    </row>
    <row r="2056" spans="1:10" x14ac:dyDescent="0.25">
      <c r="A2056" t="s">
        <v>1301</v>
      </c>
      <c r="B2056" t="s">
        <v>1149</v>
      </c>
      <c r="C2056" t="s">
        <v>1340</v>
      </c>
      <c r="D2056">
        <v>101260</v>
      </c>
      <c r="E2056" t="s">
        <v>14</v>
      </c>
      <c r="F2056">
        <v>53.5503</v>
      </c>
      <c r="G2056">
        <v>7.6672000000000002</v>
      </c>
      <c r="H2056">
        <v>1</v>
      </c>
      <c r="I2056">
        <v>11.8</v>
      </c>
      <c r="J2056" t="str">
        <f>HYPERLINK("https://climate.onebuilding.org/WMO_Region_6_Europe/DEU_Germany/NI_Niedersachsen/DEU_NI_Wittmundhafen.AB.101260_TMYx.2009-2023.zip")</f>
        <v>https://climate.onebuilding.org/WMO_Region_6_Europe/DEU_Germany/NI_Niedersachsen/DEU_NI_Wittmundhafen.AB.101260_TMYx.2009-2023.zip</v>
      </c>
    </row>
    <row r="2057" spans="1:10" x14ac:dyDescent="0.25">
      <c r="A2057" t="s">
        <v>1301</v>
      </c>
      <c r="B2057" t="s">
        <v>1149</v>
      </c>
      <c r="C2057" t="s">
        <v>1340</v>
      </c>
      <c r="D2057">
        <v>101260</v>
      </c>
      <c r="E2057" t="s">
        <v>14</v>
      </c>
      <c r="F2057">
        <v>53.5503</v>
      </c>
      <c r="G2057">
        <v>7.6672000000000002</v>
      </c>
      <c r="H2057">
        <v>1</v>
      </c>
      <c r="I2057">
        <v>11.8</v>
      </c>
      <c r="J2057" t="str">
        <f>HYPERLINK("https://climate.onebuilding.org/WMO_Region_6_Europe/DEU_Germany/NI_Niedersachsen/DEU_NI_Wittmundhafen.AB.101260_TMYx.zip")</f>
        <v>https://climate.onebuilding.org/WMO_Region_6_Europe/DEU_Germany/NI_Niedersachsen/DEU_NI_Wittmundhafen.AB.101260_TMYx.zip</v>
      </c>
    </row>
    <row r="2058" spans="1:10" x14ac:dyDescent="0.25">
      <c r="A2058" t="s">
        <v>1301</v>
      </c>
      <c r="B2058" t="s">
        <v>1149</v>
      </c>
      <c r="C2058" t="s">
        <v>1342</v>
      </c>
      <c r="D2058">
        <v>101270</v>
      </c>
      <c r="E2058" t="s">
        <v>14</v>
      </c>
      <c r="F2058">
        <v>53.526499999999999</v>
      </c>
      <c r="G2058">
        <v>8.1115999999999993</v>
      </c>
      <c r="H2058">
        <v>1</v>
      </c>
      <c r="I2058">
        <v>5</v>
      </c>
      <c r="J2058" t="str">
        <f>HYPERLINK("https://climate.onebuilding.org/WMO_Region_6_Europe/DEU_Germany/NI_Niedersachsen/DEU_NI_Wilhelmshaven.101270_TMYx.zip")</f>
        <v>https://climate.onebuilding.org/WMO_Region_6_Europe/DEU_Germany/NI_Niedersachsen/DEU_NI_Wilhelmshaven.101270_TMYx.zip</v>
      </c>
    </row>
    <row r="2059" spans="1:10" x14ac:dyDescent="0.25">
      <c r="A2059" t="s">
        <v>1301</v>
      </c>
      <c r="B2059" t="s">
        <v>1304</v>
      </c>
      <c r="C2059" t="s">
        <v>1343</v>
      </c>
      <c r="D2059">
        <v>101290</v>
      </c>
      <c r="E2059" t="s">
        <v>14</v>
      </c>
      <c r="F2059">
        <v>53.533299999999997</v>
      </c>
      <c r="G2059">
        <v>8.5761000000000003</v>
      </c>
      <c r="H2059">
        <v>1</v>
      </c>
      <c r="I2059">
        <v>5.5</v>
      </c>
      <c r="J2059" t="str">
        <f>HYPERLINK("https://climate.onebuilding.org/WMO_Region_6_Europe/DEU_Germany/HB_Bremen/DEU_HB_Bremerhaven.101290_TMYx.zip")</f>
        <v>https://climate.onebuilding.org/WMO_Region_6_Europe/DEU_Germany/HB_Bremen/DEU_HB_Bremerhaven.101290_TMYx.zip</v>
      </c>
    </row>
    <row r="2060" spans="1:10" x14ac:dyDescent="0.25">
      <c r="A2060" t="s">
        <v>1301</v>
      </c>
      <c r="B2060" t="s">
        <v>508</v>
      </c>
      <c r="C2060" t="s">
        <v>1344</v>
      </c>
      <c r="D2060">
        <v>101300</v>
      </c>
      <c r="E2060" t="s">
        <v>14</v>
      </c>
      <c r="F2060">
        <v>54.069200000000002</v>
      </c>
      <c r="G2060">
        <v>9.0106000000000002</v>
      </c>
      <c r="H2060">
        <v>1</v>
      </c>
      <c r="I2060">
        <v>4.2</v>
      </c>
      <c r="J2060" t="str">
        <f>HYPERLINK("https://climate.onebuilding.org/WMO_Region_6_Europe/DEU_Germany/SH_Schleswig-Holstein/DEU_SH_Elpersbuttel.101300_TMYx.zip")</f>
        <v>https://climate.onebuilding.org/WMO_Region_6_Europe/DEU_Germany/SH_Schleswig-Holstein/DEU_SH_Elpersbuttel.101300_TMYx.zip</v>
      </c>
    </row>
    <row r="2061" spans="1:10" x14ac:dyDescent="0.25">
      <c r="A2061" t="s">
        <v>1301</v>
      </c>
      <c r="B2061" t="s">
        <v>1149</v>
      </c>
      <c r="C2061" t="s">
        <v>1345</v>
      </c>
      <c r="D2061">
        <v>101310</v>
      </c>
      <c r="E2061" t="s">
        <v>14</v>
      </c>
      <c r="F2061">
        <v>53.871400000000001</v>
      </c>
      <c r="G2061">
        <v>8.7058</v>
      </c>
      <c r="H2061">
        <v>1</v>
      </c>
      <c r="I2061">
        <v>12</v>
      </c>
      <c r="J2061" t="str">
        <f>HYPERLINK("https://climate.onebuilding.org/WMO_Region_6_Europe/DEU_Germany/NI_Niedersachsen/DEU_NI_Cuxhaven.101310_TMYx.zip")</f>
        <v>https://climate.onebuilding.org/WMO_Region_6_Europe/DEU_Germany/NI_Niedersachsen/DEU_NI_Cuxhaven.101310_TMYx.zip</v>
      </c>
    </row>
    <row r="2062" spans="1:10" x14ac:dyDescent="0.25">
      <c r="A2062" t="s">
        <v>1301</v>
      </c>
      <c r="B2062" t="s">
        <v>1149</v>
      </c>
      <c r="C2062" t="s">
        <v>1346</v>
      </c>
      <c r="D2062">
        <v>101360</v>
      </c>
      <c r="E2062" t="s">
        <v>1347</v>
      </c>
      <c r="F2062">
        <v>53.764699999999998</v>
      </c>
      <c r="G2062">
        <v>8.6583000000000006</v>
      </c>
      <c r="H2062">
        <v>1</v>
      </c>
      <c r="I2062">
        <v>32.5</v>
      </c>
      <c r="J2062" t="str">
        <f>HYPERLINK("https://climate.onebuilding.org/WMO_Region_6_Europe/DEU_Germany/NI_Niedersachsen/DEU_NI_Cuxhaven.Nordholz.AP.101360_TMYx.2004-2018.zip")</f>
        <v>https://climate.onebuilding.org/WMO_Region_6_Europe/DEU_Germany/NI_Niedersachsen/DEU_NI_Cuxhaven.Nordholz.AP.101360_TMYx.2004-2018.zip</v>
      </c>
    </row>
    <row r="2063" spans="1:10" x14ac:dyDescent="0.25">
      <c r="A2063" t="s">
        <v>1301</v>
      </c>
      <c r="B2063" t="s">
        <v>1149</v>
      </c>
      <c r="C2063" t="s">
        <v>1346</v>
      </c>
      <c r="D2063">
        <v>101360</v>
      </c>
      <c r="E2063" t="s">
        <v>14</v>
      </c>
      <c r="F2063">
        <v>53.764699999999998</v>
      </c>
      <c r="G2063">
        <v>8.6583000000000006</v>
      </c>
      <c r="H2063">
        <v>1</v>
      </c>
      <c r="I2063">
        <v>32.5</v>
      </c>
      <c r="J2063" t="str">
        <f>HYPERLINK("https://climate.onebuilding.org/WMO_Region_6_Europe/DEU_Germany/NI_Niedersachsen/DEU_NI_Cuxhaven.Nordholz.AP.101360_TMYx.2007-2021.zip")</f>
        <v>https://climate.onebuilding.org/WMO_Region_6_Europe/DEU_Germany/NI_Niedersachsen/DEU_NI_Cuxhaven.Nordholz.AP.101360_TMYx.2007-2021.zip</v>
      </c>
    </row>
    <row r="2064" spans="1:10" x14ac:dyDescent="0.25">
      <c r="A2064" t="s">
        <v>1301</v>
      </c>
      <c r="B2064" t="s">
        <v>1149</v>
      </c>
      <c r="C2064" t="s">
        <v>1346</v>
      </c>
      <c r="D2064">
        <v>101360</v>
      </c>
      <c r="E2064" t="s">
        <v>14</v>
      </c>
      <c r="F2064">
        <v>53.764699999999998</v>
      </c>
      <c r="G2064">
        <v>8.6583000000000006</v>
      </c>
      <c r="H2064">
        <v>1</v>
      </c>
      <c r="I2064">
        <v>32.5</v>
      </c>
      <c r="J2064" t="str">
        <f>HYPERLINK("https://climate.onebuilding.org/WMO_Region_6_Europe/DEU_Germany/NI_Niedersachsen/DEU_NI_Cuxhaven.Nordholz.AP.101360_TMYx.2009-2023.zip")</f>
        <v>https://climate.onebuilding.org/WMO_Region_6_Europe/DEU_Germany/NI_Niedersachsen/DEU_NI_Cuxhaven.Nordholz.AP.101360_TMYx.2009-2023.zip</v>
      </c>
    </row>
    <row r="2065" spans="1:10" x14ac:dyDescent="0.25">
      <c r="A2065" t="s">
        <v>1301</v>
      </c>
      <c r="B2065" t="s">
        <v>1149</v>
      </c>
      <c r="C2065" t="s">
        <v>1346</v>
      </c>
      <c r="D2065">
        <v>101360</v>
      </c>
      <c r="E2065" t="s">
        <v>14</v>
      </c>
      <c r="F2065">
        <v>53.764699999999998</v>
      </c>
      <c r="G2065">
        <v>8.6583000000000006</v>
      </c>
      <c r="H2065">
        <v>1</v>
      </c>
      <c r="I2065">
        <v>32.5</v>
      </c>
      <c r="J2065" t="str">
        <f>HYPERLINK("https://climate.onebuilding.org/WMO_Region_6_Europe/DEU_Germany/NI_Niedersachsen/DEU_NI_Cuxhaven.Nordholz.AP.101360_TMYx.zip")</f>
        <v>https://climate.onebuilding.org/WMO_Region_6_Europe/DEU_Germany/NI_Niedersachsen/DEU_NI_Cuxhaven.Nordholz.AP.101360_TMYx.zip</v>
      </c>
    </row>
    <row r="2066" spans="1:10" x14ac:dyDescent="0.25">
      <c r="A2066" t="s">
        <v>1301</v>
      </c>
      <c r="B2066" t="s">
        <v>1149</v>
      </c>
      <c r="C2066" t="s">
        <v>1348</v>
      </c>
      <c r="D2066">
        <v>101390</v>
      </c>
      <c r="E2066" t="s">
        <v>14</v>
      </c>
      <c r="F2066">
        <v>53.5</v>
      </c>
      <c r="G2066">
        <v>9.1669999999999998</v>
      </c>
      <c r="H2066">
        <v>1</v>
      </c>
      <c r="I2066">
        <v>5</v>
      </c>
      <c r="J2066" t="str">
        <f>HYPERLINK("https://climate.onebuilding.org/WMO_Region_6_Europe/DEU_Germany/NI_Niedersachsen/DEU_NI_Bremervoerde.101390_TMYx.zip")</f>
        <v>https://climate.onebuilding.org/WMO_Region_6_Europe/DEU_Germany/NI_Niedersachsen/DEU_NI_Bremervoerde.101390_TMYx.zip</v>
      </c>
    </row>
    <row r="2067" spans="1:10" x14ac:dyDescent="0.25">
      <c r="A2067" t="s">
        <v>1301</v>
      </c>
      <c r="B2067" t="s">
        <v>508</v>
      </c>
      <c r="C2067" t="s">
        <v>1349</v>
      </c>
      <c r="D2067">
        <v>101420</v>
      </c>
      <c r="E2067" t="s">
        <v>1350</v>
      </c>
      <c r="F2067">
        <v>53.989699999999999</v>
      </c>
      <c r="G2067">
        <v>9.5696999999999992</v>
      </c>
      <c r="H2067">
        <v>1</v>
      </c>
      <c r="I2067">
        <v>25.5</v>
      </c>
      <c r="J2067" t="str">
        <f>HYPERLINK("https://climate.onebuilding.org/WMO_Region_6_Europe/DEU_Germany/SH_Schleswig-Holstein/DEU_SH_Hohenlockstedt-Itzehoe.Hungriger.Wolf.AP.101420_TMYx.2004-2018.zip")</f>
        <v>https://climate.onebuilding.org/WMO_Region_6_Europe/DEU_Germany/SH_Schleswig-Holstein/DEU_SH_Hohenlockstedt-Itzehoe.Hungriger.Wolf.AP.101420_TMYx.2004-2018.zip</v>
      </c>
    </row>
    <row r="2068" spans="1:10" x14ac:dyDescent="0.25">
      <c r="A2068" t="s">
        <v>1301</v>
      </c>
      <c r="B2068" t="s">
        <v>508</v>
      </c>
      <c r="C2068" t="s">
        <v>1349</v>
      </c>
      <c r="D2068">
        <v>101420</v>
      </c>
      <c r="E2068" t="s">
        <v>14</v>
      </c>
      <c r="F2068">
        <v>53.989699999999999</v>
      </c>
      <c r="G2068">
        <v>9.5696999999999992</v>
      </c>
      <c r="H2068">
        <v>1</v>
      </c>
      <c r="I2068">
        <v>25.5</v>
      </c>
      <c r="J2068" t="str">
        <f>HYPERLINK("https://climate.onebuilding.org/WMO_Region_6_Europe/DEU_Germany/SH_Schleswig-Holstein/DEU_SH_Hohenlockstedt-Itzehoe.Hungriger.Wolf.AP.101420_TMYx.2007-2021.zip")</f>
        <v>https://climate.onebuilding.org/WMO_Region_6_Europe/DEU_Germany/SH_Schleswig-Holstein/DEU_SH_Hohenlockstedt-Itzehoe.Hungriger.Wolf.AP.101420_TMYx.2007-2021.zip</v>
      </c>
    </row>
    <row r="2069" spans="1:10" x14ac:dyDescent="0.25">
      <c r="A2069" t="s">
        <v>1301</v>
      </c>
      <c r="B2069" t="s">
        <v>508</v>
      </c>
      <c r="C2069" t="s">
        <v>1349</v>
      </c>
      <c r="D2069">
        <v>101420</v>
      </c>
      <c r="E2069" t="s">
        <v>14</v>
      </c>
      <c r="F2069">
        <v>53.989699999999999</v>
      </c>
      <c r="G2069">
        <v>9.5696999999999992</v>
      </c>
      <c r="H2069">
        <v>1</v>
      </c>
      <c r="I2069">
        <v>25.5</v>
      </c>
      <c r="J2069" t="str">
        <f>HYPERLINK("https://climate.onebuilding.org/WMO_Region_6_Europe/DEU_Germany/SH_Schleswig-Holstein/DEU_SH_Hohenlockstedt-Itzehoe.Hungriger.Wolf.AP.101420_TMYx.zip")</f>
        <v>https://climate.onebuilding.org/WMO_Region_6_Europe/DEU_Germany/SH_Schleswig-Holstein/DEU_SH_Hohenlockstedt-Itzehoe.Hungriger.Wolf.AP.101420_TMYx.zip</v>
      </c>
    </row>
    <row r="2070" spans="1:10" x14ac:dyDescent="0.25">
      <c r="A2070" t="s">
        <v>1301</v>
      </c>
      <c r="B2070" t="s">
        <v>508</v>
      </c>
      <c r="C2070" t="s">
        <v>1351</v>
      </c>
      <c r="D2070">
        <v>101430</v>
      </c>
      <c r="E2070" t="s">
        <v>14</v>
      </c>
      <c r="F2070">
        <v>54.082999999999998</v>
      </c>
      <c r="G2070">
        <v>9.9830000000000005</v>
      </c>
      <c r="H2070">
        <v>1</v>
      </c>
      <c r="I2070">
        <v>25</v>
      </c>
      <c r="J2070" t="str">
        <f>HYPERLINK("https://climate.onebuilding.org/WMO_Region_6_Europe/DEU_Germany/SH_Schleswig-Holstein/DEU_SH_Neumunster.101430_TMYx.zip")</f>
        <v>https://climate.onebuilding.org/WMO_Region_6_Europe/DEU_Germany/SH_Schleswig-Holstein/DEU_SH_Neumunster.101430_TMYx.zip</v>
      </c>
    </row>
    <row r="2071" spans="1:10" x14ac:dyDescent="0.25">
      <c r="A2071" t="s">
        <v>1301</v>
      </c>
      <c r="B2071" t="s">
        <v>508</v>
      </c>
      <c r="C2071" t="s">
        <v>1352</v>
      </c>
      <c r="D2071">
        <v>101460</v>
      </c>
      <c r="E2071" t="s">
        <v>1353</v>
      </c>
      <c r="F2071">
        <v>53.7331</v>
      </c>
      <c r="G2071">
        <v>9.8774999999999995</v>
      </c>
      <c r="H2071">
        <v>1</v>
      </c>
      <c r="I2071">
        <v>12.2</v>
      </c>
      <c r="J2071" t="str">
        <f>HYPERLINK("https://climate.onebuilding.org/WMO_Region_6_Europe/DEU_Germany/SH_Schleswig-Holstein/DEU_SH_Quickborn.101460_TMYx.2004-2018.zip")</f>
        <v>https://climate.onebuilding.org/WMO_Region_6_Europe/DEU_Germany/SH_Schleswig-Holstein/DEU_SH_Quickborn.101460_TMYx.2004-2018.zip</v>
      </c>
    </row>
    <row r="2072" spans="1:10" x14ac:dyDescent="0.25">
      <c r="A2072" t="s">
        <v>1301</v>
      </c>
      <c r="B2072" t="s">
        <v>508</v>
      </c>
      <c r="C2072" t="s">
        <v>1352</v>
      </c>
      <c r="D2072">
        <v>101460</v>
      </c>
      <c r="E2072" t="s">
        <v>14</v>
      </c>
      <c r="F2072">
        <v>53.7331</v>
      </c>
      <c r="G2072">
        <v>9.8774999999999995</v>
      </c>
      <c r="H2072">
        <v>1</v>
      </c>
      <c r="I2072">
        <v>12.2</v>
      </c>
      <c r="J2072" t="str">
        <f>HYPERLINK("https://climate.onebuilding.org/WMO_Region_6_Europe/DEU_Germany/SH_Schleswig-Holstein/DEU_SH_Quickborn.101460_TMYx.2007-2021.zip")</f>
        <v>https://climate.onebuilding.org/WMO_Region_6_Europe/DEU_Germany/SH_Schleswig-Holstein/DEU_SH_Quickborn.101460_TMYx.2007-2021.zip</v>
      </c>
    </row>
    <row r="2073" spans="1:10" x14ac:dyDescent="0.25">
      <c r="A2073" t="s">
        <v>1301</v>
      </c>
      <c r="B2073" t="s">
        <v>508</v>
      </c>
      <c r="C2073" t="s">
        <v>1352</v>
      </c>
      <c r="D2073">
        <v>101460</v>
      </c>
      <c r="E2073" t="s">
        <v>14</v>
      </c>
      <c r="F2073">
        <v>53.7331</v>
      </c>
      <c r="G2073">
        <v>9.8774999999999995</v>
      </c>
      <c r="H2073">
        <v>1</v>
      </c>
      <c r="I2073">
        <v>12.2</v>
      </c>
      <c r="J2073" t="str">
        <f>HYPERLINK("https://climate.onebuilding.org/WMO_Region_6_Europe/DEU_Germany/SH_Schleswig-Holstein/DEU_SH_Quickborn.101460_TMYx.zip")</f>
        <v>https://climate.onebuilding.org/WMO_Region_6_Europe/DEU_Germany/SH_Schleswig-Holstein/DEU_SH_Quickborn.101460_TMYx.zip</v>
      </c>
    </row>
    <row r="2074" spans="1:10" x14ac:dyDescent="0.25">
      <c r="A2074" t="s">
        <v>1301</v>
      </c>
      <c r="B2074" t="s">
        <v>1354</v>
      </c>
      <c r="C2074" t="s">
        <v>1355</v>
      </c>
      <c r="D2074">
        <v>101470</v>
      </c>
      <c r="E2074" t="s">
        <v>1356</v>
      </c>
      <c r="F2074">
        <v>53.633000000000003</v>
      </c>
      <c r="G2074">
        <v>9.9880999999999993</v>
      </c>
      <c r="H2074">
        <v>1</v>
      </c>
      <c r="I2074">
        <v>15</v>
      </c>
      <c r="J2074" t="str">
        <f>HYPERLINK("https://climate.onebuilding.org/WMO_Region_6_Europe/DEU_Germany/HH_Hamburg/DEU_HH_Hamburg-Schmidt.AP.101470_TMYx.2004-2018.zip")</f>
        <v>https://climate.onebuilding.org/WMO_Region_6_Europe/DEU_Germany/HH_Hamburg/DEU_HH_Hamburg-Schmidt.AP.101470_TMYx.2004-2018.zip</v>
      </c>
    </row>
    <row r="2075" spans="1:10" x14ac:dyDescent="0.25">
      <c r="A2075" t="s">
        <v>1301</v>
      </c>
      <c r="B2075" t="s">
        <v>1354</v>
      </c>
      <c r="C2075" t="s">
        <v>1355</v>
      </c>
      <c r="D2075">
        <v>101470</v>
      </c>
      <c r="E2075" t="s">
        <v>14</v>
      </c>
      <c r="F2075">
        <v>53.633000000000003</v>
      </c>
      <c r="G2075">
        <v>9.9880999999999993</v>
      </c>
      <c r="H2075">
        <v>1</v>
      </c>
      <c r="I2075">
        <v>15</v>
      </c>
      <c r="J2075" t="str">
        <f>HYPERLINK("https://climate.onebuilding.org/WMO_Region_6_Europe/DEU_Germany/HH_Hamburg/DEU_HH_Hamburg-Schmidt.AP.101470_TMYx.2007-2021.zip")</f>
        <v>https://climate.onebuilding.org/WMO_Region_6_Europe/DEU_Germany/HH_Hamburg/DEU_HH_Hamburg-Schmidt.AP.101470_TMYx.2007-2021.zip</v>
      </c>
    </row>
    <row r="2076" spans="1:10" x14ac:dyDescent="0.25">
      <c r="A2076" t="s">
        <v>1301</v>
      </c>
      <c r="B2076" t="s">
        <v>1354</v>
      </c>
      <c r="C2076" t="s">
        <v>1355</v>
      </c>
      <c r="D2076">
        <v>101470</v>
      </c>
      <c r="E2076" t="s">
        <v>14</v>
      </c>
      <c r="F2076">
        <v>53.633000000000003</v>
      </c>
      <c r="G2076">
        <v>9.9880999999999993</v>
      </c>
      <c r="H2076">
        <v>1</v>
      </c>
      <c r="I2076">
        <v>15</v>
      </c>
      <c r="J2076" t="str">
        <f>HYPERLINK("https://climate.onebuilding.org/WMO_Region_6_Europe/DEU_Germany/HH_Hamburg/DEU_HH_Hamburg-Schmidt.AP.101470_TMYx.2009-2023.zip")</f>
        <v>https://climate.onebuilding.org/WMO_Region_6_Europe/DEU_Germany/HH_Hamburg/DEU_HH_Hamburg-Schmidt.AP.101470_TMYx.2009-2023.zip</v>
      </c>
    </row>
    <row r="2077" spans="1:10" x14ac:dyDescent="0.25">
      <c r="A2077" t="s">
        <v>1301</v>
      </c>
      <c r="B2077" t="s">
        <v>1354</v>
      </c>
      <c r="C2077" t="s">
        <v>1355</v>
      </c>
      <c r="D2077">
        <v>101470</v>
      </c>
      <c r="E2077" t="s">
        <v>14</v>
      </c>
      <c r="F2077">
        <v>53.633000000000003</v>
      </c>
      <c r="G2077">
        <v>9.9880999999999993</v>
      </c>
      <c r="H2077">
        <v>1</v>
      </c>
      <c r="I2077">
        <v>15</v>
      </c>
      <c r="J2077" t="str">
        <f>HYPERLINK("https://climate.onebuilding.org/WMO_Region_6_Europe/DEU_Germany/HH_Hamburg/DEU_HH_Hamburg-Schmidt.AP.101470_TMYx.zip")</f>
        <v>https://climate.onebuilding.org/WMO_Region_6_Europe/DEU_Germany/HH_Hamburg/DEU_HH_Hamburg-Schmidt.AP.101470_TMYx.zip</v>
      </c>
    </row>
    <row r="2078" spans="1:10" x14ac:dyDescent="0.25">
      <c r="A2078" t="s">
        <v>1301</v>
      </c>
      <c r="B2078" t="s">
        <v>1354</v>
      </c>
      <c r="C2078" t="s">
        <v>1357</v>
      </c>
      <c r="D2078">
        <v>101490</v>
      </c>
      <c r="E2078" t="s">
        <v>14</v>
      </c>
      <c r="F2078">
        <v>53.536000000000001</v>
      </c>
      <c r="G2078">
        <v>9.8369999999999997</v>
      </c>
      <c r="H2078">
        <v>1</v>
      </c>
      <c r="I2078">
        <v>6.7</v>
      </c>
      <c r="J2078" t="str">
        <f>HYPERLINK("https://climate.onebuilding.org/WMO_Region_6_Europe/DEU_Germany/HH_Hamburg/DEU_HH_Hamburg.Finkenwerder.AP.101490_TMYx.2007-2021.zip")</f>
        <v>https://climate.onebuilding.org/WMO_Region_6_Europe/DEU_Germany/HH_Hamburg/DEU_HH_Hamburg.Finkenwerder.AP.101490_TMYx.2007-2021.zip</v>
      </c>
    </row>
    <row r="2079" spans="1:10" x14ac:dyDescent="0.25">
      <c r="A2079" t="s">
        <v>1301</v>
      </c>
      <c r="B2079" t="s">
        <v>1354</v>
      </c>
      <c r="C2079" t="s">
        <v>1357</v>
      </c>
      <c r="D2079">
        <v>101490</v>
      </c>
      <c r="E2079" t="s">
        <v>14</v>
      </c>
      <c r="F2079">
        <v>53.536000000000001</v>
      </c>
      <c r="G2079">
        <v>9.8369999999999997</v>
      </c>
      <c r="H2079">
        <v>1</v>
      </c>
      <c r="I2079">
        <v>6.7</v>
      </c>
      <c r="J2079" t="str">
        <f>HYPERLINK("https://climate.onebuilding.org/WMO_Region_6_Europe/DEU_Germany/HH_Hamburg/DEU_HH_Hamburg.Finkenwerder.AP.101490_TMYx.2009-2023.zip")</f>
        <v>https://climate.onebuilding.org/WMO_Region_6_Europe/DEU_Germany/HH_Hamburg/DEU_HH_Hamburg.Finkenwerder.AP.101490_TMYx.2009-2023.zip</v>
      </c>
    </row>
    <row r="2080" spans="1:10" x14ac:dyDescent="0.25">
      <c r="A2080" t="s">
        <v>1301</v>
      </c>
      <c r="B2080" t="s">
        <v>1354</v>
      </c>
      <c r="C2080" t="s">
        <v>1357</v>
      </c>
      <c r="D2080">
        <v>101490</v>
      </c>
      <c r="E2080" t="s">
        <v>14</v>
      </c>
      <c r="F2080">
        <v>53.536000000000001</v>
      </c>
      <c r="G2080">
        <v>9.8369999999999997</v>
      </c>
      <c r="H2080">
        <v>1</v>
      </c>
      <c r="I2080">
        <v>6.7</v>
      </c>
      <c r="J2080" t="str">
        <f>HYPERLINK("https://climate.onebuilding.org/WMO_Region_6_Europe/DEU_Germany/HH_Hamburg/DEU_HH_Hamburg.Finkenwerder.AP.101490_TMYx.zip")</f>
        <v>https://climate.onebuilding.org/WMO_Region_6_Europe/DEU_Germany/HH_Hamburg/DEU_HH_Hamburg.Finkenwerder.AP.101490_TMYx.zip</v>
      </c>
    </row>
    <row r="2081" spans="1:10" x14ac:dyDescent="0.25">
      <c r="A2081" t="s">
        <v>1301</v>
      </c>
      <c r="B2081" t="s">
        <v>508</v>
      </c>
      <c r="C2081" t="s">
        <v>1358</v>
      </c>
      <c r="D2081">
        <v>101500</v>
      </c>
      <c r="E2081" t="s">
        <v>1359</v>
      </c>
      <c r="F2081">
        <v>54.165599999999998</v>
      </c>
      <c r="G2081">
        <v>10.351900000000001</v>
      </c>
      <c r="H2081">
        <v>1</v>
      </c>
      <c r="I2081">
        <v>27.6</v>
      </c>
      <c r="J2081" t="str">
        <f>HYPERLINK("https://climate.onebuilding.org/WMO_Region_6_Europe/DEU_Germany/SH_Schleswig-Holstein/DEU_SH_Doernick.101500_TMYx.2004-2018.zip")</f>
        <v>https://climate.onebuilding.org/WMO_Region_6_Europe/DEU_Germany/SH_Schleswig-Holstein/DEU_SH_Doernick.101500_TMYx.2004-2018.zip</v>
      </c>
    </row>
    <row r="2082" spans="1:10" x14ac:dyDescent="0.25">
      <c r="A2082" t="s">
        <v>1301</v>
      </c>
      <c r="B2082" t="s">
        <v>508</v>
      </c>
      <c r="C2082" t="s">
        <v>1358</v>
      </c>
      <c r="D2082">
        <v>101500</v>
      </c>
      <c r="E2082" t="s">
        <v>14</v>
      </c>
      <c r="F2082">
        <v>54.165599999999998</v>
      </c>
      <c r="G2082">
        <v>10.351900000000001</v>
      </c>
      <c r="H2082">
        <v>1</v>
      </c>
      <c r="I2082">
        <v>27.6</v>
      </c>
      <c r="J2082" t="str">
        <f>HYPERLINK("https://climate.onebuilding.org/WMO_Region_6_Europe/DEU_Germany/SH_Schleswig-Holstein/DEU_SH_Doernick.101500_TMYx.2007-2021.zip")</f>
        <v>https://climate.onebuilding.org/WMO_Region_6_Europe/DEU_Germany/SH_Schleswig-Holstein/DEU_SH_Doernick.101500_TMYx.2007-2021.zip</v>
      </c>
    </row>
    <row r="2083" spans="1:10" x14ac:dyDescent="0.25">
      <c r="A2083" t="s">
        <v>1301</v>
      </c>
      <c r="B2083" t="s">
        <v>508</v>
      </c>
      <c r="C2083" t="s">
        <v>1358</v>
      </c>
      <c r="D2083">
        <v>101500</v>
      </c>
      <c r="E2083" t="s">
        <v>14</v>
      </c>
      <c r="F2083">
        <v>54.165599999999998</v>
      </c>
      <c r="G2083">
        <v>10.351900000000001</v>
      </c>
      <c r="H2083">
        <v>1</v>
      </c>
      <c r="I2083">
        <v>27.6</v>
      </c>
      <c r="J2083" t="str">
        <f>HYPERLINK("https://climate.onebuilding.org/WMO_Region_6_Europe/DEU_Germany/SH_Schleswig-Holstein/DEU_SH_Doernick.101500_TMYx.zip")</f>
        <v>https://climate.onebuilding.org/WMO_Region_6_Europe/DEU_Germany/SH_Schleswig-Holstein/DEU_SH_Doernick.101500_TMYx.zip</v>
      </c>
    </row>
    <row r="2084" spans="1:10" x14ac:dyDescent="0.25">
      <c r="A2084" t="s">
        <v>1301</v>
      </c>
      <c r="B2084" t="s">
        <v>508</v>
      </c>
      <c r="C2084" t="s">
        <v>1360</v>
      </c>
      <c r="D2084">
        <v>101510</v>
      </c>
      <c r="E2084" t="s">
        <v>14</v>
      </c>
      <c r="F2084">
        <v>54.201599999999999</v>
      </c>
      <c r="G2084">
        <v>11.0915</v>
      </c>
      <c r="H2084">
        <v>1</v>
      </c>
      <c r="I2084">
        <v>9</v>
      </c>
      <c r="J2084" t="str">
        <f>HYPERLINK("https://climate.onebuilding.org/WMO_Region_6_Europe/DEU_Germany/SH_Schleswig-Holstein/DEU_SH_Dahmeshoved.101510_TMYx.zip")</f>
        <v>https://climate.onebuilding.org/WMO_Region_6_Europe/DEU_Germany/SH_Schleswig-Holstein/DEU_SH_Dahmeshoved.101510_TMYx.zip</v>
      </c>
    </row>
    <row r="2085" spans="1:10" x14ac:dyDescent="0.25">
      <c r="A2085" t="s">
        <v>1301</v>
      </c>
      <c r="B2085" t="s">
        <v>508</v>
      </c>
      <c r="C2085" t="s">
        <v>1361</v>
      </c>
      <c r="D2085">
        <v>101520</v>
      </c>
      <c r="E2085" t="s">
        <v>14</v>
      </c>
      <c r="F2085">
        <v>54.089399999999998</v>
      </c>
      <c r="G2085">
        <v>10.8772</v>
      </c>
      <c r="H2085">
        <v>1</v>
      </c>
      <c r="I2085">
        <v>3.9</v>
      </c>
      <c r="J2085" t="str">
        <f>HYPERLINK("https://climate.onebuilding.org/WMO_Region_6_Europe/DEU_Germany/SH_Schleswig-Holstein/DEU_SH_Pelzerhaken.101520_TMYx.zip")</f>
        <v>https://climate.onebuilding.org/WMO_Region_6_Europe/DEU_Germany/SH_Schleswig-Holstein/DEU_SH_Pelzerhaken.101520_TMYx.zip</v>
      </c>
    </row>
    <row r="2086" spans="1:10" x14ac:dyDescent="0.25">
      <c r="A2086" t="s">
        <v>1301</v>
      </c>
      <c r="B2086" t="s">
        <v>508</v>
      </c>
      <c r="C2086" t="s">
        <v>1362</v>
      </c>
      <c r="D2086">
        <v>101560</v>
      </c>
      <c r="E2086" t="s">
        <v>1363</v>
      </c>
      <c r="F2086">
        <v>53.802500000000002</v>
      </c>
      <c r="G2086">
        <v>10.6989</v>
      </c>
      <c r="H2086">
        <v>1</v>
      </c>
      <c r="I2086">
        <v>17</v>
      </c>
      <c r="J2086" t="str">
        <f>HYPERLINK("https://climate.onebuilding.org/WMO_Region_6_Europe/DEU_Germany/SH_Schleswig-Holstein/DEU_SH_Lubeck.AP.101560_TMYx.2004-2018.zip")</f>
        <v>https://climate.onebuilding.org/WMO_Region_6_Europe/DEU_Germany/SH_Schleswig-Holstein/DEU_SH_Lubeck.AP.101560_TMYx.2004-2018.zip</v>
      </c>
    </row>
    <row r="2087" spans="1:10" x14ac:dyDescent="0.25">
      <c r="A2087" t="s">
        <v>1301</v>
      </c>
      <c r="B2087" t="s">
        <v>508</v>
      </c>
      <c r="C2087" t="s">
        <v>1362</v>
      </c>
      <c r="D2087">
        <v>101560</v>
      </c>
      <c r="E2087" t="s">
        <v>14</v>
      </c>
      <c r="F2087">
        <v>53.802500000000002</v>
      </c>
      <c r="G2087">
        <v>10.6989</v>
      </c>
      <c r="H2087">
        <v>1</v>
      </c>
      <c r="I2087">
        <v>17</v>
      </c>
      <c r="J2087" t="str">
        <f>HYPERLINK("https://climate.onebuilding.org/WMO_Region_6_Europe/DEU_Germany/SH_Schleswig-Holstein/DEU_SH_Lubeck.AP.101560_TMYx.2007-2021.zip")</f>
        <v>https://climate.onebuilding.org/WMO_Region_6_Europe/DEU_Germany/SH_Schleswig-Holstein/DEU_SH_Lubeck.AP.101560_TMYx.2007-2021.zip</v>
      </c>
    </row>
    <row r="2088" spans="1:10" x14ac:dyDescent="0.25">
      <c r="A2088" t="s">
        <v>1301</v>
      </c>
      <c r="B2088" t="s">
        <v>508</v>
      </c>
      <c r="C2088" t="s">
        <v>1362</v>
      </c>
      <c r="D2088">
        <v>101560</v>
      </c>
      <c r="E2088" t="s">
        <v>14</v>
      </c>
      <c r="F2088">
        <v>53.802500000000002</v>
      </c>
      <c r="G2088">
        <v>10.6989</v>
      </c>
      <c r="H2088">
        <v>1</v>
      </c>
      <c r="I2088">
        <v>17</v>
      </c>
      <c r="J2088" t="str">
        <f>HYPERLINK("https://climate.onebuilding.org/WMO_Region_6_Europe/DEU_Germany/SH_Schleswig-Holstein/DEU_SH_Lubeck.AP.101560_TMYx.2009-2023.zip")</f>
        <v>https://climate.onebuilding.org/WMO_Region_6_Europe/DEU_Germany/SH_Schleswig-Holstein/DEU_SH_Lubeck.AP.101560_TMYx.2009-2023.zip</v>
      </c>
    </row>
    <row r="2089" spans="1:10" x14ac:dyDescent="0.25">
      <c r="A2089" t="s">
        <v>1301</v>
      </c>
      <c r="B2089" t="s">
        <v>508</v>
      </c>
      <c r="C2089" t="s">
        <v>1362</v>
      </c>
      <c r="D2089">
        <v>101560</v>
      </c>
      <c r="E2089" t="s">
        <v>14</v>
      </c>
      <c r="F2089">
        <v>53.802500000000002</v>
      </c>
      <c r="G2089">
        <v>10.6989</v>
      </c>
      <c r="H2089">
        <v>1</v>
      </c>
      <c r="I2089">
        <v>17</v>
      </c>
      <c r="J2089" t="str">
        <f>HYPERLINK("https://climate.onebuilding.org/WMO_Region_6_Europe/DEU_Germany/SH_Schleswig-Holstein/DEU_SH_Lubeck.AP.101560_TMYx.zip")</f>
        <v>https://climate.onebuilding.org/WMO_Region_6_Europe/DEU_Germany/SH_Schleswig-Holstein/DEU_SH_Lubeck.AP.101560_TMYx.zip</v>
      </c>
    </row>
    <row r="2090" spans="1:10" x14ac:dyDescent="0.25">
      <c r="A2090" t="s">
        <v>1301</v>
      </c>
      <c r="B2090" t="s">
        <v>1332</v>
      </c>
      <c r="C2090" t="s">
        <v>1364</v>
      </c>
      <c r="D2090">
        <v>101610</v>
      </c>
      <c r="E2090" t="s">
        <v>14</v>
      </c>
      <c r="F2090">
        <v>54.002800000000001</v>
      </c>
      <c r="G2090">
        <v>11.190799999999999</v>
      </c>
      <c r="H2090">
        <v>1</v>
      </c>
      <c r="I2090">
        <v>16</v>
      </c>
      <c r="J2090" t="str">
        <f>HYPERLINK("https://climate.onebuilding.org/WMO_Region_6_Europe/DEU_Germany/MV_Mecklenburg-Vorpommern/DEU_MV_Boltenhagen.101610_TMYx.zip")</f>
        <v>https://climate.onebuilding.org/WMO_Region_6_Europe/DEU_Germany/MV_Mecklenburg-Vorpommern/DEU_MV_Boltenhagen.101610_TMYx.zip</v>
      </c>
    </row>
    <row r="2091" spans="1:10" x14ac:dyDescent="0.25">
      <c r="A2091" t="s">
        <v>1301</v>
      </c>
      <c r="B2091" t="s">
        <v>1332</v>
      </c>
      <c r="C2091" t="s">
        <v>1365</v>
      </c>
      <c r="D2091">
        <v>101620</v>
      </c>
      <c r="E2091" t="s">
        <v>14</v>
      </c>
      <c r="F2091">
        <v>53.642499999999998</v>
      </c>
      <c r="G2091">
        <v>11.3872</v>
      </c>
      <c r="H2091">
        <v>1</v>
      </c>
      <c r="I2091">
        <v>59.6</v>
      </c>
      <c r="J2091" t="str">
        <f>HYPERLINK("https://climate.onebuilding.org/WMO_Region_6_Europe/DEU_Germany/MV_Mecklenburg-Vorpommern/DEU_MV_Schwerin.101620_TMYx.zip")</f>
        <v>https://climate.onebuilding.org/WMO_Region_6_Europe/DEU_Germany/MV_Mecklenburg-Vorpommern/DEU_MV_Schwerin.101620_TMYx.zip</v>
      </c>
    </row>
    <row r="2092" spans="1:10" x14ac:dyDescent="0.25">
      <c r="A2092" t="s">
        <v>1301</v>
      </c>
      <c r="B2092" t="s">
        <v>1332</v>
      </c>
      <c r="C2092" t="s">
        <v>1366</v>
      </c>
      <c r="D2092">
        <v>101624</v>
      </c>
      <c r="E2092" t="s">
        <v>1367</v>
      </c>
      <c r="F2092">
        <v>53.427</v>
      </c>
      <c r="G2092">
        <v>11.782999999999999</v>
      </c>
      <c r="H2092">
        <v>1</v>
      </c>
      <c r="I2092">
        <v>50.6</v>
      </c>
      <c r="J2092" t="str">
        <f>HYPERLINK("https://climate.onebuilding.org/WMO_Region_6_Europe/DEU_Germany/MV_Mecklenburg-Vorpommern/DEU_MV_Schwerin-Parchim.AP.101624_TMYx.2004-2018.zip")</f>
        <v>https://climate.onebuilding.org/WMO_Region_6_Europe/DEU_Germany/MV_Mecklenburg-Vorpommern/DEU_MV_Schwerin-Parchim.AP.101624_TMYx.2004-2018.zip</v>
      </c>
    </row>
    <row r="2093" spans="1:10" x14ac:dyDescent="0.25">
      <c r="A2093" t="s">
        <v>1301</v>
      </c>
      <c r="B2093" t="s">
        <v>1332</v>
      </c>
      <c r="C2093" t="s">
        <v>1366</v>
      </c>
      <c r="D2093">
        <v>101624</v>
      </c>
      <c r="E2093" t="s">
        <v>14</v>
      </c>
      <c r="F2093">
        <v>53.427</v>
      </c>
      <c r="G2093">
        <v>11.782999999999999</v>
      </c>
      <c r="H2093">
        <v>1</v>
      </c>
      <c r="I2093">
        <v>50.6</v>
      </c>
      <c r="J2093" t="str">
        <f>HYPERLINK("https://climate.onebuilding.org/WMO_Region_6_Europe/DEU_Germany/MV_Mecklenburg-Vorpommern/DEU_MV_Schwerin-Parchim.AP.101624_TMYx.2007-2021.zip")</f>
        <v>https://climate.onebuilding.org/WMO_Region_6_Europe/DEU_Germany/MV_Mecklenburg-Vorpommern/DEU_MV_Schwerin-Parchim.AP.101624_TMYx.2007-2021.zip</v>
      </c>
    </row>
    <row r="2094" spans="1:10" x14ac:dyDescent="0.25">
      <c r="A2094" t="s">
        <v>1301</v>
      </c>
      <c r="B2094" t="s">
        <v>1332</v>
      </c>
      <c r="C2094" t="s">
        <v>1366</v>
      </c>
      <c r="D2094">
        <v>101624</v>
      </c>
      <c r="E2094" t="s">
        <v>14</v>
      </c>
      <c r="F2094">
        <v>53.427</v>
      </c>
      <c r="G2094">
        <v>11.782999999999999</v>
      </c>
      <c r="H2094">
        <v>1</v>
      </c>
      <c r="I2094">
        <v>50.6</v>
      </c>
      <c r="J2094" t="str">
        <f>HYPERLINK("https://climate.onebuilding.org/WMO_Region_6_Europe/DEU_Germany/MV_Mecklenburg-Vorpommern/DEU_MV_Schwerin-Parchim.AP.101624_TMYx.2009-2023.zip")</f>
        <v>https://climate.onebuilding.org/WMO_Region_6_Europe/DEU_Germany/MV_Mecklenburg-Vorpommern/DEU_MV_Schwerin-Parchim.AP.101624_TMYx.2009-2023.zip</v>
      </c>
    </row>
    <row r="2095" spans="1:10" x14ac:dyDescent="0.25">
      <c r="A2095" t="s">
        <v>1301</v>
      </c>
      <c r="B2095" t="s">
        <v>1332</v>
      </c>
      <c r="C2095" t="s">
        <v>1366</v>
      </c>
      <c r="D2095">
        <v>101624</v>
      </c>
      <c r="E2095" t="s">
        <v>14</v>
      </c>
      <c r="F2095">
        <v>53.427</v>
      </c>
      <c r="G2095">
        <v>11.782999999999999</v>
      </c>
      <c r="H2095">
        <v>1</v>
      </c>
      <c r="I2095">
        <v>50.6</v>
      </c>
      <c r="J2095" t="str">
        <f>HYPERLINK("https://climate.onebuilding.org/WMO_Region_6_Europe/DEU_Germany/MV_Mecklenburg-Vorpommern/DEU_MV_Schwerin-Parchim.AP.101624_TMYx.zip")</f>
        <v>https://climate.onebuilding.org/WMO_Region_6_Europe/DEU_Germany/MV_Mecklenburg-Vorpommern/DEU_MV_Schwerin-Parchim.AP.101624_TMYx.zip</v>
      </c>
    </row>
    <row r="2096" spans="1:10" x14ac:dyDescent="0.25">
      <c r="A2096" t="s">
        <v>1301</v>
      </c>
      <c r="B2096" t="s">
        <v>1332</v>
      </c>
      <c r="C2096" t="s">
        <v>1368</v>
      </c>
      <c r="D2096">
        <v>101700</v>
      </c>
      <c r="E2096" t="s">
        <v>14</v>
      </c>
      <c r="F2096">
        <v>54.180300000000003</v>
      </c>
      <c r="G2096">
        <v>12.0808</v>
      </c>
      <c r="H2096">
        <v>1</v>
      </c>
      <c r="I2096">
        <v>12.8</v>
      </c>
      <c r="J2096" t="str">
        <f>HYPERLINK("https://climate.onebuilding.org/WMO_Region_6_Europe/DEU_Germany/MV_Mecklenburg-Vorpommern/DEU_MV_Rostock-Warnemunde.101700_TMYx.zip")</f>
        <v>https://climate.onebuilding.org/WMO_Region_6_Europe/DEU_Germany/MV_Mecklenburg-Vorpommern/DEU_MV_Rostock-Warnemunde.101700_TMYx.zip</v>
      </c>
    </row>
    <row r="2097" spans="1:10" x14ac:dyDescent="0.25">
      <c r="A2097" t="s">
        <v>1301</v>
      </c>
      <c r="B2097" t="s">
        <v>1332</v>
      </c>
      <c r="C2097" t="s">
        <v>1369</v>
      </c>
      <c r="D2097">
        <v>101720</v>
      </c>
      <c r="E2097" t="s">
        <v>1370</v>
      </c>
      <c r="F2097">
        <v>53.915599999999998</v>
      </c>
      <c r="G2097">
        <v>12.2789</v>
      </c>
      <c r="H2097">
        <v>1</v>
      </c>
      <c r="I2097">
        <v>59</v>
      </c>
      <c r="J2097" t="str">
        <f>HYPERLINK("https://climate.onebuilding.org/WMO_Region_6_Europe/DEU_Germany/MV_Mecklenburg-Vorpommern/DEU_MV_Rostock-Laage.AP.101720_TMYx.2004-2018.zip")</f>
        <v>https://climate.onebuilding.org/WMO_Region_6_Europe/DEU_Germany/MV_Mecklenburg-Vorpommern/DEU_MV_Rostock-Laage.AP.101720_TMYx.2004-2018.zip</v>
      </c>
    </row>
    <row r="2098" spans="1:10" x14ac:dyDescent="0.25">
      <c r="A2098" t="s">
        <v>1301</v>
      </c>
      <c r="B2098" t="s">
        <v>1332</v>
      </c>
      <c r="C2098" t="s">
        <v>1369</v>
      </c>
      <c r="D2098">
        <v>101720</v>
      </c>
      <c r="E2098" t="s">
        <v>14</v>
      </c>
      <c r="F2098">
        <v>53.915599999999998</v>
      </c>
      <c r="G2098">
        <v>12.2789</v>
      </c>
      <c r="H2098">
        <v>1</v>
      </c>
      <c r="I2098">
        <v>59</v>
      </c>
      <c r="J2098" t="str">
        <f>HYPERLINK("https://climate.onebuilding.org/WMO_Region_6_Europe/DEU_Germany/MV_Mecklenburg-Vorpommern/DEU_MV_Rostock-Laage.AP.101720_TMYx.2007-2021.zip")</f>
        <v>https://climate.onebuilding.org/WMO_Region_6_Europe/DEU_Germany/MV_Mecklenburg-Vorpommern/DEU_MV_Rostock-Laage.AP.101720_TMYx.2007-2021.zip</v>
      </c>
    </row>
    <row r="2099" spans="1:10" x14ac:dyDescent="0.25">
      <c r="A2099" t="s">
        <v>1301</v>
      </c>
      <c r="B2099" t="s">
        <v>1332</v>
      </c>
      <c r="C2099" t="s">
        <v>1369</v>
      </c>
      <c r="D2099">
        <v>101720</v>
      </c>
      <c r="E2099" t="s">
        <v>14</v>
      </c>
      <c r="F2099">
        <v>53.915599999999998</v>
      </c>
      <c r="G2099">
        <v>12.2789</v>
      </c>
      <c r="H2099">
        <v>1</v>
      </c>
      <c r="I2099">
        <v>59</v>
      </c>
      <c r="J2099" t="str">
        <f>HYPERLINK("https://climate.onebuilding.org/WMO_Region_6_Europe/DEU_Germany/MV_Mecklenburg-Vorpommern/DEU_MV_Rostock-Laage.AP.101720_TMYx.2009-2023.zip")</f>
        <v>https://climate.onebuilding.org/WMO_Region_6_Europe/DEU_Germany/MV_Mecklenburg-Vorpommern/DEU_MV_Rostock-Laage.AP.101720_TMYx.2009-2023.zip</v>
      </c>
    </row>
    <row r="2100" spans="1:10" x14ac:dyDescent="0.25">
      <c r="A2100" t="s">
        <v>1301</v>
      </c>
      <c r="B2100" t="s">
        <v>1332</v>
      </c>
      <c r="C2100" t="s">
        <v>1369</v>
      </c>
      <c r="D2100">
        <v>101720</v>
      </c>
      <c r="E2100" t="s">
        <v>14</v>
      </c>
      <c r="F2100">
        <v>53.915599999999998</v>
      </c>
      <c r="G2100">
        <v>12.2789</v>
      </c>
      <c r="H2100">
        <v>1</v>
      </c>
      <c r="I2100">
        <v>59</v>
      </c>
      <c r="J2100" t="str">
        <f>HYPERLINK("https://climate.onebuilding.org/WMO_Region_6_Europe/DEU_Germany/MV_Mecklenburg-Vorpommern/DEU_MV_Rostock-Laage.AP.101720_TMYx.zip")</f>
        <v>https://climate.onebuilding.org/WMO_Region_6_Europe/DEU_Germany/MV_Mecklenburg-Vorpommern/DEU_MV_Rostock-Laage.AP.101720_TMYx.zip</v>
      </c>
    </row>
    <row r="2101" spans="1:10" x14ac:dyDescent="0.25">
      <c r="A2101" t="s">
        <v>1301</v>
      </c>
      <c r="B2101" t="s">
        <v>1332</v>
      </c>
      <c r="C2101" t="s">
        <v>1371</v>
      </c>
      <c r="D2101">
        <v>101770</v>
      </c>
      <c r="E2101" t="s">
        <v>14</v>
      </c>
      <c r="F2101">
        <v>53.767000000000003</v>
      </c>
      <c r="G2101">
        <v>12.617000000000001</v>
      </c>
      <c r="H2101">
        <v>1</v>
      </c>
      <c r="I2101">
        <v>50</v>
      </c>
      <c r="J2101" t="str">
        <f>HYPERLINK("https://climate.onebuilding.org/WMO_Region_6_Europe/DEU_Germany/MV_Mecklenburg-Vorpommern/DEU_MV_Teterow.101770_TMYx.zip")</f>
        <v>https://climate.onebuilding.org/WMO_Region_6_Europe/DEU_Germany/MV_Mecklenburg-Vorpommern/DEU_MV_Teterow.101770_TMYx.zip</v>
      </c>
    </row>
    <row r="2102" spans="1:10" x14ac:dyDescent="0.25">
      <c r="A2102" t="s">
        <v>1301</v>
      </c>
      <c r="B2102" t="s">
        <v>1332</v>
      </c>
      <c r="C2102" t="s">
        <v>1372</v>
      </c>
      <c r="D2102">
        <v>101800</v>
      </c>
      <c r="E2102" t="s">
        <v>14</v>
      </c>
      <c r="F2102">
        <v>54.340499999999999</v>
      </c>
      <c r="G2102">
        <v>12.710800000000001</v>
      </c>
      <c r="H2102">
        <v>1</v>
      </c>
      <c r="I2102">
        <v>7</v>
      </c>
      <c r="J2102" t="str">
        <f>HYPERLINK("https://climate.onebuilding.org/WMO_Region_6_Europe/DEU_Germany/MV_Mecklenburg-Vorpommern/DEU_MV_Barth.101800_TMYx.zip")</f>
        <v>https://climate.onebuilding.org/WMO_Region_6_Europe/DEU_Germany/MV_Mecklenburg-Vorpommern/DEU_MV_Barth.101800_TMYx.zip</v>
      </c>
    </row>
    <row r="2103" spans="1:10" x14ac:dyDescent="0.25">
      <c r="A2103" t="s">
        <v>1301</v>
      </c>
      <c r="B2103" t="s">
        <v>1332</v>
      </c>
      <c r="C2103" t="s">
        <v>1373</v>
      </c>
      <c r="D2103">
        <v>101810</v>
      </c>
      <c r="E2103" t="s">
        <v>14</v>
      </c>
      <c r="F2103">
        <v>54.366999999999997</v>
      </c>
      <c r="G2103">
        <v>13.083</v>
      </c>
      <c r="H2103">
        <v>1</v>
      </c>
      <c r="I2103">
        <v>4</v>
      </c>
      <c r="J2103" t="str">
        <f>HYPERLINK("https://climate.onebuilding.org/WMO_Region_6_Europe/DEU_Germany/MV_Mecklenburg-Vorpommern/DEU_MV_Parow.101810_TMYx.zip")</f>
        <v>https://climate.onebuilding.org/WMO_Region_6_Europe/DEU_Germany/MV_Mecklenburg-Vorpommern/DEU_MV_Parow.101810_TMYx.zip</v>
      </c>
    </row>
    <row r="2104" spans="1:10" x14ac:dyDescent="0.25">
      <c r="A2104" t="s">
        <v>1301</v>
      </c>
      <c r="B2104" t="s">
        <v>1332</v>
      </c>
      <c r="C2104" t="s">
        <v>1374</v>
      </c>
      <c r="D2104">
        <v>101840</v>
      </c>
      <c r="E2104" t="s">
        <v>14</v>
      </c>
      <c r="F2104">
        <v>54.096699999999998</v>
      </c>
      <c r="G2104">
        <v>13.4056</v>
      </c>
      <c r="H2104">
        <v>1</v>
      </c>
      <c r="I2104">
        <v>6.5</v>
      </c>
      <c r="J2104" t="str">
        <f>HYPERLINK("https://climate.onebuilding.org/WMO_Region_6_Europe/DEU_Germany/MV_Mecklenburg-Vorpommern/DEU_MV_Greifswald.101840_TMYx.zip")</f>
        <v>https://climate.onebuilding.org/WMO_Region_6_Europe/DEU_Germany/MV_Mecklenburg-Vorpommern/DEU_MV_Greifswald.101840_TMYx.zip</v>
      </c>
    </row>
    <row r="2105" spans="1:10" x14ac:dyDescent="0.25">
      <c r="A2105" t="s">
        <v>1301</v>
      </c>
      <c r="B2105" t="s">
        <v>1332</v>
      </c>
      <c r="C2105" t="s">
        <v>1375</v>
      </c>
      <c r="D2105">
        <v>101920</v>
      </c>
      <c r="E2105" t="s">
        <v>1376</v>
      </c>
      <c r="F2105">
        <v>53.878999999999998</v>
      </c>
      <c r="G2105">
        <v>14.151999999999999</v>
      </c>
      <c r="H2105">
        <v>1</v>
      </c>
      <c r="I2105">
        <v>28.3</v>
      </c>
      <c r="J2105" t="str">
        <f>HYPERLINK("https://climate.onebuilding.org/WMO_Region_6_Europe/DEU_Germany/MV_Mecklenburg-Vorpommern/DEU_MV_Heringsdorf.AP.101920_TMYx.2004-2018.zip")</f>
        <v>https://climate.onebuilding.org/WMO_Region_6_Europe/DEU_Germany/MV_Mecklenburg-Vorpommern/DEU_MV_Heringsdorf.AP.101920_TMYx.2004-2018.zip</v>
      </c>
    </row>
    <row r="2106" spans="1:10" x14ac:dyDescent="0.25">
      <c r="A2106" t="s">
        <v>1301</v>
      </c>
      <c r="B2106" t="s">
        <v>1332</v>
      </c>
      <c r="C2106" t="s">
        <v>1375</v>
      </c>
      <c r="D2106">
        <v>101920</v>
      </c>
      <c r="E2106" t="s">
        <v>14</v>
      </c>
      <c r="F2106">
        <v>53.878999999999998</v>
      </c>
      <c r="G2106">
        <v>14.151999999999999</v>
      </c>
      <c r="H2106">
        <v>1</v>
      </c>
      <c r="I2106">
        <v>28.3</v>
      </c>
      <c r="J2106" t="str">
        <f>HYPERLINK("https://climate.onebuilding.org/WMO_Region_6_Europe/DEU_Germany/MV_Mecklenburg-Vorpommern/DEU_MV_Heringsdorf.AP.101920_TMYx.2007-2021.zip")</f>
        <v>https://climate.onebuilding.org/WMO_Region_6_Europe/DEU_Germany/MV_Mecklenburg-Vorpommern/DEU_MV_Heringsdorf.AP.101920_TMYx.2007-2021.zip</v>
      </c>
    </row>
    <row r="2107" spans="1:10" x14ac:dyDescent="0.25">
      <c r="A2107" t="s">
        <v>1301</v>
      </c>
      <c r="B2107" t="s">
        <v>1332</v>
      </c>
      <c r="C2107" t="s">
        <v>1375</v>
      </c>
      <c r="D2107">
        <v>101920</v>
      </c>
      <c r="E2107" t="s">
        <v>14</v>
      </c>
      <c r="F2107">
        <v>53.878999999999998</v>
      </c>
      <c r="G2107">
        <v>14.151999999999999</v>
      </c>
      <c r="H2107">
        <v>1</v>
      </c>
      <c r="I2107">
        <v>28.3</v>
      </c>
      <c r="J2107" t="str">
        <f>HYPERLINK("https://climate.onebuilding.org/WMO_Region_6_Europe/DEU_Germany/MV_Mecklenburg-Vorpommern/DEU_MV_Heringsdorf.AP.101920_TMYx.2009-2023.zip")</f>
        <v>https://climate.onebuilding.org/WMO_Region_6_Europe/DEU_Germany/MV_Mecklenburg-Vorpommern/DEU_MV_Heringsdorf.AP.101920_TMYx.2009-2023.zip</v>
      </c>
    </row>
    <row r="2108" spans="1:10" x14ac:dyDescent="0.25">
      <c r="A2108" t="s">
        <v>1301</v>
      </c>
      <c r="B2108" t="s">
        <v>1332</v>
      </c>
      <c r="C2108" t="s">
        <v>1375</v>
      </c>
      <c r="D2108">
        <v>101920</v>
      </c>
      <c r="E2108" t="s">
        <v>14</v>
      </c>
      <c r="F2108">
        <v>53.878999999999998</v>
      </c>
      <c r="G2108">
        <v>14.151999999999999</v>
      </c>
      <c r="H2108">
        <v>1</v>
      </c>
      <c r="I2108">
        <v>28.3</v>
      </c>
      <c r="J2108" t="str">
        <f>HYPERLINK("https://climate.onebuilding.org/WMO_Region_6_Europe/DEU_Germany/MV_Mecklenburg-Vorpommern/DEU_MV_Heringsdorf.AP.101920_TMYx.zip")</f>
        <v>https://climate.onebuilding.org/WMO_Region_6_Europe/DEU_Germany/MV_Mecklenburg-Vorpommern/DEU_MV_Heringsdorf.AP.101920_TMYx.zip</v>
      </c>
    </row>
    <row r="2109" spans="1:10" x14ac:dyDescent="0.25">
      <c r="A2109" t="s">
        <v>1301</v>
      </c>
      <c r="B2109" t="s">
        <v>1332</v>
      </c>
      <c r="C2109" t="s">
        <v>1377</v>
      </c>
      <c r="D2109">
        <v>101930</v>
      </c>
      <c r="E2109" t="s">
        <v>14</v>
      </c>
      <c r="F2109">
        <v>53.744399999999999</v>
      </c>
      <c r="G2109">
        <v>14.069699999999999</v>
      </c>
      <c r="H2109">
        <v>1</v>
      </c>
      <c r="I2109">
        <v>2.2000000000000002</v>
      </c>
      <c r="J2109" t="str">
        <f>HYPERLINK("https://climate.onebuilding.org/WMO_Region_6_Europe/DEU_Germany/MV_Mecklenburg-Vorpommern/DEU_MV_Ueckermunde.101930_TMYx.zip")</f>
        <v>https://climate.onebuilding.org/WMO_Region_6_Europe/DEU_Germany/MV_Mecklenburg-Vorpommern/DEU_MV_Ueckermunde.101930_TMYx.zip</v>
      </c>
    </row>
    <row r="2110" spans="1:10" x14ac:dyDescent="0.25">
      <c r="A2110" t="s">
        <v>1301</v>
      </c>
      <c r="B2110" t="s">
        <v>1149</v>
      </c>
      <c r="C2110" t="s">
        <v>1378</v>
      </c>
      <c r="D2110">
        <v>102000</v>
      </c>
      <c r="E2110" t="s">
        <v>1379</v>
      </c>
      <c r="F2110">
        <v>53.388100000000001</v>
      </c>
      <c r="G2110">
        <v>7.2286000000000001</v>
      </c>
      <c r="H2110">
        <v>1</v>
      </c>
      <c r="I2110">
        <v>-1.6</v>
      </c>
      <c r="J2110" t="str">
        <f>HYPERLINK("https://climate.onebuilding.org/WMO_Region_6_Europe/DEU_Germany/NI_Niedersachsen/DEU_NI_Emden.AP.102000_TMYx.2004-2018.zip")</f>
        <v>https://climate.onebuilding.org/WMO_Region_6_Europe/DEU_Germany/NI_Niedersachsen/DEU_NI_Emden.AP.102000_TMYx.2004-2018.zip</v>
      </c>
    </row>
    <row r="2111" spans="1:10" x14ac:dyDescent="0.25">
      <c r="A2111" t="s">
        <v>1301</v>
      </c>
      <c r="B2111" t="s">
        <v>1149</v>
      </c>
      <c r="C2111" t="s">
        <v>1378</v>
      </c>
      <c r="D2111">
        <v>102000</v>
      </c>
      <c r="E2111" t="s">
        <v>14</v>
      </c>
      <c r="F2111">
        <v>53.388100000000001</v>
      </c>
      <c r="G2111">
        <v>7.2286000000000001</v>
      </c>
      <c r="H2111">
        <v>1</v>
      </c>
      <c r="I2111">
        <v>-1.6</v>
      </c>
      <c r="J2111" t="str">
        <f>HYPERLINK("https://climate.onebuilding.org/WMO_Region_6_Europe/DEU_Germany/NI_Niedersachsen/DEU_NI_Emden.AP.102000_TMYx.2007-2021.zip")</f>
        <v>https://climate.onebuilding.org/WMO_Region_6_Europe/DEU_Germany/NI_Niedersachsen/DEU_NI_Emden.AP.102000_TMYx.2007-2021.zip</v>
      </c>
    </row>
    <row r="2112" spans="1:10" x14ac:dyDescent="0.25">
      <c r="A2112" t="s">
        <v>1301</v>
      </c>
      <c r="B2112" t="s">
        <v>1149</v>
      </c>
      <c r="C2112" t="s">
        <v>1378</v>
      </c>
      <c r="D2112">
        <v>102000</v>
      </c>
      <c r="E2112" t="s">
        <v>14</v>
      </c>
      <c r="F2112">
        <v>53.388100000000001</v>
      </c>
      <c r="G2112">
        <v>7.2286000000000001</v>
      </c>
      <c r="H2112">
        <v>1</v>
      </c>
      <c r="I2112">
        <v>-1.6</v>
      </c>
      <c r="J2112" t="str">
        <f>HYPERLINK("https://climate.onebuilding.org/WMO_Region_6_Europe/DEU_Germany/NI_Niedersachsen/DEU_NI_Emden.AP.102000_TMYx.2009-2023.zip")</f>
        <v>https://climate.onebuilding.org/WMO_Region_6_Europe/DEU_Germany/NI_Niedersachsen/DEU_NI_Emden.AP.102000_TMYx.2009-2023.zip</v>
      </c>
    </row>
    <row r="2113" spans="1:10" x14ac:dyDescent="0.25">
      <c r="A2113" t="s">
        <v>1301</v>
      </c>
      <c r="B2113" t="s">
        <v>1149</v>
      </c>
      <c r="C2113" t="s">
        <v>1378</v>
      </c>
      <c r="D2113">
        <v>102000</v>
      </c>
      <c r="E2113" t="s">
        <v>14</v>
      </c>
      <c r="F2113">
        <v>53.388100000000001</v>
      </c>
      <c r="G2113">
        <v>7.2286000000000001</v>
      </c>
      <c r="H2113">
        <v>1</v>
      </c>
      <c r="I2113">
        <v>-1.6</v>
      </c>
      <c r="J2113" t="str">
        <f>HYPERLINK("https://climate.onebuilding.org/WMO_Region_6_Europe/DEU_Germany/NI_Niedersachsen/DEU_NI_Emden.AP.102000_TMYx.zip")</f>
        <v>https://climate.onebuilding.org/WMO_Region_6_Europe/DEU_Germany/NI_Niedersachsen/DEU_NI_Emden.AP.102000_TMYx.zip</v>
      </c>
    </row>
    <row r="2114" spans="1:10" x14ac:dyDescent="0.25">
      <c r="A2114" t="s">
        <v>1301</v>
      </c>
      <c r="B2114" t="s">
        <v>1149</v>
      </c>
      <c r="C2114" t="s">
        <v>1380</v>
      </c>
      <c r="D2114">
        <v>102150</v>
      </c>
      <c r="E2114" t="s">
        <v>1381</v>
      </c>
      <c r="F2114">
        <v>53.183</v>
      </c>
      <c r="G2114">
        <v>8.1669999999999998</v>
      </c>
      <c r="H2114">
        <v>1</v>
      </c>
      <c r="I2114">
        <v>20</v>
      </c>
      <c r="J2114" t="str">
        <f>HYPERLINK("https://climate.onebuilding.org/WMO_Region_6_Europe/DEU_Germany/NI_Niedersachsen/DEU_NI_Oldenburg.102150_TMYx.2004-2018.zip")</f>
        <v>https://climate.onebuilding.org/WMO_Region_6_Europe/DEU_Germany/NI_Niedersachsen/DEU_NI_Oldenburg.102150_TMYx.2004-2018.zip</v>
      </c>
    </row>
    <row r="2115" spans="1:10" x14ac:dyDescent="0.25">
      <c r="A2115" t="s">
        <v>1301</v>
      </c>
      <c r="B2115" t="s">
        <v>1149</v>
      </c>
      <c r="C2115" t="s">
        <v>1380</v>
      </c>
      <c r="D2115">
        <v>102150</v>
      </c>
      <c r="E2115" t="s">
        <v>14</v>
      </c>
      <c r="F2115">
        <v>53.183</v>
      </c>
      <c r="G2115">
        <v>8.1669999999999998</v>
      </c>
      <c r="H2115">
        <v>1</v>
      </c>
      <c r="I2115">
        <v>20</v>
      </c>
      <c r="J2115" t="str">
        <f>HYPERLINK("https://climate.onebuilding.org/WMO_Region_6_Europe/DEU_Germany/NI_Niedersachsen/DEU_NI_Oldenburg.102150_TMYx.2007-2021.zip")</f>
        <v>https://climate.onebuilding.org/WMO_Region_6_Europe/DEU_Germany/NI_Niedersachsen/DEU_NI_Oldenburg.102150_TMYx.2007-2021.zip</v>
      </c>
    </row>
    <row r="2116" spans="1:10" x14ac:dyDescent="0.25">
      <c r="A2116" t="s">
        <v>1301</v>
      </c>
      <c r="B2116" t="s">
        <v>1149</v>
      </c>
      <c r="C2116" t="s">
        <v>1380</v>
      </c>
      <c r="D2116">
        <v>102150</v>
      </c>
      <c r="E2116" t="s">
        <v>14</v>
      </c>
      <c r="F2116">
        <v>53.183</v>
      </c>
      <c r="G2116">
        <v>8.1669999999999998</v>
      </c>
      <c r="H2116">
        <v>1</v>
      </c>
      <c r="I2116">
        <v>20</v>
      </c>
      <c r="J2116" t="str">
        <f>HYPERLINK("https://climate.onebuilding.org/WMO_Region_6_Europe/DEU_Germany/NI_Niedersachsen/DEU_NI_Oldenburg.102150_TMYx.zip")</f>
        <v>https://climate.onebuilding.org/WMO_Region_6_Europe/DEU_Germany/NI_Niedersachsen/DEU_NI_Oldenburg.102150_TMYx.zip</v>
      </c>
    </row>
    <row r="2117" spans="1:10" x14ac:dyDescent="0.25">
      <c r="A2117" t="s">
        <v>1301</v>
      </c>
      <c r="B2117" t="s">
        <v>1304</v>
      </c>
      <c r="C2117" t="s">
        <v>1382</v>
      </c>
      <c r="D2117">
        <v>102180</v>
      </c>
      <c r="E2117" t="s">
        <v>14</v>
      </c>
      <c r="F2117">
        <v>52.883000000000003</v>
      </c>
      <c r="G2117">
        <v>8.2330000000000005</v>
      </c>
      <c r="H2117">
        <v>1</v>
      </c>
      <c r="I2117">
        <v>56</v>
      </c>
      <c r="J2117" t="str">
        <f>HYPERLINK("https://climate.onebuilding.org/WMO_Region_6_Europe/DEU_Germany/HB_Bremen/DEU_HB_Ahlhorn.AP.102180_TMYx.zip")</f>
        <v>https://climate.onebuilding.org/WMO_Region_6_Europe/DEU_Germany/HB_Bremen/DEU_HB_Ahlhorn.AP.102180_TMYx.zip</v>
      </c>
    </row>
    <row r="2118" spans="1:10" x14ac:dyDescent="0.25">
      <c r="A2118" t="s">
        <v>1301</v>
      </c>
      <c r="B2118" t="s">
        <v>1304</v>
      </c>
      <c r="C2118" t="s">
        <v>1383</v>
      </c>
      <c r="D2118">
        <v>102240</v>
      </c>
      <c r="E2118" t="s">
        <v>1384</v>
      </c>
      <c r="F2118">
        <v>53.045000000000002</v>
      </c>
      <c r="G2118">
        <v>8.7978000000000005</v>
      </c>
      <c r="H2118">
        <v>1</v>
      </c>
      <c r="I2118">
        <v>5.2</v>
      </c>
      <c r="J2118" t="str">
        <f>HYPERLINK("https://climate.onebuilding.org/WMO_Region_6_Europe/DEU_Germany/HB_Bremen/DEU_HB_Bremen.AP.102240_TMYx.2004-2018.zip")</f>
        <v>https://climate.onebuilding.org/WMO_Region_6_Europe/DEU_Germany/HB_Bremen/DEU_HB_Bremen.AP.102240_TMYx.2004-2018.zip</v>
      </c>
    </row>
    <row r="2119" spans="1:10" x14ac:dyDescent="0.25">
      <c r="A2119" t="s">
        <v>1301</v>
      </c>
      <c r="B2119" t="s">
        <v>1304</v>
      </c>
      <c r="C2119" t="s">
        <v>1383</v>
      </c>
      <c r="D2119">
        <v>102240</v>
      </c>
      <c r="E2119" t="s">
        <v>14</v>
      </c>
      <c r="F2119">
        <v>53.045000000000002</v>
      </c>
      <c r="G2119">
        <v>8.7978000000000005</v>
      </c>
      <c r="H2119">
        <v>1</v>
      </c>
      <c r="I2119">
        <v>5.2</v>
      </c>
      <c r="J2119" t="str">
        <f>HYPERLINK("https://climate.onebuilding.org/WMO_Region_6_Europe/DEU_Germany/HB_Bremen/DEU_HB_Bremen.AP.102240_TMYx.2007-2021.zip")</f>
        <v>https://climate.onebuilding.org/WMO_Region_6_Europe/DEU_Germany/HB_Bremen/DEU_HB_Bremen.AP.102240_TMYx.2007-2021.zip</v>
      </c>
    </row>
    <row r="2120" spans="1:10" x14ac:dyDescent="0.25">
      <c r="A2120" t="s">
        <v>1301</v>
      </c>
      <c r="B2120" t="s">
        <v>1304</v>
      </c>
      <c r="C2120" t="s">
        <v>1383</v>
      </c>
      <c r="D2120">
        <v>102240</v>
      </c>
      <c r="E2120" t="s">
        <v>14</v>
      </c>
      <c r="F2120">
        <v>53.045000000000002</v>
      </c>
      <c r="G2120">
        <v>8.7978000000000005</v>
      </c>
      <c r="H2120">
        <v>1</v>
      </c>
      <c r="I2120">
        <v>5.2</v>
      </c>
      <c r="J2120" t="str">
        <f>HYPERLINK("https://climate.onebuilding.org/WMO_Region_6_Europe/DEU_Germany/HB_Bremen/DEU_HB_Bremen.AP.102240_TMYx.2009-2023.zip")</f>
        <v>https://climate.onebuilding.org/WMO_Region_6_Europe/DEU_Germany/HB_Bremen/DEU_HB_Bremen.AP.102240_TMYx.2009-2023.zip</v>
      </c>
    </row>
    <row r="2121" spans="1:10" x14ac:dyDescent="0.25">
      <c r="A2121" t="s">
        <v>1301</v>
      </c>
      <c r="B2121" t="s">
        <v>1304</v>
      </c>
      <c r="C2121" t="s">
        <v>1383</v>
      </c>
      <c r="D2121">
        <v>102240</v>
      </c>
      <c r="E2121" t="s">
        <v>14</v>
      </c>
      <c r="F2121">
        <v>53.045000000000002</v>
      </c>
      <c r="G2121">
        <v>8.7978000000000005</v>
      </c>
      <c r="H2121">
        <v>1</v>
      </c>
      <c r="I2121">
        <v>5.2</v>
      </c>
      <c r="J2121" t="str">
        <f>HYPERLINK("https://climate.onebuilding.org/WMO_Region_6_Europe/DEU_Germany/HB_Bremen/DEU_HB_Bremen.AP.102240_TMYx.zip")</f>
        <v>https://climate.onebuilding.org/WMO_Region_6_Europe/DEU_Germany/HB_Bremen/DEU_HB_Bremen.AP.102240_TMYx.zip</v>
      </c>
    </row>
    <row r="2122" spans="1:10" x14ac:dyDescent="0.25">
      <c r="A2122" t="s">
        <v>1301</v>
      </c>
      <c r="B2122" t="s">
        <v>1149</v>
      </c>
      <c r="C2122" t="s">
        <v>1385</v>
      </c>
      <c r="D2122">
        <v>102340</v>
      </c>
      <c r="E2122" t="s">
        <v>14</v>
      </c>
      <c r="F2122">
        <v>53.133000000000003</v>
      </c>
      <c r="G2122">
        <v>9.35</v>
      </c>
      <c r="H2122">
        <v>1</v>
      </c>
      <c r="I2122">
        <v>61</v>
      </c>
      <c r="J2122" t="str">
        <f>HYPERLINK("https://climate.onebuilding.org/WMO_Region_6_Europe/DEU_Germany/NI_Niedersachsen/DEU_NI_Rotenburg.AP.102340_TMYx.2007-2021.zip")</f>
        <v>https://climate.onebuilding.org/WMO_Region_6_Europe/DEU_Germany/NI_Niedersachsen/DEU_NI_Rotenburg.AP.102340_TMYx.2007-2021.zip</v>
      </c>
    </row>
    <row r="2123" spans="1:10" x14ac:dyDescent="0.25">
      <c r="A2123" t="s">
        <v>1301</v>
      </c>
      <c r="B2123" t="s">
        <v>1149</v>
      </c>
      <c r="C2123" t="s">
        <v>1385</v>
      </c>
      <c r="D2123">
        <v>102340</v>
      </c>
      <c r="E2123" t="s">
        <v>14</v>
      </c>
      <c r="F2123">
        <v>53.133000000000003</v>
      </c>
      <c r="G2123">
        <v>9.35</v>
      </c>
      <c r="H2123">
        <v>1</v>
      </c>
      <c r="I2123">
        <v>61</v>
      </c>
      <c r="J2123" t="str">
        <f>HYPERLINK("https://climate.onebuilding.org/WMO_Region_6_Europe/DEU_Germany/NI_Niedersachsen/DEU_NI_Rotenburg.AP.102340_TMYx.2009-2023.zip")</f>
        <v>https://climate.onebuilding.org/WMO_Region_6_Europe/DEU_Germany/NI_Niedersachsen/DEU_NI_Rotenburg.AP.102340_TMYx.2009-2023.zip</v>
      </c>
    </row>
    <row r="2124" spans="1:10" x14ac:dyDescent="0.25">
      <c r="A2124" t="s">
        <v>1301</v>
      </c>
      <c r="B2124" t="s">
        <v>1149</v>
      </c>
      <c r="C2124" t="s">
        <v>1385</v>
      </c>
      <c r="D2124">
        <v>102340</v>
      </c>
      <c r="E2124" t="s">
        <v>14</v>
      </c>
      <c r="F2124">
        <v>53.133000000000003</v>
      </c>
      <c r="G2124">
        <v>9.35</v>
      </c>
      <c r="H2124">
        <v>1</v>
      </c>
      <c r="I2124">
        <v>61</v>
      </c>
      <c r="J2124" t="str">
        <f>HYPERLINK("https://climate.onebuilding.org/WMO_Region_6_Europe/DEU_Germany/NI_Niedersachsen/DEU_NI_Rotenburg.AP.102340_TMYx.zip")</f>
        <v>https://climate.onebuilding.org/WMO_Region_6_Europe/DEU_Germany/NI_Niedersachsen/DEU_NI_Rotenburg.AP.102340_TMYx.zip</v>
      </c>
    </row>
    <row r="2125" spans="1:10" x14ac:dyDescent="0.25">
      <c r="A2125" t="s">
        <v>1301</v>
      </c>
      <c r="B2125" t="s">
        <v>1149</v>
      </c>
      <c r="C2125" t="s">
        <v>1386</v>
      </c>
      <c r="D2125">
        <v>102350</v>
      </c>
      <c r="E2125" t="s">
        <v>14</v>
      </c>
      <c r="F2125">
        <v>52.960299999999997</v>
      </c>
      <c r="G2125">
        <v>9.7931000000000008</v>
      </c>
      <c r="H2125">
        <v>1</v>
      </c>
      <c r="I2125">
        <v>76.5</v>
      </c>
      <c r="J2125" t="str">
        <f>HYPERLINK("https://climate.onebuilding.org/WMO_Region_6_Europe/DEU_Germany/NI_Niedersachsen/DEU_NI_Soltau.102350_TMYx.zip")</f>
        <v>https://climate.onebuilding.org/WMO_Region_6_Europe/DEU_Germany/NI_Niedersachsen/DEU_NI_Soltau.102350_TMYx.zip</v>
      </c>
    </row>
    <row r="2126" spans="1:10" x14ac:dyDescent="0.25">
      <c r="A2126" t="s">
        <v>1301</v>
      </c>
      <c r="B2126" t="s">
        <v>1149</v>
      </c>
      <c r="C2126" t="s">
        <v>1387</v>
      </c>
      <c r="D2126">
        <v>102380</v>
      </c>
      <c r="E2126" t="s">
        <v>1388</v>
      </c>
      <c r="F2126">
        <v>52.815300000000001</v>
      </c>
      <c r="G2126">
        <v>9.9246999999999996</v>
      </c>
      <c r="H2126">
        <v>1</v>
      </c>
      <c r="I2126">
        <v>77.400000000000006</v>
      </c>
      <c r="J2126" t="str">
        <f>HYPERLINK("https://climate.onebuilding.org/WMO_Region_6_Europe/DEU_Germany/NI_Niedersachsen/DEU_NI_Bergen.102380_TMYx.2004-2018.zip")</f>
        <v>https://climate.onebuilding.org/WMO_Region_6_Europe/DEU_Germany/NI_Niedersachsen/DEU_NI_Bergen.102380_TMYx.2004-2018.zip</v>
      </c>
    </row>
    <row r="2127" spans="1:10" x14ac:dyDescent="0.25">
      <c r="A2127" t="s">
        <v>1301</v>
      </c>
      <c r="B2127" t="s">
        <v>1149</v>
      </c>
      <c r="C2127" t="s">
        <v>1387</v>
      </c>
      <c r="D2127">
        <v>102380</v>
      </c>
      <c r="E2127" t="s">
        <v>14</v>
      </c>
      <c r="F2127">
        <v>52.815300000000001</v>
      </c>
      <c r="G2127">
        <v>9.9246999999999996</v>
      </c>
      <c r="H2127">
        <v>1</v>
      </c>
      <c r="I2127">
        <v>77.400000000000006</v>
      </c>
      <c r="J2127" t="str">
        <f>HYPERLINK("https://climate.onebuilding.org/WMO_Region_6_Europe/DEU_Germany/NI_Niedersachsen/DEU_NI_Bergen.102380_TMYx.2007-2021.zip")</f>
        <v>https://climate.onebuilding.org/WMO_Region_6_Europe/DEU_Germany/NI_Niedersachsen/DEU_NI_Bergen.102380_TMYx.2007-2021.zip</v>
      </c>
    </row>
    <row r="2128" spans="1:10" x14ac:dyDescent="0.25">
      <c r="A2128" t="s">
        <v>1301</v>
      </c>
      <c r="B2128" t="s">
        <v>1149</v>
      </c>
      <c r="C2128" t="s">
        <v>1387</v>
      </c>
      <c r="D2128">
        <v>102380</v>
      </c>
      <c r="E2128" t="s">
        <v>14</v>
      </c>
      <c r="F2128">
        <v>52.815300000000001</v>
      </c>
      <c r="G2128">
        <v>9.9246999999999996</v>
      </c>
      <c r="H2128">
        <v>1</v>
      </c>
      <c r="I2128">
        <v>77.400000000000006</v>
      </c>
      <c r="J2128" t="str">
        <f>HYPERLINK("https://climate.onebuilding.org/WMO_Region_6_Europe/DEU_Germany/NI_Niedersachsen/DEU_NI_Bergen.102380_TMYx.2009-2023.zip")</f>
        <v>https://climate.onebuilding.org/WMO_Region_6_Europe/DEU_Germany/NI_Niedersachsen/DEU_NI_Bergen.102380_TMYx.2009-2023.zip</v>
      </c>
    </row>
    <row r="2129" spans="1:10" x14ac:dyDescent="0.25">
      <c r="A2129" t="s">
        <v>1301</v>
      </c>
      <c r="B2129" t="s">
        <v>1149</v>
      </c>
      <c r="C2129" t="s">
        <v>1387</v>
      </c>
      <c r="D2129">
        <v>102380</v>
      </c>
      <c r="E2129" t="s">
        <v>14</v>
      </c>
      <c r="F2129">
        <v>52.815300000000001</v>
      </c>
      <c r="G2129">
        <v>9.9246999999999996</v>
      </c>
      <c r="H2129">
        <v>1</v>
      </c>
      <c r="I2129">
        <v>77.400000000000006</v>
      </c>
      <c r="J2129" t="str">
        <f>HYPERLINK("https://climate.onebuilding.org/WMO_Region_6_Europe/DEU_Germany/NI_Niedersachsen/DEU_NI_Bergen.102380_TMYx.zip")</f>
        <v>https://climate.onebuilding.org/WMO_Region_6_Europe/DEU_Germany/NI_Niedersachsen/DEU_NI_Bergen.102380_TMYx.zip</v>
      </c>
    </row>
    <row r="2130" spans="1:10" x14ac:dyDescent="0.25">
      <c r="A2130" t="s">
        <v>1301</v>
      </c>
      <c r="B2130" t="s">
        <v>1149</v>
      </c>
      <c r="C2130" t="s">
        <v>1389</v>
      </c>
      <c r="D2130">
        <v>102460</v>
      </c>
      <c r="E2130" t="s">
        <v>1390</v>
      </c>
      <c r="F2130">
        <v>52.915599999999998</v>
      </c>
      <c r="G2130">
        <v>10.188599999999999</v>
      </c>
      <c r="H2130">
        <v>1</v>
      </c>
      <c r="I2130">
        <v>87.9</v>
      </c>
      <c r="J2130" t="str">
        <f>HYPERLINK("https://climate.onebuilding.org/WMO_Region_6_Europe/DEU_Germany/NI_Niedersachsen/DEU_NI_Fassberg.AB.102460_TMYx.2004-2018.zip")</f>
        <v>https://climate.onebuilding.org/WMO_Region_6_Europe/DEU_Germany/NI_Niedersachsen/DEU_NI_Fassberg.AB.102460_TMYx.2004-2018.zip</v>
      </c>
    </row>
    <row r="2131" spans="1:10" x14ac:dyDescent="0.25">
      <c r="A2131" t="s">
        <v>1301</v>
      </c>
      <c r="B2131" t="s">
        <v>1149</v>
      </c>
      <c r="C2131" t="s">
        <v>1389</v>
      </c>
      <c r="D2131">
        <v>102460</v>
      </c>
      <c r="E2131" t="s">
        <v>14</v>
      </c>
      <c r="F2131">
        <v>52.915599999999998</v>
      </c>
      <c r="G2131">
        <v>10.188599999999999</v>
      </c>
      <c r="H2131">
        <v>1</v>
      </c>
      <c r="I2131">
        <v>87.9</v>
      </c>
      <c r="J2131" t="str">
        <f>HYPERLINK("https://climate.onebuilding.org/WMO_Region_6_Europe/DEU_Germany/NI_Niedersachsen/DEU_NI_Fassberg.AB.102460_TMYx.2007-2021.zip")</f>
        <v>https://climate.onebuilding.org/WMO_Region_6_Europe/DEU_Germany/NI_Niedersachsen/DEU_NI_Fassberg.AB.102460_TMYx.2007-2021.zip</v>
      </c>
    </row>
    <row r="2132" spans="1:10" x14ac:dyDescent="0.25">
      <c r="A2132" t="s">
        <v>1301</v>
      </c>
      <c r="B2132" t="s">
        <v>1149</v>
      </c>
      <c r="C2132" t="s">
        <v>1389</v>
      </c>
      <c r="D2132">
        <v>102460</v>
      </c>
      <c r="E2132" t="s">
        <v>14</v>
      </c>
      <c r="F2132">
        <v>52.915599999999998</v>
      </c>
      <c r="G2132">
        <v>10.188599999999999</v>
      </c>
      <c r="H2132">
        <v>1</v>
      </c>
      <c r="I2132">
        <v>87.9</v>
      </c>
      <c r="J2132" t="str">
        <f>HYPERLINK("https://climate.onebuilding.org/WMO_Region_6_Europe/DEU_Germany/NI_Niedersachsen/DEU_NI_Fassberg.AB.102460_TMYx.2009-2023.zip")</f>
        <v>https://climate.onebuilding.org/WMO_Region_6_Europe/DEU_Germany/NI_Niedersachsen/DEU_NI_Fassberg.AB.102460_TMYx.2009-2023.zip</v>
      </c>
    </row>
    <row r="2133" spans="1:10" x14ac:dyDescent="0.25">
      <c r="A2133" t="s">
        <v>1301</v>
      </c>
      <c r="B2133" t="s">
        <v>1149</v>
      </c>
      <c r="C2133" t="s">
        <v>1389</v>
      </c>
      <c r="D2133">
        <v>102460</v>
      </c>
      <c r="E2133" t="s">
        <v>14</v>
      </c>
      <c r="F2133">
        <v>52.915599999999998</v>
      </c>
      <c r="G2133">
        <v>10.188599999999999</v>
      </c>
      <c r="H2133">
        <v>1</v>
      </c>
      <c r="I2133">
        <v>87.9</v>
      </c>
      <c r="J2133" t="str">
        <f>HYPERLINK("https://climate.onebuilding.org/WMO_Region_6_Europe/DEU_Germany/NI_Niedersachsen/DEU_NI_Fassberg.AB.102460_TMYx.zip")</f>
        <v>https://climate.onebuilding.org/WMO_Region_6_Europe/DEU_Germany/NI_Niedersachsen/DEU_NI_Fassberg.AB.102460_TMYx.zip</v>
      </c>
    </row>
    <row r="2134" spans="1:10" x14ac:dyDescent="0.25">
      <c r="A2134" t="s">
        <v>1301</v>
      </c>
      <c r="B2134" t="s">
        <v>1332</v>
      </c>
      <c r="C2134" t="s">
        <v>1391</v>
      </c>
      <c r="D2134">
        <v>102490</v>
      </c>
      <c r="E2134" t="s">
        <v>14</v>
      </c>
      <c r="F2134">
        <v>53.391100000000002</v>
      </c>
      <c r="G2134">
        <v>10.687799999999999</v>
      </c>
      <c r="H2134">
        <v>1</v>
      </c>
      <c r="I2134">
        <v>45.9</v>
      </c>
      <c r="J2134" t="str">
        <f>HYPERLINK("https://climate.onebuilding.org/WMO_Region_6_Europe/DEU_Germany/MV_Mecklenburg-Vorpommern/DEU_MV_Boizenburg.102490_TMYx.zip")</f>
        <v>https://climate.onebuilding.org/WMO_Region_6_Europe/DEU_Germany/MV_Mecklenburg-Vorpommern/DEU_MV_Boizenburg.102490_TMYx.zip</v>
      </c>
    </row>
    <row r="2135" spans="1:10" x14ac:dyDescent="0.25">
      <c r="A2135" t="s">
        <v>1301</v>
      </c>
      <c r="B2135" t="s">
        <v>1149</v>
      </c>
      <c r="C2135" t="s">
        <v>1392</v>
      </c>
      <c r="D2135">
        <v>102530</v>
      </c>
      <c r="E2135" t="s">
        <v>14</v>
      </c>
      <c r="F2135">
        <v>52.972499999999997</v>
      </c>
      <c r="G2135">
        <v>11.137499999999999</v>
      </c>
      <c r="H2135">
        <v>1</v>
      </c>
      <c r="I2135">
        <v>17.7</v>
      </c>
      <c r="J2135" t="str">
        <f>HYPERLINK("https://climate.onebuilding.org/WMO_Region_6_Europe/DEU_Germany/NI_Niedersachsen/DEU_NI_Luchow-Rehbeck.AP.102530_TMYx.zip")</f>
        <v>https://climate.onebuilding.org/WMO_Region_6_Europe/DEU_Germany/NI_Niedersachsen/DEU_NI_Luchow-Rehbeck.AP.102530_TMYx.zip</v>
      </c>
    </row>
    <row r="2136" spans="1:10" x14ac:dyDescent="0.25">
      <c r="A2136" t="s">
        <v>1301</v>
      </c>
      <c r="B2136" t="s">
        <v>210</v>
      </c>
      <c r="C2136" t="s">
        <v>1393</v>
      </c>
      <c r="D2136">
        <v>102540</v>
      </c>
      <c r="E2136" t="s">
        <v>14</v>
      </c>
      <c r="F2136">
        <v>52.832999999999998</v>
      </c>
      <c r="G2136">
        <v>11.15</v>
      </c>
      <c r="H2136">
        <v>1</v>
      </c>
      <c r="I2136">
        <v>34.1</v>
      </c>
      <c r="J2136" t="str">
        <f>HYPERLINK("https://climate.onebuilding.org/WMO_Region_6_Europe/DEU_Germany/ST_Sachsen-Anhalt/DEU_ST_Salzwedel.102540_TMYx.zip")</f>
        <v>https://climate.onebuilding.org/WMO_Region_6_Europe/DEU_Germany/ST_Sachsen-Anhalt/DEU_ST_Salzwedel.102540_TMYx.zip</v>
      </c>
    </row>
    <row r="2137" spans="1:10" x14ac:dyDescent="0.25">
      <c r="A2137" t="s">
        <v>1301</v>
      </c>
      <c r="B2137" t="s">
        <v>210</v>
      </c>
      <c r="C2137" t="s">
        <v>1394</v>
      </c>
      <c r="D2137">
        <v>102610</v>
      </c>
      <c r="E2137" t="s">
        <v>14</v>
      </c>
      <c r="F2137">
        <v>52.891100000000002</v>
      </c>
      <c r="G2137">
        <v>11.729699999999999</v>
      </c>
      <c r="H2137">
        <v>1</v>
      </c>
      <c r="I2137">
        <v>23.2</v>
      </c>
      <c r="J2137" t="str">
        <f>HYPERLINK("https://climate.onebuilding.org/WMO_Region_6_Europe/DEU_Germany/ST_Sachsen-Anhalt/DEU_ST_Seehausen.Altmark.102610_TMYx.zip")</f>
        <v>https://climate.onebuilding.org/WMO_Region_6_Europe/DEU_Germany/ST_Sachsen-Anhalt/DEU_ST_Seehausen.Altmark.102610_TMYx.zip</v>
      </c>
    </row>
    <row r="2138" spans="1:10" x14ac:dyDescent="0.25">
      <c r="A2138" t="s">
        <v>1301</v>
      </c>
      <c r="B2138" t="s">
        <v>1395</v>
      </c>
      <c r="C2138" t="s">
        <v>1396</v>
      </c>
      <c r="D2138">
        <v>102620</v>
      </c>
      <c r="E2138" t="s">
        <v>14</v>
      </c>
      <c r="F2138">
        <v>53.033000000000001</v>
      </c>
      <c r="G2138">
        <v>11.8</v>
      </c>
      <c r="H2138">
        <v>1</v>
      </c>
      <c r="I2138">
        <v>24.1</v>
      </c>
      <c r="J2138" t="str">
        <f>HYPERLINK("https://climate.onebuilding.org/WMO_Region_6_Europe/DEU_Germany/BB_Brandenburg/DEU_BB_Weisen-Wittenberge.102620_TMYx.zip")</f>
        <v>https://climate.onebuilding.org/WMO_Region_6_Europe/DEU_Germany/BB_Brandenburg/DEU_BB_Weisen-Wittenberge.102620_TMYx.zip</v>
      </c>
    </row>
    <row r="2139" spans="1:10" x14ac:dyDescent="0.25">
      <c r="A2139" t="s">
        <v>1301</v>
      </c>
      <c r="B2139" t="s">
        <v>1332</v>
      </c>
      <c r="C2139" t="s">
        <v>1397</v>
      </c>
      <c r="D2139">
        <v>102640</v>
      </c>
      <c r="E2139" t="s">
        <v>14</v>
      </c>
      <c r="F2139">
        <v>53.322200000000002</v>
      </c>
      <c r="G2139">
        <v>11.931900000000001</v>
      </c>
      <c r="H2139">
        <v>1</v>
      </c>
      <c r="I2139">
        <v>87.3</v>
      </c>
      <c r="J2139" t="str">
        <f>HYPERLINK("https://climate.onebuilding.org/WMO_Region_6_Europe/DEU_Germany/MV_Mecklenburg-Vorpommern/DEU_MV_Marnitz.102640_TMYx.zip")</f>
        <v>https://climate.onebuilding.org/WMO_Region_6_Europe/DEU_Germany/MV_Mecklenburg-Vorpommern/DEU_MV_Marnitz.102640_TMYx.zip</v>
      </c>
    </row>
    <row r="2140" spans="1:10" x14ac:dyDescent="0.25">
      <c r="A2140" t="s">
        <v>1301</v>
      </c>
      <c r="B2140" t="s">
        <v>1332</v>
      </c>
      <c r="C2140" t="s">
        <v>1398</v>
      </c>
      <c r="D2140">
        <v>102680</v>
      </c>
      <c r="E2140" t="s">
        <v>1399</v>
      </c>
      <c r="F2140">
        <v>53.5197</v>
      </c>
      <c r="G2140">
        <v>12.6653</v>
      </c>
      <c r="H2140">
        <v>1</v>
      </c>
      <c r="I2140">
        <v>65.3</v>
      </c>
      <c r="J2140" t="str">
        <f>HYPERLINK("https://climate.onebuilding.org/WMO_Region_6_Europe/DEU_Germany/MV_Mecklenburg-Vorpommern/DEU_MV_Waren.102680_TMYx.2004-2018.zip")</f>
        <v>https://climate.onebuilding.org/WMO_Region_6_Europe/DEU_Germany/MV_Mecklenburg-Vorpommern/DEU_MV_Waren.102680_TMYx.2004-2018.zip</v>
      </c>
    </row>
    <row r="2141" spans="1:10" x14ac:dyDescent="0.25">
      <c r="A2141" t="s">
        <v>1301</v>
      </c>
      <c r="B2141" t="s">
        <v>1332</v>
      </c>
      <c r="C2141" t="s">
        <v>1398</v>
      </c>
      <c r="D2141">
        <v>102680</v>
      </c>
      <c r="E2141" t="s">
        <v>14</v>
      </c>
      <c r="F2141">
        <v>53.5197</v>
      </c>
      <c r="G2141">
        <v>12.6653</v>
      </c>
      <c r="H2141">
        <v>1</v>
      </c>
      <c r="I2141">
        <v>65.3</v>
      </c>
      <c r="J2141" t="str">
        <f>HYPERLINK("https://climate.onebuilding.org/WMO_Region_6_Europe/DEU_Germany/MV_Mecklenburg-Vorpommern/DEU_MV_Waren.102680_TMYx.2007-2021.zip")</f>
        <v>https://climate.onebuilding.org/WMO_Region_6_Europe/DEU_Germany/MV_Mecklenburg-Vorpommern/DEU_MV_Waren.102680_TMYx.2007-2021.zip</v>
      </c>
    </row>
    <row r="2142" spans="1:10" x14ac:dyDescent="0.25">
      <c r="A2142" t="s">
        <v>1301</v>
      </c>
      <c r="B2142" t="s">
        <v>1332</v>
      </c>
      <c r="C2142" t="s">
        <v>1398</v>
      </c>
      <c r="D2142">
        <v>102680</v>
      </c>
      <c r="E2142" t="s">
        <v>14</v>
      </c>
      <c r="F2142">
        <v>53.5197</v>
      </c>
      <c r="G2142">
        <v>12.6653</v>
      </c>
      <c r="H2142">
        <v>1</v>
      </c>
      <c r="I2142">
        <v>65.3</v>
      </c>
      <c r="J2142" t="str">
        <f>HYPERLINK("https://climate.onebuilding.org/WMO_Region_6_Europe/DEU_Germany/MV_Mecklenburg-Vorpommern/DEU_MV_Waren.102680_TMYx.zip")</f>
        <v>https://climate.onebuilding.org/WMO_Region_6_Europe/DEU_Germany/MV_Mecklenburg-Vorpommern/DEU_MV_Waren.102680_TMYx.zip</v>
      </c>
    </row>
    <row r="2143" spans="1:10" x14ac:dyDescent="0.25">
      <c r="A2143" t="s">
        <v>1301</v>
      </c>
      <c r="B2143" t="s">
        <v>1395</v>
      </c>
      <c r="C2143" t="s">
        <v>1400</v>
      </c>
      <c r="D2143">
        <v>102700</v>
      </c>
      <c r="E2143" t="s">
        <v>14</v>
      </c>
      <c r="F2143">
        <v>52.903599999999997</v>
      </c>
      <c r="G2143">
        <v>12.8072</v>
      </c>
      <c r="H2143">
        <v>1</v>
      </c>
      <c r="I2143">
        <v>45</v>
      </c>
      <c r="J2143" t="str">
        <f>HYPERLINK("https://climate.onebuilding.org/WMO_Region_6_Europe/DEU_Germany/BB_Brandenburg/DEU_BB_Neuruppin.102700_TMYx.zip")</f>
        <v>https://climate.onebuilding.org/WMO_Region_6_Europe/DEU_Germany/BB_Brandenburg/DEU_BB_Neuruppin.102700_TMYx.zip</v>
      </c>
    </row>
    <row r="2144" spans="1:10" x14ac:dyDescent="0.25">
      <c r="A2144" t="s">
        <v>1301</v>
      </c>
      <c r="B2144" t="s">
        <v>1395</v>
      </c>
      <c r="C2144" t="s">
        <v>1401</v>
      </c>
      <c r="D2144">
        <v>102720</v>
      </c>
      <c r="E2144" t="s">
        <v>14</v>
      </c>
      <c r="F2144">
        <v>53.2</v>
      </c>
      <c r="G2144">
        <v>12.516999999999999</v>
      </c>
      <c r="H2144">
        <v>1</v>
      </c>
      <c r="I2144">
        <v>74</v>
      </c>
      <c r="J2144" t="str">
        <f>HYPERLINK("https://climate.onebuilding.org/WMO_Region_6_Europe/DEU_Germany/BB_Brandenburg/DEU_BB_Wittstock-Alt.Daber.AP.102720_TMYx.zip")</f>
        <v>https://climate.onebuilding.org/WMO_Region_6_Europe/DEU_Germany/BB_Brandenburg/DEU_BB_Wittstock-Alt.Daber.AP.102720_TMYx.zip</v>
      </c>
    </row>
    <row r="2145" spans="1:10" x14ac:dyDescent="0.25">
      <c r="A2145" t="s">
        <v>1301</v>
      </c>
      <c r="B2145" t="s">
        <v>1332</v>
      </c>
      <c r="C2145" t="s">
        <v>1402</v>
      </c>
      <c r="D2145">
        <v>102730</v>
      </c>
      <c r="E2145" t="s">
        <v>14</v>
      </c>
      <c r="F2145">
        <v>53.732999999999997</v>
      </c>
      <c r="G2145">
        <v>12.933</v>
      </c>
      <c r="H2145">
        <v>1</v>
      </c>
      <c r="I2145">
        <v>53</v>
      </c>
      <c r="J2145" t="str">
        <f>HYPERLINK("https://climate.onebuilding.org/WMO_Region_6_Europe/DEU_Germany/MV_Mecklenburg-Vorpommern/DEU_MV_Basepohl.102730_TMYx.zip")</f>
        <v>https://climate.onebuilding.org/WMO_Region_6_Europe/DEU_Germany/MV_Mecklenburg-Vorpommern/DEU_MV_Basepohl.102730_TMYx.zip</v>
      </c>
    </row>
    <row r="2146" spans="1:10" x14ac:dyDescent="0.25">
      <c r="A2146" t="s">
        <v>1301</v>
      </c>
      <c r="B2146" t="s">
        <v>1332</v>
      </c>
      <c r="C2146" t="s">
        <v>1403</v>
      </c>
      <c r="D2146">
        <v>102790</v>
      </c>
      <c r="E2146" t="s">
        <v>14</v>
      </c>
      <c r="F2146">
        <v>53.35</v>
      </c>
      <c r="G2146">
        <v>13.083</v>
      </c>
      <c r="H2146">
        <v>1</v>
      </c>
      <c r="I2146">
        <v>64</v>
      </c>
      <c r="J2146" t="str">
        <f>HYPERLINK("https://climate.onebuilding.org/WMO_Region_6_Europe/DEU_Germany/MV_Mecklenburg-Vorpommern/DEU_MV_Neustrelitz.102790_TMYx.zip")</f>
        <v>https://climate.onebuilding.org/WMO_Region_6_Europe/DEU_Germany/MV_Mecklenburg-Vorpommern/DEU_MV_Neustrelitz.102790_TMYx.zip</v>
      </c>
    </row>
    <row r="2147" spans="1:10" x14ac:dyDescent="0.25">
      <c r="A2147" t="s">
        <v>1301</v>
      </c>
      <c r="B2147" t="s">
        <v>1332</v>
      </c>
      <c r="C2147" t="s">
        <v>1404</v>
      </c>
      <c r="D2147">
        <v>102810</v>
      </c>
      <c r="E2147" t="s">
        <v>1405</v>
      </c>
      <c r="F2147">
        <v>53.599699999999999</v>
      </c>
      <c r="G2147">
        <v>13.303900000000001</v>
      </c>
      <c r="H2147">
        <v>1</v>
      </c>
      <c r="I2147">
        <v>92.8</v>
      </c>
      <c r="J2147" t="str">
        <f>HYPERLINK("https://climate.onebuilding.org/WMO_Region_6_Europe/DEU_Germany/MV_Mecklenburg-Vorpommern/DEU_MV_Neubrandenburg.Trollenhagen.AP.102810_TMYx.2004-2018.zip")</f>
        <v>https://climate.onebuilding.org/WMO_Region_6_Europe/DEU_Germany/MV_Mecklenburg-Vorpommern/DEU_MV_Neubrandenburg.Trollenhagen.AP.102810_TMYx.2004-2018.zip</v>
      </c>
    </row>
    <row r="2148" spans="1:10" x14ac:dyDescent="0.25">
      <c r="A2148" t="s">
        <v>1301</v>
      </c>
      <c r="B2148" t="s">
        <v>1332</v>
      </c>
      <c r="C2148" t="s">
        <v>1404</v>
      </c>
      <c r="D2148">
        <v>102810</v>
      </c>
      <c r="E2148" t="s">
        <v>14</v>
      </c>
      <c r="F2148">
        <v>53.599699999999999</v>
      </c>
      <c r="G2148">
        <v>13.303900000000001</v>
      </c>
      <c r="H2148">
        <v>1</v>
      </c>
      <c r="I2148">
        <v>92.8</v>
      </c>
      <c r="J2148" t="str">
        <f>HYPERLINK("https://climate.onebuilding.org/WMO_Region_6_Europe/DEU_Germany/MV_Mecklenburg-Vorpommern/DEU_MV_Neubrandenburg.Trollenhagen.AP.102810_TMYx.2007-2021.zip")</f>
        <v>https://climate.onebuilding.org/WMO_Region_6_Europe/DEU_Germany/MV_Mecklenburg-Vorpommern/DEU_MV_Neubrandenburg.Trollenhagen.AP.102810_TMYx.2007-2021.zip</v>
      </c>
    </row>
    <row r="2149" spans="1:10" x14ac:dyDescent="0.25">
      <c r="A2149" t="s">
        <v>1301</v>
      </c>
      <c r="B2149" t="s">
        <v>1332</v>
      </c>
      <c r="C2149" t="s">
        <v>1404</v>
      </c>
      <c r="D2149">
        <v>102810</v>
      </c>
      <c r="E2149" t="s">
        <v>14</v>
      </c>
      <c r="F2149">
        <v>53.599699999999999</v>
      </c>
      <c r="G2149">
        <v>13.303900000000001</v>
      </c>
      <c r="H2149">
        <v>1</v>
      </c>
      <c r="I2149">
        <v>92.8</v>
      </c>
      <c r="J2149" t="str">
        <f>HYPERLINK("https://climate.onebuilding.org/WMO_Region_6_Europe/DEU_Germany/MV_Mecklenburg-Vorpommern/DEU_MV_Neubrandenburg.Trollenhagen.AP.102810_TMYx.2009-2023.zip")</f>
        <v>https://climate.onebuilding.org/WMO_Region_6_Europe/DEU_Germany/MV_Mecklenburg-Vorpommern/DEU_MV_Neubrandenburg.Trollenhagen.AP.102810_TMYx.2009-2023.zip</v>
      </c>
    </row>
    <row r="2150" spans="1:10" x14ac:dyDescent="0.25">
      <c r="A2150" t="s">
        <v>1301</v>
      </c>
      <c r="B2150" t="s">
        <v>1332</v>
      </c>
      <c r="C2150" t="s">
        <v>1404</v>
      </c>
      <c r="D2150">
        <v>102810</v>
      </c>
      <c r="E2150" t="s">
        <v>14</v>
      </c>
      <c r="F2150">
        <v>53.599699999999999</v>
      </c>
      <c r="G2150">
        <v>13.303900000000001</v>
      </c>
      <c r="H2150">
        <v>1</v>
      </c>
      <c r="I2150">
        <v>92.8</v>
      </c>
      <c r="J2150" t="str">
        <f>HYPERLINK("https://climate.onebuilding.org/WMO_Region_6_Europe/DEU_Germany/MV_Mecklenburg-Vorpommern/DEU_MV_Neubrandenburg.Trollenhagen.AP.102810_TMYx.zip")</f>
        <v>https://climate.onebuilding.org/WMO_Region_6_Europe/DEU_Germany/MV_Mecklenburg-Vorpommern/DEU_MV_Neubrandenburg.Trollenhagen.AP.102810_TMYx.zip</v>
      </c>
    </row>
    <row r="2151" spans="1:10" x14ac:dyDescent="0.25">
      <c r="A2151" t="s">
        <v>1301</v>
      </c>
      <c r="B2151" t="s">
        <v>1395</v>
      </c>
      <c r="C2151" t="s">
        <v>1406</v>
      </c>
      <c r="D2151">
        <v>102890</v>
      </c>
      <c r="E2151" t="s">
        <v>14</v>
      </c>
      <c r="F2151">
        <v>53.315300000000001</v>
      </c>
      <c r="G2151">
        <v>13.9339</v>
      </c>
      <c r="H2151">
        <v>1</v>
      </c>
      <c r="I2151">
        <v>57</v>
      </c>
      <c r="J2151" t="str">
        <f>HYPERLINK("https://climate.onebuilding.org/WMO_Region_6_Europe/DEU_Germany/BB_Brandenburg/DEU_BB_Gruenow.102890_TMYx.zip")</f>
        <v>https://climate.onebuilding.org/WMO_Region_6_Europe/DEU_Germany/BB_Brandenburg/DEU_BB_Gruenow.102890_TMYx.zip</v>
      </c>
    </row>
    <row r="2152" spans="1:10" x14ac:dyDescent="0.25">
      <c r="A2152" t="s">
        <v>1301</v>
      </c>
      <c r="B2152" t="s">
        <v>1395</v>
      </c>
      <c r="C2152" t="s">
        <v>1407</v>
      </c>
      <c r="D2152">
        <v>102910</v>
      </c>
      <c r="E2152" t="s">
        <v>14</v>
      </c>
      <c r="F2152">
        <v>53.031700000000001</v>
      </c>
      <c r="G2152">
        <v>13.9908</v>
      </c>
      <c r="H2152">
        <v>1</v>
      </c>
      <c r="I2152">
        <v>55.4</v>
      </c>
      <c r="J2152" t="str">
        <f>HYPERLINK("https://climate.onebuilding.org/WMO_Region_6_Europe/DEU_Germany/BB_Brandenburg/DEU_BB_Angermunde.102910_TMYx.zip")</f>
        <v>https://climate.onebuilding.org/WMO_Region_6_Europe/DEU_Germany/BB_Brandenburg/DEU_BB_Angermunde.102910_TMYx.zip</v>
      </c>
    </row>
    <row r="2153" spans="1:10" x14ac:dyDescent="0.25">
      <c r="A2153" t="s">
        <v>1301</v>
      </c>
      <c r="B2153" t="s">
        <v>1149</v>
      </c>
      <c r="C2153" t="s">
        <v>1408</v>
      </c>
      <c r="D2153">
        <v>103040</v>
      </c>
      <c r="E2153" t="s">
        <v>1409</v>
      </c>
      <c r="F2153">
        <v>52.715600000000002</v>
      </c>
      <c r="G2153">
        <v>7.3174999999999999</v>
      </c>
      <c r="H2153">
        <v>1</v>
      </c>
      <c r="I2153">
        <v>41.1</v>
      </c>
      <c r="J2153" t="str">
        <f>HYPERLINK("https://climate.onebuilding.org/WMO_Region_6_Europe/DEU_Germany/NI_Niedersachsen/DEU_NI_Landeplatz.Meppen.AP.103040_TMYx.2004-2018.zip")</f>
        <v>https://climate.onebuilding.org/WMO_Region_6_Europe/DEU_Germany/NI_Niedersachsen/DEU_NI_Landeplatz.Meppen.AP.103040_TMYx.2004-2018.zip</v>
      </c>
    </row>
    <row r="2154" spans="1:10" x14ac:dyDescent="0.25">
      <c r="A2154" t="s">
        <v>1301</v>
      </c>
      <c r="B2154" t="s">
        <v>1149</v>
      </c>
      <c r="C2154" t="s">
        <v>1408</v>
      </c>
      <c r="D2154">
        <v>103040</v>
      </c>
      <c r="E2154" t="s">
        <v>14</v>
      </c>
      <c r="F2154">
        <v>52.715600000000002</v>
      </c>
      <c r="G2154">
        <v>7.3174999999999999</v>
      </c>
      <c r="H2154">
        <v>1</v>
      </c>
      <c r="I2154">
        <v>41.1</v>
      </c>
      <c r="J2154" t="str">
        <f>HYPERLINK("https://climate.onebuilding.org/WMO_Region_6_Europe/DEU_Germany/NI_Niedersachsen/DEU_NI_Landeplatz.Meppen.AP.103040_TMYx.2007-2021.zip")</f>
        <v>https://climate.onebuilding.org/WMO_Region_6_Europe/DEU_Germany/NI_Niedersachsen/DEU_NI_Landeplatz.Meppen.AP.103040_TMYx.2007-2021.zip</v>
      </c>
    </row>
    <row r="2155" spans="1:10" x14ac:dyDescent="0.25">
      <c r="A2155" t="s">
        <v>1301</v>
      </c>
      <c r="B2155" t="s">
        <v>1149</v>
      </c>
      <c r="C2155" t="s">
        <v>1408</v>
      </c>
      <c r="D2155">
        <v>103040</v>
      </c>
      <c r="E2155" t="s">
        <v>14</v>
      </c>
      <c r="F2155">
        <v>52.715600000000002</v>
      </c>
      <c r="G2155">
        <v>7.3174999999999999</v>
      </c>
      <c r="H2155">
        <v>1</v>
      </c>
      <c r="I2155">
        <v>41.1</v>
      </c>
      <c r="J2155" t="str">
        <f>HYPERLINK("https://climate.onebuilding.org/WMO_Region_6_Europe/DEU_Germany/NI_Niedersachsen/DEU_NI_Landeplatz.Meppen.AP.103040_TMYx.2009-2023.zip")</f>
        <v>https://climate.onebuilding.org/WMO_Region_6_Europe/DEU_Germany/NI_Niedersachsen/DEU_NI_Landeplatz.Meppen.AP.103040_TMYx.2009-2023.zip</v>
      </c>
    </row>
    <row r="2156" spans="1:10" x14ac:dyDescent="0.25">
      <c r="A2156" t="s">
        <v>1301</v>
      </c>
      <c r="B2156" t="s">
        <v>1149</v>
      </c>
      <c r="C2156" t="s">
        <v>1408</v>
      </c>
      <c r="D2156">
        <v>103040</v>
      </c>
      <c r="E2156" t="s">
        <v>14</v>
      </c>
      <c r="F2156">
        <v>52.715600000000002</v>
      </c>
      <c r="G2156">
        <v>7.3174999999999999</v>
      </c>
      <c r="H2156">
        <v>1</v>
      </c>
      <c r="I2156">
        <v>41.1</v>
      </c>
      <c r="J2156" t="str">
        <f>HYPERLINK("https://climate.onebuilding.org/WMO_Region_6_Europe/DEU_Germany/NI_Niedersachsen/DEU_NI_Landeplatz.Meppen.AP.103040_TMYx.zip")</f>
        <v>https://climate.onebuilding.org/WMO_Region_6_Europe/DEU_Germany/NI_Niedersachsen/DEU_NI_Landeplatz.Meppen.AP.103040_TMYx.zip</v>
      </c>
    </row>
    <row r="2157" spans="1:10" x14ac:dyDescent="0.25">
      <c r="A2157" t="s">
        <v>1301</v>
      </c>
      <c r="B2157" t="s">
        <v>1149</v>
      </c>
      <c r="C2157" t="s">
        <v>1410</v>
      </c>
      <c r="D2157">
        <v>103050</v>
      </c>
      <c r="E2157" t="s">
        <v>14</v>
      </c>
      <c r="F2157">
        <v>52.518099999999997</v>
      </c>
      <c r="G2157">
        <v>7.3080999999999996</v>
      </c>
      <c r="H2157">
        <v>1</v>
      </c>
      <c r="I2157">
        <v>23.1</v>
      </c>
      <c r="J2157" t="str">
        <f>HYPERLINK("https://climate.onebuilding.org/WMO_Region_6_Europe/DEU_Germany/NI_Niedersachsen/DEU_NI_Lingen.103050_TMYx.zip")</f>
        <v>https://climate.onebuilding.org/WMO_Region_6_Europe/DEU_Germany/NI_Niedersachsen/DEU_NI_Lingen.103050_TMYx.zip</v>
      </c>
    </row>
    <row r="2158" spans="1:10" x14ac:dyDescent="0.25">
      <c r="A2158" t="s">
        <v>1301</v>
      </c>
      <c r="B2158" t="s">
        <v>855</v>
      </c>
      <c r="C2158" t="s">
        <v>1411</v>
      </c>
      <c r="D2158">
        <v>103060</v>
      </c>
      <c r="E2158" t="s">
        <v>1412</v>
      </c>
      <c r="F2158">
        <v>52.290999999999997</v>
      </c>
      <c r="G2158">
        <v>7.3869999999999996</v>
      </c>
      <c r="H2158">
        <v>1</v>
      </c>
      <c r="I2158">
        <v>39.299999999999997</v>
      </c>
      <c r="J2158" t="str">
        <f>HYPERLINK("https://climate.onebuilding.org/WMO_Region_6_Europe/DEU_Germany/NW_Nordrhein-Westfalen/DEU_NW_Rheine.Bentlage.AP.103060_TMYx.2004-2018.zip")</f>
        <v>https://climate.onebuilding.org/WMO_Region_6_Europe/DEU_Germany/NW_Nordrhein-Westfalen/DEU_NW_Rheine.Bentlage.AP.103060_TMYx.2004-2018.zip</v>
      </c>
    </row>
    <row r="2159" spans="1:10" x14ac:dyDescent="0.25">
      <c r="A2159" t="s">
        <v>1301</v>
      </c>
      <c r="B2159" t="s">
        <v>855</v>
      </c>
      <c r="C2159" t="s">
        <v>1411</v>
      </c>
      <c r="D2159">
        <v>103060</v>
      </c>
      <c r="E2159" t="s">
        <v>14</v>
      </c>
      <c r="F2159">
        <v>52.288699999999999</v>
      </c>
      <c r="G2159">
        <v>7.3867000000000003</v>
      </c>
      <c r="H2159">
        <v>1</v>
      </c>
      <c r="I2159">
        <v>39.299999999999997</v>
      </c>
      <c r="J2159" t="str">
        <f>HYPERLINK("https://climate.onebuilding.org/WMO_Region_6_Europe/DEU_Germany/NW_Nordrhein-Westfalen/DEU_NW_Rheine.Bentlage.AP.103060_TMYx.2007-2021.zip")</f>
        <v>https://climate.onebuilding.org/WMO_Region_6_Europe/DEU_Germany/NW_Nordrhein-Westfalen/DEU_NW_Rheine.Bentlage.AP.103060_TMYx.2007-2021.zip</v>
      </c>
    </row>
    <row r="2160" spans="1:10" x14ac:dyDescent="0.25">
      <c r="A2160" t="s">
        <v>1301</v>
      </c>
      <c r="B2160" t="s">
        <v>855</v>
      </c>
      <c r="C2160" t="s">
        <v>1411</v>
      </c>
      <c r="D2160">
        <v>103060</v>
      </c>
      <c r="E2160" t="s">
        <v>14</v>
      </c>
      <c r="F2160">
        <v>52.288699999999999</v>
      </c>
      <c r="G2160">
        <v>7.3867000000000003</v>
      </c>
      <c r="H2160">
        <v>1</v>
      </c>
      <c r="I2160">
        <v>39.299999999999997</v>
      </c>
      <c r="J2160" t="str">
        <f>HYPERLINK("https://climate.onebuilding.org/WMO_Region_6_Europe/DEU_Germany/NW_Nordrhein-Westfalen/DEU_NW_Rheine.Bentlage.AP.103060_TMYx.2009-2023.zip")</f>
        <v>https://climate.onebuilding.org/WMO_Region_6_Europe/DEU_Germany/NW_Nordrhein-Westfalen/DEU_NW_Rheine.Bentlage.AP.103060_TMYx.2009-2023.zip</v>
      </c>
    </row>
    <row r="2161" spans="1:10" x14ac:dyDescent="0.25">
      <c r="A2161" t="s">
        <v>1301</v>
      </c>
      <c r="B2161" t="s">
        <v>855</v>
      </c>
      <c r="C2161" t="s">
        <v>1411</v>
      </c>
      <c r="D2161">
        <v>103060</v>
      </c>
      <c r="E2161" t="s">
        <v>14</v>
      </c>
      <c r="F2161">
        <v>52.288699999999999</v>
      </c>
      <c r="G2161">
        <v>7.3867000000000003</v>
      </c>
      <c r="H2161">
        <v>1</v>
      </c>
      <c r="I2161">
        <v>39.299999999999997</v>
      </c>
      <c r="J2161" t="str">
        <f>HYPERLINK("https://climate.onebuilding.org/WMO_Region_6_Europe/DEU_Germany/NW_Nordrhein-Westfalen/DEU_NW_Rheine.Bentlage.AP.103060_TMYx.zip")</f>
        <v>https://climate.onebuilding.org/WMO_Region_6_Europe/DEU_Germany/NW_Nordrhein-Westfalen/DEU_NW_Rheine.Bentlage.AP.103060_TMYx.zip</v>
      </c>
    </row>
    <row r="2162" spans="1:10" x14ac:dyDescent="0.25">
      <c r="A2162" t="s">
        <v>1301</v>
      </c>
      <c r="B2162" t="s">
        <v>1149</v>
      </c>
      <c r="C2162" t="s">
        <v>1413</v>
      </c>
      <c r="D2162">
        <v>103080</v>
      </c>
      <c r="E2162" t="s">
        <v>14</v>
      </c>
      <c r="F2162">
        <v>52.45</v>
      </c>
      <c r="G2162">
        <v>7.1669999999999998</v>
      </c>
      <c r="H2162">
        <v>1</v>
      </c>
      <c r="I2162">
        <v>26</v>
      </c>
      <c r="J2162" t="str">
        <f>HYPERLINK("https://climate.onebuilding.org/WMO_Region_6_Europe/DEU_Germany/NI_Niedersachsen/DEU_NI_Nordhorn.Lingen.AP.103080_TMYx.zip")</f>
        <v>https://climate.onebuilding.org/WMO_Region_6_Europe/DEU_Germany/NI_Niedersachsen/DEU_NI_Nordhorn.Lingen.AP.103080_TMYx.zip</v>
      </c>
    </row>
    <row r="2163" spans="1:10" x14ac:dyDescent="0.25">
      <c r="A2163" t="s">
        <v>1301</v>
      </c>
      <c r="B2163" t="s">
        <v>855</v>
      </c>
      <c r="C2163" t="s">
        <v>1414</v>
      </c>
      <c r="D2163">
        <v>103130</v>
      </c>
      <c r="E2163" t="s">
        <v>14</v>
      </c>
      <c r="F2163">
        <v>51.966999999999999</v>
      </c>
      <c r="G2163">
        <v>7.6</v>
      </c>
      <c r="H2163">
        <v>1</v>
      </c>
      <c r="I2163">
        <v>64</v>
      </c>
      <c r="J2163" t="str">
        <f>HYPERLINK("https://climate.onebuilding.org/WMO_Region_6_Europe/DEU_Germany/NW_Nordrhein-Westfalen/DEU_NW_Munster-Telgte.103130_TMYx.zip")</f>
        <v>https://climate.onebuilding.org/WMO_Region_6_Europe/DEU_Germany/NW_Nordrhein-Westfalen/DEU_NW_Munster-Telgte.103130_TMYx.zip</v>
      </c>
    </row>
    <row r="2164" spans="1:10" x14ac:dyDescent="0.25">
      <c r="A2164" t="s">
        <v>1301</v>
      </c>
      <c r="B2164" t="s">
        <v>855</v>
      </c>
      <c r="C2164" t="s">
        <v>1415</v>
      </c>
      <c r="D2164">
        <v>103140</v>
      </c>
      <c r="E2164" t="s">
        <v>14</v>
      </c>
      <c r="F2164">
        <v>52.332999999999998</v>
      </c>
      <c r="G2164">
        <v>7.5330000000000004</v>
      </c>
      <c r="H2164">
        <v>1</v>
      </c>
      <c r="I2164">
        <v>40</v>
      </c>
      <c r="J2164" t="str">
        <f>HYPERLINK("https://climate.onebuilding.org/WMO_Region_6_Europe/DEU_Germany/NW_Nordrhein-Westfalen/DEU_NW_Hopsten.AP.103140_TMYx.zip")</f>
        <v>https://climate.onebuilding.org/WMO_Region_6_Europe/DEU_Germany/NW_Nordrhein-Westfalen/DEU_NW_Hopsten.AP.103140_TMYx.zip</v>
      </c>
    </row>
    <row r="2165" spans="1:10" x14ac:dyDescent="0.25">
      <c r="A2165" t="s">
        <v>1301</v>
      </c>
      <c r="B2165" t="s">
        <v>855</v>
      </c>
      <c r="C2165" t="s">
        <v>1416</v>
      </c>
      <c r="D2165">
        <v>103150</v>
      </c>
      <c r="E2165" t="s">
        <v>1417</v>
      </c>
      <c r="F2165">
        <v>52.134399999999999</v>
      </c>
      <c r="G2165">
        <v>7.6969000000000003</v>
      </c>
      <c r="H2165">
        <v>1</v>
      </c>
      <c r="I2165">
        <v>52.7</v>
      </c>
      <c r="J2165" t="str">
        <f>HYPERLINK("https://climate.onebuilding.org/WMO_Region_6_Europe/DEU_Germany/NW_Nordrhein-Westfalen/DEU_NW_Munster.Osnabruck.AP.103150_TMYx.2004-2018.zip")</f>
        <v>https://climate.onebuilding.org/WMO_Region_6_Europe/DEU_Germany/NW_Nordrhein-Westfalen/DEU_NW_Munster.Osnabruck.AP.103150_TMYx.2004-2018.zip</v>
      </c>
    </row>
    <row r="2166" spans="1:10" x14ac:dyDescent="0.25">
      <c r="A2166" t="s">
        <v>1301</v>
      </c>
      <c r="B2166" t="s">
        <v>855</v>
      </c>
      <c r="C2166" t="s">
        <v>1416</v>
      </c>
      <c r="D2166">
        <v>103150</v>
      </c>
      <c r="E2166" t="s">
        <v>14</v>
      </c>
      <c r="F2166">
        <v>52.134399999999999</v>
      </c>
      <c r="G2166">
        <v>7.6969000000000003</v>
      </c>
      <c r="H2166">
        <v>1</v>
      </c>
      <c r="I2166">
        <v>52.7</v>
      </c>
      <c r="J2166" t="str">
        <f>HYPERLINK("https://climate.onebuilding.org/WMO_Region_6_Europe/DEU_Germany/NW_Nordrhein-Westfalen/DEU_NW_Munster.Osnabruck.AP.103150_TMYx.2007-2021.zip")</f>
        <v>https://climate.onebuilding.org/WMO_Region_6_Europe/DEU_Germany/NW_Nordrhein-Westfalen/DEU_NW_Munster.Osnabruck.AP.103150_TMYx.2007-2021.zip</v>
      </c>
    </row>
    <row r="2167" spans="1:10" x14ac:dyDescent="0.25">
      <c r="A2167" t="s">
        <v>1301</v>
      </c>
      <c r="B2167" t="s">
        <v>855</v>
      </c>
      <c r="C2167" t="s">
        <v>1416</v>
      </c>
      <c r="D2167">
        <v>103150</v>
      </c>
      <c r="E2167" t="s">
        <v>14</v>
      </c>
      <c r="F2167">
        <v>52.134399999999999</v>
      </c>
      <c r="G2167">
        <v>7.6969000000000003</v>
      </c>
      <c r="H2167">
        <v>1</v>
      </c>
      <c r="I2167">
        <v>52.7</v>
      </c>
      <c r="J2167" t="str">
        <f>HYPERLINK("https://climate.onebuilding.org/WMO_Region_6_Europe/DEU_Germany/NW_Nordrhein-Westfalen/DEU_NW_Munster.Osnabruck.AP.103150_TMYx.2009-2023.zip")</f>
        <v>https://climate.onebuilding.org/WMO_Region_6_Europe/DEU_Germany/NW_Nordrhein-Westfalen/DEU_NW_Munster.Osnabruck.AP.103150_TMYx.2009-2023.zip</v>
      </c>
    </row>
    <row r="2168" spans="1:10" x14ac:dyDescent="0.25">
      <c r="A2168" t="s">
        <v>1301</v>
      </c>
      <c r="B2168" t="s">
        <v>855</v>
      </c>
      <c r="C2168" t="s">
        <v>1416</v>
      </c>
      <c r="D2168">
        <v>103150</v>
      </c>
      <c r="E2168" t="s">
        <v>14</v>
      </c>
      <c r="F2168">
        <v>52.134399999999999</v>
      </c>
      <c r="G2168">
        <v>7.6969000000000003</v>
      </c>
      <c r="H2168">
        <v>1</v>
      </c>
      <c r="I2168">
        <v>52.7</v>
      </c>
      <c r="J2168" t="str">
        <f>HYPERLINK("https://climate.onebuilding.org/WMO_Region_6_Europe/DEU_Germany/NW_Nordrhein-Westfalen/DEU_NW_Munster.Osnabruck.AP.103150_TMYx.zip")</f>
        <v>https://climate.onebuilding.org/WMO_Region_6_Europe/DEU_Germany/NW_Nordrhein-Westfalen/DEU_NW_Munster.Osnabruck.AP.103150_TMYx.zip</v>
      </c>
    </row>
    <row r="2169" spans="1:10" x14ac:dyDescent="0.25">
      <c r="A2169" t="s">
        <v>1301</v>
      </c>
      <c r="B2169" t="s">
        <v>1149</v>
      </c>
      <c r="C2169" t="s">
        <v>1418</v>
      </c>
      <c r="D2169">
        <v>103170</v>
      </c>
      <c r="E2169" t="s">
        <v>14</v>
      </c>
      <c r="F2169">
        <v>52.25</v>
      </c>
      <c r="G2169">
        <v>8.0500000000000007</v>
      </c>
      <c r="H2169">
        <v>1</v>
      </c>
      <c r="I2169">
        <v>95</v>
      </c>
      <c r="J2169" t="str">
        <f>HYPERLINK("https://climate.onebuilding.org/WMO_Region_6_Europe/DEU_Germany/NI_Niedersachsen/DEU_NI_Onsabruck.103170_TMYx.zip")</f>
        <v>https://climate.onebuilding.org/WMO_Region_6_Europe/DEU_Germany/NI_Niedersachsen/DEU_NI_Onsabruck.103170_TMYx.zip</v>
      </c>
    </row>
    <row r="2170" spans="1:10" x14ac:dyDescent="0.25">
      <c r="A2170" t="s">
        <v>1301</v>
      </c>
      <c r="B2170" t="s">
        <v>855</v>
      </c>
      <c r="C2170" t="s">
        <v>1419</v>
      </c>
      <c r="D2170">
        <v>103180</v>
      </c>
      <c r="E2170" t="s">
        <v>14</v>
      </c>
      <c r="F2170">
        <v>52.115000000000002</v>
      </c>
      <c r="G2170">
        <v>8.2820999999999998</v>
      </c>
      <c r="H2170">
        <v>1</v>
      </c>
      <c r="I2170">
        <v>305</v>
      </c>
      <c r="J2170" t="str">
        <f>HYPERLINK("https://climate.onebuilding.org/WMO_Region_6_Europe/DEU_Germany/NW_Nordrhein-Westfalen/DEU_NW_Borgholzhausen.103180_TMYx.zip")</f>
        <v>https://climate.onebuilding.org/WMO_Region_6_Europe/DEU_Germany/NW_Nordrhein-Westfalen/DEU_NW_Borgholzhausen.103180_TMYx.zip</v>
      </c>
    </row>
    <row r="2171" spans="1:10" x14ac:dyDescent="0.25">
      <c r="A2171" t="s">
        <v>1301</v>
      </c>
      <c r="B2171" t="s">
        <v>855</v>
      </c>
      <c r="C2171" t="s">
        <v>1420</v>
      </c>
      <c r="D2171">
        <v>103200</v>
      </c>
      <c r="E2171" t="s">
        <v>1421</v>
      </c>
      <c r="F2171">
        <v>51.923000000000002</v>
      </c>
      <c r="G2171">
        <v>8.3059999999999992</v>
      </c>
      <c r="H2171">
        <v>1</v>
      </c>
      <c r="I2171">
        <v>71.900000000000006</v>
      </c>
      <c r="J2171" t="str">
        <f>HYPERLINK("https://climate.onebuilding.org/WMO_Region_6_Europe/DEU_Germany/NW_Nordrhein-Westfalen/DEU_NW_Gutersloh.AP.103200_TMYx.2004-2018.zip")</f>
        <v>https://climate.onebuilding.org/WMO_Region_6_Europe/DEU_Germany/NW_Nordrhein-Westfalen/DEU_NW_Gutersloh.AP.103200_TMYx.2004-2018.zip</v>
      </c>
    </row>
    <row r="2172" spans="1:10" x14ac:dyDescent="0.25">
      <c r="A2172" t="s">
        <v>1301</v>
      </c>
      <c r="B2172" t="s">
        <v>855</v>
      </c>
      <c r="C2172" t="s">
        <v>1420</v>
      </c>
      <c r="D2172">
        <v>103200</v>
      </c>
      <c r="E2172" t="s">
        <v>14</v>
      </c>
      <c r="F2172">
        <v>51.923000000000002</v>
      </c>
      <c r="G2172">
        <v>8.3059999999999992</v>
      </c>
      <c r="H2172">
        <v>1</v>
      </c>
      <c r="I2172">
        <v>71.900000000000006</v>
      </c>
      <c r="J2172" t="str">
        <f>HYPERLINK("https://climate.onebuilding.org/WMO_Region_6_Europe/DEU_Germany/NW_Nordrhein-Westfalen/DEU_NW_Gutersloh.AP.103200_TMYx.2007-2021.zip")</f>
        <v>https://climate.onebuilding.org/WMO_Region_6_Europe/DEU_Germany/NW_Nordrhein-Westfalen/DEU_NW_Gutersloh.AP.103200_TMYx.2007-2021.zip</v>
      </c>
    </row>
    <row r="2173" spans="1:10" x14ac:dyDescent="0.25">
      <c r="A2173" t="s">
        <v>1301</v>
      </c>
      <c r="B2173" t="s">
        <v>855</v>
      </c>
      <c r="C2173" t="s">
        <v>1420</v>
      </c>
      <c r="D2173">
        <v>103200</v>
      </c>
      <c r="E2173" t="s">
        <v>14</v>
      </c>
      <c r="F2173">
        <v>51.923000000000002</v>
      </c>
      <c r="G2173">
        <v>8.3059999999999992</v>
      </c>
      <c r="H2173">
        <v>1</v>
      </c>
      <c r="I2173">
        <v>71.900000000000006</v>
      </c>
      <c r="J2173" t="str">
        <f>HYPERLINK("https://climate.onebuilding.org/WMO_Region_6_Europe/DEU_Germany/NW_Nordrhein-Westfalen/DEU_NW_Gutersloh.AP.103200_TMYx.2009-2023.zip")</f>
        <v>https://climate.onebuilding.org/WMO_Region_6_Europe/DEU_Germany/NW_Nordrhein-Westfalen/DEU_NW_Gutersloh.AP.103200_TMYx.2009-2023.zip</v>
      </c>
    </row>
    <row r="2174" spans="1:10" x14ac:dyDescent="0.25">
      <c r="A2174" t="s">
        <v>1301</v>
      </c>
      <c r="B2174" t="s">
        <v>855</v>
      </c>
      <c r="C2174" t="s">
        <v>1420</v>
      </c>
      <c r="D2174">
        <v>103200</v>
      </c>
      <c r="E2174" t="s">
        <v>14</v>
      </c>
      <c r="F2174">
        <v>51.923000000000002</v>
      </c>
      <c r="G2174">
        <v>8.3059999999999992</v>
      </c>
      <c r="H2174">
        <v>1</v>
      </c>
      <c r="I2174">
        <v>71.900000000000006</v>
      </c>
      <c r="J2174" t="str">
        <f>HYPERLINK("https://climate.onebuilding.org/WMO_Region_6_Europe/DEU_Germany/NW_Nordrhein-Westfalen/DEU_NW_Gutersloh.AP.103200_TMYx.zip")</f>
        <v>https://climate.onebuilding.org/WMO_Region_6_Europe/DEU_Germany/NW_Nordrhein-Westfalen/DEU_NW_Gutersloh.AP.103200_TMYx.zip</v>
      </c>
    </row>
    <row r="2175" spans="1:10" x14ac:dyDescent="0.25">
      <c r="A2175" t="s">
        <v>1301</v>
      </c>
      <c r="B2175" t="s">
        <v>1304</v>
      </c>
      <c r="C2175" t="s">
        <v>1422</v>
      </c>
      <c r="D2175">
        <v>103210</v>
      </c>
      <c r="E2175" t="s">
        <v>1423</v>
      </c>
      <c r="F2175">
        <v>52.588099999999997</v>
      </c>
      <c r="G2175">
        <v>8.3424999999999994</v>
      </c>
      <c r="H2175">
        <v>1</v>
      </c>
      <c r="I2175">
        <v>43.1</v>
      </c>
      <c r="J2175" t="str">
        <f>HYPERLINK("https://climate.onebuilding.org/WMO_Region_6_Europe/DEU_Germany/HB_Bremen/DEU_HB_Diepholz.Dummerland.AP.103210_TMYx.2004-2018.zip")</f>
        <v>https://climate.onebuilding.org/WMO_Region_6_Europe/DEU_Germany/HB_Bremen/DEU_HB_Diepholz.Dummerland.AP.103210_TMYx.2004-2018.zip</v>
      </c>
    </row>
    <row r="2176" spans="1:10" x14ac:dyDescent="0.25">
      <c r="A2176" t="s">
        <v>1301</v>
      </c>
      <c r="B2176" t="s">
        <v>1304</v>
      </c>
      <c r="C2176" t="s">
        <v>1422</v>
      </c>
      <c r="D2176">
        <v>103210</v>
      </c>
      <c r="E2176" t="s">
        <v>14</v>
      </c>
      <c r="F2176">
        <v>52.588099999999997</v>
      </c>
      <c r="G2176">
        <v>8.3424999999999994</v>
      </c>
      <c r="H2176">
        <v>1</v>
      </c>
      <c r="I2176">
        <v>43.1</v>
      </c>
      <c r="J2176" t="str">
        <f>HYPERLINK("https://climate.onebuilding.org/WMO_Region_6_Europe/DEU_Germany/HB_Bremen/DEU_HB_Diepholz.Dummerland.AP.103210_TMYx.2007-2021.zip")</f>
        <v>https://climate.onebuilding.org/WMO_Region_6_Europe/DEU_Germany/HB_Bremen/DEU_HB_Diepholz.Dummerland.AP.103210_TMYx.2007-2021.zip</v>
      </c>
    </row>
    <row r="2177" spans="1:10" x14ac:dyDescent="0.25">
      <c r="A2177" t="s">
        <v>1301</v>
      </c>
      <c r="B2177" t="s">
        <v>1304</v>
      </c>
      <c r="C2177" t="s">
        <v>1422</v>
      </c>
      <c r="D2177">
        <v>103210</v>
      </c>
      <c r="E2177" t="s">
        <v>14</v>
      </c>
      <c r="F2177">
        <v>52.588099999999997</v>
      </c>
      <c r="G2177">
        <v>8.3424999999999994</v>
      </c>
      <c r="H2177">
        <v>1</v>
      </c>
      <c r="I2177">
        <v>43.1</v>
      </c>
      <c r="J2177" t="str">
        <f>HYPERLINK("https://climate.onebuilding.org/WMO_Region_6_Europe/DEU_Germany/HB_Bremen/DEU_HB_Diepholz.Dummerland.AP.103210_TMYx.2009-2023.zip")</f>
        <v>https://climate.onebuilding.org/WMO_Region_6_Europe/DEU_Germany/HB_Bremen/DEU_HB_Diepholz.Dummerland.AP.103210_TMYx.2009-2023.zip</v>
      </c>
    </row>
    <row r="2178" spans="1:10" x14ac:dyDescent="0.25">
      <c r="A2178" t="s">
        <v>1301</v>
      </c>
      <c r="B2178" t="s">
        <v>1304</v>
      </c>
      <c r="C2178" t="s">
        <v>1422</v>
      </c>
      <c r="D2178">
        <v>103210</v>
      </c>
      <c r="E2178" t="s">
        <v>14</v>
      </c>
      <c r="F2178">
        <v>52.588099999999997</v>
      </c>
      <c r="G2178">
        <v>8.3424999999999994</v>
      </c>
      <c r="H2178">
        <v>1</v>
      </c>
      <c r="I2178">
        <v>43.1</v>
      </c>
      <c r="J2178" t="str">
        <f>HYPERLINK("https://climate.onebuilding.org/WMO_Region_6_Europe/DEU_Germany/HB_Bremen/DEU_HB_Diepholz.Dummerland.AP.103210_TMYx.zip")</f>
        <v>https://climate.onebuilding.org/WMO_Region_6_Europe/DEU_Germany/HB_Bremen/DEU_HB_Diepholz.Dummerland.AP.103210_TMYx.zip</v>
      </c>
    </row>
    <row r="2179" spans="1:10" x14ac:dyDescent="0.25">
      <c r="A2179" t="s">
        <v>1301</v>
      </c>
      <c r="B2179" t="s">
        <v>855</v>
      </c>
      <c r="C2179" t="s">
        <v>1424</v>
      </c>
      <c r="D2179">
        <v>103250</v>
      </c>
      <c r="E2179" t="s">
        <v>14</v>
      </c>
      <c r="F2179">
        <v>52.104199999999999</v>
      </c>
      <c r="G2179">
        <v>8.7520000000000007</v>
      </c>
      <c r="H2179">
        <v>1</v>
      </c>
      <c r="I2179">
        <v>136.5</v>
      </c>
      <c r="J2179" t="str">
        <f>HYPERLINK("https://climate.onebuilding.org/WMO_Region_6_Europe/DEU_Germany/NW_Nordrhein-Westfalen/DEU_NW_Bad.Salzuflen.103250_TMYx.zip")</f>
        <v>https://climate.onebuilding.org/WMO_Region_6_Europe/DEU_Germany/NW_Nordrhein-Westfalen/DEU_NW_Bad.Salzuflen.103250_TMYx.zip</v>
      </c>
    </row>
    <row r="2180" spans="1:10" x14ac:dyDescent="0.25">
      <c r="A2180" t="s">
        <v>1301</v>
      </c>
      <c r="B2180" t="s">
        <v>855</v>
      </c>
      <c r="C2180" t="s">
        <v>1425</v>
      </c>
      <c r="D2180">
        <v>103280</v>
      </c>
      <c r="E2180" t="s">
        <v>14</v>
      </c>
      <c r="F2180">
        <v>51.95</v>
      </c>
      <c r="G2180">
        <v>8.9</v>
      </c>
      <c r="H2180">
        <v>1</v>
      </c>
      <c r="I2180">
        <v>189</v>
      </c>
      <c r="J2180" t="str">
        <f>HYPERLINK("https://climate.onebuilding.org/WMO_Region_6_Europe/DEU_Germany/NW_Nordrhein-Westfalen/DEU_NW_Detmold.103280_TMYx.zip")</f>
        <v>https://climate.onebuilding.org/WMO_Region_6_Europe/DEU_Germany/NW_Nordrhein-Westfalen/DEU_NW_Detmold.103280_TMYx.zip</v>
      </c>
    </row>
    <row r="2181" spans="1:10" x14ac:dyDescent="0.25">
      <c r="A2181" t="s">
        <v>1301</v>
      </c>
      <c r="B2181" t="s">
        <v>1149</v>
      </c>
      <c r="C2181" t="s">
        <v>1426</v>
      </c>
      <c r="D2181">
        <v>103340</v>
      </c>
      <c r="E2181" t="s">
        <v>1427</v>
      </c>
      <c r="F2181">
        <v>52.460599999999999</v>
      </c>
      <c r="G2181">
        <v>9.4311000000000007</v>
      </c>
      <c r="H2181">
        <v>1</v>
      </c>
      <c r="I2181">
        <v>69.2</v>
      </c>
      <c r="J2181" t="str">
        <f>HYPERLINK("https://climate.onebuilding.org/WMO_Region_6_Europe/DEU_Germany/NI_Niedersachsen/DEU_NI_Wunstorf.AB.103340_TMYx.2004-2018.zip")</f>
        <v>https://climate.onebuilding.org/WMO_Region_6_Europe/DEU_Germany/NI_Niedersachsen/DEU_NI_Wunstorf.AB.103340_TMYx.2004-2018.zip</v>
      </c>
    </row>
    <row r="2182" spans="1:10" x14ac:dyDescent="0.25">
      <c r="A2182" t="s">
        <v>1301</v>
      </c>
      <c r="B2182" t="s">
        <v>1149</v>
      </c>
      <c r="C2182" t="s">
        <v>1426</v>
      </c>
      <c r="D2182">
        <v>103340</v>
      </c>
      <c r="E2182" t="s">
        <v>14</v>
      </c>
      <c r="F2182">
        <v>52.460599999999999</v>
      </c>
      <c r="G2182">
        <v>9.4311000000000007</v>
      </c>
      <c r="H2182">
        <v>1</v>
      </c>
      <c r="I2182">
        <v>69.2</v>
      </c>
      <c r="J2182" t="str">
        <f>HYPERLINK("https://climate.onebuilding.org/WMO_Region_6_Europe/DEU_Germany/NI_Niedersachsen/DEU_NI_Wunstorf.AB.103340_TMYx.2007-2021.zip")</f>
        <v>https://climate.onebuilding.org/WMO_Region_6_Europe/DEU_Germany/NI_Niedersachsen/DEU_NI_Wunstorf.AB.103340_TMYx.2007-2021.zip</v>
      </c>
    </row>
    <row r="2183" spans="1:10" x14ac:dyDescent="0.25">
      <c r="A2183" t="s">
        <v>1301</v>
      </c>
      <c r="B2183" t="s">
        <v>1149</v>
      </c>
      <c r="C2183" t="s">
        <v>1426</v>
      </c>
      <c r="D2183">
        <v>103340</v>
      </c>
      <c r="E2183" t="s">
        <v>14</v>
      </c>
      <c r="F2183">
        <v>52.460599999999999</v>
      </c>
      <c r="G2183">
        <v>9.4311000000000007</v>
      </c>
      <c r="H2183">
        <v>1</v>
      </c>
      <c r="I2183">
        <v>69.2</v>
      </c>
      <c r="J2183" t="str">
        <f>HYPERLINK("https://climate.onebuilding.org/WMO_Region_6_Europe/DEU_Germany/NI_Niedersachsen/DEU_NI_Wunstorf.AB.103340_TMYx.2009-2023.zip")</f>
        <v>https://climate.onebuilding.org/WMO_Region_6_Europe/DEU_Germany/NI_Niedersachsen/DEU_NI_Wunstorf.AB.103340_TMYx.2009-2023.zip</v>
      </c>
    </row>
    <row r="2184" spans="1:10" x14ac:dyDescent="0.25">
      <c r="A2184" t="s">
        <v>1301</v>
      </c>
      <c r="B2184" t="s">
        <v>1149</v>
      </c>
      <c r="C2184" t="s">
        <v>1426</v>
      </c>
      <c r="D2184">
        <v>103340</v>
      </c>
      <c r="E2184" t="s">
        <v>14</v>
      </c>
      <c r="F2184">
        <v>52.460599999999999</v>
      </c>
      <c r="G2184">
        <v>9.4311000000000007</v>
      </c>
      <c r="H2184">
        <v>1</v>
      </c>
      <c r="I2184">
        <v>69.2</v>
      </c>
      <c r="J2184" t="str">
        <f>HYPERLINK("https://climate.onebuilding.org/WMO_Region_6_Europe/DEU_Germany/NI_Niedersachsen/DEU_NI_Wunstorf.AB.103340_TMYx.zip")</f>
        <v>https://climate.onebuilding.org/WMO_Region_6_Europe/DEU_Germany/NI_Niedersachsen/DEU_NI_Wunstorf.AB.103340_TMYx.zip</v>
      </c>
    </row>
    <row r="2185" spans="1:10" x14ac:dyDescent="0.25">
      <c r="A2185" t="s">
        <v>1301</v>
      </c>
      <c r="B2185" t="s">
        <v>855</v>
      </c>
      <c r="C2185" t="s">
        <v>1428</v>
      </c>
      <c r="D2185">
        <v>103350</v>
      </c>
      <c r="E2185" t="s">
        <v>1429</v>
      </c>
      <c r="F2185">
        <v>52.281700000000001</v>
      </c>
      <c r="G2185">
        <v>9.0889000000000006</v>
      </c>
      <c r="H2185">
        <v>1</v>
      </c>
      <c r="I2185">
        <v>76.599999999999994</v>
      </c>
      <c r="J2185" t="str">
        <f>HYPERLINK("https://climate.onebuilding.org/WMO_Region_6_Europe/DEU_Germany/NW_Nordrhein-Westfalen/DEU_NW_Achum.Buckeburg.AB.103350_TMYx.2004-2018.zip")</f>
        <v>https://climate.onebuilding.org/WMO_Region_6_Europe/DEU_Germany/NW_Nordrhein-Westfalen/DEU_NW_Achum.Buckeburg.AB.103350_TMYx.2004-2018.zip</v>
      </c>
    </row>
    <row r="2186" spans="1:10" x14ac:dyDescent="0.25">
      <c r="A2186" t="s">
        <v>1301</v>
      </c>
      <c r="B2186" t="s">
        <v>855</v>
      </c>
      <c r="C2186" t="s">
        <v>1428</v>
      </c>
      <c r="D2186">
        <v>103350</v>
      </c>
      <c r="E2186" t="s">
        <v>14</v>
      </c>
      <c r="F2186">
        <v>52.281700000000001</v>
      </c>
      <c r="G2186">
        <v>9.0889000000000006</v>
      </c>
      <c r="H2186">
        <v>1</v>
      </c>
      <c r="I2186">
        <v>76.599999999999994</v>
      </c>
      <c r="J2186" t="str">
        <f>HYPERLINK("https://climate.onebuilding.org/WMO_Region_6_Europe/DEU_Germany/NW_Nordrhein-Westfalen/DEU_NW_Achum.Buckeburg.AB.103350_TMYx.2007-2021.zip")</f>
        <v>https://climate.onebuilding.org/WMO_Region_6_Europe/DEU_Germany/NW_Nordrhein-Westfalen/DEU_NW_Achum.Buckeburg.AB.103350_TMYx.2007-2021.zip</v>
      </c>
    </row>
    <row r="2187" spans="1:10" x14ac:dyDescent="0.25">
      <c r="A2187" t="s">
        <v>1301</v>
      </c>
      <c r="B2187" t="s">
        <v>855</v>
      </c>
      <c r="C2187" t="s">
        <v>1428</v>
      </c>
      <c r="D2187">
        <v>103350</v>
      </c>
      <c r="E2187" t="s">
        <v>14</v>
      </c>
      <c r="F2187">
        <v>52.281700000000001</v>
      </c>
      <c r="G2187">
        <v>9.0889000000000006</v>
      </c>
      <c r="H2187">
        <v>1</v>
      </c>
      <c r="I2187">
        <v>76.599999999999994</v>
      </c>
      <c r="J2187" t="str">
        <f>HYPERLINK("https://climate.onebuilding.org/WMO_Region_6_Europe/DEU_Germany/NW_Nordrhein-Westfalen/DEU_NW_Achum.Buckeburg.AB.103350_TMYx.2009-2023.zip")</f>
        <v>https://climate.onebuilding.org/WMO_Region_6_Europe/DEU_Germany/NW_Nordrhein-Westfalen/DEU_NW_Achum.Buckeburg.AB.103350_TMYx.2009-2023.zip</v>
      </c>
    </row>
    <row r="2188" spans="1:10" x14ac:dyDescent="0.25">
      <c r="A2188" t="s">
        <v>1301</v>
      </c>
      <c r="B2188" t="s">
        <v>855</v>
      </c>
      <c r="C2188" t="s">
        <v>1428</v>
      </c>
      <c r="D2188">
        <v>103350</v>
      </c>
      <c r="E2188" t="s">
        <v>14</v>
      </c>
      <c r="F2188">
        <v>52.281700000000001</v>
      </c>
      <c r="G2188">
        <v>9.0889000000000006</v>
      </c>
      <c r="H2188">
        <v>1</v>
      </c>
      <c r="I2188">
        <v>76.599999999999994</v>
      </c>
      <c r="J2188" t="str">
        <f>HYPERLINK("https://climate.onebuilding.org/WMO_Region_6_Europe/DEU_Germany/NW_Nordrhein-Westfalen/DEU_NW_Achum.Buckeburg.AB.103350_TMYx.zip")</f>
        <v>https://climate.onebuilding.org/WMO_Region_6_Europe/DEU_Germany/NW_Nordrhein-Westfalen/DEU_NW_Achum.Buckeburg.AB.103350_TMYx.zip</v>
      </c>
    </row>
    <row r="2189" spans="1:10" x14ac:dyDescent="0.25">
      <c r="A2189" t="s">
        <v>1301</v>
      </c>
      <c r="B2189" t="s">
        <v>1149</v>
      </c>
      <c r="C2189" t="s">
        <v>1430</v>
      </c>
      <c r="D2189">
        <v>103370</v>
      </c>
      <c r="E2189" t="s">
        <v>14</v>
      </c>
      <c r="F2189">
        <v>52.183</v>
      </c>
      <c r="G2189">
        <v>9.9499999999999993</v>
      </c>
      <c r="H2189">
        <v>1</v>
      </c>
      <c r="I2189">
        <v>88</v>
      </c>
      <c r="J2189" t="str">
        <f>HYPERLINK("https://climate.onebuilding.org/WMO_Region_6_Europe/DEU_Germany/NI_Niedersachsen/DEU_NI_Hildesheim.AP.103370_TMYx.zip")</f>
        <v>https://climate.onebuilding.org/WMO_Region_6_Europe/DEU_Germany/NI_Niedersachsen/DEU_NI_Hildesheim.AP.103370_TMYx.zip</v>
      </c>
    </row>
    <row r="2190" spans="1:10" x14ac:dyDescent="0.25">
      <c r="A2190" t="s">
        <v>1301</v>
      </c>
      <c r="B2190" t="s">
        <v>1149</v>
      </c>
      <c r="C2190" t="s">
        <v>1431</v>
      </c>
      <c r="D2190">
        <v>103380</v>
      </c>
      <c r="E2190" t="s">
        <v>1432</v>
      </c>
      <c r="F2190">
        <v>52.464500000000001</v>
      </c>
      <c r="G2190">
        <v>9.6781000000000006</v>
      </c>
      <c r="H2190">
        <v>1</v>
      </c>
      <c r="I2190">
        <v>59.4</v>
      </c>
      <c r="J2190" t="str">
        <f>HYPERLINK("https://climate.onebuilding.org/WMO_Region_6_Europe/DEU_Germany/NI_Niedersachsen/DEU_NI_Hannover.AP.103380_TMYx.2004-2018.zip")</f>
        <v>https://climate.onebuilding.org/WMO_Region_6_Europe/DEU_Germany/NI_Niedersachsen/DEU_NI_Hannover.AP.103380_TMYx.2004-2018.zip</v>
      </c>
    </row>
    <row r="2191" spans="1:10" x14ac:dyDescent="0.25">
      <c r="A2191" t="s">
        <v>1301</v>
      </c>
      <c r="B2191" t="s">
        <v>1149</v>
      </c>
      <c r="C2191" t="s">
        <v>1431</v>
      </c>
      <c r="D2191">
        <v>103380</v>
      </c>
      <c r="E2191" t="s">
        <v>14</v>
      </c>
      <c r="F2191">
        <v>52.464500000000001</v>
      </c>
      <c r="G2191">
        <v>9.6781000000000006</v>
      </c>
      <c r="H2191">
        <v>1</v>
      </c>
      <c r="I2191">
        <v>59.4</v>
      </c>
      <c r="J2191" t="str">
        <f>HYPERLINK("https://climate.onebuilding.org/WMO_Region_6_Europe/DEU_Germany/NI_Niedersachsen/DEU_NI_Hannover.AP.103380_TMYx.2007-2021.zip")</f>
        <v>https://climate.onebuilding.org/WMO_Region_6_Europe/DEU_Germany/NI_Niedersachsen/DEU_NI_Hannover.AP.103380_TMYx.2007-2021.zip</v>
      </c>
    </row>
    <row r="2192" spans="1:10" x14ac:dyDescent="0.25">
      <c r="A2192" t="s">
        <v>1301</v>
      </c>
      <c r="B2192" t="s">
        <v>1149</v>
      </c>
      <c r="C2192" t="s">
        <v>1431</v>
      </c>
      <c r="D2192">
        <v>103380</v>
      </c>
      <c r="E2192" t="s">
        <v>14</v>
      </c>
      <c r="F2192">
        <v>52.464500000000001</v>
      </c>
      <c r="G2192">
        <v>9.6781000000000006</v>
      </c>
      <c r="H2192">
        <v>1</v>
      </c>
      <c r="I2192">
        <v>59.4</v>
      </c>
      <c r="J2192" t="str">
        <f>HYPERLINK("https://climate.onebuilding.org/WMO_Region_6_Europe/DEU_Germany/NI_Niedersachsen/DEU_NI_Hannover.AP.103380_TMYx.2009-2023.zip")</f>
        <v>https://climate.onebuilding.org/WMO_Region_6_Europe/DEU_Germany/NI_Niedersachsen/DEU_NI_Hannover.AP.103380_TMYx.2009-2023.zip</v>
      </c>
    </row>
    <row r="2193" spans="1:10" x14ac:dyDescent="0.25">
      <c r="A2193" t="s">
        <v>1301</v>
      </c>
      <c r="B2193" t="s">
        <v>1149</v>
      </c>
      <c r="C2193" t="s">
        <v>1431</v>
      </c>
      <c r="D2193">
        <v>103380</v>
      </c>
      <c r="E2193" t="s">
        <v>14</v>
      </c>
      <c r="F2193">
        <v>52.464500000000001</v>
      </c>
      <c r="G2193">
        <v>9.6781000000000006</v>
      </c>
      <c r="H2193">
        <v>1</v>
      </c>
      <c r="I2193">
        <v>59.4</v>
      </c>
      <c r="J2193" t="str">
        <f>HYPERLINK("https://climate.onebuilding.org/WMO_Region_6_Europe/DEU_Germany/NI_Niedersachsen/DEU_NI_Hannover.AP.103380_TMYx.zip")</f>
        <v>https://climate.onebuilding.org/WMO_Region_6_Europe/DEU_Germany/NI_Niedersachsen/DEU_NI_Hannover.AP.103380_TMYx.zip</v>
      </c>
    </row>
    <row r="2194" spans="1:10" x14ac:dyDescent="0.25">
      <c r="A2194" t="s">
        <v>1301</v>
      </c>
      <c r="B2194" t="s">
        <v>1149</v>
      </c>
      <c r="C2194" t="s">
        <v>1433</v>
      </c>
      <c r="D2194">
        <v>103430</v>
      </c>
      <c r="E2194" t="s">
        <v>1434</v>
      </c>
      <c r="F2194">
        <v>52.595799999999997</v>
      </c>
      <c r="G2194">
        <v>10.029400000000001</v>
      </c>
      <c r="H2194">
        <v>1</v>
      </c>
      <c r="I2194">
        <v>52.6</v>
      </c>
      <c r="J2194" t="str">
        <f>HYPERLINK("https://climate.onebuilding.org/WMO_Region_6_Europe/DEU_Germany/NI_Niedersachsen/DEU_NI_Celle.AP.103430_TMYx.2004-2018.zip")</f>
        <v>https://climate.onebuilding.org/WMO_Region_6_Europe/DEU_Germany/NI_Niedersachsen/DEU_NI_Celle.AP.103430_TMYx.2004-2018.zip</v>
      </c>
    </row>
    <row r="2195" spans="1:10" x14ac:dyDescent="0.25">
      <c r="A2195" t="s">
        <v>1301</v>
      </c>
      <c r="B2195" t="s">
        <v>1149</v>
      </c>
      <c r="C2195" t="s">
        <v>1433</v>
      </c>
      <c r="D2195">
        <v>103430</v>
      </c>
      <c r="E2195" t="s">
        <v>14</v>
      </c>
      <c r="F2195">
        <v>52.595799999999997</v>
      </c>
      <c r="G2195">
        <v>10.029400000000001</v>
      </c>
      <c r="H2195">
        <v>1</v>
      </c>
      <c r="I2195">
        <v>52.6</v>
      </c>
      <c r="J2195" t="str">
        <f>HYPERLINK("https://climate.onebuilding.org/WMO_Region_6_Europe/DEU_Germany/NI_Niedersachsen/DEU_NI_Celle.AP.103430_TMYx.2007-2021.zip")</f>
        <v>https://climate.onebuilding.org/WMO_Region_6_Europe/DEU_Germany/NI_Niedersachsen/DEU_NI_Celle.AP.103430_TMYx.2007-2021.zip</v>
      </c>
    </row>
    <row r="2196" spans="1:10" x14ac:dyDescent="0.25">
      <c r="A2196" t="s">
        <v>1301</v>
      </c>
      <c r="B2196" t="s">
        <v>1149</v>
      </c>
      <c r="C2196" t="s">
        <v>1433</v>
      </c>
      <c r="D2196">
        <v>103430</v>
      </c>
      <c r="E2196" t="s">
        <v>14</v>
      </c>
      <c r="F2196">
        <v>52.595799999999997</v>
      </c>
      <c r="G2196">
        <v>10.029400000000001</v>
      </c>
      <c r="H2196">
        <v>1</v>
      </c>
      <c r="I2196">
        <v>52.6</v>
      </c>
      <c r="J2196" t="str">
        <f>HYPERLINK("https://climate.onebuilding.org/WMO_Region_6_Europe/DEU_Germany/NI_Niedersachsen/DEU_NI_Celle.AP.103430_TMYx.2009-2023.zip")</f>
        <v>https://climate.onebuilding.org/WMO_Region_6_Europe/DEU_Germany/NI_Niedersachsen/DEU_NI_Celle.AP.103430_TMYx.2009-2023.zip</v>
      </c>
    </row>
    <row r="2197" spans="1:10" x14ac:dyDescent="0.25">
      <c r="A2197" t="s">
        <v>1301</v>
      </c>
      <c r="B2197" t="s">
        <v>1149</v>
      </c>
      <c r="C2197" t="s">
        <v>1433</v>
      </c>
      <c r="D2197">
        <v>103430</v>
      </c>
      <c r="E2197" t="s">
        <v>14</v>
      </c>
      <c r="F2197">
        <v>52.595799999999997</v>
      </c>
      <c r="G2197">
        <v>10.029400000000001</v>
      </c>
      <c r="H2197">
        <v>1</v>
      </c>
      <c r="I2197">
        <v>52.6</v>
      </c>
      <c r="J2197" t="str">
        <f>HYPERLINK("https://climate.onebuilding.org/WMO_Region_6_Europe/DEU_Germany/NI_Niedersachsen/DEU_NI_Celle.AP.103430_TMYx.zip")</f>
        <v>https://climate.onebuilding.org/WMO_Region_6_Europe/DEU_Germany/NI_Niedersachsen/DEU_NI_Celle.AP.103430_TMYx.zip</v>
      </c>
    </row>
    <row r="2198" spans="1:10" x14ac:dyDescent="0.25">
      <c r="A2198" t="s">
        <v>1301</v>
      </c>
      <c r="B2198" t="s">
        <v>1149</v>
      </c>
      <c r="C2198" t="s">
        <v>1435</v>
      </c>
      <c r="D2198">
        <v>103480</v>
      </c>
      <c r="E2198" t="s">
        <v>1436</v>
      </c>
      <c r="F2198">
        <v>52.319000000000003</v>
      </c>
      <c r="G2198">
        <v>10.555999999999999</v>
      </c>
      <c r="H2198">
        <v>1</v>
      </c>
      <c r="I2198">
        <v>89.9</v>
      </c>
      <c r="J2198" t="str">
        <f>HYPERLINK("https://climate.onebuilding.org/WMO_Region_6_Europe/DEU_Germany/NI_Niedersachsen/DEU_NI_Braunschweig.103480_TMYx.2004-2018.zip")</f>
        <v>https://climate.onebuilding.org/WMO_Region_6_Europe/DEU_Germany/NI_Niedersachsen/DEU_NI_Braunschweig.103480_TMYx.2004-2018.zip</v>
      </c>
    </row>
    <row r="2199" spans="1:10" x14ac:dyDescent="0.25">
      <c r="A2199" t="s">
        <v>1301</v>
      </c>
      <c r="B2199" t="s">
        <v>1149</v>
      </c>
      <c r="C2199" t="s">
        <v>1435</v>
      </c>
      <c r="D2199">
        <v>103480</v>
      </c>
      <c r="E2199" t="s">
        <v>14</v>
      </c>
      <c r="F2199">
        <v>52.291400000000003</v>
      </c>
      <c r="G2199">
        <v>10.446400000000001</v>
      </c>
      <c r="H2199">
        <v>1</v>
      </c>
      <c r="I2199">
        <v>89.9</v>
      </c>
      <c r="J2199" t="str">
        <f>HYPERLINK("https://climate.onebuilding.org/WMO_Region_6_Europe/DEU_Germany/NI_Niedersachsen/DEU_NI_Braunschweig.103480_TMYx.2007-2021.zip")</f>
        <v>https://climate.onebuilding.org/WMO_Region_6_Europe/DEU_Germany/NI_Niedersachsen/DEU_NI_Braunschweig.103480_TMYx.2007-2021.zip</v>
      </c>
    </row>
    <row r="2200" spans="1:10" x14ac:dyDescent="0.25">
      <c r="A2200" t="s">
        <v>1301</v>
      </c>
      <c r="B2200" t="s">
        <v>1149</v>
      </c>
      <c r="C2200" t="s">
        <v>1435</v>
      </c>
      <c r="D2200">
        <v>103480</v>
      </c>
      <c r="E2200" t="s">
        <v>14</v>
      </c>
      <c r="F2200">
        <v>52.291400000000003</v>
      </c>
      <c r="G2200">
        <v>10.446400000000001</v>
      </c>
      <c r="H2200">
        <v>1</v>
      </c>
      <c r="I2200">
        <v>89.9</v>
      </c>
      <c r="J2200" t="str">
        <f>HYPERLINK("https://climate.onebuilding.org/WMO_Region_6_Europe/DEU_Germany/NI_Niedersachsen/DEU_NI_Braunschweig.103480_TMYx.2009-2023.zip")</f>
        <v>https://climate.onebuilding.org/WMO_Region_6_Europe/DEU_Germany/NI_Niedersachsen/DEU_NI_Braunschweig.103480_TMYx.2009-2023.zip</v>
      </c>
    </row>
    <row r="2201" spans="1:10" x14ac:dyDescent="0.25">
      <c r="A2201" t="s">
        <v>1301</v>
      </c>
      <c r="B2201" t="s">
        <v>1149</v>
      </c>
      <c r="C2201" t="s">
        <v>1435</v>
      </c>
      <c r="D2201">
        <v>103480</v>
      </c>
      <c r="E2201" t="s">
        <v>14</v>
      </c>
      <c r="F2201">
        <v>52.291400000000003</v>
      </c>
      <c r="G2201">
        <v>10.446400000000001</v>
      </c>
      <c r="H2201">
        <v>1</v>
      </c>
      <c r="I2201">
        <v>89.9</v>
      </c>
      <c r="J2201" t="str">
        <f>HYPERLINK("https://climate.onebuilding.org/WMO_Region_6_Europe/DEU_Germany/NI_Niedersachsen/DEU_NI_Braunschweig.103480_TMYx.zip")</f>
        <v>https://climate.onebuilding.org/WMO_Region_6_Europe/DEU_Germany/NI_Niedersachsen/DEU_NI_Braunschweig.103480_TMYx.zip</v>
      </c>
    </row>
    <row r="2202" spans="1:10" x14ac:dyDescent="0.25">
      <c r="A2202" t="s">
        <v>1301</v>
      </c>
      <c r="B2202" t="s">
        <v>210</v>
      </c>
      <c r="C2202" t="s">
        <v>1437</v>
      </c>
      <c r="D2202">
        <v>103590</v>
      </c>
      <c r="E2202" t="s">
        <v>14</v>
      </c>
      <c r="F2202">
        <v>52.512799999999999</v>
      </c>
      <c r="G2202">
        <v>11.3942</v>
      </c>
      <c r="H2202">
        <v>1</v>
      </c>
      <c r="I2202">
        <v>48</v>
      </c>
      <c r="J2202" t="str">
        <f>HYPERLINK("https://climate.onebuilding.org/WMO_Region_6_Europe/DEU_Germany/ST_Sachsen-Anhalt/DEU_ST_Gardelegen.103590_TMYx.zip")</f>
        <v>https://climate.onebuilding.org/WMO_Region_6_Europe/DEU_Germany/ST_Sachsen-Anhalt/DEU_ST_Gardelegen.103590_TMYx.zip</v>
      </c>
    </row>
    <row r="2203" spans="1:10" x14ac:dyDescent="0.25">
      <c r="A2203" t="s">
        <v>1301</v>
      </c>
      <c r="B2203" t="s">
        <v>210</v>
      </c>
      <c r="C2203" t="s">
        <v>1438</v>
      </c>
      <c r="D2203">
        <v>103610</v>
      </c>
      <c r="E2203" t="s">
        <v>14</v>
      </c>
      <c r="F2203">
        <v>52.102800000000002</v>
      </c>
      <c r="G2203">
        <v>11.582800000000001</v>
      </c>
      <c r="H2203">
        <v>1</v>
      </c>
      <c r="I2203">
        <v>85</v>
      </c>
      <c r="J2203" t="str">
        <f>HYPERLINK("https://climate.onebuilding.org/WMO_Region_6_Europe/DEU_Germany/ST_Sachsen-Anhalt/DEU_ST_Magdeburg.103610_TMYx.zip")</f>
        <v>https://climate.onebuilding.org/WMO_Region_6_Europe/DEU_Germany/ST_Sachsen-Anhalt/DEU_ST_Magdeburg.103610_TMYx.zip</v>
      </c>
    </row>
    <row r="2204" spans="1:10" x14ac:dyDescent="0.25">
      <c r="A2204" t="s">
        <v>1301</v>
      </c>
      <c r="B2204" t="s">
        <v>1395</v>
      </c>
      <c r="C2204" t="s">
        <v>1439</v>
      </c>
      <c r="D2204">
        <v>103680</v>
      </c>
      <c r="E2204" t="s">
        <v>14</v>
      </c>
      <c r="F2204">
        <v>52.1205</v>
      </c>
      <c r="G2204">
        <v>12.458600000000001</v>
      </c>
      <c r="H2204">
        <v>1</v>
      </c>
      <c r="I2204">
        <v>187.9</v>
      </c>
      <c r="J2204" t="str">
        <f>HYPERLINK("https://climate.onebuilding.org/WMO_Region_6_Europe/DEU_Germany/BB_Brandenburg/DEU_BB_Wiesenburg.103680_TMYx.zip")</f>
        <v>https://climate.onebuilding.org/WMO_Region_6_Europe/DEU_Germany/BB_Brandenburg/DEU_BB_Wiesenburg.103680_TMYx.zip</v>
      </c>
    </row>
    <row r="2205" spans="1:10" x14ac:dyDescent="0.25">
      <c r="A2205" t="s">
        <v>1301</v>
      </c>
      <c r="B2205" t="s">
        <v>1395</v>
      </c>
      <c r="C2205" t="s">
        <v>1440</v>
      </c>
      <c r="D2205">
        <v>103700</v>
      </c>
      <c r="E2205" t="s">
        <v>14</v>
      </c>
      <c r="F2205">
        <v>52.433</v>
      </c>
      <c r="G2205">
        <v>12.45</v>
      </c>
      <c r="H2205">
        <v>1</v>
      </c>
      <c r="I2205">
        <v>31</v>
      </c>
      <c r="J2205" t="str">
        <f>HYPERLINK("https://climate.onebuilding.org/WMO_Region_6_Europe/DEU_Germany/BB_Brandenburg/DEU_BB_Brandenburg-Briest.AP.103700_TMYx.zip")</f>
        <v>https://climate.onebuilding.org/WMO_Region_6_Europe/DEU_Germany/BB_Brandenburg/DEU_BB_Brandenburg-Briest.AP.103700_TMYx.zip</v>
      </c>
    </row>
    <row r="2206" spans="1:10" x14ac:dyDescent="0.25">
      <c r="A2206" t="s">
        <v>1301</v>
      </c>
      <c r="B2206" t="s">
        <v>1395</v>
      </c>
      <c r="C2206" t="s">
        <v>1441</v>
      </c>
      <c r="D2206">
        <v>103790</v>
      </c>
      <c r="E2206" t="s">
        <v>14</v>
      </c>
      <c r="F2206">
        <v>52.381399999999999</v>
      </c>
      <c r="G2206">
        <v>13.062200000000001</v>
      </c>
      <c r="H2206">
        <v>1</v>
      </c>
      <c r="I2206">
        <v>99.6</v>
      </c>
      <c r="J2206" t="str">
        <f>HYPERLINK("https://climate.onebuilding.org/WMO_Region_6_Europe/DEU_Germany/BB_Brandenburg/DEU_BB_Potsdam.103790_TMYx.zip")</f>
        <v>https://climate.onebuilding.org/WMO_Region_6_Europe/DEU_Germany/BB_Brandenburg/DEU_BB_Potsdam.103790_TMYx.zip</v>
      </c>
    </row>
    <row r="2207" spans="1:10" x14ac:dyDescent="0.25">
      <c r="A2207" t="s">
        <v>1301</v>
      </c>
      <c r="B2207" t="s">
        <v>65</v>
      </c>
      <c r="C2207" t="s">
        <v>1442</v>
      </c>
      <c r="D2207">
        <v>103810</v>
      </c>
      <c r="E2207" t="s">
        <v>14</v>
      </c>
      <c r="F2207">
        <v>52.453600000000002</v>
      </c>
      <c r="G2207">
        <v>13.3017</v>
      </c>
      <c r="H2207">
        <v>1</v>
      </c>
      <c r="I2207">
        <v>80</v>
      </c>
      <c r="J2207" t="str">
        <f>HYPERLINK("https://climate.onebuilding.org/WMO_Region_6_Europe/DEU_Germany/BE_Berlin/DEU_BE_Berlin-Dahlem.103810_TMYx.zip")</f>
        <v>https://climate.onebuilding.org/WMO_Region_6_Europe/DEU_Germany/BE_Berlin/DEU_BE_Berlin-Dahlem.103810_TMYx.zip</v>
      </c>
    </row>
    <row r="2208" spans="1:10" x14ac:dyDescent="0.25">
      <c r="A2208" t="s">
        <v>1301</v>
      </c>
      <c r="B2208" t="s">
        <v>65</v>
      </c>
      <c r="C2208" t="s">
        <v>1443</v>
      </c>
      <c r="D2208">
        <v>103820</v>
      </c>
      <c r="E2208" t="s">
        <v>1444</v>
      </c>
      <c r="F2208">
        <v>52.564399999999999</v>
      </c>
      <c r="G2208">
        <v>13.3089</v>
      </c>
      <c r="H2208">
        <v>1</v>
      </c>
      <c r="I2208">
        <v>36.799999999999997</v>
      </c>
      <c r="J2208" t="str">
        <f>HYPERLINK("https://climate.onebuilding.org/WMO_Region_6_Europe/DEU_Germany/BE_Berlin/DEU_BE_Berlin-Tegel.AP.103820_TMYx.2004-2018.zip")</f>
        <v>https://climate.onebuilding.org/WMO_Region_6_Europe/DEU_Germany/BE_Berlin/DEU_BE_Berlin-Tegel.AP.103820_TMYx.2004-2018.zip</v>
      </c>
    </row>
    <row r="2209" spans="1:10" x14ac:dyDescent="0.25">
      <c r="A2209" t="s">
        <v>1301</v>
      </c>
      <c r="B2209" t="s">
        <v>65</v>
      </c>
      <c r="C2209" t="s">
        <v>1443</v>
      </c>
      <c r="D2209">
        <v>103820</v>
      </c>
      <c r="E2209" t="s">
        <v>14</v>
      </c>
      <c r="F2209">
        <v>52.564399999999999</v>
      </c>
      <c r="G2209">
        <v>13.3089</v>
      </c>
      <c r="H2209">
        <v>1</v>
      </c>
      <c r="I2209">
        <v>36.799999999999997</v>
      </c>
      <c r="J2209" t="str">
        <f>HYPERLINK("https://climate.onebuilding.org/WMO_Region_6_Europe/DEU_Germany/BE_Berlin/DEU_BE_Berlin-Tegel.AP.103820_TMYx.2007-2021.zip")</f>
        <v>https://climate.onebuilding.org/WMO_Region_6_Europe/DEU_Germany/BE_Berlin/DEU_BE_Berlin-Tegel.AP.103820_TMYx.2007-2021.zip</v>
      </c>
    </row>
    <row r="2210" spans="1:10" x14ac:dyDescent="0.25">
      <c r="A2210" t="s">
        <v>1301</v>
      </c>
      <c r="B2210" t="s">
        <v>65</v>
      </c>
      <c r="C2210" t="s">
        <v>1443</v>
      </c>
      <c r="D2210">
        <v>103820</v>
      </c>
      <c r="E2210" t="s">
        <v>14</v>
      </c>
      <c r="F2210">
        <v>52.564399999999999</v>
      </c>
      <c r="G2210">
        <v>13.3089</v>
      </c>
      <c r="H2210">
        <v>1</v>
      </c>
      <c r="I2210">
        <v>36.799999999999997</v>
      </c>
      <c r="J2210" t="str">
        <f>HYPERLINK("https://climate.onebuilding.org/WMO_Region_6_Europe/DEU_Germany/BE_Berlin/DEU_BE_Berlin-Tegel.AP.103820_TMYx.2009-2023.zip")</f>
        <v>https://climate.onebuilding.org/WMO_Region_6_Europe/DEU_Germany/BE_Berlin/DEU_BE_Berlin-Tegel.AP.103820_TMYx.2009-2023.zip</v>
      </c>
    </row>
    <row r="2211" spans="1:10" x14ac:dyDescent="0.25">
      <c r="A2211" t="s">
        <v>1301</v>
      </c>
      <c r="B2211" t="s">
        <v>65</v>
      </c>
      <c r="C2211" t="s">
        <v>1443</v>
      </c>
      <c r="D2211">
        <v>103820</v>
      </c>
      <c r="E2211" t="s">
        <v>14</v>
      </c>
      <c r="F2211">
        <v>52.564399999999999</v>
      </c>
      <c r="G2211">
        <v>13.3089</v>
      </c>
      <c r="H2211">
        <v>1</v>
      </c>
      <c r="I2211">
        <v>36.799999999999997</v>
      </c>
      <c r="J2211" t="str">
        <f>HYPERLINK("https://climate.onebuilding.org/WMO_Region_6_Europe/DEU_Germany/BE_Berlin/DEU_BE_Berlin-Tegel.AP.103820_TMYx.zip")</f>
        <v>https://climate.onebuilding.org/WMO_Region_6_Europe/DEU_Germany/BE_Berlin/DEU_BE_Berlin-Tegel.AP.103820_TMYx.zip</v>
      </c>
    </row>
    <row r="2212" spans="1:10" x14ac:dyDescent="0.25">
      <c r="A2212" t="s">
        <v>1301</v>
      </c>
      <c r="B2212" t="s">
        <v>65</v>
      </c>
      <c r="C2212" t="s">
        <v>1445</v>
      </c>
      <c r="D2212">
        <v>103840</v>
      </c>
      <c r="E2212" t="s">
        <v>14</v>
      </c>
      <c r="F2212">
        <v>52.467500000000001</v>
      </c>
      <c r="G2212">
        <v>13.402200000000001</v>
      </c>
      <c r="H2212">
        <v>1</v>
      </c>
      <c r="I2212">
        <v>49</v>
      </c>
      <c r="J2212" t="str">
        <f>HYPERLINK("https://climate.onebuilding.org/WMO_Region_6_Europe/DEU_Germany/BE_Berlin/DEU_BE_Berlin-Tempelhof.AP.103840_TMYx.zip")</f>
        <v>https://climate.onebuilding.org/WMO_Region_6_Europe/DEU_Germany/BE_Berlin/DEU_BE_Berlin-Tempelhof.AP.103840_TMYx.zip</v>
      </c>
    </row>
    <row r="2213" spans="1:10" x14ac:dyDescent="0.25">
      <c r="A2213" t="s">
        <v>1301</v>
      </c>
      <c r="B2213" t="s">
        <v>65</v>
      </c>
      <c r="C2213" t="s">
        <v>1446</v>
      </c>
      <c r="D2213">
        <v>103850</v>
      </c>
      <c r="E2213" t="s">
        <v>1447</v>
      </c>
      <c r="F2213">
        <v>52.380800000000001</v>
      </c>
      <c r="G2213">
        <v>13.5306</v>
      </c>
      <c r="H2213">
        <v>1</v>
      </c>
      <c r="I2213">
        <v>50.3</v>
      </c>
      <c r="J2213" t="str">
        <f>HYPERLINK("https://climate.onebuilding.org/WMO_Region_6_Europe/DEU_Germany/BE_Berlin/DEU_BE_Berlin-Schonefeld.AP.103850_TMYx.2004-2018.zip")</f>
        <v>https://climate.onebuilding.org/WMO_Region_6_Europe/DEU_Germany/BE_Berlin/DEU_BE_Berlin-Schonefeld.AP.103850_TMYx.2004-2018.zip</v>
      </c>
    </row>
    <row r="2214" spans="1:10" x14ac:dyDescent="0.25">
      <c r="A2214" t="s">
        <v>1301</v>
      </c>
      <c r="B2214" t="s">
        <v>65</v>
      </c>
      <c r="C2214" t="s">
        <v>1446</v>
      </c>
      <c r="D2214">
        <v>103850</v>
      </c>
      <c r="E2214" t="s">
        <v>14</v>
      </c>
      <c r="F2214">
        <v>52.380800000000001</v>
      </c>
      <c r="G2214">
        <v>13.5306</v>
      </c>
      <c r="H2214">
        <v>1</v>
      </c>
      <c r="I2214">
        <v>50.3</v>
      </c>
      <c r="J2214" t="str">
        <f>HYPERLINK("https://climate.onebuilding.org/WMO_Region_6_Europe/DEU_Germany/BE_Berlin/DEU_BE_Berlin-Schonefeld.AP.103850_TMYx.2007-2021.zip")</f>
        <v>https://climate.onebuilding.org/WMO_Region_6_Europe/DEU_Germany/BE_Berlin/DEU_BE_Berlin-Schonefeld.AP.103850_TMYx.2007-2021.zip</v>
      </c>
    </row>
    <row r="2215" spans="1:10" x14ac:dyDescent="0.25">
      <c r="A2215" t="s">
        <v>1301</v>
      </c>
      <c r="B2215" t="s">
        <v>65</v>
      </c>
      <c r="C2215" t="s">
        <v>1446</v>
      </c>
      <c r="D2215">
        <v>103850</v>
      </c>
      <c r="E2215" t="s">
        <v>14</v>
      </c>
      <c r="F2215">
        <v>52.380800000000001</v>
      </c>
      <c r="G2215">
        <v>13.5306</v>
      </c>
      <c r="H2215">
        <v>1</v>
      </c>
      <c r="I2215">
        <v>50.3</v>
      </c>
      <c r="J2215" t="str">
        <f>HYPERLINK("https://climate.onebuilding.org/WMO_Region_6_Europe/DEU_Germany/BE_Berlin/DEU_BE_Berlin-Schonefeld.AP.103850_TMYx.2009-2023.zip")</f>
        <v>https://climate.onebuilding.org/WMO_Region_6_Europe/DEU_Germany/BE_Berlin/DEU_BE_Berlin-Schonefeld.AP.103850_TMYx.2009-2023.zip</v>
      </c>
    </row>
    <row r="2216" spans="1:10" x14ac:dyDescent="0.25">
      <c r="A2216" t="s">
        <v>1301</v>
      </c>
      <c r="B2216" t="s">
        <v>65</v>
      </c>
      <c r="C2216" t="s">
        <v>1446</v>
      </c>
      <c r="D2216">
        <v>103850</v>
      </c>
      <c r="E2216" t="s">
        <v>14</v>
      </c>
      <c r="F2216">
        <v>52.380800000000001</v>
      </c>
      <c r="G2216">
        <v>13.5306</v>
      </c>
      <c r="H2216">
        <v>1</v>
      </c>
      <c r="I2216">
        <v>50.3</v>
      </c>
      <c r="J2216" t="str">
        <f>HYPERLINK("https://climate.onebuilding.org/WMO_Region_6_Europe/DEU_Germany/BE_Berlin/DEU_BE_Berlin-Schonefeld.AP.103850_TMYx.zip")</f>
        <v>https://climate.onebuilding.org/WMO_Region_6_Europe/DEU_Germany/BE_Berlin/DEU_BE_Berlin-Schonefeld.AP.103850_TMYx.zip</v>
      </c>
    </row>
    <row r="2217" spans="1:10" x14ac:dyDescent="0.25">
      <c r="A2217" t="s">
        <v>1301</v>
      </c>
      <c r="B2217" t="s">
        <v>1448</v>
      </c>
      <c r="C2217" t="s">
        <v>1449</v>
      </c>
      <c r="D2217">
        <v>103930</v>
      </c>
      <c r="E2217" t="s">
        <v>14</v>
      </c>
      <c r="F2217">
        <v>52.208599999999997</v>
      </c>
      <c r="G2217">
        <v>14.1181</v>
      </c>
      <c r="H2217">
        <v>1</v>
      </c>
      <c r="I2217">
        <v>103.8</v>
      </c>
      <c r="J2217" t="str">
        <f>HYPERLINK("https://climate.onebuilding.org/WMO_Region_6_Europe/DEU_Germany/BY_Bayern/DEU_BY_Lindenberg.103930_TMYx.zip")</f>
        <v>https://climate.onebuilding.org/WMO_Region_6_Europe/DEU_Germany/BY_Bayern/DEU_BY_Lindenberg.103930_TMYx.zip</v>
      </c>
    </row>
    <row r="2218" spans="1:10" x14ac:dyDescent="0.25">
      <c r="A2218" t="s">
        <v>1301</v>
      </c>
      <c r="B2218" t="s">
        <v>1395</v>
      </c>
      <c r="C2218" t="s">
        <v>1450</v>
      </c>
      <c r="D2218">
        <v>103950</v>
      </c>
      <c r="E2218" t="s">
        <v>14</v>
      </c>
      <c r="F2218">
        <v>52.167000000000002</v>
      </c>
      <c r="G2218">
        <v>14.117000000000001</v>
      </c>
      <c r="H2218">
        <v>1</v>
      </c>
      <c r="I2218">
        <v>71</v>
      </c>
      <c r="J2218" t="str">
        <f>HYPERLINK("https://climate.onebuilding.org/WMO_Region_6_Europe/DEU_Germany/BB_Brandenburg/DEU_BB_Trollenberg.Beeskow.103950_TMYx.zip")</f>
        <v>https://climate.onebuilding.org/WMO_Region_6_Europe/DEU_Germany/BB_Brandenburg/DEU_BB_Trollenberg.Beeskow.103950_TMYx.zip</v>
      </c>
    </row>
    <row r="2219" spans="1:10" x14ac:dyDescent="0.25">
      <c r="A2219" t="s">
        <v>1301</v>
      </c>
      <c r="B2219" t="s">
        <v>1451</v>
      </c>
      <c r="C2219" t="s">
        <v>1452</v>
      </c>
      <c r="D2219">
        <v>103980</v>
      </c>
      <c r="E2219" t="s">
        <v>14</v>
      </c>
      <c r="F2219">
        <v>52.366999999999997</v>
      </c>
      <c r="G2219">
        <v>14.516999999999999</v>
      </c>
      <c r="H2219">
        <v>1</v>
      </c>
      <c r="I2219">
        <v>49.1</v>
      </c>
      <c r="J2219" t="str">
        <f>HYPERLINK("https://climate.onebuilding.org/WMO_Region_6_Europe/DEU_Germany/HE_Hessen/DEU_HE_Frankfurt.Oder.103980_TMYx.zip")</f>
        <v>https://climate.onebuilding.org/WMO_Region_6_Europe/DEU_Germany/HE_Hessen/DEU_HE_Frankfurt.Oder.103980_TMYx.zip</v>
      </c>
    </row>
    <row r="2220" spans="1:10" x14ac:dyDescent="0.25">
      <c r="A2220" t="s">
        <v>1301</v>
      </c>
      <c r="B2220" t="s">
        <v>855</v>
      </c>
      <c r="C2220" t="s">
        <v>1453</v>
      </c>
      <c r="D2220">
        <v>104000</v>
      </c>
      <c r="E2220" t="s">
        <v>1454</v>
      </c>
      <c r="F2220">
        <v>51.2958</v>
      </c>
      <c r="G2220">
        <v>6.7686000000000002</v>
      </c>
      <c r="H2220">
        <v>1</v>
      </c>
      <c r="I2220">
        <v>40.6</v>
      </c>
      <c r="J2220" t="str">
        <f>HYPERLINK("https://climate.onebuilding.org/WMO_Region_6_Europe/DEU_Germany/NW_Nordrhein-Westfalen/DEU_NW_Dusseldorf.AP.104000_TMYx.2004-2018.zip")</f>
        <v>https://climate.onebuilding.org/WMO_Region_6_Europe/DEU_Germany/NW_Nordrhein-Westfalen/DEU_NW_Dusseldorf.AP.104000_TMYx.2004-2018.zip</v>
      </c>
    </row>
    <row r="2221" spans="1:10" x14ac:dyDescent="0.25">
      <c r="A2221" t="s">
        <v>1301</v>
      </c>
      <c r="B2221" t="s">
        <v>855</v>
      </c>
      <c r="C2221" t="s">
        <v>1453</v>
      </c>
      <c r="D2221">
        <v>104000</v>
      </c>
      <c r="E2221" t="s">
        <v>14</v>
      </c>
      <c r="F2221">
        <v>51.2958</v>
      </c>
      <c r="G2221">
        <v>6.7686000000000002</v>
      </c>
      <c r="H2221">
        <v>1</v>
      </c>
      <c r="I2221">
        <v>40.6</v>
      </c>
      <c r="J2221" t="str">
        <f>HYPERLINK("https://climate.onebuilding.org/WMO_Region_6_Europe/DEU_Germany/NW_Nordrhein-Westfalen/DEU_NW_Dusseldorf.AP.104000_TMYx.2007-2021.zip")</f>
        <v>https://climate.onebuilding.org/WMO_Region_6_Europe/DEU_Germany/NW_Nordrhein-Westfalen/DEU_NW_Dusseldorf.AP.104000_TMYx.2007-2021.zip</v>
      </c>
    </row>
    <row r="2222" spans="1:10" x14ac:dyDescent="0.25">
      <c r="A2222" t="s">
        <v>1301</v>
      </c>
      <c r="B2222" t="s">
        <v>855</v>
      </c>
      <c r="C2222" t="s">
        <v>1453</v>
      </c>
      <c r="D2222">
        <v>104000</v>
      </c>
      <c r="E2222" t="s">
        <v>14</v>
      </c>
      <c r="F2222">
        <v>51.2958</v>
      </c>
      <c r="G2222">
        <v>6.7686000000000002</v>
      </c>
      <c r="H2222">
        <v>1</v>
      </c>
      <c r="I2222">
        <v>40.6</v>
      </c>
      <c r="J2222" t="str">
        <f>HYPERLINK("https://climate.onebuilding.org/WMO_Region_6_Europe/DEU_Germany/NW_Nordrhein-Westfalen/DEU_NW_Dusseldorf.AP.104000_TMYx.2009-2023.zip")</f>
        <v>https://climate.onebuilding.org/WMO_Region_6_Europe/DEU_Germany/NW_Nordrhein-Westfalen/DEU_NW_Dusseldorf.AP.104000_TMYx.2009-2023.zip</v>
      </c>
    </row>
    <row r="2223" spans="1:10" x14ac:dyDescent="0.25">
      <c r="A2223" t="s">
        <v>1301</v>
      </c>
      <c r="B2223" t="s">
        <v>855</v>
      </c>
      <c r="C2223" t="s">
        <v>1453</v>
      </c>
      <c r="D2223">
        <v>104000</v>
      </c>
      <c r="E2223" t="s">
        <v>14</v>
      </c>
      <c r="F2223">
        <v>51.2958</v>
      </c>
      <c r="G2223">
        <v>6.7686000000000002</v>
      </c>
      <c r="H2223">
        <v>1</v>
      </c>
      <c r="I2223">
        <v>40.6</v>
      </c>
      <c r="J2223" t="str">
        <f>HYPERLINK("https://climate.onebuilding.org/WMO_Region_6_Europe/DEU_Germany/NW_Nordrhein-Westfalen/DEU_NW_Dusseldorf.AP.104000_TMYx.zip")</f>
        <v>https://climate.onebuilding.org/WMO_Region_6_Europe/DEU_Germany/NW_Nordrhein-Westfalen/DEU_NW_Dusseldorf.AP.104000_TMYx.zip</v>
      </c>
    </row>
    <row r="2224" spans="1:10" x14ac:dyDescent="0.25">
      <c r="A2224" t="s">
        <v>1301</v>
      </c>
      <c r="B2224" t="s">
        <v>855</v>
      </c>
      <c r="C2224" t="s">
        <v>1455</v>
      </c>
      <c r="D2224">
        <v>104010</v>
      </c>
      <c r="E2224" t="s">
        <v>14</v>
      </c>
      <c r="F2224">
        <v>51.2</v>
      </c>
      <c r="G2224">
        <v>6.133</v>
      </c>
      <c r="H2224">
        <v>1</v>
      </c>
      <c r="I2224">
        <v>76</v>
      </c>
      <c r="J2224" t="str">
        <f>HYPERLINK("https://climate.onebuilding.org/WMO_Region_6_Europe/DEU_Germany/NW_Nordrhein-Westfalen/DEU_NW_Bruggen.AB.104010_TMYx.zip")</f>
        <v>https://climate.onebuilding.org/WMO_Region_6_Europe/DEU_Germany/NW_Nordrhein-Westfalen/DEU_NW_Bruggen.AB.104010_TMYx.zip</v>
      </c>
    </row>
    <row r="2225" spans="1:10" x14ac:dyDescent="0.25">
      <c r="A2225" t="s">
        <v>1301</v>
      </c>
      <c r="B2225" t="s">
        <v>855</v>
      </c>
      <c r="C2225" t="s">
        <v>1456</v>
      </c>
      <c r="D2225">
        <v>104020</v>
      </c>
      <c r="E2225" t="s">
        <v>14</v>
      </c>
      <c r="F2225">
        <v>51.116999999999997</v>
      </c>
      <c r="G2225">
        <v>6.2169999999999996</v>
      </c>
      <c r="H2225">
        <v>1</v>
      </c>
      <c r="I2225">
        <v>89</v>
      </c>
      <c r="J2225" t="str">
        <f>HYPERLINK("https://climate.onebuilding.org/WMO_Region_6_Europe/DEU_Germany/NW_Nordrhein-Westfalen/DEU_NW_Wildenrath.104020_TMYx.zip")</f>
        <v>https://climate.onebuilding.org/WMO_Region_6_Europe/DEU_Germany/NW_Nordrhein-Westfalen/DEU_NW_Wildenrath.104020_TMYx.zip</v>
      </c>
    </row>
    <row r="2226" spans="1:10" x14ac:dyDescent="0.25">
      <c r="A2226" t="s">
        <v>1301</v>
      </c>
      <c r="B2226" t="s">
        <v>855</v>
      </c>
      <c r="C2226" t="s">
        <v>1457</v>
      </c>
      <c r="D2226">
        <v>104040</v>
      </c>
      <c r="E2226" t="s">
        <v>1458</v>
      </c>
      <c r="F2226">
        <v>51.75</v>
      </c>
      <c r="G2226">
        <v>6.2830000000000004</v>
      </c>
      <c r="H2226">
        <v>1</v>
      </c>
      <c r="I2226">
        <v>43</v>
      </c>
      <c r="J2226" t="str">
        <f>HYPERLINK("https://climate.onebuilding.org/WMO_Region_6_Europe/DEU_Germany/NW_Nordrhein-Westfalen/DEU_NW_Kalkar.104040_TMYx.2004-2018.zip")</f>
        <v>https://climate.onebuilding.org/WMO_Region_6_Europe/DEU_Germany/NW_Nordrhein-Westfalen/DEU_NW_Kalkar.104040_TMYx.2004-2018.zip</v>
      </c>
    </row>
    <row r="2227" spans="1:10" x14ac:dyDescent="0.25">
      <c r="A2227" t="s">
        <v>1301</v>
      </c>
      <c r="B2227" t="s">
        <v>855</v>
      </c>
      <c r="C2227" t="s">
        <v>1457</v>
      </c>
      <c r="D2227">
        <v>104040</v>
      </c>
      <c r="E2227" t="s">
        <v>14</v>
      </c>
      <c r="F2227">
        <v>51.75</v>
      </c>
      <c r="G2227">
        <v>6.2830000000000004</v>
      </c>
      <c r="H2227">
        <v>1</v>
      </c>
      <c r="I2227">
        <v>43</v>
      </c>
      <c r="J2227" t="str">
        <f>HYPERLINK("https://climate.onebuilding.org/WMO_Region_6_Europe/DEU_Germany/NW_Nordrhein-Westfalen/DEU_NW_Kalkar.104040_TMYx.2007-2021.zip")</f>
        <v>https://climate.onebuilding.org/WMO_Region_6_Europe/DEU_Germany/NW_Nordrhein-Westfalen/DEU_NW_Kalkar.104040_TMYx.2007-2021.zip</v>
      </c>
    </row>
    <row r="2228" spans="1:10" x14ac:dyDescent="0.25">
      <c r="A2228" t="s">
        <v>1301</v>
      </c>
      <c r="B2228" t="s">
        <v>855</v>
      </c>
      <c r="C2228" t="s">
        <v>1457</v>
      </c>
      <c r="D2228">
        <v>104040</v>
      </c>
      <c r="E2228" t="s">
        <v>14</v>
      </c>
      <c r="F2228">
        <v>51.75</v>
      </c>
      <c r="G2228">
        <v>6.2830000000000004</v>
      </c>
      <c r="H2228">
        <v>1</v>
      </c>
      <c r="I2228">
        <v>43</v>
      </c>
      <c r="J2228" t="str">
        <f>HYPERLINK("https://climate.onebuilding.org/WMO_Region_6_Europe/DEU_Germany/NW_Nordrhein-Westfalen/DEU_NW_Kalkar.104040_TMYx.2009-2023.zip")</f>
        <v>https://climate.onebuilding.org/WMO_Region_6_Europe/DEU_Germany/NW_Nordrhein-Westfalen/DEU_NW_Kalkar.104040_TMYx.2009-2023.zip</v>
      </c>
    </row>
    <row r="2229" spans="1:10" x14ac:dyDescent="0.25">
      <c r="A2229" t="s">
        <v>1301</v>
      </c>
      <c r="B2229" t="s">
        <v>855</v>
      </c>
      <c r="C2229" t="s">
        <v>1457</v>
      </c>
      <c r="D2229">
        <v>104040</v>
      </c>
      <c r="E2229" t="s">
        <v>14</v>
      </c>
      <c r="F2229">
        <v>51.75</v>
      </c>
      <c r="G2229">
        <v>6.2830000000000004</v>
      </c>
      <c r="H2229">
        <v>1</v>
      </c>
      <c r="I2229">
        <v>43</v>
      </c>
      <c r="J2229" t="str">
        <f>HYPERLINK("https://climate.onebuilding.org/WMO_Region_6_Europe/DEU_Germany/NW_Nordrhein-Westfalen/DEU_NW_Kalkar.104040_TMYx.zip")</f>
        <v>https://climate.onebuilding.org/WMO_Region_6_Europe/DEU_Germany/NW_Nordrhein-Westfalen/DEU_NW_Kalkar.104040_TMYx.zip</v>
      </c>
    </row>
    <row r="2230" spans="1:10" x14ac:dyDescent="0.25">
      <c r="A2230" t="s">
        <v>1301</v>
      </c>
      <c r="B2230" t="s">
        <v>855</v>
      </c>
      <c r="C2230" t="s">
        <v>1459</v>
      </c>
      <c r="D2230">
        <v>104060</v>
      </c>
      <c r="E2230" t="s">
        <v>14</v>
      </c>
      <c r="F2230">
        <v>51.832999999999998</v>
      </c>
      <c r="G2230">
        <v>6.5330000000000004</v>
      </c>
      <c r="H2230">
        <v>1</v>
      </c>
      <c r="I2230">
        <v>25</v>
      </c>
      <c r="J2230" t="str">
        <f>HYPERLINK("https://climate.onebuilding.org/WMO_Region_6_Europe/DEU_Germany/NW_Nordrhein-Westfalen/DEU_NW_Bocholt.104060_TMYx.zip")</f>
        <v>https://climate.onebuilding.org/WMO_Region_6_Europe/DEU_Germany/NW_Nordrhein-Westfalen/DEU_NW_Bocholt.104060_TMYx.zip</v>
      </c>
    </row>
    <row r="2231" spans="1:10" x14ac:dyDescent="0.25">
      <c r="A2231" t="s">
        <v>1301</v>
      </c>
      <c r="B2231" t="s">
        <v>855</v>
      </c>
      <c r="C2231" t="s">
        <v>1460</v>
      </c>
      <c r="D2231">
        <v>104100</v>
      </c>
      <c r="E2231" t="s">
        <v>14</v>
      </c>
      <c r="F2231">
        <v>51.404200000000003</v>
      </c>
      <c r="G2231">
        <v>6.9678000000000004</v>
      </c>
      <c r="H2231">
        <v>1</v>
      </c>
      <c r="I2231">
        <v>149.80000000000001</v>
      </c>
      <c r="J2231" t="str">
        <f>HYPERLINK("https://climate.onebuilding.org/WMO_Region_6_Europe/DEU_Germany/NW_Nordrhein-Westfalen/DEU_NW_Essen.DWD.104100_TMYx.zip")</f>
        <v>https://climate.onebuilding.org/WMO_Region_6_Europe/DEU_Germany/NW_Nordrhein-Westfalen/DEU_NW_Essen.DWD.104100_TMYx.zip</v>
      </c>
    </row>
    <row r="2232" spans="1:10" x14ac:dyDescent="0.25">
      <c r="A2232" t="s">
        <v>1301</v>
      </c>
      <c r="B2232" t="s">
        <v>855</v>
      </c>
      <c r="C2232" t="s">
        <v>1461</v>
      </c>
      <c r="D2232">
        <v>104160</v>
      </c>
      <c r="E2232" t="s">
        <v>1462</v>
      </c>
      <c r="F2232">
        <v>51.518000000000001</v>
      </c>
      <c r="G2232">
        <v>7.6120000000000001</v>
      </c>
      <c r="H2232">
        <v>1</v>
      </c>
      <c r="I2232">
        <v>129.5</v>
      </c>
      <c r="J2232" t="str">
        <f>HYPERLINK("https://climate.onebuilding.org/WMO_Region_6_Europe/DEU_Germany/NW_Nordrhein-Westfalen/DEU_NW_Dortmund.AP.104160_TMYx.2004-2018.zip")</f>
        <v>https://climate.onebuilding.org/WMO_Region_6_Europe/DEU_Germany/NW_Nordrhein-Westfalen/DEU_NW_Dortmund.AP.104160_TMYx.2004-2018.zip</v>
      </c>
    </row>
    <row r="2233" spans="1:10" x14ac:dyDescent="0.25">
      <c r="A2233" t="s">
        <v>1301</v>
      </c>
      <c r="B2233" t="s">
        <v>855</v>
      </c>
      <c r="C2233" t="s">
        <v>1461</v>
      </c>
      <c r="D2233">
        <v>104160</v>
      </c>
      <c r="E2233" t="s">
        <v>14</v>
      </c>
      <c r="F2233">
        <v>51.518000000000001</v>
      </c>
      <c r="G2233">
        <v>7.6120000000000001</v>
      </c>
      <c r="H2233">
        <v>1</v>
      </c>
      <c r="I2233">
        <v>129.5</v>
      </c>
      <c r="J2233" t="str">
        <f>HYPERLINK("https://climate.onebuilding.org/WMO_Region_6_Europe/DEU_Germany/NW_Nordrhein-Westfalen/DEU_NW_Dortmund.AP.104160_TMYx.2007-2021.zip")</f>
        <v>https://climate.onebuilding.org/WMO_Region_6_Europe/DEU_Germany/NW_Nordrhein-Westfalen/DEU_NW_Dortmund.AP.104160_TMYx.2007-2021.zip</v>
      </c>
    </row>
    <row r="2234" spans="1:10" x14ac:dyDescent="0.25">
      <c r="A2234" t="s">
        <v>1301</v>
      </c>
      <c r="B2234" t="s">
        <v>855</v>
      </c>
      <c r="C2234" t="s">
        <v>1461</v>
      </c>
      <c r="D2234">
        <v>104160</v>
      </c>
      <c r="E2234" t="s">
        <v>14</v>
      </c>
      <c r="F2234">
        <v>51.518000000000001</v>
      </c>
      <c r="G2234">
        <v>7.6120000000000001</v>
      </c>
      <c r="H2234">
        <v>1</v>
      </c>
      <c r="I2234">
        <v>129.5</v>
      </c>
      <c r="J2234" t="str">
        <f>HYPERLINK("https://climate.onebuilding.org/WMO_Region_6_Europe/DEU_Germany/NW_Nordrhein-Westfalen/DEU_NW_Dortmund.AP.104160_TMYx.2009-2023.zip")</f>
        <v>https://climate.onebuilding.org/WMO_Region_6_Europe/DEU_Germany/NW_Nordrhein-Westfalen/DEU_NW_Dortmund.AP.104160_TMYx.2009-2023.zip</v>
      </c>
    </row>
    <row r="2235" spans="1:10" x14ac:dyDescent="0.25">
      <c r="A2235" t="s">
        <v>1301</v>
      </c>
      <c r="B2235" t="s">
        <v>855</v>
      </c>
      <c r="C2235" t="s">
        <v>1461</v>
      </c>
      <c r="D2235">
        <v>104160</v>
      </c>
      <c r="E2235" t="s">
        <v>14</v>
      </c>
      <c r="F2235">
        <v>51.518000000000001</v>
      </c>
      <c r="G2235">
        <v>7.6120000000000001</v>
      </c>
      <c r="H2235">
        <v>1</v>
      </c>
      <c r="I2235">
        <v>129.5</v>
      </c>
      <c r="J2235" t="str">
        <f>HYPERLINK("https://climate.onebuilding.org/WMO_Region_6_Europe/DEU_Germany/NW_Nordrhein-Westfalen/DEU_NW_Dortmund.AP.104160_TMYx.zip")</f>
        <v>https://climate.onebuilding.org/WMO_Region_6_Europe/DEU_Germany/NW_Nordrhein-Westfalen/DEU_NW_Dortmund.AP.104160_TMYx.zip</v>
      </c>
    </row>
    <row r="2236" spans="1:10" x14ac:dyDescent="0.25">
      <c r="A2236" t="s">
        <v>1301</v>
      </c>
      <c r="B2236" t="s">
        <v>855</v>
      </c>
      <c r="C2236" t="s">
        <v>1463</v>
      </c>
      <c r="D2236">
        <v>104180</v>
      </c>
      <c r="E2236" t="s">
        <v>1464</v>
      </c>
      <c r="F2236">
        <v>51.2453</v>
      </c>
      <c r="G2236">
        <v>7.6425000000000001</v>
      </c>
      <c r="H2236">
        <v>1</v>
      </c>
      <c r="I2236">
        <v>389.4</v>
      </c>
      <c r="J2236" t="str">
        <f>HYPERLINK("https://climate.onebuilding.org/WMO_Region_6_Europe/DEU_Germany/NW_Nordrhein-Westfalen/DEU_NW_Luedenscheid.104180_TMYx.2004-2018.zip")</f>
        <v>https://climate.onebuilding.org/WMO_Region_6_Europe/DEU_Germany/NW_Nordrhein-Westfalen/DEU_NW_Luedenscheid.104180_TMYx.2004-2018.zip</v>
      </c>
    </row>
    <row r="2237" spans="1:10" x14ac:dyDescent="0.25">
      <c r="A2237" t="s">
        <v>1301</v>
      </c>
      <c r="B2237" t="s">
        <v>855</v>
      </c>
      <c r="C2237" t="s">
        <v>1463</v>
      </c>
      <c r="D2237">
        <v>104180</v>
      </c>
      <c r="E2237" t="s">
        <v>14</v>
      </c>
      <c r="F2237">
        <v>51.2453</v>
      </c>
      <c r="G2237">
        <v>7.6425000000000001</v>
      </c>
      <c r="H2237">
        <v>1</v>
      </c>
      <c r="I2237">
        <v>389.4</v>
      </c>
      <c r="J2237" t="str">
        <f>HYPERLINK("https://climate.onebuilding.org/WMO_Region_6_Europe/DEU_Germany/NW_Nordrhein-Westfalen/DEU_NW_Luedenscheid.104180_TMYx.2007-2021.zip")</f>
        <v>https://climate.onebuilding.org/WMO_Region_6_Europe/DEU_Germany/NW_Nordrhein-Westfalen/DEU_NW_Luedenscheid.104180_TMYx.2007-2021.zip</v>
      </c>
    </row>
    <row r="2238" spans="1:10" x14ac:dyDescent="0.25">
      <c r="A2238" t="s">
        <v>1301</v>
      </c>
      <c r="B2238" t="s">
        <v>855</v>
      </c>
      <c r="C2238" t="s">
        <v>1463</v>
      </c>
      <c r="D2238">
        <v>104180</v>
      </c>
      <c r="E2238" t="s">
        <v>14</v>
      </c>
      <c r="F2238">
        <v>51.2453</v>
      </c>
      <c r="G2238">
        <v>7.6425000000000001</v>
      </c>
      <c r="H2238">
        <v>1</v>
      </c>
      <c r="I2238">
        <v>389.4</v>
      </c>
      <c r="J2238" t="str">
        <f>HYPERLINK("https://climate.onebuilding.org/WMO_Region_6_Europe/DEU_Germany/NW_Nordrhein-Westfalen/DEU_NW_Luedenscheid.104180_TMYx.zip")</f>
        <v>https://climate.onebuilding.org/WMO_Region_6_Europe/DEU_Germany/NW_Nordrhein-Westfalen/DEU_NW_Luedenscheid.104180_TMYx.zip</v>
      </c>
    </row>
    <row r="2239" spans="1:10" x14ac:dyDescent="0.25">
      <c r="A2239" t="s">
        <v>1301</v>
      </c>
      <c r="B2239" t="s">
        <v>855</v>
      </c>
      <c r="C2239" t="s">
        <v>1465</v>
      </c>
      <c r="D2239">
        <v>104240</v>
      </c>
      <c r="E2239" t="s">
        <v>1466</v>
      </c>
      <c r="F2239">
        <v>51.5764</v>
      </c>
      <c r="G2239">
        <v>7.8880999999999997</v>
      </c>
      <c r="H2239">
        <v>1</v>
      </c>
      <c r="I2239">
        <v>86.2</v>
      </c>
      <c r="J2239" t="str">
        <f>HYPERLINK("https://climate.onebuilding.org/WMO_Region_6_Europe/DEU_Germany/NW_Nordrhein-Westfalen/DEU_NW_Werl.104240_TMYx.2004-2018.zip")</f>
        <v>https://climate.onebuilding.org/WMO_Region_6_Europe/DEU_Germany/NW_Nordrhein-Westfalen/DEU_NW_Werl.104240_TMYx.2004-2018.zip</v>
      </c>
    </row>
    <row r="2240" spans="1:10" x14ac:dyDescent="0.25">
      <c r="A2240" t="s">
        <v>1301</v>
      </c>
      <c r="B2240" t="s">
        <v>855</v>
      </c>
      <c r="C2240" t="s">
        <v>1465</v>
      </c>
      <c r="D2240">
        <v>104240</v>
      </c>
      <c r="E2240" t="s">
        <v>14</v>
      </c>
      <c r="F2240">
        <v>51.5764</v>
      </c>
      <c r="G2240">
        <v>7.8880999999999997</v>
      </c>
      <c r="H2240">
        <v>1</v>
      </c>
      <c r="I2240">
        <v>86.2</v>
      </c>
      <c r="J2240" t="str">
        <f>HYPERLINK("https://climate.onebuilding.org/WMO_Region_6_Europe/DEU_Germany/NW_Nordrhein-Westfalen/DEU_NW_Werl.104240_TMYx.2007-2021.zip")</f>
        <v>https://climate.onebuilding.org/WMO_Region_6_Europe/DEU_Germany/NW_Nordrhein-Westfalen/DEU_NW_Werl.104240_TMYx.2007-2021.zip</v>
      </c>
    </row>
    <row r="2241" spans="1:10" x14ac:dyDescent="0.25">
      <c r="A2241" t="s">
        <v>1301</v>
      </c>
      <c r="B2241" t="s">
        <v>855</v>
      </c>
      <c r="C2241" t="s">
        <v>1465</v>
      </c>
      <c r="D2241">
        <v>104240</v>
      </c>
      <c r="E2241" t="s">
        <v>14</v>
      </c>
      <c r="F2241">
        <v>51.5764</v>
      </c>
      <c r="G2241">
        <v>7.8880999999999997</v>
      </c>
      <c r="H2241">
        <v>1</v>
      </c>
      <c r="I2241">
        <v>86.2</v>
      </c>
      <c r="J2241" t="str">
        <f>HYPERLINK("https://climate.onebuilding.org/WMO_Region_6_Europe/DEU_Germany/NW_Nordrhein-Westfalen/DEU_NW_Werl.104240_TMYx.zip")</f>
        <v>https://climate.onebuilding.org/WMO_Region_6_Europe/DEU_Germany/NW_Nordrhein-Westfalen/DEU_NW_Werl.104240_TMYx.zip</v>
      </c>
    </row>
    <row r="2242" spans="1:10" x14ac:dyDescent="0.25">
      <c r="A2242" t="s">
        <v>1301</v>
      </c>
      <c r="B2242" t="s">
        <v>855</v>
      </c>
      <c r="C2242" t="s">
        <v>1467</v>
      </c>
      <c r="D2242">
        <v>104260</v>
      </c>
      <c r="E2242" t="s">
        <v>1468</v>
      </c>
      <c r="F2242">
        <v>51.613999999999997</v>
      </c>
      <c r="G2242">
        <v>8.6159999999999997</v>
      </c>
      <c r="H2242">
        <v>1</v>
      </c>
      <c r="I2242">
        <v>213.1</v>
      </c>
      <c r="J2242" t="str">
        <f>HYPERLINK("https://climate.onebuilding.org/WMO_Region_6_Europe/DEU_Germany/NW_Nordrhein-Westfalen/DEU_NW_Paderborn.Lippstadt.AP.104260_TMYx.2004-2018.zip")</f>
        <v>https://climate.onebuilding.org/WMO_Region_6_Europe/DEU_Germany/NW_Nordrhein-Westfalen/DEU_NW_Paderborn.Lippstadt.AP.104260_TMYx.2004-2018.zip</v>
      </c>
    </row>
    <row r="2243" spans="1:10" x14ac:dyDescent="0.25">
      <c r="A2243" t="s">
        <v>1301</v>
      </c>
      <c r="B2243" t="s">
        <v>855</v>
      </c>
      <c r="C2243" t="s">
        <v>1467</v>
      </c>
      <c r="D2243">
        <v>104260</v>
      </c>
      <c r="E2243" t="s">
        <v>14</v>
      </c>
      <c r="F2243">
        <v>51.613999999999997</v>
      </c>
      <c r="G2243">
        <v>8.6159999999999997</v>
      </c>
      <c r="H2243">
        <v>1</v>
      </c>
      <c r="I2243">
        <v>213.1</v>
      </c>
      <c r="J2243" t="str">
        <f>HYPERLINK("https://climate.onebuilding.org/WMO_Region_6_Europe/DEU_Germany/NW_Nordrhein-Westfalen/DEU_NW_Paderborn.Lippstadt.AP.104260_TMYx.2007-2021.zip")</f>
        <v>https://climate.onebuilding.org/WMO_Region_6_Europe/DEU_Germany/NW_Nordrhein-Westfalen/DEU_NW_Paderborn.Lippstadt.AP.104260_TMYx.2007-2021.zip</v>
      </c>
    </row>
    <row r="2244" spans="1:10" x14ac:dyDescent="0.25">
      <c r="A2244" t="s">
        <v>1301</v>
      </c>
      <c r="B2244" t="s">
        <v>855</v>
      </c>
      <c r="C2244" t="s">
        <v>1467</v>
      </c>
      <c r="D2244">
        <v>104260</v>
      </c>
      <c r="E2244" t="s">
        <v>14</v>
      </c>
      <c r="F2244">
        <v>51.613999999999997</v>
      </c>
      <c r="G2244">
        <v>8.6159999999999997</v>
      </c>
      <c r="H2244">
        <v>1</v>
      </c>
      <c r="I2244">
        <v>213.1</v>
      </c>
      <c r="J2244" t="str">
        <f>HYPERLINK("https://climate.onebuilding.org/WMO_Region_6_Europe/DEU_Germany/NW_Nordrhein-Westfalen/DEU_NW_Paderborn.Lippstadt.AP.104260_TMYx.2009-2023.zip")</f>
        <v>https://climate.onebuilding.org/WMO_Region_6_Europe/DEU_Germany/NW_Nordrhein-Westfalen/DEU_NW_Paderborn.Lippstadt.AP.104260_TMYx.2009-2023.zip</v>
      </c>
    </row>
    <row r="2245" spans="1:10" x14ac:dyDescent="0.25">
      <c r="A2245" t="s">
        <v>1301</v>
      </c>
      <c r="B2245" t="s">
        <v>855</v>
      </c>
      <c r="C2245" t="s">
        <v>1467</v>
      </c>
      <c r="D2245">
        <v>104260</v>
      </c>
      <c r="E2245" t="s">
        <v>14</v>
      </c>
      <c r="F2245">
        <v>51.613999999999997</v>
      </c>
      <c r="G2245">
        <v>8.6159999999999997</v>
      </c>
      <c r="H2245">
        <v>1</v>
      </c>
      <c r="I2245">
        <v>213.1</v>
      </c>
      <c r="J2245" t="str">
        <f>HYPERLINK("https://climate.onebuilding.org/WMO_Region_6_Europe/DEU_Germany/NW_Nordrhein-Westfalen/DEU_NW_Paderborn.Lippstadt.AP.104260_TMYx.zip")</f>
        <v>https://climate.onebuilding.org/WMO_Region_6_Europe/DEU_Germany/NW_Nordrhein-Westfalen/DEU_NW_Paderborn.Lippstadt.AP.104260_TMYx.zip</v>
      </c>
    </row>
    <row r="2246" spans="1:10" x14ac:dyDescent="0.25">
      <c r="A2246" t="s">
        <v>1301</v>
      </c>
      <c r="B2246" t="s">
        <v>855</v>
      </c>
      <c r="C2246" t="s">
        <v>1469</v>
      </c>
      <c r="D2246">
        <v>104264</v>
      </c>
      <c r="E2246" t="s">
        <v>14</v>
      </c>
      <c r="F2246">
        <v>51.582999999999998</v>
      </c>
      <c r="G2246">
        <v>8.2170000000000005</v>
      </c>
      <c r="H2246">
        <v>1</v>
      </c>
      <c r="I2246">
        <v>125</v>
      </c>
      <c r="J2246" t="str">
        <f>HYPERLINK("https://climate.onebuilding.org/WMO_Region_6_Europe/DEU_Germany/NW_Nordrhein-Westfalen/DEU_NW_Soest.104264_TMYx.zip")</f>
        <v>https://climate.onebuilding.org/WMO_Region_6_Europe/DEU_Germany/NW_Nordrhein-Westfalen/DEU_NW_Soest.104264_TMYx.zip</v>
      </c>
    </row>
    <row r="2247" spans="1:10" x14ac:dyDescent="0.25">
      <c r="A2247" t="s">
        <v>1301</v>
      </c>
      <c r="B2247" t="s">
        <v>855</v>
      </c>
      <c r="C2247" t="s">
        <v>1470</v>
      </c>
      <c r="D2247">
        <v>104270</v>
      </c>
      <c r="E2247" t="s">
        <v>14</v>
      </c>
      <c r="F2247">
        <v>51.180300000000003</v>
      </c>
      <c r="G2247">
        <v>8.4892000000000003</v>
      </c>
      <c r="H2247">
        <v>1</v>
      </c>
      <c r="I2247">
        <v>858.5</v>
      </c>
      <c r="J2247" t="str">
        <f>HYPERLINK("https://climate.onebuilding.org/WMO_Region_6_Europe/DEU_Germany/NW_Nordrhein-Westfalen/DEU_NW_Kahler.Asten.Mtn.104270_TMYx.zip")</f>
        <v>https://climate.onebuilding.org/WMO_Region_6_Europe/DEU_Germany/NW_Nordrhein-Westfalen/DEU_NW_Kahler.Asten.Mtn.104270_TMYx.zip</v>
      </c>
    </row>
    <row r="2248" spans="1:10" x14ac:dyDescent="0.25">
      <c r="A2248" t="s">
        <v>1301</v>
      </c>
      <c r="B2248" t="s">
        <v>855</v>
      </c>
      <c r="C2248" t="s">
        <v>1471</v>
      </c>
      <c r="D2248">
        <v>104300</v>
      </c>
      <c r="E2248" t="s">
        <v>14</v>
      </c>
      <c r="F2248">
        <v>51.785600000000002</v>
      </c>
      <c r="G2248">
        <v>8.8389000000000006</v>
      </c>
      <c r="H2248">
        <v>1</v>
      </c>
      <c r="I2248">
        <v>158.1</v>
      </c>
      <c r="J2248" t="str">
        <f>HYPERLINK("https://climate.onebuilding.org/WMO_Region_6_Europe/DEU_Germany/NW_Nordrhein-Westfalen/DEU_NW_Bad.Lippspringe.104300_TMYx.zip")</f>
        <v>https://climate.onebuilding.org/WMO_Region_6_Europe/DEU_Germany/NW_Nordrhein-Westfalen/DEU_NW_Bad.Lippspringe.104300_TMYx.zip</v>
      </c>
    </row>
    <row r="2249" spans="1:10" x14ac:dyDescent="0.25">
      <c r="A2249" t="s">
        <v>1301</v>
      </c>
      <c r="B2249" t="s">
        <v>855</v>
      </c>
      <c r="C2249" t="s">
        <v>1472</v>
      </c>
      <c r="D2249">
        <v>104320</v>
      </c>
      <c r="E2249" t="s">
        <v>14</v>
      </c>
      <c r="F2249">
        <v>51.85</v>
      </c>
      <c r="G2249">
        <v>9.3170000000000002</v>
      </c>
      <c r="H2249">
        <v>1</v>
      </c>
      <c r="I2249">
        <v>493</v>
      </c>
      <c r="J2249" t="str">
        <f>HYPERLINK("https://climate.onebuilding.org/WMO_Region_6_Europe/DEU_Germany/NW_Nordrhein-Westfalen/DEU_NW_Koterberg.104320_TMYx.zip")</f>
        <v>https://climate.onebuilding.org/WMO_Region_6_Europe/DEU_Germany/NW_Nordrhein-Westfalen/DEU_NW_Koterberg.104320_TMYx.zip</v>
      </c>
    </row>
    <row r="2250" spans="1:10" x14ac:dyDescent="0.25">
      <c r="A2250" t="s">
        <v>1301</v>
      </c>
      <c r="B2250" t="s">
        <v>855</v>
      </c>
      <c r="C2250" t="s">
        <v>1473</v>
      </c>
      <c r="D2250">
        <v>104330</v>
      </c>
      <c r="E2250" t="s">
        <v>1474</v>
      </c>
      <c r="F2250">
        <v>51.866399999999999</v>
      </c>
      <c r="G2250">
        <v>9.2707999999999995</v>
      </c>
      <c r="H2250">
        <v>1</v>
      </c>
      <c r="I2250">
        <v>259.2</v>
      </c>
      <c r="J2250" t="str">
        <f>HYPERLINK("https://climate.onebuilding.org/WMO_Region_6_Europe/DEU_Germany/NW_Nordrhein-Westfalen/DEU_NW_Paenbruch.104330_TMYx.2004-2018.zip")</f>
        <v>https://climate.onebuilding.org/WMO_Region_6_Europe/DEU_Germany/NW_Nordrhein-Westfalen/DEU_NW_Paenbruch.104330_TMYx.2004-2018.zip</v>
      </c>
    </row>
    <row r="2251" spans="1:10" x14ac:dyDescent="0.25">
      <c r="A2251" t="s">
        <v>1301</v>
      </c>
      <c r="B2251" t="s">
        <v>855</v>
      </c>
      <c r="C2251" t="s">
        <v>1473</v>
      </c>
      <c r="D2251">
        <v>104330</v>
      </c>
      <c r="E2251" t="s">
        <v>14</v>
      </c>
      <c r="F2251">
        <v>51.866399999999999</v>
      </c>
      <c r="G2251">
        <v>9.2707999999999995</v>
      </c>
      <c r="H2251">
        <v>1</v>
      </c>
      <c r="I2251">
        <v>259.2</v>
      </c>
      <c r="J2251" t="str">
        <f>HYPERLINK("https://climate.onebuilding.org/WMO_Region_6_Europe/DEU_Germany/NW_Nordrhein-Westfalen/DEU_NW_Paenbruch.104330_TMYx.2007-2021.zip")</f>
        <v>https://climate.onebuilding.org/WMO_Region_6_Europe/DEU_Germany/NW_Nordrhein-Westfalen/DEU_NW_Paenbruch.104330_TMYx.2007-2021.zip</v>
      </c>
    </row>
    <row r="2252" spans="1:10" x14ac:dyDescent="0.25">
      <c r="A2252" t="s">
        <v>1301</v>
      </c>
      <c r="B2252" t="s">
        <v>855</v>
      </c>
      <c r="C2252" t="s">
        <v>1473</v>
      </c>
      <c r="D2252">
        <v>104330</v>
      </c>
      <c r="E2252" t="s">
        <v>14</v>
      </c>
      <c r="F2252">
        <v>51.866399999999999</v>
      </c>
      <c r="G2252">
        <v>9.2707999999999995</v>
      </c>
      <c r="H2252">
        <v>1</v>
      </c>
      <c r="I2252">
        <v>259.2</v>
      </c>
      <c r="J2252" t="str">
        <f>HYPERLINK("https://climate.onebuilding.org/WMO_Region_6_Europe/DEU_Germany/NW_Nordrhein-Westfalen/DEU_NW_Paenbruch.104330_TMYx.zip")</f>
        <v>https://climate.onebuilding.org/WMO_Region_6_Europe/DEU_Germany/NW_Nordrhein-Westfalen/DEU_NW_Paenbruch.104330_TMYx.zip</v>
      </c>
    </row>
    <row r="2253" spans="1:10" x14ac:dyDescent="0.25">
      <c r="A2253" t="s">
        <v>1301</v>
      </c>
      <c r="B2253" t="s">
        <v>855</v>
      </c>
      <c r="C2253" t="s">
        <v>1475</v>
      </c>
      <c r="D2253">
        <v>104350</v>
      </c>
      <c r="E2253" t="s">
        <v>14</v>
      </c>
      <c r="F2253">
        <v>51.503900000000002</v>
      </c>
      <c r="G2253">
        <v>9.1117000000000008</v>
      </c>
      <c r="H2253">
        <v>1</v>
      </c>
      <c r="I2253">
        <v>236.5</v>
      </c>
      <c r="J2253" t="str">
        <f>HYPERLINK("https://climate.onebuilding.org/WMO_Region_6_Europe/DEU_Germany/NW_Nordrhein-Westfalen/DEU_NW_Warburg.104350_TMYx.zip")</f>
        <v>https://climate.onebuilding.org/WMO_Region_6_Europe/DEU_Germany/NW_Nordrhein-Westfalen/DEU_NW_Warburg.104350_TMYx.zip</v>
      </c>
    </row>
    <row r="2254" spans="1:10" x14ac:dyDescent="0.25">
      <c r="A2254" t="s">
        <v>1301</v>
      </c>
      <c r="B2254" t="s">
        <v>1451</v>
      </c>
      <c r="C2254" t="s">
        <v>1476</v>
      </c>
      <c r="D2254">
        <v>104360</v>
      </c>
      <c r="E2254" t="s">
        <v>1477</v>
      </c>
      <c r="F2254">
        <v>51.408000000000001</v>
      </c>
      <c r="G2254">
        <v>9.3780000000000001</v>
      </c>
      <c r="H2254">
        <v>1</v>
      </c>
      <c r="I2254">
        <v>276.8</v>
      </c>
      <c r="J2254" t="str">
        <f>HYPERLINK("https://climate.onebuilding.org/WMO_Region_6_Europe/DEU_Germany/HE_Hessen/DEU_HE_Kassel.Calden.AP.104360_TMYx.2004-2018.zip")</f>
        <v>https://climate.onebuilding.org/WMO_Region_6_Europe/DEU_Germany/HE_Hessen/DEU_HE_Kassel.Calden.AP.104360_TMYx.2004-2018.zip</v>
      </c>
    </row>
    <row r="2255" spans="1:10" x14ac:dyDescent="0.25">
      <c r="A2255" t="s">
        <v>1301</v>
      </c>
      <c r="B2255" t="s">
        <v>1451</v>
      </c>
      <c r="C2255" t="s">
        <v>1476</v>
      </c>
      <c r="D2255">
        <v>104360</v>
      </c>
      <c r="E2255" t="s">
        <v>14</v>
      </c>
      <c r="F2255">
        <v>51.408000000000001</v>
      </c>
      <c r="G2255">
        <v>9.3780000000000001</v>
      </c>
      <c r="H2255">
        <v>1</v>
      </c>
      <c r="I2255">
        <v>276.8</v>
      </c>
      <c r="J2255" t="str">
        <f>HYPERLINK("https://climate.onebuilding.org/WMO_Region_6_Europe/DEU_Germany/HE_Hessen/DEU_HE_Kassel.Calden.AP.104360_TMYx.2007-2021.zip")</f>
        <v>https://climate.onebuilding.org/WMO_Region_6_Europe/DEU_Germany/HE_Hessen/DEU_HE_Kassel.Calden.AP.104360_TMYx.2007-2021.zip</v>
      </c>
    </row>
    <row r="2256" spans="1:10" x14ac:dyDescent="0.25">
      <c r="A2256" t="s">
        <v>1301</v>
      </c>
      <c r="B2256" t="s">
        <v>1451</v>
      </c>
      <c r="C2256" t="s">
        <v>1476</v>
      </c>
      <c r="D2256">
        <v>104360</v>
      </c>
      <c r="E2256" t="s">
        <v>14</v>
      </c>
      <c r="F2256">
        <v>51.408000000000001</v>
      </c>
      <c r="G2256">
        <v>9.3780000000000001</v>
      </c>
      <c r="H2256">
        <v>1</v>
      </c>
      <c r="I2256">
        <v>276.8</v>
      </c>
      <c r="J2256" t="str">
        <f>HYPERLINK("https://climate.onebuilding.org/WMO_Region_6_Europe/DEU_Germany/HE_Hessen/DEU_HE_Kassel.Calden.AP.104360_TMYx.2009-2023.zip")</f>
        <v>https://climate.onebuilding.org/WMO_Region_6_Europe/DEU_Germany/HE_Hessen/DEU_HE_Kassel.Calden.AP.104360_TMYx.2009-2023.zip</v>
      </c>
    </row>
    <row r="2257" spans="1:10" x14ac:dyDescent="0.25">
      <c r="A2257" t="s">
        <v>1301</v>
      </c>
      <c r="B2257" t="s">
        <v>1451</v>
      </c>
      <c r="C2257" t="s">
        <v>1476</v>
      </c>
      <c r="D2257">
        <v>104360</v>
      </c>
      <c r="E2257" t="s">
        <v>14</v>
      </c>
      <c r="F2257">
        <v>51.408000000000001</v>
      </c>
      <c r="G2257">
        <v>9.3780000000000001</v>
      </c>
      <c r="H2257">
        <v>1</v>
      </c>
      <c r="I2257">
        <v>276.8</v>
      </c>
      <c r="J2257" t="str">
        <f>HYPERLINK("https://climate.onebuilding.org/WMO_Region_6_Europe/DEU_Germany/HE_Hessen/DEU_HE_Kassel.Calden.AP.104360_TMYx.zip")</f>
        <v>https://climate.onebuilding.org/WMO_Region_6_Europe/DEU_Germany/HE_Hessen/DEU_HE_Kassel.Calden.AP.104360_TMYx.zip</v>
      </c>
    </row>
    <row r="2258" spans="1:10" x14ac:dyDescent="0.25">
      <c r="A2258" t="s">
        <v>1301</v>
      </c>
      <c r="B2258" t="s">
        <v>855</v>
      </c>
      <c r="C2258" t="s">
        <v>1478</v>
      </c>
      <c r="D2258">
        <v>104374</v>
      </c>
      <c r="E2258" t="s">
        <v>1479</v>
      </c>
      <c r="F2258">
        <v>51.23</v>
      </c>
      <c r="G2258">
        <v>6.5039999999999996</v>
      </c>
      <c r="H2258">
        <v>1</v>
      </c>
      <c r="I2258">
        <v>38.1</v>
      </c>
      <c r="J2258" t="str">
        <f>HYPERLINK("https://climate.onebuilding.org/WMO_Region_6_Europe/DEU_Germany/NW_Nordrhein-Westfalen/DEU_NW_Monchengladbach.AP.104374_TMYx.2004-2018.zip")</f>
        <v>https://climate.onebuilding.org/WMO_Region_6_Europe/DEU_Germany/NW_Nordrhein-Westfalen/DEU_NW_Monchengladbach.AP.104374_TMYx.2004-2018.zip</v>
      </c>
    </row>
    <row r="2259" spans="1:10" x14ac:dyDescent="0.25">
      <c r="A2259" t="s">
        <v>1301</v>
      </c>
      <c r="B2259" t="s">
        <v>855</v>
      </c>
      <c r="C2259" t="s">
        <v>1478</v>
      </c>
      <c r="D2259">
        <v>104374</v>
      </c>
      <c r="E2259" t="s">
        <v>14</v>
      </c>
      <c r="F2259">
        <v>51.23</v>
      </c>
      <c r="G2259">
        <v>6.5039999999999996</v>
      </c>
      <c r="H2259">
        <v>1</v>
      </c>
      <c r="I2259">
        <v>38.1</v>
      </c>
      <c r="J2259" t="str">
        <f>HYPERLINK("https://climate.onebuilding.org/WMO_Region_6_Europe/DEU_Germany/NW_Nordrhein-Westfalen/DEU_NW_Monchengladbach.AP.104374_TMYx.2007-2021.zip")</f>
        <v>https://climate.onebuilding.org/WMO_Region_6_Europe/DEU_Germany/NW_Nordrhein-Westfalen/DEU_NW_Monchengladbach.AP.104374_TMYx.2007-2021.zip</v>
      </c>
    </row>
    <row r="2260" spans="1:10" x14ac:dyDescent="0.25">
      <c r="A2260" t="s">
        <v>1301</v>
      </c>
      <c r="B2260" t="s">
        <v>855</v>
      </c>
      <c r="C2260" t="s">
        <v>1478</v>
      </c>
      <c r="D2260">
        <v>104374</v>
      </c>
      <c r="E2260" t="s">
        <v>14</v>
      </c>
      <c r="F2260">
        <v>51.23</v>
      </c>
      <c r="G2260">
        <v>6.5039999999999996</v>
      </c>
      <c r="H2260">
        <v>1</v>
      </c>
      <c r="I2260">
        <v>38.1</v>
      </c>
      <c r="J2260" t="str">
        <f>HYPERLINK("https://climate.onebuilding.org/WMO_Region_6_Europe/DEU_Germany/NW_Nordrhein-Westfalen/DEU_NW_Monchengladbach.AP.104374_TMYx.2009-2023.zip")</f>
        <v>https://climate.onebuilding.org/WMO_Region_6_Europe/DEU_Germany/NW_Nordrhein-Westfalen/DEU_NW_Monchengladbach.AP.104374_TMYx.2009-2023.zip</v>
      </c>
    </row>
    <row r="2261" spans="1:10" x14ac:dyDescent="0.25">
      <c r="A2261" t="s">
        <v>1301</v>
      </c>
      <c r="B2261" t="s">
        <v>855</v>
      </c>
      <c r="C2261" t="s">
        <v>1478</v>
      </c>
      <c r="D2261">
        <v>104374</v>
      </c>
      <c r="E2261" t="s">
        <v>14</v>
      </c>
      <c r="F2261">
        <v>51.23</v>
      </c>
      <c r="G2261">
        <v>6.5039999999999996</v>
      </c>
      <c r="H2261">
        <v>1</v>
      </c>
      <c r="I2261">
        <v>38.1</v>
      </c>
      <c r="J2261" t="str">
        <f>HYPERLINK("https://climate.onebuilding.org/WMO_Region_6_Europe/DEU_Germany/NW_Nordrhein-Westfalen/DEU_NW_Monchengladbach.AP.104374_TMYx.zip")</f>
        <v>https://climate.onebuilding.org/WMO_Region_6_Europe/DEU_Germany/NW_Nordrhein-Westfalen/DEU_NW_Monchengladbach.AP.104374_TMYx.zip</v>
      </c>
    </row>
    <row r="2262" spans="1:10" x14ac:dyDescent="0.25">
      <c r="A2262" t="s">
        <v>1301</v>
      </c>
      <c r="B2262" t="s">
        <v>1451</v>
      </c>
      <c r="C2262" t="s">
        <v>1480</v>
      </c>
      <c r="D2262">
        <v>104390</v>
      </c>
      <c r="E2262" t="s">
        <v>1481</v>
      </c>
      <c r="F2262">
        <v>51.118899999999996</v>
      </c>
      <c r="G2262">
        <v>9.2799999999999994</v>
      </c>
      <c r="H2262">
        <v>1</v>
      </c>
      <c r="I2262">
        <v>181.4</v>
      </c>
      <c r="J2262" t="str">
        <f>HYPERLINK("https://climate.onebuilding.org/WMO_Region_6_Europe/DEU_Germany/HE_Hessen/DEU_HE_Fritzlar.AB.104390_TMYx.2004-2018.zip")</f>
        <v>https://climate.onebuilding.org/WMO_Region_6_Europe/DEU_Germany/HE_Hessen/DEU_HE_Fritzlar.AB.104390_TMYx.2004-2018.zip</v>
      </c>
    </row>
    <row r="2263" spans="1:10" x14ac:dyDescent="0.25">
      <c r="A2263" t="s">
        <v>1301</v>
      </c>
      <c r="B2263" t="s">
        <v>1451</v>
      </c>
      <c r="C2263" t="s">
        <v>1480</v>
      </c>
      <c r="D2263">
        <v>104390</v>
      </c>
      <c r="E2263" t="s">
        <v>14</v>
      </c>
      <c r="F2263">
        <v>51.118899999999996</v>
      </c>
      <c r="G2263">
        <v>9.2799999999999994</v>
      </c>
      <c r="H2263">
        <v>1</v>
      </c>
      <c r="I2263">
        <v>181.4</v>
      </c>
      <c r="J2263" t="str">
        <f>HYPERLINK("https://climate.onebuilding.org/WMO_Region_6_Europe/DEU_Germany/HE_Hessen/DEU_HE_Fritzlar.AB.104390_TMYx.2007-2021.zip")</f>
        <v>https://climate.onebuilding.org/WMO_Region_6_Europe/DEU_Germany/HE_Hessen/DEU_HE_Fritzlar.AB.104390_TMYx.2007-2021.zip</v>
      </c>
    </row>
    <row r="2264" spans="1:10" x14ac:dyDescent="0.25">
      <c r="A2264" t="s">
        <v>1301</v>
      </c>
      <c r="B2264" t="s">
        <v>1451</v>
      </c>
      <c r="C2264" t="s">
        <v>1480</v>
      </c>
      <c r="D2264">
        <v>104390</v>
      </c>
      <c r="E2264" t="s">
        <v>14</v>
      </c>
      <c r="F2264">
        <v>51.118899999999996</v>
      </c>
      <c r="G2264">
        <v>9.2799999999999994</v>
      </c>
      <c r="H2264">
        <v>1</v>
      </c>
      <c r="I2264">
        <v>181.4</v>
      </c>
      <c r="J2264" t="str">
        <f>HYPERLINK("https://climate.onebuilding.org/WMO_Region_6_Europe/DEU_Germany/HE_Hessen/DEU_HE_Fritzlar.AB.104390_TMYx.2009-2023.zip")</f>
        <v>https://climate.onebuilding.org/WMO_Region_6_Europe/DEU_Germany/HE_Hessen/DEU_HE_Fritzlar.AB.104390_TMYx.2009-2023.zip</v>
      </c>
    </row>
    <row r="2265" spans="1:10" x14ac:dyDescent="0.25">
      <c r="A2265" t="s">
        <v>1301</v>
      </c>
      <c r="B2265" t="s">
        <v>1451</v>
      </c>
      <c r="C2265" t="s">
        <v>1480</v>
      </c>
      <c r="D2265">
        <v>104390</v>
      </c>
      <c r="E2265" t="s">
        <v>14</v>
      </c>
      <c r="F2265">
        <v>51.118899999999996</v>
      </c>
      <c r="G2265">
        <v>9.2799999999999994</v>
      </c>
      <c r="H2265">
        <v>1</v>
      </c>
      <c r="I2265">
        <v>181.4</v>
      </c>
      <c r="J2265" t="str">
        <f>HYPERLINK("https://climate.onebuilding.org/WMO_Region_6_Europe/DEU_Germany/HE_Hessen/DEU_HE_Fritzlar.AB.104390_TMYx.zip")</f>
        <v>https://climate.onebuilding.org/WMO_Region_6_Europe/DEU_Germany/HE_Hessen/DEU_HE_Fritzlar.AB.104390_TMYx.zip</v>
      </c>
    </row>
    <row r="2266" spans="1:10" x14ac:dyDescent="0.25">
      <c r="A2266" t="s">
        <v>1301</v>
      </c>
      <c r="B2266" t="s">
        <v>1149</v>
      </c>
      <c r="C2266" t="s">
        <v>1482</v>
      </c>
      <c r="D2266">
        <v>104440</v>
      </c>
      <c r="E2266" t="s">
        <v>14</v>
      </c>
      <c r="F2266">
        <v>51.500300000000003</v>
      </c>
      <c r="G2266">
        <v>9.9505999999999997</v>
      </c>
      <c r="H2266">
        <v>1</v>
      </c>
      <c r="I2266">
        <v>168.3</v>
      </c>
      <c r="J2266" t="str">
        <f>HYPERLINK("https://climate.onebuilding.org/WMO_Region_6_Europe/DEU_Germany/NI_Niedersachsen/DEU_NI_Goettingen.104440_TMYx.zip")</f>
        <v>https://climate.onebuilding.org/WMO_Region_6_Europe/DEU_Germany/NI_Niedersachsen/DEU_NI_Goettingen.104440_TMYx.zip</v>
      </c>
    </row>
    <row r="2267" spans="1:10" x14ac:dyDescent="0.25">
      <c r="A2267" t="s">
        <v>1301</v>
      </c>
      <c r="B2267" t="s">
        <v>1483</v>
      </c>
      <c r="C2267" t="s">
        <v>1484</v>
      </c>
      <c r="D2267">
        <v>104480</v>
      </c>
      <c r="E2267" t="s">
        <v>14</v>
      </c>
      <c r="F2267">
        <v>51.332999999999998</v>
      </c>
      <c r="G2267">
        <v>10.167</v>
      </c>
      <c r="H2267">
        <v>1</v>
      </c>
      <c r="I2267">
        <v>445.9</v>
      </c>
      <c r="J2267" t="str">
        <f>HYPERLINK("https://climate.onebuilding.org/WMO_Region_6_Europe/DEU_Germany/TH_Thuringen/DEU_TH_Kalteneber.104480_TMYx.zip")</f>
        <v>https://climate.onebuilding.org/WMO_Region_6_Europe/DEU_Germany/TH_Thuringen/DEU_TH_Kalteneber.104480_TMYx.zip</v>
      </c>
    </row>
    <row r="2268" spans="1:10" x14ac:dyDescent="0.25">
      <c r="A2268" t="s">
        <v>1301</v>
      </c>
      <c r="B2268" t="s">
        <v>1483</v>
      </c>
      <c r="C2268" t="s">
        <v>1485</v>
      </c>
      <c r="D2268">
        <v>104490</v>
      </c>
      <c r="E2268" t="s">
        <v>14</v>
      </c>
      <c r="F2268">
        <v>51.393300000000004</v>
      </c>
      <c r="G2268">
        <v>10.312200000000001</v>
      </c>
      <c r="H2268">
        <v>1</v>
      </c>
      <c r="I2268">
        <v>353.4</v>
      </c>
      <c r="J2268" t="str">
        <f>HYPERLINK("https://climate.onebuilding.org/WMO_Region_6_Europe/DEU_Germany/TH_Thuringen/DEU_TH_Leinefelde.104490_TMYx.zip")</f>
        <v>https://climate.onebuilding.org/WMO_Region_6_Europe/DEU_Germany/TH_Thuringen/DEU_TH_Leinefelde.104490_TMYx.zip</v>
      </c>
    </row>
    <row r="2269" spans="1:10" x14ac:dyDescent="0.25">
      <c r="A2269" t="s">
        <v>1301</v>
      </c>
      <c r="B2269" t="s">
        <v>1149</v>
      </c>
      <c r="C2269" t="s">
        <v>1486</v>
      </c>
      <c r="D2269">
        <v>104520</v>
      </c>
      <c r="E2269" t="s">
        <v>14</v>
      </c>
      <c r="F2269">
        <v>51.723300000000002</v>
      </c>
      <c r="G2269">
        <v>10.6022</v>
      </c>
      <c r="H2269">
        <v>1</v>
      </c>
      <c r="I2269">
        <v>608.4</v>
      </c>
      <c r="J2269" t="str">
        <f>HYPERLINK("https://climate.onebuilding.org/WMO_Region_6_Europe/DEU_Germany/NI_Niedersachsen/DEU_NI_Braunlage.104520_TMYx.zip")</f>
        <v>https://climate.onebuilding.org/WMO_Region_6_Europe/DEU_Germany/NI_Niedersachsen/DEU_NI_Braunlage.104520_TMYx.zip</v>
      </c>
    </row>
    <row r="2270" spans="1:10" x14ac:dyDescent="0.25">
      <c r="A2270" t="s">
        <v>1301</v>
      </c>
      <c r="B2270" t="s">
        <v>210</v>
      </c>
      <c r="C2270" t="s">
        <v>1487</v>
      </c>
      <c r="D2270">
        <v>104530</v>
      </c>
      <c r="E2270" t="s">
        <v>14</v>
      </c>
      <c r="F2270">
        <v>51.7986</v>
      </c>
      <c r="G2270">
        <v>10.6183</v>
      </c>
      <c r="H2270">
        <v>1</v>
      </c>
      <c r="I2270">
        <v>1152.5</v>
      </c>
      <c r="J2270" t="str">
        <f>HYPERLINK("https://climate.onebuilding.org/WMO_Region_6_Europe/DEU_Germany/ST_Sachsen-Anhalt/DEU_ST_Brocken.104530_TMYx.zip")</f>
        <v>https://climate.onebuilding.org/WMO_Region_6_Europe/DEU_Germany/ST_Sachsen-Anhalt/DEU_ST_Brocken.104530_TMYx.zip</v>
      </c>
    </row>
    <row r="2271" spans="1:10" x14ac:dyDescent="0.25">
      <c r="A2271" t="s">
        <v>1301</v>
      </c>
      <c r="B2271" t="s">
        <v>210</v>
      </c>
      <c r="C2271" t="s">
        <v>1488</v>
      </c>
      <c r="D2271">
        <v>104540</v>
      </c>
      <c r="E2271" t="s">
        <v>14</v>
      </c>
      <c r="F2271">
        <v>51.845599999999997</v>
      </c>
      <c r="G2271">
        <v>10.768599999999999</v>
      </c>
      <c r="H2271">
        <v>1</v>
      </c>
      <c r="I2271">
        <v>234.4</v>
      </c>
      <c r="J2271" t="str">
        <f>HYPERLINK("https://climate.onebuilding.org/WMO_Region_6_Europe/DEU_Germany/ST_Sachsen-Anhalt/DEU_ST_Wernigerode.104540_TMYx.zip")</f>
        <v>https://climate.onebuilding.org/WMO_Region_6_Europe/DEU_Germany/ST_Sachsen-Anhalt/DEU_ST_Wernigerode.104540_TMYx.zip</v>
      </c>
    </row>
    <row r="2272" spans="1:10" x14ac:dyDescent="0.25">
      <c r="A2272" t="s">
        <v>1301</v>
      </c>
      <c r="B2272" t="s">
        <v>1483</v>
      </c>
      <c r="C2272" t="s">
        <v>1489</v>
      </c>
      <c r="D2272">
        <v>104600</v>
      </c>
      <c r="E2272" t="s">
        <v>14</v>
      </c>
      <c r="F2272">
        <v>51.374400000000001</v>
      </c>
      <c r="G2272">
        <v>11.2919</v>
      </c>
      <c r="H2272">
        <v>1</v>
      </c>
      <c r="I2272">
        <v>165.5</v>
      </c>
      <c r="J2272" t="str">
        <f>HYPERLINK("https://climate.onebuilding.org/WMO_Region_6_Europe/DEU_Germany/TH_Thuringen/DEU_TH_Artern.104600_TMYx.zip")</f>
        <v>https://climate.onebuilding.org/WMO_Region_6_Europe/DEU_Germany/TH_Thuringen/DEU_TH_Artern.104600_TMYx.zip</v>
      </c>
    </row>
    <row r="2273" spans="1:10" x14ac:dyDescent="0.25">
      <c r="A2273" t="s">
        <v>1301</v>
      </c>
      <c r="B2273" t="s">
        <v>210</v>
      </c>
      <c r="C2273" t="s">
        <v>1490</v>
      </c>
      <c r="D2273">
        <v>104660</v>
      </c>
      <c r="E2273" t="s">
        <v>14</v>
      </c>
      <c r="F2273">
        <v>51.498699999999999</v>
      </c>
      <c r="G2273">
        <v>11.963200000000001</v>
      </c>
      <c r="H2273">
        <v>1</v>
      </c>
      <c r="I2273">
        <v>93</v>
      </c>
      <c r="J2273" t="str">
        <f>HYPERLINK("https://climate.onebuilding.org/WMO_Region_6_Europe/DEU_Germany/ST_Sachsen-Anhalt/DEU_ST_Halle.Kroellwitz.104660_TMYx.zip")</f>
        <v>https://climate.onebuilding.org/WMO_Region_6_Europe/DEU_Germany/ST_Sachsen-Anhalt/DEU_ST_Halle.Kroellwitz.104660_TMYx.zip</v>
      </c>
    </row>
    <row r="2274" spans="1:10" x14ac:dyDescent="0.25">
      <c r="A2274" t="s">
        <v>1301</v>
      </c>
      <c r="B2274" t="s">
        <v>1491</v>
      </c>
      <c r="C2274" t="s">
        <v>1492</v>
      </c>
      <c r="D2274">
        <v>104690</v>
      </c>
      <c r="E2274" t="s">
        <v>1493</v>
      </c>
      <c r="F2274">
        <v>51.434699999999999</v>
      </c>
      <c r="G2274">
        <v>12.239699999999999</v>
      </c>
      <c r="H2274">
        <v>1</v>
      </c>
      <c r="I2274">
        <v>135.5</v>
      </c>
      <c r="J2274" t="str">
        <f>HYPERLINK("https://climate.onebuilding.org/WMO_Region_6_Europe/DEU_Germany/SN_Sachsen/DEU_SN_Leipzig.Halle.AP.104690_TMYx.2004-2018.zip")</f>
        <v>https://climate.onebuilding.org/WMO_Region_6_Europe/DEU_Germany/SN_Sachsen/DEU_SN_Leipzig.Halle.AP.104690_TMYx.2004-2018.zip</v>
      </c>
    </row>
    <row r="2275" spans="1:10" x14ac:dyDescent="0.25">
      <c r="A2275" t="s">
        <v>1301</v>
      </c>
      <c r="B2275" t="s">
        <v>1491</v>
      </c>
      <c r="C2275" t="s">
        <v>1492</v>
      </c>
      <c r="D2275">
        <v>104690</v>
      </c>
      <c r="E2275" t="s">
        <v>14</v>
      </c>
      <c r="F2275">
        <v>51.434699999999999</v>
      </c>
      <c r="G2275">
        <v>12.239699999999999</v>
      </c>
      <c r="H2275">
        <v>1</v>
      </c>
      <c r="I2275">
        <v>135.5</v>
      </c>
      <c r="J2275" t="str">
        <f>HYPERLINK("https://climate.onebuilding.org/WMO_Region_6_Europe/DEU_Germany/SN_Sachsen/DEU_SN_Leipzig.Halle.AP.104690_TMYx.2007-2021.zip")</f>
        <v>https://climate.onebuilding.org/WMO_Region_6_Europe/DEU_Germany/SN_Sachsen/DEU_SN_Leipzig.Halle.AP.104690_TMYx.2007-2021.zip</v>
      </c>
    </row>
    <row r="2276" spans="1:10" x14ac:dyDescent="0.25">
      <c r="A2276" t="s">
        <v>1301</v>
      </c>
      <c r="B2276" t="s">
        <v>1491</v>
      </c>
      <c r="C2276" t="s">
        <v>1492</v>
      </c>
      <c r="D2276">
        <v>104690</v>
      </c>
      <c r="E2276" t="s">
        <v>14</v>
      </c>
      <c r="F2276">
        <v>51.434699999999999</v>
      </c>
      <c r="G2276">
        <v>12.239699999999999</v>
      </c>
      <c r="H2276">
        <v>1</v>
      </c>
      <c r="I2276">
        <v>135.5</v>
      </c>
      <c r="J2276" t="str">
        <f>HYPERLINK("https://climate.onebuilding.org/WMO_Region_6_Europe/DEU_Germany/SN_Sachsen/DEU_SN_Leipzig.Halle.AP.104690_TMYx.2009-2023.zip")</f>
        <v>https://climate.onebuilding.org/WMO_Region_6_Europe/DEU_Germany/SN_Sachsen/DEU_SN_Leipzig.Halle.AP.104690_TMYx.2009-2023.zip</v>
      </c>
    </row>
    <row r="2277" spans="1:10" x14ac:dyDescent="0.25">
      <c r="A2277" t="s">
        <v>1301</v>
      </c>
      <c r="B2277" t="s">
        <v>1491</v>
      </c>
      <c r="C2277" t="s">
        <v>1492</v>
      </c>
      <c r="D2277">
        <v>104690</v>
      </c>
      <c r="E2277" t="s">
        <v>14</v>
      </c>
      <c r="F2277">
        <v>51.434699999999999</v>
      </c>
      <c r="G2277">
        <v>12.239699999999999</v>
      </c>
      <c r="H2277">
        <v>1</v>
      </c>
      <c r="I2277">
        <v>135.5</v>
      </c>
      <c r="J2277" t="str">
        <f>HYPERLINK("https://climate.onebuilding.org/WMO_Region_6_Europe/DEU_Germany/SN_Sachsen/DEU_SN_Leipzig.Halle.AP.104690_TMYx.zip")</f>
        <v>https://climate.onebuilding.org/WMO_Region_6_Europe/DEU_Germany/SN_Sachsen/DEU_SN_Leipzig.Halle.AP.104690_TMYx.zip</v>
      </c>
    </row>
    <row r="2278" spans="1:10" x14ac:dyDescent="0.25">
      <c r="A2278" t="s">
        <v>1301</v>
      </c>
      <c r="B2278" t="s">
        <v>1491</v>
      </c>
      <c r="C2278" t="s">
        <v>1494</v>
      </c>
      <c r="D2278">
        <v>104710</v>
      </c>
      <c r="E2278" t="s">
        <v>1495</v>
      </c>
      <c r="F2278">
        <v>51.314999999999998</v>
      </c>
      <c r="G2278">
        <v>12.446099999999999</v>
      </c>
      <c r="H2278">
        <v>1</v>
      </c>
      <c r="I2278">
        <v>138</v>
      </c>
      <c r="J2278" t="str">
        <f>HYPERLINK("https://climate.onebuilding.org/WMO_Region_6_Europe/DEU_Germany/SN_Sachsen/DEU_SN_Leipzig.Holzhausen.104710_TMYx.2004-2018.zip")</f>
        <v>https://climate.onebuilding.org/WMO_Region_6_Europe/DEU_Germany/SN_Sachsen/DEU_SN_Leipzig.Holzhausen.104710_TMYx.2004-2018.zip</v>
      </c>
    </row>
    <row r="2279" spans="1:10" x14ac:dyDescent="0.25">
      <c r="A2279" t="s">
        <v>1301</v>
      </c>
      <c r="B2279" t="s">
        <v>1491</v>
      </c>
      <c r="C2279" t="s">
        <v>1494</v>
      </c>
      <c r="D2279">
        <v>104710</v>
      </c>
      <c r="E2279" t="s">
        <v>14</v>
      </c>
      <c r="F2279">
        <v>51.314999999999998</v>
      </c>
      <c r="G2279">
        <v>12.446099999999999</v>
      </c>
      <c r="H2279">
        <v>1</v>
      </c>
      <c r="I2279">
        <v>138</v>
      </c>
      <c r="J2279" t="str">
        <f>HYPERLINK("https://climate.onebuilding.org/WMO_Region_6_Europe/DEU_Germany/SN_Sachsen/DEU_SN_Leipzig.Holzhausen.104710_TMYx.2007-2021.zip")</f>
        <v>https://climate.onebuilding.org/WMO_Region_6_Europe/DEU_Germany/SN_Sachsen/DEU_SN_Leipzig.Holzhausen.104710_TMYx.2007-2021.zip</v>
      </c>
    </row>
    <row r="2280" spans="1:10" x14ac:dyDescent="0.25">
      <c r="A2280" t="s">
        <v>1301</v>
      </c>
      <c r="B2280" t="s">
        <v>1491</v>
      </c>
      <c r="C2280" t="s">
        <v>1494</v>
      </c>
      <c r="D2280">
        <v>104710</v>
      </c>
      <c r="E2280" t="s">
        <v>14</v>
      </c>
      <c r="F2280">
        <v>51.314999999999998</v>
      </c>
      <c r="G2280">
        <v>12.446099999999999</v>
      </c>
      <c r="H2280">
        <v>1</v>
      </c>
      <c r="I2280">
        <v>138</v>
      </c>
      <c r="J2280" t="str">
        <f>HYPERLINK("https://climate.onebuilding.org/WMO_Region_6_Europe/DEU_Germany/SN_Sachsen/DEU_SN_Leipzig.Holzhausen.104710_TMYx.zip")</f>
        <v>https://climate.onebuilding.org/WMO_Region_6_Europe/DEU_Germany/SN_Sachsen/DEU_SN_Leipzig.Holzhausen.104710_TMYx.zip</v>
      </c>
    </row>
    <row r="2281" spans="1:10" x14ac:dyDescent="0.25">
      <c r="A2281" t="s">
        <v>1301</v>
      </c>
      <c r="B2281" t="s">
        <v>210</v>
      </c>
      <c r="C2281" t="s">
        <v>1496</v>
      </c>
      <c r="D2281">
        <v>104740</v>
      </c>
      <c r="E2281" t="s">
        <v>14</v>
      </c>
      <c r="F2281">
        <v>51.889200000000002</v>
      </c>
      <c r="G2281">
        <v>12.644399999999999</v>
      </c>
      <c r="H2281">
        <v>1</v>
      </c>
      <c r="I2281">
        <v>105.8</v>
      </c>
      <c r="J2281" t="str">
        <f>HYPERLINK("https://climate.onebuilding.org/WMO_Region_6_Europe/DEU_Germany/ST_Sachsen-Anhalt/DEU_ST_Wittenberg.104740_TMYx.zip")</f>
        <v>https://climate.onebuilding.org/WMO_Region_6_Europe/DEU_Germany/ST_Sachsen-Anhalt/DEU_ST_Wittenberg.104740_TMYx.zip</v>
      </c>
    </row>
    <row r="2282" spans="1:10" x14ac:dyDescent="0.25">
      <c r="A2282" t="s">
        <v>1301</v>
      </c>
      <c r="B2282" t="s">
        <v>1395</v>
      </c>
      <c r="C2282" t="s">
        <v>1497</v>
      </c>
      <c r="D2282">
        <v>104760</v>
      </c>
      <c r="E2282" t="s">
        <v>1498</v>
      </c>
      <c r="F2282">
        <v>51.765799999999999</v>
      </c>
      <c r="G2282">
        <v>13.166700000000001</v>
      </c>
      <c r="H2282">
        <v>1</v>
      </c>
      <c r="I2282">
        <v>101.6</v>
      </c>
      <c r="J2282" t="str">
        <f>HYPERLINK("https://climate.onebuilding.org/WMO_Region_6_Europe/DEU_Germany/BB_Brandenburg/DEU_BB_Holzdorf.AB.104760_TMYx.2004-2018.zip")</f>
        <v>https://climate.onebuilding.org/WMO_Region_6_Europe/DEU_Germany/BB_Brandenburg/DEU_BB_Holzdorf.AB.104760_TMYx.2004-2018.zip</v>
      </c>
    </row>
    <row r="2283" spans="1:10" x14ac:dyDescent="0.25">
      <c r="A2283" t="s">
        <v>1301</v>
      </c>
      <c r="B2283" t="s">
        <v>1395</v>
      </c>
      <c r="C2283" t="s">
        <v>1497</v>
      </c>
      <c r="D2283">
        <v>104760</v>
      </c>
      <c r="E2283" t="s">
        <v>14</v>
      </c>
      <c r="F2283">
        <v>51.765799999999999</v>
      </c>
      <c r="G2283">
        <v>13.166700000000001</v>
      </c>
      <c r="H2283">
        <v>1</v>
      </c>
      <c r="I2283">
        <v>101.6</v>
      </c>
      <c r="J2283" t="str">
        <f>HYPERLINK("https://climate.onebuilding.org/WMO_Region_6_Europe/DEU_Germany/BB_Brandenburg/DEU_BB_Holzdorf.AB.104760_TMYx.2007-2021.zip")</f>
        <v>https://climate.onebuilding.org/WMO_Region_6_Europe/DEU_Germany/BB_Brandenburg/DEU_BB_Holzdorf.AB.104760_TMYx.2007-2021.zip</v>
      </c>
    </row>
    <row r="2284" spans="1:10" x14ac:dyDescent="0.25">
      <c r="A2284" t="s">
        <v>1301</v>
      </c>
      <c r="B2284" t="s">
        <v>1395</v>
      </c>
      <c r="C2284" t="s">
        <v>1497</v>
      </c>
      <c r="D2284">
        <v>104760</v>
      </c>
      <c r="E2284" t="s">
        <v>14</v>
      </c>
      <c r="F2284">
        <v>51.765799999999999</v>
      </c>
      <c r="G2284">
        <v>13.166700000000001</v>
      </c>
      <c r="H2284">
        <v>1</v>
      </c>
      <c r="I2284">
        <v>101.6</v>
      </c>
      <c r="J2284" t="str">
        <f>HYPERLINK("https://climate.onebuilding.org/WMO_Region_6_Europe/DEU_Germany/BB_Brandenburg/DEU_BB_Holzdorf.AB.104760_TMYx.2009-2023.zip")</f>
        <v>https://climate.onebuilding.org/WMO_Region_6_Europe/DEU_Germany/BB_Brandenburg/DEU_BB_Holzdorf.AB.104760_TMYx.2009-2023.zip</v>
      </c>
    </row>
    <row r="2285" spans="1:10" x14ac:dyDescent="0.25">
      <c r="A2285" t="s">
        <v>1301</v>
      </c>
      <c r="B2285" t="s">
        <v>1395</v>
      </c>
      <c r="C2285" t="s">
        <v>1497</v>
      </c>
      <c r="D2285">
        <v>104760</v>
      </c>
      <c r="E2285" t="s">
        <v>14</v>
      </c>
      <c r="F2285">
        <v>51.765799999999999</v>
      </c>
      <c r="G2285">
        <v>13.166700000000001</v>
      </c>
      <c r="H2285">
        <v>1</v>
      </c>
      <c r="I2285">
        <v>101.6</v>
      </c>
      <c r="J2285" t="str">
        <f>HYPERLINK("https://climate.onebuilding.org/WMO_Region_6_Europe/DEU_Germany/BB_Brandenburg/DEU_BB_Holzdorf.AB.104760_TMYx.zip")</f>
        <v>https://climate.onebuilding.org/WMO_Region_6_Europe/DEU_Germany/BB_Brandenburg/DEU_BB_Holzdorf.AB.104760_TMYx.zip</v>
      </c>
    </row>
    <row r="2286" spans="1:10" x14ac:dyDescent="0.25">
      <c r="A2286" t="s">
        <v>1301</v>
      </c>
      <c r="B2286" t="s">
        <v>1491</v>
      </c>
      <c r="C2286" t="s">
        <v>1499</v>
      </c>
      <c r="D2286">
        <v>104790</v>
      </c>
      <c r="E2286" t="s">
        <v>14</v>
      </c>
      <c r="F2286">
        <v>51.3</v>
      </c>
      <c r="G2286">
        <v>13.016999999999999</v>
      </c>
      <c r="H2286">
        <v>1</v>
      </c>
      <c r="I2286">
        <v>324.89999999999998</v>
      </c>
      <c r="J2286" t="str">
        <f>HYPERLINK("https://climate.onebuilding.org/WMO_Region_6_Europe/DEU_Germany/SN_Sachsen/DEU_SN_Colomberg.104790_TMYx.zip")</f>
        <v>https://climate.onebuilding.org/WMO_Region_6_Europe/DEU_Germany/SN_Sachsen/DEU_SN_Colomberg.104790_TMYx.zip</v>
      </c>
    </row>
    <row r="2287" spans="1:10" x14ac:dyDescent="0.25">
      <c r="A2287" t="s">
        <v>1301</v>
      </c>
      <c r="B2287" t="s">
        <v>1491</v>
      </c>
      <c r="C2287" t="s">
        <v>1500</v>
      </c>
      <c r="D2287">
        <v>104800</v>
      </c>
      <c r="E2287" t="s">
        <v>14</v>
      </c>
      <c r="F2287">
        <v>51.2958</v>
      </c>
      <c r="G2287">
        <v>13.0928</v>
      </c>
      <c r="H2287">
        <v>1</v>
      </c>
      <c r="I2287">
        <v>150.30000000000001</v>
      </c>
      <c r="J2287" t="str">
        <f>HYPERLINK("https://climate.onebuilding.org/WMO_Region_6_Europe/DEU_Germany/SN_Sachsen/DEU_SN_Oschatz.AP.104800_TMYx.zip")</f>
        <v>https://climate.onebuilding.org/WMO_Region_6_Europe/DEU_Germany/SN_Sachsen/DEU_SN_Oschatz.AP.104800_TMYx.zip</v>
      </c>
    </row>
    <row r="2288" spans="1:10" x14ac:dyDescent="0.25">
      <c r="A2288" t="s">
        <v>1301</v>
      </c>
      <c r="B2288" t="s">
        <v>1491</v>
      </c>
      <c r="C2288" t="s">
        <v>1501</v>
      </c>
      <c r="D2288">
        <v>104860</v>
      </c>
      <c r="E2288" t="s">
        <v>14</v>
      </c>
      <c r="F2288">
        <v>51.116999999999997</v>
      </c>
      <c r="G2288">
        <v>13.683</v>
      </c>
      <c r="H2288">
        <v>1</v>
      </c>
      <c r="I2288">
        <v>232</v>
      </c>
      <c r="J2288" t="str">
        <f>HYPERLINK("https://climate.onebuilding.org/WMO_Region_6_Europe/DEU_Germany/SN_Sachsen/DEU_SN_Wahnsdorf.104860_TMYx.zip")</f>
        <v>https://climate.onebuilding.org/WMO_Region_6_Europe/DEU_Germany/SN_Sachsen/DEU_SN_Wahnsdorf.104860_TMYx.zip</v>
      </c>
    </row>
    <row r="2289" spans="1:10" x14ac:dyDescent="0.25">
      <c r="A2289" t="s">
        <v>1301</v>
      </c>
      <c r="B2289" t="s">
        <v>1491</v>
      </c>
      <c r="C2289" t="s">
        <v>1502</v>
      </c>
      <c r="D2289">
        <v>104880</v>
      </c>
      <c r="E2289" t="s">
        <v>1503</v>
      </c>
      <c r="F2289">
        <v>51.128100000000003</v>
      </c>
      <c r="G2289">
        <v>13.7544</v>
      </c>
      <c r="H2289">
        <v>1</v>
      </c>
      <c r="I2289">
        <v>232.4</v>
      </c>
      <c r="J2289" t="str">
        <f>HYPERLINK("https://climate.onebuilding.org/WMO_Region_6_Europe/DEU_Germany/SN_Sachsen/DEU_SN_Dresden.AP.104880_TMYx.2004-2018.zip")</f>
        <v>https://climate.onebuilding.org/WMO_Region_6_Europe/DEU_Germany/SN_Sachsen/DEU_SN_Dresden.AP.104880_TMYx.2004-2018.zip</v>
      </c>
    </row>
    <row r="2290" spans="1:10" x14ac:dyDescent="0.25">
      <c r="A2290" t="s">
        <v>1301</v>
      </c>
      <c r="B2290" t="s">
        <v>1491</v>
      </c>
      <c r="C2290" t="s">
        <v>1502</v>
      </c>
      <c r="D2290">
        <v>104880</v>
      </c>
      <c r="E2290" t="s">
        <v>14</v>
      </c>
      <c r="F2290">
        <v>51.128100000000003</v>
      </c>
      <c r="G2290">
        <v>13.7544</v>
      </c>
      <c r="H2290">
        <v>1</v>
      </c>
      <c r="I2290">
        <v>232.4</v>
      </c>
      <c r="J2290" t="str">
        <f>HYPERLINK("https://climate.onebuilding.org/WMO_Region_6_Europe/DEU_Germany/SN_Sachsen/DEU_SN_Dresden.AP.104880_TMYx.2007-2021.zip")</f>
        <v>https://climate.onebuilding.org/WMO_Region_6_Europe/DEU_Germany/SN_Sachsen/DEU_SN_Dresden.AP.104880_TMYx.2007-2021.zip</v>
      </c>
    </row>
    <row r="2291" spans="1:10" x14ac:dyDescent="0.25">
      <c r="A2291" t="s">
        <v>1301</v>
      </c>
      <c r="B2291" t="s">
        <v>1491</v>
      </c>
      <c r="C2291" t="s">
        <v>1502</v>
      </c>
      <c r="D2291">
        <v>104880</v>
      </c>
      <c r="E2291" t="s">
        <v>14</v>
      </c>
      <c r="F2291">
        <v>51.128100000000003</v>
      </c>
      <c r="G2291">
        <v>13.7544</v>
      </c>
      <c r="H2291">
        <v>1</v>
      </c>
      <c r="I2291">
        <v>232.4</v>
      </c>
      <c r="J2291" t="str">
        <f>HYPERLINK("https://climate.onebuilding.org/WMO_Region_6_Europe/DEU_Germany/SN_Sachsen/DEU_SN_Dresden.AP.104880_TMYx.2009-2023.zip")</f>
        <v>https://climate.onebuilding.org/WMO_Region_6_Europe/DEU_Germany/SN_Sachsen/DEU_SN_Dresden.AP.104880_TMYx.2009-2023.zip</v>
      </c>
    </row>
    <row r="2292" spans="1:10" x14ac:dyDescent="0.25">
      <c r="A2292" t="s">
        <v>1301</v>
      </c>
      <c r="B2292" t="s">
        <v>1491</v>
      </c>
      <c r="C2292" t="s">
        <v>1502</v>
      </c>
      <c r="D2292">
        <v>104880</v>
      </c>
      <c r="E2292" t="s">
        <v>14</v>
      </c>
      <c r="F2292">
        <v>51.128100000000003</v>
      </c>
      <c r="G2292">
        <v>13.7544</v>
      </c>
      <c r="H2292">
        <v>1</v>
      </c>
      <c r="I2292">
        <v>232.4</v>
      </c>
      <c r="J2292" t="str">
        <f>HYPERLINK("https://climate.onebuilding.org/WMO_Region_6_Europe/DEU_Germany/SN_Sachsen/DEU_SN_Dresden.AP.104880_TMYx.zip")</f>
        <v>https://climate.onebuilding.org/WMO_Region_6_Europe/DEU_Germany/SN_Sachsen/DEU_SN_Dresden.AP.104880_TMYx.zip</v>
      </c>
    </row>
    <row r="2293" spans="1:10" x14ac:dyDescent="0.25">
      <c r="A2293" t="s">
        <v>1301</v>
      </c>
      <c r="B2293" t="s">
        <v>1395</v>
      </c>
      <c r="C2293" t="s">
        <v>1504</v>
      </c>
      <c r="D2293">
        <v>104900</v>
      </c>
      <c r="E2293" t="s">
        <v>14</v>
      </c>
      <c r="F2293">
        <v>51.645000000000003</v>
      </c>
      <c r="G2293">
        <v>13.5747</v>
      </c>
      <c r="H2293">
        <v>1</v>
      </c>
      <c r="I2293">
        <v>97.8</v>
      </c>
      <c r="J2293" t="str">
        <f>HYPERLINK("https://climate.onebuilding.org/WMO_Region_6_Europe/DEU_Germany/BB_Brandenburg/DEU_BB_Doberlug.Kirchhain.104900_TMYx.zip")</f>
        <v>https://climate.onebuilding.org/WMO_Region_6_Europe/DEU_Germany/BB_Brandenburg/DEU_BB_Doberlug.Kirchhain.104900_TMYx.zip</v>
      </c>
    </row>
    <row r="2294" spans="1:10" x14ac:dyDescent="0.25">
      <c r="A2294" t="s">
        <v>1301</v>
      </c>
      <c r="B2294" t="s">
        <v>1395</v>
      </c>
      <c r="C2294" t="s">
        <v>1505</v>
      </c>
      <c r="D2294">
        <v>104920</v>
      </c>
      <c r="E2294" t="s">
        <v>14</v>
      </c>
      <c r="F2294">
        <v>51.767000000000003</v>
      </c>
      <c r="G2294">
        <v>14.3</v>
      </c>
      <c r="H2294">
        <v>1</v>
      </c>
      <c r="I2294">
        <v>67</v>
      </c>
      <c r="J2294" t="str">
        <f>HYPERLINK("https://climate.onebuilding.org/WMO_Region_6_Europe/DEU_Germany/BB_Brandenburg/DEU_BB_Cottbus.AP.104920_TMYx.zip")</f>
        <v>https://climate.onebuilding.org/WMO_Region_6_Europe/DEU_Germany/BB_Brandenburg/DEU_BB_Cottbus.AP.104920_TMYx.zip</v>
      </c>
    </row>
    <row r="2295" spans="1:10" x14ac:dyDescent="0.25">
      <c r="A2295" t="s">
        <v>1301</v>
      </c>
      <c r="B2295" t="s">
        <v>1395</v>
      </c>
      <c r="C2295" t="s">
        <v>1506</v>
      </c>
      <c r="D2295">
        <v>104930</v>
      </c>
      <c r="E2295" t="s">
        <v>14</v>
      </c>
      <c r="F2295">
        <v>51.667000000000002</v>
      </c>
      <c r="G2295">
        <v>14.632999999999999</v>
      </c>
      <c r="H2295">
        <v>1</v>
      </c>
      <c r="I2295">
        <v>100</v>
      </c>
      <c r="J2295" t="str">
        <f>HYPERLINK("https://climate.onebuilding.org/WMO_Region_6_Europe/DEU_Germany/BB_Brandenburg/DEU_BB_Preschen.AP.104930_TMYx.zip")</f>
        <v>https://climate.onebuilding.org/WMO_Region_6_Europe/DEU_Germany/BB_Brandenburg/DEU_BB_Preschen.AP.104930_TMYx.zip</v>
      </c>
    </row>
    <row r="2296" spans="1:10" x14ac:dyDescent="0.25">
      <c r="A2296" t="s">
        <v>1301</v>
      </c>
      <c r="B2296" t="s">
        <v>1395</v>
      </c>
      <c r="C2296" t="s">
        <v>1507</v>
      </c>
      <c r="D2296">
        <v>104960</v>
      </c>
      <c r="E2296" t="s">
        <v>14</v>
      </c>
      <c r="F2296">
        <v>51.7761</v>
      </c>
      <c r="G2296">
        <v>14.3169</v>
      </c>
      <c r="H2296">
        <v>1</v>
      </c>
      <c r="I2296">
        <v>69.5</v>
      </c>
      <c r="J2296" t="str">
        <f>HYPERLINK("https://climate.onebuilding.org/WMO_Region_6_Europe/DEU_Germany/BB_Brandenburg/DEU_BB_Cottbus.104960_TMYx.zip")</f>
        <v>https://climate.onebuilding.org/WMO_Region_6_Europe/DEU_Germany/BB_Brandenburg/DEU_BB_Cottbus.104960_TMYx.zip</v>
      </c>
    </row>
    <row r="2297" spans="1:10" x14ac:dyDescent="0.25">
      <c r="A2297" t="s">
        <v>1301</v>
      </c>
      <c r="B2297" t="s">
        <v>1491</v>
      </c>
      <c r="C2297" t="s">
        <v>1508</v>
      </c>
      <c r="D2297">
        <v>104990</v>
      </c>
      <c r="E2297" t="s">
        <v>14</v>
      </c>
      <c r="F2297">
        <v>51.162199999999999</v>
      </c>
      <c r="G2297">
        <v>14.9506</v>
      </c>
      <c r="H2297">
        <v>1</v>
      </c>
      <c r="I2297">
        <v>239.6</v>
      </c>
      <c r="J2297" t="str">
        <f>HYPERLINK("https://climate.onebuilding.org/WMO_Region_6_Europe/DEU_Germany/SN_Sachsen/DEU_SN_Goerlitz.AF.104990_TMYx.zip")</f>
        <v>https://climate.onebuilding.org/WMO_Region_6_Europe/DEU_Germany/SN_Sachsen/DEU_SN_Goerlitz.AF.104990_TMYx.zip</v>
      </c>
    </row>
    <row r="2298" spans="1:10" x14ac:dyDescent="0.25">
      <c r="A2298" t="s">
        <v>1301</v>
      </c>
      <c r="B2298" t="s">
        <v>855</v>
      </c>
      <c r="C2298" t="s">
        <v>1509</v>
      </c>
      <c r="D2298">
        <v>105000</v>
      </c>
      <c r="E2298" t="s">
        <v>14</v>
      </c>
      <c r="F2298">
        <v>50.959200000000003</v>
      </c>
      <c r="G2298">
        <v>6.0392000000000001</v>
      </c>
      <c r="H2298">
        <v>1</v>
      </c>
      <c r="I2298">
        <v>76.400000000000006</v>
      </c>
      <c r="J2298" t="str">
        <f>HYPERLINK("https://climate.onebuilding.org/WMO_Region_6_Europe/DEU_Germany/NW_Nordrhein-Westfalen/DEU_NW_Geilenkirchen.AFB.105000_TMYx.2007-2021.zip")</f>
        <v>https://climate.onebuilding.org/WMO_Region_6_Europe/DEU_Germany/NW_Nordrhein-Westfalen/DEU_NW_Geilenkirchen.AFB.105000_TMYx.2007-2021.zip</v>
      </c>
    </row>
    <row r="2299" spans="1:10" x14ac:dyDescent="0.25">
      <c r="A2299" t="s">
        <v>1301</v>
      </c>
      <c r="B2299" t="s">
        <v>855</v>
      </c>
      <c r="C2299" t="s">
        <v>1509</v>
      </c>
      <c r="D2299">
        <v>105000</v>
      </c>
      <c r="E2299" t="s">
        <v>14</v>
      </c>
      <c r="F2299">
        <v>50.959200000000003</v>
      </c>
      <c r="G2299">
        <v>6.0392000000000001</v>
      </c>
      <c r="H2299">
        <v>1</v>
      </c>
      <c r="I2299">
        <v>76.400000000000006</v>
      </c>
      <c r="J2299" t="str">
        <f>HYPERLINK("https://climate.onebuilding.org/WMO_Region_6_Europe/DEU_Germany/NW_Nordrhein-Westfalen/DEU_NW_Geilenkirchen.AFB.105000_TMYx.2009-2023.zip")</f>
        <v>https://climate.onebuilding.org/WMO_Region_6_Europe/DEU_Germany/NW_Nordrhein-Westfalen/DEU_NW_Geilenkirchen.AFB.105000_TMYx.2009-2023.zip</v>
      </c>
    </row>
    <row r="2300" spans="1:10" x14ac:dyDescent="0.25">
      <c r="A2300" t="s">
        <v>1301</v>
      </c>
      <c r="B2300" t="s">
        <v>855</v>
      </c>
      <c r="C2300" t="s">
        <v>1509</v>
      </c>
      <c r="D2300">
        <v>105000</v>
      </c>
      <c r="E2300" t="s">
        <v>14</v>
      </c>
      <c r="F2300">
        <v>50.959200000000003</v>
      </c>
      <c r="G2300">
        <v>6.0392000000000001</v>
      </c>
      <c r="H2300">
        <v>1</v>
      </c>
      <c r="I2300">
        <v>76.400000000000006</v>
      </c>
      <c r="J2300" t="str">
        <f>HYPERLINK("https://climate.onebuilding.org/WMO_Region_6_Europe/DEU_Germany/NW_Nordrhein-Westfalen/DEU_NW_Geilenkirchen.AFB.105000_TMYx.zip")</f>
        <v>https://climate.onebuilding.org/WMO_Region_6_Europe/DEU_Germany/NW_Nordrhein-Westfalen/DEU_NW_Geilenkirchen.AFB.105000_TMYx.zip</v>
      </c>
    </row>
    <row r="2301" spans="1:10" x14ac:dyDescent="0.25">
      <c r="A2301" t="s">
        <v>1301</v>
      </c>
      <c r="B2301" t="s">
        <v>855</v>
      </c>
      <c r="C2301" t="s">
        <v>1510</v>
      </c>
      <c r="D2301">
        <v>105010</v>
      </c>
      <c r="E2301" t="s">
        <v>14</v>
      </c>
      <c r="F2301">
        <v>50.783000000000001</v>
      </c>
      <c r="G2301">
        <v>6.0949999999999998</v>
      </c>
      <c r="H2301">
        <v>1</v>
      </c>
      <c r="I2301">
        <v>232</v>
      </c>
      <c r="J2301" t="str">
        <f>HYPERLINK("https://climate.onebuilding.org/WMO_Region_6_Europe/DEU_Germany/NW_Nordrhein-Westfalen/DEU_NW_Aachen.105010_TMYx.zip")</f>
        <v>https://climate.onebuilding.org/WMO_Region_6_Europe/DEU_Germany/NW_Nordrhein-Westfalen/DEU_NW_Aachen.105010_TMYx.zip</v>
      </c>
    </row>
    <row r="2302" spans="1:10" x14ac:dyDescent="0.25">
      <c r="A2302" t="s">
        <v>1301</v>
      </c>
      <c r="B2302" t="s">
        <v>855</v>
      </c>
      <c r="C2302" t="s">
        <v>1511</v>
      </c>
      <c r="D2302">
        <v>105020</v>
      </c>
      <c r="E2302" t="s">
        <v>1512</v>
      </c>
      <c r="F2302">
        <v>50.8294</v>
      </c>
      <c r="G2302">
        <v>6.6603000000000003</v>
      </c>
      <c r="H2302">
        <v>1</v>
      </c>
      <c r="I2302">
        <v>133.9</v>
      </c>
      <c r="J2302" t="str">
        <f>HYPERLINK("https://climate.onebuilding.org/WMO_Region_6_Europe/DEU_Germany/NW_Nordrhein-Westfalen/DEU_NW_Norvenich.AP.105020_TMYx.2004-2018.zip")</f>
        <v>https://climate.onebuilding.org/WMO_Region_6_Europe/DEU_Germany/NW_Nordrhein-Westfalen/DEU_NW_Norvenich.AP.105020_TMYx.2004-2018.zip</v>
      </c>
    </row>
    <row r="2303" spans="1:10" x14ac:dyDescent="0.25">
      <c r="A2303" t="s">
        <v>1301</v>
      </c>
      <c r="B2303" t="s">
        <v>855</v>
      </c>
      <c r="C2303" t="s">
        <v>1511</v>
      </c>
      <c r="D2303">
        <v>105020</v>
      </c>
      <c r="E2303" t="s">
        <v>14</v>
      </c>
      <c r="F2303">
        <v>50.8294</v>
      </c>
      <c r="G2303">
        <v>6.6603000000000003</v>
      </c>
      <c r="H2303">
        <v>1</v>
      </c>
      <c r="I2303">
        <v>133.9</v>
      </c>
      <c r="J2303" t="str">
        <f>HYPERLINK("https://climate.onebuilding.org/WMO_Region_6_Europe/DEU_Germany/NW_Nordrhein-Westfalen/DEU_NW_Norvenich.AP.105020_TMYx.2007-2021.zip")</f>
        <v>https://climate.onebuilding.org/WMO_Region_6_Europe/DEU_Germany/NW_Nordrhein-Westfalen/DEU_NW_Norvenich.AP.105020_TMYx.2007-2021.zip</v>
      </c>
    </row>
    <row r="2304" spans="1:10" x14ac:dyDescent="0.25">
      <c r="A2304" t="s">
        <v>1301</v>
      </c>
      <c r="B2304" t="s">
        <v>855</v>
      </c>
      <c r="C2304" t="s">
        <v>1511</v>
      </c>
      <c r="D2304">
        <v>105020</v>
      </c>
      <c r="E2304" t="s">
        <v>14</v>
      </c>
      <c r="F2304">
        <v>50.8294</v>
      </c>
      <c r="G2304">
        <v>6.6603000000000003</v>
      </c>
      <c r="H2304">
        <v>1</v>
      </c>
      <c r="I2304">
        <v>133.9</v>
      </c>
      <c r="J2304" t="str">
        <f>HYPERLINK("https://climate.onebuilding.org/WMO_Region_6_Europe/DEU_Germany/NW_Nordrhein-Westfalen/DEU_NW_Norvenich.AP.105020_TMYx.2009-2023.zip")</f>
        <v>https://climate.onebuilding.org/WMO_Region_6_Europe/DEU_Germany/NW_Nordrhein-Westfalen/DEU_NW_Norvenich.AP.105020_TMYx.2009-2023.zip</v>
      </c>
    </row>
    <row r="2305" spans="1:10" x14ac:dyDescent="0.25">
      <c r="A2305" t="s">
        <v>1301</v>
      </c>
      <c r="B2305" t="s">
        <v>855</v>
      </c>
      <c r="C2305" t="s">
        <v>1511</v>
      </c>
      <c r="D2305">
        <v>105020</v>
      </c>
      <c r="E2305" t="s">
        <v>14</v>
      </c>
      <c r="F2305">
        <v>50.8294</v>
      </c>
      <c r="G2305">
        <v>6.6603000000000003</v>
      </c>
      <c r="H2305">
        <v>1</v>
      </c>
      <c r="I2305">
        <v>133.9</v>
      </c>
      <c r="J2305" t="str">
        <f>HYPERLINK("https://climate.onebuilding.org/WMO_Region_6_Europe/DEU_Germany/NW_Nordrhein-Westfalen/DEU_NW_Norvenich.AP.105020_TMYx.zip")</f>
        <v>https://climate.onebuilding.org/WMO_Region_6_Europe/DEU_Germany/NW_Nordrhein-Westfalen/DEU_NW_Norvenich.AP.105020_TMYx.zip</v>
      </c>
    </row>
    <row r="2306" spans="1:10" x14ac:dyDescent="0.25">
      <c r="A2306" t="s">
        <v>1301</v>
      </c>
      <c r="B2306" t="s">
        <v>1513</v>
      </c>
      <c r="C2306" t="s">
        <v>1514</v>
      </c>
      <c r="D2306">
        <v>105060</v>
      </c>
      <c r="E2306" t="s">
        <v>1515</v>
      </c>
      <c r="F2306">
        <v>50.360300000000002</v>
      </c>
      <c r="G2306">
        <v>6.8696999999999999</v>
      </c>
      <c r="H2306">
        <v>1</v>
      </c>
      <c r="I2306">
        <v>488.2</v>
      </c>
      <c r="J2306" t="str">
        <f>HYPERLINK("https://climate.onebuilding.org/WMO_Region_6_Europe/DEU_Germany/RP_Rheinland-Pfalz/DEU_RP_Nurburg.Barweiler.105060_TMYx.2004-2018.zip")</f>
        <v>https://climate.onebuilding.org/WMO_Region_6_Europe/DEU_Germany/RP_Rheinland-Pfalz/DEU_RP_Nurburg.Barweiler.105060_TMYx.2004-2018.zip</v>
      </c>
    </row>
    <row r="2307" spans="1:10" x14ac:dyDescent="0.25">
      <c r="A2307" t="s">
        <v>1301</v>
      </c>
      <c r="B2307" t="s">
        <v>1513</v>
      </c>
      <c r="C2307" t="s">
        <v>1514</v>
      </c>
      <c r="D2307">
        <v>105060</v>
      </c>
      <c r="E2307" t="s">
        <v>14</v>
      </c>
      <c r="F2307">
        <v>50.360300000000002</v>
      </c>
      <c r="G2307">
        <v>6.8696999999999999</v>
      </c>
      <c r="H2307">
        <v>1</v>
      </c>
      <c r="I2307">
        <v>488.2</v>
      </c>
      <c r="J2307" t="str">
        <f>HYPERLINK("https://climate.onebuilding.org/WMO_Region_6_Europe/DEU_Germany/RP_Rheinland-Pfalz/DEU_RP_Nurburg.Barweiler.105060_TMYx.2007-2021.zip")</f>
        <v>https://climate.onebuilding.org/WMO_Region_6_Europe/DEU_Germany/RP_Rheinland-Pfalz/DEU_RP_Nurburg.Barweiler.105060_TMYx.2007-2021.zip</v>
      </c>
    </row>
    <row r="2308" spans="1:10" x14ac:dyDescent="0.25">
      <c r="A2308" t="s">
        <v>1301</v>
      </c>
      <c r="B2308" t="s">
        <v>1513</v>
      </c>
      <c r="C2308" t="s">
        <v>1514</v>
      </c>
      <c r="D2308">
        <v>105060</v>
      </c>
      <c r="E2308" t="s">
        <v>14</v>
      </c>
      <c r="F2308">
        <v>50.360300000000002</v>
      </c>
      <c r="G2308">
        <v>6.8696999999999999</v>
      </c>
      <c r="H2308">
        <v>1</v>
      </c>
      <c r="I2308">
        <v>488.2</v>
      </c>
      <c r="J2308" t="str">
        <f>HYPERLINK("https://climate.onebuilding.org/WMO_Region_6_Europe/DEU_Germany/RP_Rheinland-Pfalz/DEU_RP_Nurburg.Barweiler.105060_TMYx.zip")</f>
        <v>https://climate.onebuilding.org/WMO_Region_6_Europe/DEU_Germany/RP_Rheinland-Pfalz/DEU_RP_Nurburg.Barweiler.105060_TMYx.zip</v>
      </c>
    </row>
    <row r="2309" spans="1:10" x14ac:dyDescent="0.25">
      <c r="A2309" t="s">
        <v>1301</v>
      </c>
      <c r="B2309" t="s">
        <v>855</v>
      </c>
      <c r="C2309" t="s">
        <v>1516</v>
      </c>
      <c r="D2309">
        <v>105090</v>
      </c>
      <c r="E2309" t="s">
        <v>14</v>
      </c>
      <c r="F2309">
        <v>50.982999999999997</v>
      </c>
      <c r="G2309">
        <v>6.9</v>
      </c>
      <c r="H2309">
        <v>1</v>
      </c>
      <c r="I2309">
        <v>49</v>
      </c>
      <c r="J2309" t="str">
        <f>HYPERLINK("https://climate.onebuilding.org/WMO_Region_6_Europe/DEU_Germany/NW_Nordrhein-Westfalen/DEU_NW_Butzweilerhof.AFB.105090_TMYx.zip")</f>
        <v>https://climate.onebuilding.org/WMO_Region_6_Europe/DEU_Germany/NW_Nordrhein-Westfalen/DEU_NW_Butzweilerhof.AFB.105090_TMYx.zip</v>
      </c>
    </row>
    <row r="2310" spans="1:10" x14ac:dyDescent="0.25">
      <c r="A2310" t="s">
        <v>1301</v>
      </c>
      <c r="B2310" t="s">
        <v>1513</v>
      </c>
      <c r="C2310" t="s">
        <v>1517</v>
      </c>
      <c r="D2310">
        <v>105100</v>
      </c>
      <c r="E2310" t="s">
        <v>14</v>
      </c>
      <c r="F2310">
        <v>50.332999999999998</v>
      </c>
      <c r="G2310">
        <v>6.95</v>
      </c>
      <c r="H2310">
        <v>1</v>
      </c>
      <c r="I2310">
        <v>626</v>
      </c>
      <c r="J2310" t="str">
        <f>HYPERLINK("https://climate.onebuilding.org/WMO_Region_6_Europe/DEU_Germany/RP_Rheinland-Pfalz/DEU_RP_Nurburg.105100_TMYx.zip")</f>
        <v>https://climate.onebuilding.org/WMO_Region_6_Europe/DEU_Germany/RP_Rheinland-Pfalz/DEU_RP_Nurburg.105100_TMYx.zip</v>
      </c>
    </row>
    <row r="2311" spans="1:10" x14ac:dyDescent="0.25">
      <c r="A2311" t="s">
        <v>1301</v>
      </c>
      <c r="B2311" t="s">
        <v>855</v>
      </c>
      <c r="C2311" t="s">
        <v>1518</v>
      </c>
      <c r="D2311">
        <v>105130</v>
      </c>
      <c r="E2311" t="s">
        <v>1519</v>
      </c>
      <c r="F2311">
        <v>50.864400000000003</v>
      </c>
      <c r="G2311">
        <v>7.1574999999999998</v>
      </c>
      <c r="H2311">
        <v>1</v>
      </c>
      <c r="I2311">
        <v>99.5</v>
      </c>
      <c r="J2311" t="str">
        <f>HYPERLINK("https://climate.onebuilding.org/WMO_Region_6_Europe/DEU_Germany/NW_Nordrhein-Westfalen/DEU_NW_Koln.Bonn.AP.105130_TMYx.2004-2018.zip")</f>
        <v>https://climate.onebuilding.org/WMO_Region_6_Europe/DEU_Germany/NW_Nordrhein-Westfalen/DEU_NW_Koln.Bonn.AP.105130_TMYx.2004-2018.zip</v>
      </c>
    </row>
    <row r="2312" spans="1:10" x14ac:dyDescent="0.25">
      <c r="A2312" t="s">
        <v>1301</v>
      </c>
      <c r="B2312" t="s">
        <v>855</v>
      </c>
      <c r="C2312" t="s">
        <v>1518</v>
      </c>
      <c r="D2312">
        <v>105130</v>
      </c>
      <c r="E2312" t="s">
        <v>14</v>
      </c>
      <c r="F2312">
        <v>50.864400000000003</v>
      </c>
      <c r="G2312">
        <v>7.1574999999999998</v>
      </c>
      <c r="H2312">
        <v>1</v>
      </c>
      <c r="I2312">
        <v>99.5</v>
      </c>
      <c r="J2312" t="str">
        <f>HYPERLINK("https://climate.onebuilding.org/WMO_Region_6_Europe/DEU_Germany/NW_Nordrhein-Westfalen/DEU_NW_Koln.Bonn.AP.105130_TMYx.2007-2021.zip")</f>
        <v>https://climate.onebuilding.org/WMO_Region_6_Europe/DEU_Germany/NW_Nordrhein-Westfalen/DEU_NW_Koln.Bonn.AP.105130_TMYx.2007-2021.zip</v>
      </c>
    </row>
    <row r="2313" spans="1:10" x14ac:dyDescent="0.25">
      <c r="A2313" t="s">
        <v>1301</v>
      </c>
      <c r="B2313" t="s">
        <v>855</v>
      </c>
      <c r="C2313" t="s">
        <v>1518</v>
      </c>
      <c r="D2313">
        <v>105130</v>
      </c>
      <c r="E2313" t="s">
        <v>14</v>
      </c>
      <c r="F2313">
        <v>50.864400000000003</v>
      </c>
      <c r="G2313">
        <v>7.1574999999999998</v>
      </c>
      <c r="H2313">
        <v>1</v>
      </c>
      <c r="I2313">
        <v>99.5</v>
      </c>
      <c r="J2313" t="str">
        <f>HYPERLINK("https://climate.onebuilding.org/WMO_Region_6_Europe/DEU_Germany/NW_Nordrhein-Westfalen/DEU_NW_Koln.Bonn.AP.105130_TMYx.2009-2023.zip")</f>
        <v>https://climate.onebuilding.org/WMO_Region_6_Europe/DEU_Germany/NW_Nordrhein-Westfalen/DEU_NW_Koln.Bonn.AP.105130_TMYx.2009-2023.zip</v>
      </c>
    </row>
    <row r="2314" spans="1:10" x14ac:dyDescent="0.25">
      <c r="A2314" t="s">
        <v>1301</v>
      </c>
      <c r="B2314" t="s">
        <v>855</v>
      </c>
      <c r="C2314" t="s">
        <v>1518</v>
      </c>
      <c r="D2314">
        <v>105130</v>
      </c>
      <c r="E2314" t="s">
        <v>14</v>
      </c>
      <c r="F2314">
        <v>50.864400000000003</v>
      </c>
      <c r="G2314">
        <v>7.1574999999999998</v>
      </c>
      <c r="H2314">
        <v>1</v>
      </c>
      <c r="I2314">
        <v>99.5</v>
      </c>
      <c r="J2314" t="str">
        <f>HYPERLINK("https://climate.onebuilding.org/WMO_Region_6_Europe/DEU_Germany/NW_Nordrhein-Westfalen/DEU_NW_Koln.Bonn.AP.105130_TMYx.zip")</f>
        <v>https://climate.onebuilding.org/WMO_Region_6_Europe/DEU_Germany/NW_Nordrhein-Westfalen/DEU_NW_Koln.Bonn.AP.105130_TMYx.zip</v>
      </c>
    </row>
    <row r="2315" spans="1:10" x14ac:dyDescent="0.25">
      <c r="A2315" t="s">
        <v>1301</v>
      </c>
      <c r="B2315" t="s">
        <v>1513</v>
      </c>
      <c r="C2315" t="s">
        <v>1520</v>
      </c>
      <c r="D2315">
        <v>105140</v>
      </c>
      <c r="E2315" t="s">
        <v>14</v>
      </c>
      <c r="F2315">
        <v>50.366</v>
      </c>
      <c r="G2315">
        <v>7.3150000000000004</v>
      </c>
      <c r="H2315">
        <v>1</v>
      </c>
      <c r="I2315">
        <v>182</v>
      </c>
      <c r="J2315" t="str">
        <f>HYPERLINK("https://climate.onebuilding.org/WMO_Region_6_Europe/DEU_Germany/RP_Rheinland-Pfalz/DEU_RP_Mendig.AP.105140_TMYx.zip")</f>
        <v>https://climate.onebuilding.org/WMO_Region_6_Europe/DEU_Germany/RP_Rheinland-Pfalz/DEU_RP_Mendig.AP.105140_TMYx.zip</v>
      </c>
    </row>
    <row r="2316" spans="1:10" x14ac:dyDescent="0.25">
      <c r="A2316" t="s">
        <v>1301</v>
      </c>
      <c r="B2316" t="s">
        <v>1513</v>
      </c>
      <c r="C2316" t="s">
        <v>1521</v>
      </c>
      <c r="D2316">
        <v>105150</v>
      </c>
      <c r="E2316" t="s">
        <v>14</v>
      </c>
      <c r="F2316">
        <v>50.417000000000002</v>
      </c>
      <c r="G2316">
        <v>7.5830000000000002</v>
      </c>
      <c r="H2316">
        <v>1</v>
      </c>
      <c r="I2316">
        <v>96</v>
      </c>
      <c r="J2316" t="str">
        <f>HYPERLINK("https://climate.onebuilding.org/WMO_Region_6_Europe/DEU_Germany/RP_Rheinland-Pfalz/DEU_RP_Bendorf.105150_TMYx.zip")</f>
        <v>https://climate.onebuilding.org/WMO_Region_6_Europe/DEU_Germany/RP_Rheinland-Pfalz/DEU_RP_Bendorf.105150_TMYx.zip</v>
      </c>
    </row>
    <row r="2317" spans="1:10" x14ac:dyDescent="0.25">
      <c r="A2317" t="s">
        <v>1301</v>
      </c>
      <c r="B2317" t="s">
        <v>855</v>
      </c>
      <c r="C2317" t="s">
        <v>1522</v>
      </c>
      <c r="D2317">
        <v>105190</v>
      </c>
      <c r="E2317" t="s">
        <v>1523</v>
      </c>
      <c r="F2317">
        <v>50.734999999999999</v>
      </c>
      <c r="G2317">
        <v>7.1931000000000003</v>
      </c>
      <c r="H2317">
        <v>1</v>
      </c>
      <c r="I2317">
        <v>160.4</v>
      </c>
      <c r="J2317" t="str">
        <f>HYPERLINK("https://climate.onebuilding.org/WMO_Region_6_Europe/DEU_Germany/NW_Nordrhein-Westfalen/DEU_NW_Bonn.Roleber.105190_TMYx.2004-2018.zip")</f>
        <v>https://climate.onebuilding.org/WMO_Region_6_Europe/DEU_Germany/NW_Nordrhein-Westfalen/DEU_NW_Bonn.Roleber.105190_TMYx.2004-2018.zip</v>
      </c>
    </row>
    <row r="2318" spans="1:10" x14ac:dyDescent="0.25">
      <c r="A2318" t="s">
        <v>1301</v>
      </c>
      <c r="B2318" t="s">
        <v>855</v>
      </c>
      <c r="C2318" t="s">
        <v>1522</v>
      </c>
      <c r="D2318">
        <v>105190</v>
      </c>
      <c r="E2318" t="s">
        <v>14</v>
      </c>
      <c r="F2318">
        <v>50.734999999999999</v>
      </c>
      <c r="G2318">
        <v>7.1931000000000003</v>
      </c>
      <c r="H2318">
        <v>1</v>
      </c>
      <c r="I2318">
        <v>160.4</v>
      </c>
      <c r="J2318" t="str">
        <f>HYPERLINK("https://climate.onebuilding.org/WMO_Region_6_Europe/DEU_Germany/NW_Nordrhein-Westfalen/DEU_NW_Bonn.Roleber.105190_TMYx.2007-2021.zip")</f>
        <v>https://climate.onebuilding.org/WMO_Region_6_Europe/DEU_Germany/NW_Nordrhein-Westfalen/DEU_NW_Bonn.Roleber.105190_TMYx.2007-2021.zip</v>
      </c>
    </row>
    <row r="2319" spans="1:10" x14ac:dyDescent="0.25">
      <c r="A2319" t="s">
        <v>1301</v>
      </c>
      <c r="B2319" t="s">
        <v>855</v>
      </c>
      <c r="C2319" t="s">
        <v>1522</v>
      </c>
      <c r="D2319">
        <v>105190</v>
      </c>
      <c r="E2319" t="s">
        <v>14</v>
      </c>
      <c r="F2319">
        <v>50.734999999999999</v>
      </c>
      <c r="G2319">
        <v>7.1931000000000003</v>
      </c>
      <c r="H2319">
        <v>1</v>
      </c>
      <c r="I2319">
        <v>160.4</v>
      </c>
      <c r="J2319" t="str">
        <f>HYPERLINK("https://climate.onebuilding.org/WMO_Region_6_Europe/DEU_Germany/NW_Nordrhein-Westfalen/DEU_NW_Bonn.Roleber.105190_TMYx.zip")</f>
        <v>https://climate.onebuilding.org/WMO_Region_6_Europe/DEU_Germany/NW_Nordrhein-Westfalen/DEU_NW_Bonn.Roleber.105190_TMYx.zip</v>
      </c>
    </row>
    <row r="2320" spans="1:10" x14ac:dyDescent="0.25">
      <c r="A2320" t="s">
        <v>1301</v>
      </c>
      <c r="B2320" t="s">
        <v>1513</v>
      </c>
      <c r="C2320" t="s">
        <v>1524</v>
      </c>
      <c r="D2320">
        <v>105260</v>
      </c>
      <c r="E2320" t="s">
        <v>14</v>
      </c>
      <c r="F2320">
        <v>50.661900000000003</v>
      </c>
      <c r="G2320">
        <v>7.9603000000000002</v>
      </c>
      <c r="H2320">
        <v>1</v>
      </c>
      <c r="I2320">
        <v>546.29999999999995</v>
      </c>
      <c r="J2320" t="str">
        <f>HYPERLINK("https://climate.onebuilding.org/WMO_Region_6_Europe/DEU_Germany/RP_Rheinland-Pfalz/DEU_RP_Bad.Marienberg.105260_TMYx.zip")</f>
        <v>https://climate.onebuilding.org/WMO_Region_6_Europe/DEU_Germany/RP_Rheinland-Pfalz/DEU_RP_Bad.Marienberg.105260_TMYx.zip</v>
      </c>
    </row>
    <row r="2321" spans="1:10" x14ac:dyDescent="0.25">
      <c r="A2321" t="s">
        <v>1301</v>
      </c>
      <c r="B2321" t="s">
        <v>1451</v>
      </c>
      <c r="C2321" t="s">
        <v>1525</v>
      </c>
      <c r="D2321">
        <v>105320</v>
      </c>
      <c r="E2321" t="s">
        <v>14</v>
      </c>
      <c r="F2321">
        <v>50.601700000000001</v>
      </c>
      <c r="G2321">
        <v>8.6439000000000004</v>
      </c>
      <c r="H2321">
        <v>1</v>
      </c>
      <c r="I2321">
        <v>204.1</v>
      </c>
      <c r="J2321" t="str">
        <f>HYPERLINK("https://climate.onebuilding.org/WMO_Region_6_Europe/DEU_Germany/HE_Hessen/DEU_HE_Giessen-Wettenberg.105320_TMYx.zip")</f>
        <v>https://climate.onebuilding.org/WMO_Region_6_Europe/DEU_Germany/HE_Hessen/DEU_HE_Giessen-Wettenberg.105320_TMYx.zip</v>
      </c>
    </row>
    <row r="2322" spans="1:10" x14ac:dyDescent="0.25">
      <c r="A2322" t="s">
        <v>1301</v>
      </c>
      <c r="B2322" t="s">
        <v>1451</v>
      </c>
      <c r="C2322" t="s">
        <v>1526</v>
      </c>
      <c r="D2322">
        <v>105350</v>
      </c>
      <c r="E2322" t="s">
        <v>14</v>
      </c>
      <c r="F2322">
        <v>50.817</v>
      </c>
      <c r="G2322">
        <v>9.1329999999999991</v>
      </c>
      <c r="H2322">
        <v>1</v>
      </c>
      <c r="I2322">
        <v>320</v>
      </c>
      <c r="J2322" t="str">
        <f>HYPERLINK("https://climate.onebuilding.org/WMO_Region_6_Europe/DEU_Germany/HE_Hessen/DEU_HE_Wahlen.105350_TMYx.zip")</f>
        <v>https://climate.onebuilding.org/WMO_Region_6_Europe/DEU_Germany/HE_Hessen/DEU_HE_Wahlen.105350_TMYx.zip</v>
      </c>
    </row>
    <row r="2323" spans="1:10" x14ac:dyDescent="0.25">
      <c r="A2323" t="s">
        <v>1301</v>
      </c>
      <c r="B2323" t="s">
        <v>1451</v>
      </c>
      <c r="C2323" t="s">
        <v>1527</v>
      </c>
      <c r="D2323">
        <v>105360</v>
      </c>
      <c r="E2323" t="s">
        <v>14</v>
      </c>
      <c r="F2323">
        <v>50.55</v>
      </c>
      <c r="G2323">
        <v>9.65</v>
      </c>
      <c r="H2323">
        <v>1</v>
      </c>
      <c r="I2323">
        <v>305</v>
      </c>
      <c r="J2323" t="str">
        <f>HYPERLINK("https://climate.onebuilding.org/WMO_Region_6_Europe/DEU_Germany/HE_Hessen/DEU_HE_Fulda.105360_TMYx.zip")</f>
        <v>https://climate.onebuilding.org/WMO_Region_6_Europe/DEU_Germany/HE_Hessen/DEU_HE_Fulda.105360_TMYx.zip</v>
      </c>
    </row>
    <row r="2324" spans="1:10" x14ac:dyDescent="0.25">
      <c r="A2324" t="s">
        <v>1301</v>
      </c>
      <c r="B2324" t="s">
        <v>1451</v>
      </c>
      <c r="C2324" t="s">
        <v>1528</v>
      </c>
      <c r="D2324">
        <v>105420</v>
      </c>
      <c r="E2324" t="s">
        <v>14</v>
      </c>
      <c r="F2324">
        <v>50.851900000000001</v>
      </c>
      <c r="G2324">
        <v>9.7378</v>
      </c>
      <c r="H2324">
        <v>1</v>
      </c>
      <c r="I2324">
        <v>270.8</v>
      </c>
      <c r="J2324" t="str">
        <f>HYPERLINK("https://climate.onebuilding.org/WMO_Region_6_Europe/DEU_Germany/HE_Hessen/DEU_HE_Bad.Hersfeld.105420_TMYx.zip")</f>
        <v>https://climate.onebuilding.org/WMO_Region_6_Europe/DEU_Germany/HE_Hessen/DEU_HE_Bad.Hersfeld.105420_TMYx.zip</v>
      </c>
    </row>
    <row r="2325" spans="1:10" x14ac:dyDescent="0.25">
      <c r="A2325" t="s">
        <v>1301</v>
      </c>
      <c r="B2325" t="s">
        <v>1451</v>
      </c>
      <c r="C2325" t="s">
        <v>1529</v>
      </c>
      <c r="D2325">
        <v>105440</v>
      </c>
      <c r="E2325" t="s">
        <v>14</v>
      </c>
      <c r="F2325">
        <v>50.497199999999999</v>
      </c>
      <c r="G2325">
        <v>9.9428000000000001</v>
      </c>
      <c r="H2325">
        <v>1</v>
      </c>
      <c r="I2325">
        <v>925.8</v>
      </c>
      <c r="J2325" t="str">
        <f>HYPERLINK("https://climate.onebuilding.org/WMO_Region_6_Europe/DEU_Germany/HE_Hessen/DEU_HE_Wasserkuppe.AP.105440_TMYx.zip")</f>
        <v>https://climate.onebuilding.org/WMO_Region_6_Europe/DEU_Germany/HE_Hessen/DEU_HE_Wasserkuppe.AP.105440_TMYx.zip</v>
      </c>
    </row>
    <row r="2326" spans="1:10" x14ac:dyDescent="0.25">
      <c r="A2326" t="s">
        <v>1301</v>
      </c>
      <c r="B2326" t="s">
        <v>1483</v>
      </c>
      <c r="C2326" t="s">
        <v>1530</v>
      </c>
      <c r="D2326">
        <v>105460</v>
      </c>
      <c r="E2326" t="s">
        <v>14</v>
      </c>
      <c r="F2326">
        <v>50.633000000000003</v>
      </c>
      <c r="G2326">
        <v>10.15</v>
      </c>
      <c r="H2326">
        <v>1</v>
      </c>
      <c r="I2326">
        <v>494</v>
      </c>
      <c r="J2326" t="str">
        <f>HYPERLINK("https://climate.onebuilding.org/WMO_Region_6_Europe/DEU_Germany/TH_Thuringen/DEU_TH_Kaltennordheim.105460_TMYx.zip")</f>
        <v>https://climate.onebuilding.org/WMO_Region_6_Europe/DEU_Germany/TH_Thuringen/DEU_TH_Kaltennordheim.105460_TMYx.zip</v>
      </c>
    </row>
    <row r="2327" spans="1:10" x14ac:dyDescent="0.25">
      <c r="A2327" t="s">
        <v>1301</v>
      </c>
      <c r="B2327" t="s">
        <v>1483</v>
      </c>
      <c r="C2327" t="s">
        <v>1531</v>
      </c>
      <c r="D2327">
        <v>105480</v>
      </c>
      <c r="E2327" t="s">
        <v>14</v>
      </c>
      <c r="F2327">
        <v>50.561100000000003</v>
      </c>
      <c r="G2327">
        <v>10.3772</v>
      </c>
      <c r="H2327">
        <v>1</v>
      </c>
      <c r="I2327">
        <v>452.6</v>
      </c>
      <c r="J2327" t="str">
        <f>HYPERLINK("https://climate.onebuilding.org/WMO_Region_6_Europe/DEU_Germany/TH_Thuringen/DEU_TH_Meiningen.105480_TMYx.zip")</f>
        <v>https://climate.onebuilding.org/WMO_Region_6_Europe/DEU_Germany/TH_Thuringen/DEU_TH_Meiningen.105480_TMYx.zip</v>
      </c>
    </row>
    <row r="2328" spans="1:10" x14ac:dyDescent="0.25">
      <c r="A2328" t="s">
        <v>1301</v>
      </c>
      <c r="B2328" t="s">
        <v>1483</v>
      </c>
      <c r="C2328" t="s">
        <v>1532</v>
      </c>
      <c r="D2328">
        <v>105490</v>
      </c>
      <c r="E2328" t="s">
        <v>14</v>
      </c>
      <c r="F2328">
        <v>50.85</v>
      </c>
      <c r="G2328">
        <v>10.467000000000001</v>
      </c>
      <c r="H2328">
        <v>1</v>
      </c>
      <c r="I2328">
        <v>920.2</v>
      </c>
      <c r="J2328" t="str">
        <f>HYPERLINK("https://climate.onebuilding.org/WMO_Region_6_Europe/DEU_Germany/TH_Thuringen/DEU_TH_Grosser.Inselsberg.105490_TMYx.zip")</f>
        <v>https://climate.onebuilding.org/WMO_Region_6_Europe/DEU_Germany/TH_Thuringen/DEU_TH_Grosser.Inselsberg.105490_TMYx.zip</v>
      </c>
    </row>
    <row r="2329" spans="1:10" x14ac:dyDescent="0.25">
      <c r="A2329" t="s">
        <v>1301</v>
      </c>
      <c r="B2329" t="s">
        <v>1483</v>
      </c>
      <c r="C2329" t="s">
        <v>1533</v>
      </c>
      <c r="D2329">
        <v>105520</v>
      </c>
      <c r="E2329" t="s">
        <v>14</v>
      </c>
      <c r="F2329">
        <v>50.654400000000003</v>
      </c>
      <c r="G2329">
        <v>10.769399999999999</v>
      </c>
      <c r="H2329">
        <v>1</v>
      </c>
      <c r="I2329">
        <v>939.1</v>
      </c>
      <c r="J2329" t="str">
        <f>HYPERLINK("https://climate.onebuilding.org/WMO_Region_6_Europe/DEU_Germany/TH_Thuringen/DEU_TH_Schmucke.105520_TMYx.zip")</f>
        <v>https://climate.onebuilding.org/WMO_Region_6_Europe/DEU_Germany/TH_Thuringen/DEU_TH_Schmucke.105520_TMYx.zip</v>
      </c>
    </row>
    <row r="2330" spans="1:10" x14ac:dyDescent="0.25">
      <c r="A2330" t="s">
        <v>1301</v>
      </c>
      <c r="B2330" t="s">
        <v>1483</v>
      </c>
      <c r="C2330" t="s">
        <v>1534</v>
      </c>
      <c r="D2330">
        <v>105536</v>
      </c>
      <c r="E2330" t="s">
        <v>1535</v>
      </c>
      <c r="F2330">
        <v>50.981999999999999</v>
      </c>
      <c r="G2330">
        <v>12.506</v>
      </c>
      <c r="H2330">
        <v>1</v>
      </c>
      <c r="I2330">
        <v>195.1</v>
      </c>
      <c r="J2330" t="str">
        <f>HYPERLINK("https://climate.onebuilding.org/WMO_Region_6_Europe/DEU_Germany/TH_Thuringen/DEU_TH_Altenburg.Nobitz.AP.105536_TMYx.2004-2018.zip")</f>
        <v>https://climate.onebuilding.org/WMO_Region_6_Europe/DEU_Germany/TH_Thuringen/DEU_TH_Altenburg.Nobitz.AP.105536_TMYx.2004-2018.zip</v>
      </c>
    </row>
    <row r="2331" spans="1:10" x14ac:dyDescent="0.25">
      <c r="A2331" t="s">
        <v>1301</v>
      </c>
      <c r="B2331" t="s">
        <v>1483</v>
      </c>
      <c r="C2331" t="s">
        <v>1534</v>
      </c>
      <c r="D2331">
        <v>105536</v>
      </c>
      <c r="E2331" t="s">
        <v>14</v>
      </c>
      <c r="F2331">
        <v>50.981999999999999</v>
      </c>
      <c r="G2331">
        <v>12.506</v>
      </c>
      <c r="H2331">
        <v>1</v>
      </c>
      <c r="I2331">
        <v>195.1</v>
      </c>
      <c r="J2331" t="str">
        <f>HYPERLINK("https://climate.onebuilding.org/WMO_Region_6_Europe/DEU_Germany/TH_Thuringen/DEU_TH_Altenburg.Nobitz.AP.105536_TMYx.2007-2021.zip")</f>
        <v>https://climate.onebuilding.org/WMO_Region_6_Europe/DEU_Germany/TH_Thuringen/DEU_TH_Altenburg.Nobitz.AP.105536_TMYx.2007-2021.zip</v>
      </c>
    </row>
    <row r="2332" spans="1:10" x14ac:dyDescent="0.25">
      <c r="A2332" t="s">
        <v>1301</v>
      </c>
      <c r="B2332" t="s">
        <v>1483</v>
      </c>
      <c r="C2332" t="s">
        <v>1534</v>
      </c>
      <c r="D2332">
        <v>105536</v>
      </c>
      <c r="E2332" t="s">
        <v>14</v>
      </c>
      <c r="F2332">
        <v>50.981999999999999</v>
      </c>
      <c r="G2332">
        <v>12.506</v>
      </c>
      <c r="H2332">
        <v>1</v>
      </c>
      <c r="I2332">
        <v>195.1</v>
      </c>
      <c r="J2332" t="str">
        <f>HYPERLINK("https://climate.onebuilding.org/WMO_Region_6_Europe/DEU_Germany/TH_Thuringen/DEU_TH_Altenburg.Nobitz.AP.105536_TMYx.2009-2023.zip")</f>
        <v>https://climate.onebuilding.org/WMO_Region_6_Europe/DEU_Germany/TH_Thuringen/DEU_TH_Altenburg.Nobitz.AP.105536_TMYx.2009-2023.zip</v>
      </c>
    </row>
    <row r="2333" spans="1:10" x14ac:dyDescent="0.25">
      <c r="A2333" t="s">
        <v>1301</v>
      </c>
      <c r="B2333" t="s">
        <v>1483</v>
      </c>
      <c r="C2333" t="s">
        <v>1534</v>
      </c>
      <c r="D2333">
        <v>105536</v>
      </c>
      <c r="E2333" t="s">
        <v>14</v>
      </c>
      <c r="F2333">
        <v>50.981999999999999</v>
      </c>
      <c r="G2333">
        <v>12.506</v>
      </c>
      <c r="H2333">
        <v>1</v>
      </c>
      <c r="I2333">
        <v>195.1</v>
      </c>
      <c r="J2333" t="str">
        <f>HYPERLINK("https://climate.onebuilding.org/WMO_Region_6_Europe/DEU_Germany/TH_Thuringen/DEU_TH_Altenburg.Nobitz.AP.105536_TMYx.zip")</f>
        <v>https://climate.onebuilding.org/WMO_Region_6_Europe/DEU_Germany/TH_Thuringen/DEU_TH_Altenburg.Nobitz.AP.105536_TMYx.zip</v>
      </c>
    </row>
    <row r="2334" spans="1:10" x14ac:dyDescent="0.25">
      <c r="A2334" t="s">
        <v>1301</v>
      </c>
      <c r="B2334" t="s">
        <v>1483</v>
      </c>
      <c r="C2334" t="s">
        <v>1536</v>
      </c>
      <c r="D2334">
        <v>105540</v>
      </c>
      <c r="E2334" t="s">
        <v>1537</v>
      </c>
      <c r="F2334">
        <v>50.982799999999997</v>
      </c>
      <c r="G2334">
        <v>10.960800000000001</v>
      </c>
      <c r="H2334">
        <v>1</v>
      </c>
      <c r="I2334">
        <v>322</v>
      </c>
      <c r="J2334" t="str">
        <f>HYPERLINK("https://climate.onebuilding.org/WMO_Region_6_Europe/DEU_Germany/TH_Thuringen/DEU_TH_Erfurt.Binderslebn.AP.105540_TMYx.2004-2018.zip")</f>
        <v>https://climate.onebuilding.org/WMO_Region_6_Europe/DEU_Germany/TH_Thuringen/DEU_TH_Erfurt.Binderslebn.AP.105540_TMYx.2004-2018.zip</v>
      </c>
    </row>
    <row r="2335" spans="1:10" x14ac:dyDescent="0.25">
      <c r="A2335" t="s">
        <v>1301</v>
      </c>
      <c r="B2335" t="s">
        <v>1483</v>
      </c>
      <c r="C2335" t="s">
        <v>1536</v>
      </c>
      <c r="D2335">
        <v>105540</v>
      </c>
      <c r="E2335" t="s">
        <v>14</v>
      </c>
      <c r="F2335">
        <v>50.982799999999997</v>
      </c>
      <c r="G2335">
        <v>10.960800000000001</v>
      </c>
      <c r="H2335">
        <v>1</v>
      </c>
      <c r="I2335">
        <v>322</v>
      </c>
      <c r="J2335" t="str">
        <f>HYPERLINK("https://climate.onebuilding.org/WMO_Region_6_Europe/DEU_Germany/TH_Thuringen/DEU_TH_Erfurt.Binderslebn.AP.105540_TMYx.2007-2021.zip")</f>
        <v>https://climate.onebuilding.org/WMO_Region_6_Europe/DEU_Germany/TH_Thuringen/DEU_TH_Erfurt.Binderslebn.AP.105540_TMYx.2007-2021.zip</v>
      </c>
    </row>
    <row r="2336" spans="1:10" x14ac:dyDescent="0.25">
      <c r="A2336" t="s">
        <v>1301</v>
      </c>
      <c r="B2336" t="s">
        <v>1483</v>
      </c>
      <c r="C2336" t="s">
        <v>1536</v>
      </c>
      <c r="D2336">
        <v>105540</v>
      </c>
      <c r="E2336" t="s">
        <v>14</v>
      </c>
      <c r="F2336">
        <v>50.982799999999997</v>
      </c>
      <c r="G2336">
        <v>10.960800000000001</v>
      </c>
      <c r="H2336">
        <v>1</v>
      </c>
      <c r="I2336">
        <v>322</v>
      </c>
      <c r="J2336" t="str">
        <f>HYPERLINK("https://climate.onebuilding.org/WMO_Region_6_Europe/DEU_Germany/TH_Thuringen/DEU_TH_Erfurt.Binderslebn.AP.105540_TMYx.2009-2023.zip")</f>
        <v>https://climate.onebuilding.org/WMO_Region_6_Europe/DEU_Germany/TH_Thuringen/DEU_TH_Erfurt.Binderslebn.AP.105540_TMYx.2009-2023.zip</v>
      </c>
    </row>
    <row r="2337" spans="1:10" x14ac:dyDescent="0.25">
      <c r="A2337" t="s">
        <v>1301</v>
      </c>
      <c r="B2337" t="s">
        <v>1483</v>
      </c>
      <c r="C2337" t="s">
        <v>1536</v>
      </c>
      <c r="D2337">
        <v>105540</v>
      </c>
      <c r="E2337" t="s">
        <v>14</v>
      </c>
      <c r="F2337">
        <v>50.982799999999997</v>
      </c>
      <c r="G2337">
        <v>10.960800000000001</v>
      </c>
      <c r="H2337">
        <v>1</v>
      </c>
      <c r="I2337">
        <v>322</v>
      </c>
      <c r="J2337" t="str">
        <f>HYPERLINK("https://climate.onebuilding.org/WMO_Region_6_Europe/DEU_Germany/TH_Thuringen/DEU_TH_Erfurt.Binderslebn.AP.105540_TMYx.zip")</f>
        <v>https://climate.onebuilding.org/WMO_Region_6_Europe/DEU_Germany/TH_Thuringen/DEU_TH_Erfurt.Binderslebn.AP.105540_TMYx.zip</v>
      </c>
    </row>
    <row r="2338" spans="1:10" x14ac:dyDescent="0.25">
      <c r="A2338" t="s">
        <v>1301</v>
      </c>
      <c r="B2338" t="s">
        <v>1483</v>
      </c>
      <c r="C2338" t="s">
        <v>1538</v>
      </c>
      <c r="D2338">
        <v>105550</v>
      </c>
      <c r="E2338" t="s">
        <v>14</v>
      </c>
      <c r="F2338">
        <v>50.982999999999997</v>
      </c>
      <c r="G2338">
        <v>11.317</v>
      </c>
      <c r="H2338">
        <v>1</v>
      </c>
      <c r="I2338">
        <v>268</v>
      </c>
      <c r="J2338" t="str">
        <f>HYPERLINK("https://climate.onebuilding.org/WMO_Region_6_Europe/DEU_Germany/TH_Thuringen/DEU_TH_Weimar.105550_TMYx.zip")</f>
        <v>https://climate.onebuilding.org/WMO_Region_6_Europe/DEU_Germany/TH_Thuringen/DEU_TH_Weimar.105550_TMYx.zip</v>
      </c>
    </row>
    <row r="2339" spans="1:10" x14ac:dyDescent="0.25">
      <c r="A2339" t="s">
        <v>1301</v>
      </c>
      <c r="B2339" t="s">
        <v>1483</v>
      </c>
      <c r="C2339" t="s">
        <v>1539</v>
      </c>
      <c r="D2339">
        <v>105570</v>
      </c>
      <c r="E2339" t="s">
        <v>14</v>
      </c>
      <c r="F2339">
        <v>50.500300000000003</v>
      </c>
      <c r="G2339">
        <v>11.134399999999999</v>
      </c>
      <c r="H2339">
        <v>1</v>
      </c>
      <c r="I2339">
        <v>851</v>
      </c>
      <c r="J2339" t="str">
        <f>HYPERLINK("https://climate.onebuilding.org/WMO_Region_6_Europe/DEU_Germany/TH_Thuringen/DEU_TH_Neuhaus.105570_TMYx.zip")</f>
        <v>https://climate.onebuilding.org/WMO_Region_6_Europe/DEU_Germany/TH_Thuringen/DEU_TH_Neuhaus.105570_TMYx.zip</v>
      </c>
    </row>
    <row r="2340" spans="1:10" x14ac:dyDescent="0.25">
      <c r="A2340" t="s">
        <v>1301</v>
      </c>
      <c r="B2340" t="s">
        <v>1483</v>
      </c>
      <c r="C2340" t="s">
        <v>1540</v>
      </c>
      <c r="D2340">
        <v>105580</v>
      </c>
      <c r="E2340" t="s">
        <v>14</v>
      </c>
      <c r="F2340">
        <v>50.383000000000003</v>
      </c>
      <c r="G2340">
        <v>11.183</v>
      </c>
      <c r="H2340">
        <v>1</v>
      </c>
      <c r="I2340">
        <v>630</v>
      </c>
      <c r="J2340" t="str">
        <f>HYPERLINK("https://climate.onebuilding.org/WMO_Region_6_Europe/DEU_Germany/TH_Thuringen/DEU_TH_Sonneberg-Neufang.105580_TMYx.zip")</f>
        <v>https://climate.onebuilding.org/WMO_Region_6_Europe/DEU_Germany/TH_Thuringen/DEU_TH_Sonneberg-Neufang.105580_TMYx.zip</v>
      </c>
    </row>
    <row r="2341" spans="1:10" x14ac:dyDescent="0.25">
      <c r="A2341" t="s">
        <v>1301</v>
      </c>
      <c r="B2341" t="s">
        <v>1483</v>
      </c>
      <c r="C2341" t="s">
        <v>1541</v>
      </c>
      <c r="D2341">
        <v>105640</v>
      </c>
      <c r="E2341" t="s">
        <v>14</v>
      </c>
      <c r="F2341">
        <v>50.567799999999998</v>
      </c>
      <c r="G2341">
        <v>11.8042</v>
      </c>
      <c r="H2341">
        <v>1</v>
      </c>
      <c r="I2341">
        <v>501.9</v>
      </c>
      <c r="J2341" t="str">
        <f>HYPERLINK("https://climate.onebuilding.org/WMO_Region_6_Europe/DEU_Germany/TH_Thuringen/DEU_TH_Schleiz.105640_TMYx.zip")</f>
        <v>https://climate.onebuilding.org/WMO_Region_6_Europe/DEU_Germany/TH_Thuringen/DEU_TH_Schleiz.105640_TMYx.zip</v>
      </c>
    </row>
    <row r="2342" spans="1:10" x14ac:dyDescent="0.25">
      <c r="A2342" t="s">
        <v>1301</v>
      </c>
      <c r="B2342" t="s">
        <v>1483</v>
      </c>
      <c r="C2342" t="s">
        <v>1542</v>
      </c>
      <c r="D2342">
        <v>105670</v>
      </c>
      <c r="E2342" t="s">
        <v>14</v>
      </c>
      <c r="F2342">
        <v>50.881399999999999</v>
      </c>
      <c r="G2342">
        <v>12.1289</v>
      </c>
      <c r="H2342">
        <v>1</v>
      </c>
      <c r="I2342">
        <v>309.5</v>
      </c>
      <c r="J2342" t="str">
        <f>HYPERLINK("https://climate.onebuilding.org/WMO_Region_6_Europe/DEU_Germany/TH_Thuringen/DEU_TH_Gera.Leumnitz.AP.105670_TMYx.zip")</f>
        <v>https://climate.onebuilding.org/WMO_Region_6_Europe/DEU_Germany/TH_Thuringen/DEU_TH_Gera.Leumnitz.AP.105670_TMYx.zip</v>
      </c>
    </row>
    <row r="2343" spans="1:10" x14ac:dyDescent="0.25">
      <c r="A2343" t="s">
        <v>1301</v>
      </c>
      <c r="B2343" t="s">
        <v>1491</v>
      </c>
      <c r="C2343" t="s">
        <v>1543</v>
      </c>
      <c r="D2343">
        <v>105690</v>
      </c>
      <c r="E2343" t="s">
        <v>14</v>
      </c>
      <c r="F2343">
        <v>50.481900000000003</v>
      </c>
      <c r="G2343">
        <v>12.13</v>
      </c>
      <c r="H2343">
        <v>1</v>
      </c>
      <c r="I2343">
        <v>388.8</v>
      </c>
      <c r="J2343" t="str">
        <f>HYPERLINK("https://climate.onebuilding.org/WMO_Region_6_Europe/DEU_Germany/SN_Sachsen/DEU_SN_Plauen.105690_TMYx.zip")</f>
        <v>https://climate.onebuilding.org/WMO_Region_6_Europe/DEU_Germany/SN_Sachsen/DEU_SN_Plauen.105690_TMYx.zip</v>
      </c>
    </row>
    <row r="2344" spans="1:10" x14ac:dyDescent="0.25">
      <c r="A2344" t="s">
        <v>1301</v>
      </c>
      <c r="B2344" t="s">
        <v>1491</v>
      </c>
      <c r="C2344" t="s">
        <v>1544</v>
      </c>
      <c r="D2344">
        <v>105770</v>
      </c>
      <c r="E2344" t="s">
        <v>14</v>
      </c>
      <c r="F2344">
        <v>50.791400000000003</v>
      </c>
      <c r="G2344">
        <v>12.8719</v>
      </c>
      <c r="H2344">
        <v>1</v>
      </c>
      <c r="I2344">
        <v>417.2</v>
      </c>
      <c r="J2344" t="str">
        <f>HYPERLINK("https://climate.onebuilding.org/WMO_Region_6_Europe/DEU_Germany/SN_Sachsen/DEU_SN_Chemnitz-Stelzendorf.105770_TMYx.zip")</f>
        <v>https://climate.onebuilding.org/WMO_Region_6_Europe/DEU_Germany/SN_Sachsen/DEU_SN_Chemnitz-Stelzendorf.105770_TMYx.zip</v>
      </c>
    </row>
    <row r="2345" spans="1:10" x14ac:dyDescent="0.25">
      <c r="A2345" t="s">
        <v>1301</v>
      </c>
      <c r="B2345" t="s">
        <v>1491</v>
      </c>
      <c r="C2345" t="s">
        <v>1545</v>
      </c>
      <c r="D2345">
        <v>105780</v>
      </c>
      <c r="E2345" t="s">
        <v>14</v>
      </c>
      <c r="F2345">
        <v>50.4283</v>
      </c>
      <c r="G2345">
        <v>12.9536</v>
      </c>
      <c r="H2345">
        <v>1</v>
      </c>
      <c r="I2345">
        <v>1214.5999999999999</v>
      </c>
      <c r="J2345" t="str">
        <f>HYPERLINK("https://climate.onebuilding.org/WMO_Region_6_Europe/DEU_Germany/SN_Sachsen/DEU_SN_Fichtelberg.105780_TMYx.zip")</f>
        <v>https://climate.onebuilding.org/WMO_Region_6_Europe/DEU_Germany/SN_Sachsen/DEU_SN_Fichtelberg.105780_TMYx.zip</v>
      </c>
    </row>
    <row r="2346" spans="1:10" x14ac:dyDescent="0.25">
      <c r="A2346" t="s">
        <v>1301</v>
      </c>
      <c r="B2346" t="s">
        <v>1491</v>
      </c>
      <c r="C2346" t="s">
        <v>1546</v>
      </c>
      <c r="D2346">
        <v>105820</v>
      </c>
      <c r="E2346" t="s">
        <v>14</v>
      </c>
      <c r="F2346">
        <v>50.731400000000001</v>
      </c>
      <c r="G2346">
        <v>13.7517</v>
      </c>
      <c r="H2346">
        <v>1</v>
      </c>
      <c r="I2346">
        <v>876.9</v>
      </c>
      <c r="J2346" t="str">
        <f>HYPERLINK("https://climate.onebuilding.org/WMO_Region_6_Europe/DEU_Germany/SN_Sachsen/DEU_SN_Zinnwald-Georgenfeld.105820_TMYx.zip")</f>
        <v>https://climate.onebuilding.org/WMO_Region_6_Europe/DEU_Germany/SN_Sachsen/DEU_SN_Zinnwald-Georgenfeld.105820_TMYx.zip</v>
      </c>
    </row>
    <row r="2347" spans="1:10" x14ac:dyDescent="0.25">
      <c r="A2347" t="s">
        <v>1301</v>
      </c>
      <c r="B2347" t="s">
        <v>1513</v>
      </c>
      <c r="C2347" t="s">
        <v>1547</v>
      </c>
      <c r="D2347">
        <v>106070</v>
      </c>
      <c r="E2347" t="s">
        <v>1548</v>
      </c>
      <c r="F2347">
        <v>49.972999999999999</v>
      </c>
      <c r="G2347">
        <v>6.6929999999999996</v>
      </c>
      <c r="H2347">
        <v>1</v>
      </c>
      <c r="I2347">
        <v>364.8</v>
      </c>
      <c r="J2347" t="str">
        <f>HYPERLINK("https://climate.onebuilding.org/WMO_Region_6_Europe/DEU_Germany/RP_Rheinland-Pfalz/DEU_RP_Spangdahlem.AB.106070_TMYx.2004-2018.zip")</f>
        <v>https://climate.onebuilding.org/WMO_Region_6_Europe/DEU_Germany/RP_Rheinland-Pfalz/DEU_RP_Spangdahlem.AB.106070_TMYx.2004-2018.zip</v>
      </c>
    </row>
    <row r="2348" spans="1:10" x14ac:dyDescent="0.25">
      <c r="A2348" t="s">
        <v>1301</v>
      </c>
      <c r="B2348" t="s">
        <v>1513</v>
      </c>
      <c r="C2348" t="s">
        <v>1547</v>
      </c>
      <c r="D2348">
        <v>106070</v>
      </c>
      <c r="E2348" t="s">
        <v>14</v>
      </c>
      <c r="F2348">
        <v>49.972999999999999</v>
      </c>
      <c r="G2348">
        <v>6.6929999999999996</v>
      </c>
      <c r="H2348">
        <v>1</v>
      </c>
      <c r="I2348">
        <v>364.8</v>
      </c>
      <c r="J2348" t="str">
        <f>HYPERLINK("https://climate.onebuilding.org/WMO_Region_6_Europe/DEU_Germany/RP_Rheinland-Pfalz/DEU_RP_Spangdahlem.AB.106070_TMYx.2007-2021.zip")</f>
        <v>https://climate.onebuilding.org/WMO_Region_6_Europe/DEU_Germany/RP_Rheinland-Pfalz/DEU_RP_Spangdahlem.AB.106070_TMYx.2007-2021.zip</v>
      </c>
    </row>
    <row r="2349" spans="1:10" x14ac:dyDescent="0.25">
      <c r="A2349" t="s">
        <v>1301</v>
      </c>
      <c r="B2349" t="s">
        <v>1513</v>
      </c>
      <c r="C2349" t="s">
        <v>1547</v>
      </c>
      <c r="D2349">
        <v>106070</v>
      </c>
      <c r="E2349" t="s">
        <v>14</v>
      </c>
      <c r="F2349">
        <v>49.972999999999999</v>
      </c>
      <c r="G2349">
        <v>6.6929999999999996</v>
      </c>
      <c r="H2349">
        <v>1</v>
      </c>
      <c r="I2349">
        <v>364.8</v>
      </c>
      <c r="J2349" t="str">
        <f>HYPERLINK("https://climate.onebuilding.org/WMO_Region_6_Europe/DEU_Germany/RP_Rheinland-Pfalz/DEU_RP_Spangdahlem.AB.106070_TMYx.2009-2023.zip")</f>
        <v>https://climate.onebuilding.org/WMO_Region_6_Europe/DEU_Germany/RP_Rheinland-Pfalz/DEU_RP_Spangdahlem.AB.106070_TMYx.2009-2023.zip</v>
      </c>
    </row>
    <row r="2350" spans="1:10" x14ac:dyDescent="0.25">
      <c r="A2350" t="s">
        <v>1301</v>
      </c>
      <c r="B2350" t="s">
        <v>1513</v>
      </c>
      <c r="C2350" t="s">
        <v>1547</v>
      </c>
      <c r="D2350">
        <v>106070</v>
      </c>
      <c r="E2350" t="s">
        <v>14</v>
      </c>
      <c r="F2350">
        <v>49.972999999999999</v>
      </c>
      <c r="G2350">
        <v>6.6929999999999996</v>
      </c>
      <c r="H2350">
        <v>1</v>
      </c>
      <c r="I2350">
        <v>364.8</v>
      </c>
      <c r="J2350" t="str">
        <f>HYPERLINK("https://climate.onebuilding.org/WMO_Region_6_Europe/DEU_Germany/RP_Rheinland-Pfalz/DEU_RP_Spangdahlem.AB.106070_TMYx.zip")</f>
        <v>https://climate.onebuilding.org/WMO_Region_6_Europe/DEU_Germany/RP_Rheinland-Pfalz/DEU_RP_Spangdahlem.AB.106070_TMYx.zip</v>
      </c>
    </row>
    <row r="2351" spans="1:10" x14ac:dyDescent="0.25">
      <c r="A2351" t="s">
        <v>1301</v>
      </c>
      <c r="B2351" t="s">
        <v>1513</v>
      </c>
      <c r="C2351" t="s">
        <v>1549</v>
      </c>
      <c r="D2351">
        <v>106090</v>
      </c>
      <c r="E2351" t="s">
        <v>14</v>
      </c>
      <c r="F2351">
        <v>49.747799999999998</v>
      </c>
      <c r="G2351">
        <v>6.6582999999999997</v>
      </c>
      <c r="H2351">
        <v>1</v>
      </c>
      <c r="I2351">
        <v>273.2</v>
      </c>
      <c r="J2351" t="str">
        <f>HYPERLINK("https://climate.onebuilding.org/WMO_Region_6_Europe/DEU_Germany/RP_Rheinland-Pfalz/DEU_RP_Trier-Petrisberg.106090_TMYx.zip")</f>
        <v>https://climate.onebuilding.org/WMO_Region_6_Europe/DEU_Germany/RP_Rheinland-Pfalz/DEU_RP_Trier-Petrisberg.106090_TMYx.zip</v>
      </c>
    </row>
    <row r="2352" spans="1:10" x14ac:dyDescent="0.25">
      <c r="A2352" t="s">
        <v>1301</v>
      </c>
      <c r="B2352" t="s">
        <v>1513</v>
      </c>
      <c r="C2352" t="s">
        <v>1550</v>
      </c>
      <c r="D2352">
        <v>106100</v>
      </c>
      <c r="E2352" t="s">
        <v>14</v>
      </c>
      <c r="F2352">
        <v>49.95</v>
      </c>
      <c r="G2352">
        <v>6.5670000000000002</v>
      </c>
      <c r="H2352">
        <v>1</v>
      </c>
      <c r="I2352">
        <v>374</v>
      </c>
      <c r="J2352" t="str">
        <f>HYPERLINK("https://climate.onebuilding.org/WMO_Region_6_Europe/DEU_Germany/RP_Rheinland-Pfalz/DEU_RP_Bitburg.AB.106100_TMYx.zip")</f>
        <v>https://climate.onebuilding.org/WMO_Region_6_Europe/DEU_Germany/RP_Rheinland-Pfalz/DEU_RP_Bitburg.AB.106100_TMYx.zip</v>
      </c>
    </row>
    <row r="2353" spans="1:10" x14ac:dyDescent="0.25">
      <c r="A2353" t="s">
        <v>1301</v>
      </c>
      <c r="B2353" t="s">
        <v>1513</v>
      </c>
      <c r="C2353" t="s">
        <v>1551</v>
      </c>
      <c r="D2353">
        <v>106130</v>
      </c>
      <c r="E2353" t="s">
        <v>1552</v>
      </c>
      <c r="F2353">
        <v>50.174700000000001</v>
      </c>
      <c r="G2353">
        <v>7.0594000000000001</v>
      </c>
      <c r="H2353">
        <v>1</v>
      </c>
      <c r="I2353">
        <v>485.8</v>
      </c>
      <c r="J2353" t="str">
        <f>HYPERLINK("https://climate.onebuilding.org/WMO_Region_6_Europe/DEU_Germany/RP_Rheinland-Pfalz/DEU_RP_Buchel.AB.106130_TMYx.2004-2018.zip")</f>
        <v>https://climate.onebuilding.org/WMO_Region_6_Europe/DEU_Germany/RP_Rheinland-Pfalz/DEU_RP_Buchel.AB.106130_TMYx.2004-2018.zip</v>
      </c>
    </row>
    <row r="2354" spans="1:10" x14ac:dyDescent="0.25">
      <c r="A2354" t="s">
        <v>1301</v>
      </c>
      <c r="B2354" t="s">
        <v>1513</v>
      </c>
      <c r="C2354" t="s">
        <v>1551</v>
      </c>
      <c r="D2354">
        <v>106130</v>
      </c>
      <c r="E2354" t="s">
        <v>14</v>
      </c>
      <c r="F2354">
        <v>50.174700000000001</v>
      </c>
      <c r="G2354">
        <v>7.0594000000000001</v>
      </c>
      <c r="H2354">
        <v>1</v>
      </c>
      <c r="I2354">
        <v>485.8</v>
      </c>
      <c r="J2354" t="str">
        <f>HYPERLINK("https://climate.onebuilding.org/WMO_Region_6_Europe/DEU_Germany/RP_Rheinland-Pfalz/DEU_RP_Buchel.AB.106130_TMYx.2007-2021.zip")</f>
        <v>https://climate.onebuilding.org/WMO_Region_6_Europe/DEU_Germany/RP_Rheinland-Pfalz/DEU_RP_Buchel.AB.106130_TMYx.2007-2021.zip</v>
      </c>
    </row>
    <row r="2355" spans="1:10" x14ac:dyDescent="0.25">
      <c r="A2355" t="s">
        <v>1301</v>
      </c>
      <c r="B2355" t="s">
        <v>1513</v>
      </c>
      <c r="C2355" t="s">
        <v>1551</v>
      </c>
      <c r="D2355">
        <v>106130</v>
      </c>
      <c r="E2355" t="s">
        <v>14</v>
      </c>
      <c r="F2355">
        <v>50.174700000000001</v>
      </c>
      <c r="G2355">
        <v>7.0594000000000001</v>
      </c>
      <c r="H2355">
        <v>1</v>
      </c>
      <c r="I2355">
        <v>485.8</v>
      </c>
      <c r="J2355" t="str">
        <f>HYPERLINK("https://climate.onebuilding.org/WMO_Region_6_Europe/DEU_Germany/RP_Rheinland-Pfalz/DEU_RP_Buchel.AB.106130_TMYx.2009-2023.zip")</f>
        <v>https://climate.onebuilding.org/WMO_Region_6_Europe/DEU_Germany/RP_Rheinland-Pfalz/DEU_RP_Buchel.AB.106130_TMYx.2009-2023.zip</v>
      </c>
    </row>
    <row r="2356" spans="1:10" x14ac:dyDescent="0.25">
      <c r="A2356" t="s">
        <v>1301</v>
      </c>
      <c r="B2356" t="s">
        <v>1513</v>
      </c>
      <c r="C2356" t="s">
        <v>1551</v>
      </c>
      <c r="D2356">
        <v>106130</v>
      </c>
      <c r="E2356" t="s">
        <v>14</v>
      </c>
      <c r="F2356">
        <v>50.174700000000001</v>
      </c>
      <c r="G2356">
        <v>7.0594000000000001</v>
      </c>
      <c r="H2356">
        <v>1</v>
      </c>
      <c r="I2356">
        <v>485.8</v>
      </c>
      <c r="J2356" t="str">
        <f>HYPERLINK("https://climate.onebuilding.org/WMO_Region_6_Europe/DEU_Germany/RP_Rheinland-Pfalz/DEU_RP_Buchel.AB.106130_TMYx.zip")</f>
        <v>https://climate.onebuilding.org/WMO_Region_6_Europe/DEU_Germany/RP_Rheinland-Pfalz/DEU_RP_Buchel.AB.106130_TMYx.zip</v>
      </c>
    </row>
    <row r="2357" spans="1:10" x14ac:dyDescent="0.25">
      <c r="A2357" t="s">
        <v>1301</v>
      </c>
      <c r="B2357" t="s">
        <v>1513</v>
      </c>
      <c r="C2357" t="s">
        <v>1553</v>
      </c>
      <c r="D2357">
        <v>106140</v>
      </c>
      <c r="E2357" t="s">
        <v>1554</v>
      </c>
      <c r="F2357">
        <v>49.436999999999998</v>
      </c>
      <c r="G2357">
        <v>7.6</v>
      </c>
      <c r="H2357">
        <v>1</v>
      </c>
      <c r="I2357">
        <v>238.1</v>
      </c>
      <c r="J2357" t="str">
        <f>HYPERLINK("https://climate.onebuilding.org/WMO_Region_6_Europe/DEU_Germany/RP_Rheinland-Pfalz/DEU_RP_Ramstein.AFB.106140_TMYx.2004-2018.zip")</f>
        <v>https://climate.onebuilding.org/WMO_Region_6_Europe/DEU_Germany/RP_Rheinland-Pfalz/DEU_RP_Ramstein.AFB.106140_TMYx.2004-2018.zip</v>
      </c>
    </row>
    <row r="2358" spans="1:10" x14ac:dyDescent="0.25">
      <c r="A2358" t="s">
        <v>1301</v>
      </c>
      <c r="B2358" t="s">
        <v>1513</v>
      </c>
      <c r="C2358" t="s">
        <v>1553</v>
      </c>
      <c r="D2358">
        <v>106140</v>
      </c>
      <c r="E2358" t="s">
        <v>14</v>
      </c>
      <c r="F2358">
        <v>49.436999999999998</v>
      </c>
      <c r="G2358">
        <v>7.6</v>
      </c>
      <c r="H2358">
        <v>1</v>
      </c>
      <c r="I2358">
        <v>238.1</v>
      </c>
      <c r="J2358" t="str">
        <f>HYPERLINK("https://climate.onebuilding.org/WMO_Region_6_Europe/DEU_Germany/RP_Rheinland-Pfalz/DEU_RP_Ramstein.AFB.106140_TMYx.2007-2021.zip")</f>
        <v>https://climate.onebuilding.org/WMO_Region_6_Europe/DEU_Germany/RP_Rheinland-Pfalz/DEU_RP_Ramstein.AFB.106140_TMYx.2007-2021.zip</v>
      </c>
    </row>
    <row r="2359" spans="1:10" x14ac:dyDescent="0.25">
      <c r="A2359" t="s">
        <v>1301</v>
      </c>
      <c r="B2359" t="s">
        <v>1513</v>
      </c>
      <c r="C2359" t="s">
        <v>1553</v>
      </c>
      <c r="D2359">
        <v>106140</v>
      </c>
      <c r="E2359" t="s">
        <v>14</v>
      </c>
      <c r="F2359">
        <v>49.436999999999998</v>
      </c>
      <c r="G2359">
        <v>7.6</v>
      </c>
      <c r="H2359">
        <v>1</v>
      </c>
      <c r="I2359">
        <v>238.1</v>
      </c>
      <c r="J2359" t="str">
        <f>HYPERLINK("https://climate.onebuilding.org/WMO_Region_6_Europe/DEU_Germany/RP_Rheinland-Pfalz/DEU_RP_Ramstein.AFB.106140_TMYx.2009-2023.zip")</f>
        <v>https://climate.onebuilding.org/WMO_Region_6_Europe/DEU_Germany/RP_Rheinland-Pfalz/DEU_RP_Ramstein.AFB.106140_TMYx.2009-2023.zip</v>
      </c>
    </row>
    <row r="2360" spans="1:10" x14ac:dyDescent="0.25">
      <c r="A2360" t="s">
        <v>1301</v>
      </c>
      <c r="B2360" t="s">
        <v>1513</v>
      </c>
      <c r="C2360" t="s">
        <v>1553</v>
      </c>
      <c r="D2360">
        <v>106140</v>
      </c>
      <c r="E2360" t="s">
        <v>14</v>
      </c>
      <c r="F2360">
        <v>49.436999999999998</v>
      </c>
      <c r="G2360">
        <v>7.6</v>
      </c>
      <c r="H2360">
        <v>1</v>
      </c>
      <c r="I2360">
        <v>238.1</v>
      </c>
      <c r="J2360" t="str">
        <f>HYPERLINK("https://climate.onebuilding.org/WMO_Region_6_Europe/DEU_Germany/RP_Rheinland-Pfalz/DEU_RP_Ramstein.AFB.106140_TMYx.zip")</f>
        <v>https://climate.onebuilding.org/WMO_Region_6_Europe/DEU_Germany/RP_Rheinland-Pfalz/DEU_RP_Ramstein.AFB.106140_TMYx.zip</v>
      </c>
    </row>
    <row r="2361" spans="1:10" x14ac:dyDescent="0.25">
      <c r="A2361" t="s">
        <v>1301</v>
      </c>
      <c r="B2361" t="s">
        <v>1513</v>
      </c>
      <c r="C2361" t="s">
        <v>1555</v>
      </c>
      <c r="D2361">
        <v>106150</v>
      </c>
      <c r="E2361" t="s">
        <v>14</v>
      </c>
      <c r="F2361">
        <v>49.761899999999997</v>
      </c>
      <c r="G2361">
        <v>7.0541999999999998</v>
      </c>
      <c r="H2361">
        <v>1</v>
      </c>
      <c r="I2361">
        <v>481.7</v>
      </c>
      <c r="J2361" t="str">
        <f>HYPERLINK("https://climate.onebuilding.org/WMO_Region_6_Europe/DEU_Germany/RP_Rheinland-Pfalz/DEU_RP_Deuselbach.106150_TMYx.zip")</f>
        <v>https://climate.onebuilding.org/WMO_Region_6_Europe/DEU_Germany/RP_Rheinland-Pfalz/DEU_RP_Deuselbach.106150_TMYx.zip</v>
      </c>
    </row>
    <row r="2362" spans="1:10" x14ac:dyDescent="0.25">
      <c r="A2362" t="s">
        <v>1301</v>
      </c>
      <c r="B2362" t="s">
        <v>1513</v>
      </c>
      <c r="C2362" t="s">
        <v>1556</v>
      </c>
      <c r="D2362">
        <v>106160</v>
      </c>
      <c r="E2362" t="s">
        <v>1557</v>
      </c>
      <c r="F2362">
        <v>49.946100000000001</v>
      </c>
      <c r="G2362">
        <v>7.2644000000000002</v>
      </c>
      <c r="H2362">
        <v>1</v>
      </c>
      <c r="I2362">
        <v>503.1</v>
      </c>
      <c r="J2362" t="str">
        <f>HYPERLINK("https://climate.onebuilding.org/WMO_Region_6_Europe/DEU_Germany/RP_Rheinland-Pfalz/DEU_RP_Frankfurt-Hahn.AP.106160_TMYx.2004-2018.zip")</f>
        <v>https://climate.onebuilding.org/WMO_Region_6_Europe/DEU_Germany/RP_Rheinland-Pfalz/DEU_RP_Frankfurt-Hahn.AP.106160_TMYx.2004-2018.zip</v>
      </c>
    </row>
    <row r="2363" spans="1:10" x14ac:dyDescent="0.25">
      <c r="A2363" t="s">
        <v>1301</v>
      </c>
      <c r="B2363" t="s">
        <v>1513</v>
      </c>
      <c r="C2363" t="s">
        <v>1556</v>
      </c>
      <c r="D2363">
        <v>106160</v>
      </c>
      <c r="E2363" t="s">
        <v>14</v>
      </c>
      <c r="F2363">
        <v>49.946100000000001</v>
      </c>
      <c r="G2363">
        <v>7.2644000000000002</v>
      </c>
      <c r="H2363">
        <v>1</v>
      </c>
      <c r="I2363">
        <v>503.1</v>
      </c>
      <c r="J2363" t="str">
        <f>HYPERLINK("https://climate.onebuilding.org/WMO_Region_6_Europe/DEU_Germany/RP_Rheinland-Pfalz/DEU_RP_Frankfurt-Hahn.AP.106160_TMYx.2007-2021.zip")</f>
        <v>https://climate.onebuilding.org/WMO_Region_6_Europe/DEU_Germany/RP_Rheinland-Pfalz/DEU_RP_Frankfurt-Hahn.AP.106160_TMYx.2007-2021.zip</v>
      </c>
    </row>
    <row r="2364" spans="1:10" x14ac:dyDescent="0.25">
      <c r="A2364" t="s">
        <v>1301</v>
      </c>
      <c r="B2364" t="s">
        <v>1513</v>
      </c>
      <c r="C2364" t="s">
        <v>1556</v>
      </c>
      <c r="D2364">
        <v>106160</v>
      </c>
      <c r="E2364" t="s">
        <v>14</v>
      </c>
      <c r="F2364">
        <v>49.946100000000001</v>
      </c>
      <c r="G2364">
        <v>7.2644000000000002</v>
      </c>
      <c r="H2364">
        <v>1</v>
      </c>
      <c r="I2364">
        <v>503.1</v>
      </c>
      <c r="J2364" t="str">
        <f>HYPERLINK("https://climate.onebuilding.org/WMO_Region_6_Europe/DEU_Germany/RP_Rheinland-Pfalz/DEU_RP_Frankfurt-Hahn.AP.106160_TMYx.2009-2023.zip")</f>
        <v>https://climate.onebuilding.org/WMO_Region_6_Europe/DEU_Germany/RP_Rheinland-Pfalz/DEU_RP_Frankfurt-Hahn.AP.106160_TMYx.2009-2023.zip</v>
      </c>
    </row>
    <row r="2365" spans="1:10" x14ac:dyDescent="0.25">
      <c r="A2365" t="s">
        <v>1301</v>
      </c>
      <c r="B2365" t="s">
        <v>1513</v>
      </c>
      <c r="C2365" t="s">
        <v>1556</v>
      </c>
      <c r="D2365">
        <v>106160</v>
      </c>
      <c r="E2365" t="s">
        <v>14</v>
      </c>
      <c r="F2365">
        <v>49.946100000000001</v>
      </c>
      <c r="G2365">
        <v>7.2644000000000002</v>
      </c>
      <c r="H2365">
        <v>1</v>
      </c>
      <c r="I2365">
        <v>503.1</v>
      </c>
      <c r="J2365" t="str">
        <f>HYPERLINK("https://climate.onebuilding.org/WMO_Region_6_Europe/DEU_Germany/RP_Rheinland-Pfalz/DEU_RP_Frankfurt-Hahn.AP.106160_TMYx.zip")</f>
        <v>https://climate.onebuilding.org/WMO_Region_6_Europe/DEU_Germany/RP_Rheinland-Pfalz/DEU_RP_Frankfurt-Hahn.AP.106160_TMYx.zip</v>
      </c>
    </row>
    <row r="2366" spans="1:10" x14ac:dyDescent="0.25">
      <c r="A2366" t="s">
        <v>1301</v>
      </c>
      <c r="B2366" t="s">
        <v>855</v>
      </c>
      <c r="C2366" t="s">
        <v>1558</v>
      </c>
      <c r="D2366">
        <v>106162</v>
      </c>
      <c r="E2366" t="s">
        <v>1559</v>
      </c>
      <c r="F2366">
        <v>50.707999999999998</v>
      </c>
      <c r="G2366">
        <v>8.0830000000000002</v>
      </c>
      <c r="H2366">
        <v>1</v>
      </c>
      <c r="I2366">
        <v>599.20000000000005</v>
      </c>
      <c r="J2366" t="str">
        <f>HYPERLINK("https://climate.onebuilding.org/WMO_Region_6_Europe/DEU_Germany/NW_Nordrhein-Westfalen/DEU_NW_Siegerland.AP.106162_TMYx.2004-2018.zip")</f>
        <v>https://climate.onebuilding.org/WMO_Region_6_Europe/DEU_Germany/NW_Nordrhein-Westfalen/DEU_NW_Siegerland.AP.106162_TMYx.2004-2018.zip</v>
      </c>
    </row>
    <row r="2367" spans="1:10" x14ac:dyDescent="0.25">
      <c r="A2367" t="s">
        <v>1301</v>
      </c>
      <c r="B2367" t="s">
        <v>855</v>
      </c>
      <c r="C2367" t="s">
        <v>1558</v>
      </c>
      <c r="D2367">
        <v>106162</v>
      </c>
      <c r="E2367" t="s">
        <v>14</v>
      </c>
      <c r="F2367">
        <v>50.707999999999998</v>
      </c>
      <c r="G2367">
        <v>8.0830000000000002</v>
      </c>
      <c r="H2367">
        <v>1</v>
      </c>
      <c r="I2367">
        <v>599.20000000000005</v>
      </c>
      <c r="J2367" t="str">
        <f>HYPERLINK("https://climate.onebuilding.org/WMO_Region_6_Europe/DEU_Germany/NW_Nordrhein-Westfalen/DEU_NW_Siegerland.AP.106162_TMYx.2007-2021.zip")</f>
        <v>https://climate.onebuilding.org/WMO_Region_6_Europe/DEU_Germany/NW_Nordrhein-Westfalen/DEU_NW_Siegerland.AP.106162_TMYx.2007-2021.zip</v>
      </c>
    </row>
    <row r="2368" spans="1:10" x14ac:dyDescent="0.25">
      <c r="A2368" t="s">
        <v>1301</v>
      </c>
      <c r="B2368" t="s">
        <v>855</v>
      </c>
      <c r="C2368" t="s">
        <v>1558</v>
      </c>
      <c r="D2368">
        <v>106162</v>
      </c>
      <c r="E2368" t="s">
        <v>14</v>
      </c>
      <c r="F2368">
        <v>50.707999999999998</v>
      </c>
      <c r="G2368">
        <v>8.0830000000000002</v>
      </c>
      <c r="H2368">
        <v>1</v>
      </c>
      <c r="I2368">
        <v>599.20000000000005</v>
      </c>
      <c r="J2368" t="str">
        <f>HYPERLINK("https://climate.onebuilding.org/WMO_Region_6_Europe/DEU_Germany/NW_Nordrhein-Westfalen/DEU_NW_Siegerland.AP.106162_TMYx.2009-2023.zip")</f>
        <v>https://climate.onebuilding.org/WMO_Region_6_Europe/DEU_Germany/NW_Nordrhein-Westfalen/DEU_NW_Siegerland.AP.106162_TMYx.2009-2023.zip</v>
      </c>
    </row>
    <row r="2369" spans="1:10" x14ac:dyDescent="0.25">
      <c r="A2369" t="s">
        <v>1301</v>
      </c>
      <c r="B2369" t="s">
        <v>855</v>
      </c>
      <c r="C2369" t="s">
        <v>1558</v>
      </c>
      <c r="D2369">
        <v>106162</v>
      </c>
      <c r="E2369" t="s">
        <v>14</v>
      </c>
      <c r="F2369">
        <v>50.707999999999998</v>
      </c>
      <c r="G2369">
        <v>8.0830000000000002</v>
      </c>
      <c r="H2369">
        <v>1</v>
      </c>
      <c r="I2369">
        <v>599.20000000000005</v>
      </c>
      <c r="J2369" t="str">
        <f>HYPERLINK("https://climate.onebuilding.org/WMO_Region_6_Europe/DEU_Germany/NW_Nordrhein-Westfalen/DEU_NW_Siegerland.AP.106162_TMYx.zip")</f>
        <v>https://climate.onebuilding.org/WMO_Region_6_Europe/DEU_Germany/NW_Nordrhein-Westfalen/DEU_NW_Siegerland.AP.106162_TMYx.zip</v>
      </c>
    </row>
    <row r="2370" spans="1:10" x14ac:dyDescent="0.25">
      <c r="A2370" t="s">
        <v>1301</v>
      </c>
      <c r="B2370" t="s">
        <v>1513</v>
      </c>
      <c r="C2370" t="s">
        <v>1560</v>
      </c>
      <c r="D2370">
        <v>106163</v>
      </c>
      <c r="E2370" t="s">
        <v>14</v>
      </c>
      <c r="F2370">
        <v>49.21</v>
      </c>
      <c r="G2370">
        <v>7.4009999999999998</v>
      </c>
      <c r="H2370">
        <v>1</v>
      </c>
      <c r="I2370">
        <v>345.3</v>
      </c>
      <c r="J2370" t="str">
        <f>HYPERLINK("https://climate.onebuilding.org/WMO_Region_6_Europe/DEU_Germany/RP_Rheinland-Pfalz/DEU_RP_Zweibruecken.AP.106163_TMYx.2007-2021.zip")</f>
        <v>https://climate.onebuilding.org/WMO_Region_6_Europe/DEU_Germany/RP_Rheinland-Pfalz/DEU_RP_Zweibruecken.AP.106163_TMYx.2007-2021.zip</v>
      </c>
    </row>
    <row r="2371" spans="1:10" x14ac:dyDescent="0.25">
      <c r="A2371" t="s">
        <v>1301</v>
      </c>
      <c r="B2371" t="s">
        <v>1513</v>
      </c>
      <c r="C2371" t="s">
        <v>1560</v>
      </c>
      <c r="D2371">
        <v>106163</v>
      </c>
      <c r="E2371" t="s">
        <v>14</v>
      </c>
      <c r="F2371">
        <v>49.21</v>
      </c>
      <c r="G2371">
        <v>7.4009999999999998</v>
      </c>
      <c r="H2371">
        <v>1</v>
      </c>
      <c r="I2371">
        <v>345.3</v>
      </c>
      <c r="J2371" t="str">
        <f>HYPERLINK("https://climate.onebuilding.org/WMO_Region_6_Europe/DEU_Germany/RP_Rheinland-Pfalz/DEU_RP_Zweibruecken.AP.106163_TMYx.2009-2023.zip")</f>
        <v>https://climate.onebuilding.org/WMO_Region_6_Europe/DEU_Germany/RP_Rheinland-Pfalz/DEU_RP_Zweibruecken.AP.106163_TMYx.2009-2023.zip</v>
      </c>
    </row>
    <row r="2372" spans="1:10" x14ac:dyDescent="0.25">
      <c r="A2372" t="s">
        <v>1301</v>
      </c>
      <c r="B2372" t="s">
        <v>1513</v>
      </c>
      <c r="C2372" t="s">
        <v>1560</v>
      </c>
      <c r="D2372">
        <v>106163</v>
      </c>
      <c r="E2372" t="s">
        <v>14</v>
      </c>
      <c r="F2372">
        <v>49.21</v>
      </c>
      <c r="G2372">
        <v>7.4009999999999998</v>
      </c>
      <c r="H2372">
        <v>1</v>
      </c>
      <c r="I2372">
        <v>345.3</v>
      </c>
      <c r="J2372" t="str">
        <f>HYPERLINK("https://climate.onebuilding.org/WMO_Region_6_Europe/DEU_Germany/RP_Rheinland-Pfalz/DEU_RP_Zweibruecken.AP.106163_TMYx.zip")</f>
        <v>https://climate.onebuilding.org/WMO_Region_6_Europe/DEU_Germany/RP_Rheinland-Pfalz/DEU_RP_Zweibruecken.AP.106163_TMYx.zip</v>
      </c>
    </row>
    <row r="2373" spans="1:10" x14ac:dyDescent="0.25">
      <c r="A2373" t="s">
        <v>1301</v>
      </c>
      <c r="B2373" t="s">
        <v>1513</v>
      </c>
      <c r="C2373" t="s">
        <v>1561</v>
      </c>
      <c r="D2373">
        <v>106170</v>
      </c>
      <c r="E2373" t="s">
        <v>14</v>
      </c>
      <c r="F2373">
        <v>49.966999999999999</v>
      </c>
      <c r="G2373">
        <v>7.117</v>
      </c>
      <c r="H2373">
        <v>1</v>
      </c>
      <c r="I2373">
        <v>257</v>
      </c>
      <c r="J2373" t="str">
        <f>HYPERLINK("https://climate.onebuilding.org/WMO_Region_6_Europe/DEU_Germany/RP_Rheinland-Pfalz/DEU_RP_Traben.Trarbach.106170_TMYx.zip")</f>
        <v>https://climate.onebuilding.org/WMO_Region_6_Europe/DEU_Germany/RP_Rheinland-Pfalz/DEU_RP_Traben.Trarbach.106170_TMYx.zip</v>
      </c>
    </row>
    <row r="2374" spans="1:10" x14ac:dyDescent="0.25">
      <c r="A2374" t="s">
        <v>1301</v>
      </c>
      <c r="B2374" t="s">
        <v>1513</v>
      </c>
      <c r="C2374" t="s">
        <v>1562</v>
      </c>
      <c r="D2374">
        <v>106180</v>
      </c>
      <c r="E2374" t="s">
        <v>1563</v>
      </c>
      <c r="F2374">
        <v>49.692799999999998</v>
      </c>
      <c r="G2374">
        <v>7.3263999999999996</v>
      </c>
      <c r="H2374">
        <v>1</v>
      </c>
      <c r="I2374">
        <v>377</v>
      </c>
      <c r="J2374" t="str">
        <f>HYPERLINK("https://climate.onebuilding.org/WMO_Region_6_Europe/DEU_Germany/RP_Rheinland-Pfalz/DEU_RP_Idar.Oberstein.106180_TMYx.2004-2018.zip")</f>
        <v>https://climate.onebuilding.org/WMO_Region_6_Europe/DEU_Germany/RP_Rheinland-Pfalz/DEU_RP_Idar.Oberstein.106180_TMYx.2004-2018.zip</v>
      </c>
    </row>
    <row r="2375" spans="1:10" x14ac:dyDescent="0.25">
      <c r="A2375" t="s">
        <v>1301</v>
      </c>
      <c r="B2375" t="s">
        <v>1513</v>
      </c>
      <c r="C2375" t="s">
        <v>1562</v>
      </c>
      <c r="D2375">
        <v>106180</v>
      </c>
      <c r="E2375" t="s">
        <v>14</v>
      </c>
      <c r="F2375">
        <v>49.692799999999998</v>
      </c>
      <c r="G2375">
        <v>7.3263999999999996</v>
      </c>
      <c r="H2375">
        <v>1</v>
      </c>
      <c r="I2375">
        <v>377</v>
      </c>
      <c r="J2375" t="str">
        <f>HYPERLINK("https://climate.onebuilding.org/WMO_Region_6_Europe/DEU_Germany/RP_Rheinland-Pfalz/DEU_RP_Idar.Oberstein.106180_TMYx.2007-2021.zip")</f>
        <v>https://climate.onebuilding.org/WMO_Region_6_Europe/DEU_Germany/RP_Rheinland-Pfalz/DEU_RP_Idar.Oberstein.106180_TMYx.2007-2021.zip</v>
      </c>
    </row>
    <row r="2376" spans="1:10" x14ac:dyDescent="0.25">
      <c r="A2376" t="s">
        <v>1301</v>
      </c>
      <c r="B2376" t="s">
        <v>1513</v>
      </c>
      <c r="C2376" t="s">
        <v>1562</v>
      </c>
      <c r="D2376">
        <v>106180</v>
      </c>
      <c r="E2376" t="s">
        <v>14</v>
      </c>
      <c r="F2376">
        <v>49.692799999999998</v>
      </c>
      <c r="G2376">
        <v>7.3263999999999996</v>
      </c>
      <c r="H2376">
        <v>1</v>
      </c>
      <c r="I2376">
        <v>377</v>
      </c>
      <c r="J2376" t="str">
        <f>HYPERLINK("https://climate.onebuilding.org/WMO_Region_6_Europe/DEU_Germany/RP_Rheinland-Pfalz/DEU_RP_Idar.Oberstein.106180_TMYx.2009-2023.zip")</f>
        <v>https://climate.onebuilding.org/WMO_Region_6_Europe/DEU_Germany/RP_Rheinland-Pfalz/DEU_RP_Idar.Oberstein.106180_TMYx.2009-2023.zip</v>
      </c>
    </row>
    <row r="2377" spans="1:10" x14ac:dyDescent="0.25">
      <c r="A2377" t="s">
        <v>1301</v>
      </c>
      <c r="B2377" t="s">
        <v>1513</v>
      </c>
      <c r="C2377" t="s">
        <v>1562</v>
      </c>
      <c r="D2377">
        <v>106180</v>
      </c>
      <c r="E2377" t="s">
        <v>14</v>
      </c>
      <c r="F2377">
        <v>49.692799999999998</v>
      </c>
      <c r="G2377">
        <v>7.3263999999999996</v>
      </c>
      <c r="H2377">
        <v>1</v>
      </c>
      <c r="I2377">
        <v>377</v>
      </c>
      <c r="J2377" t="str">
        <f>HYPERLINK("https://climate.onebuilding.org/WMO_Region_6_Europe/DEU_Germany/RP_Rheinland-Pfalz/DEU_RP_Idar.Oberstein.106180_TMYx.zip")</f>
        <v>https://climate.onebuilding.org/WMO_Region_6_Europe/DEU_Germany/RP_Rheinland-Pfalz/DEU_RP_Idar.Oberstein.106180_TMYx.zip</v>
      </c>
    </row>
    <row r="2378" spans="1:10" x14ac:dyDescent="0.25">
      <c r="A2378" t="s">
        <v>1301</v>
      </c>
      <c r="B2378" t="s">
        <v>1513</v>
      </c>
      <c r="C2378" t="s">
        <v>1564</v>
      </c>
      <c r="D2378">
        <v>106190</v>
      </c>
      <c r="E2378" t="s">
        <v>14</v>
      </c>
      <c r="F2378">
        <v>49.65</v>
      </c>
      <c r="G2378">
        <v>7.3</v>
      </c>
      <c r="H2378">
        <v>1</v>
      </c>
      <c r="I2378">
        <v>426</v>
      </c>
      <c r="J2378" t="str">
        <f>HYPERLINK("https://climate.onebuilding.org/WMO_Region_6_Europe/DEU_Germany/RP_Rheinland-Pfalz/DEU_RP_Baumholder.AP.106190_TMYx.2007-2021.zip")</f>
        <v>https://climate.onebuilding.org/WMO_Region_6_Europe/DEU_Germany/RP_Rheinland-Pfalz/DEU_RP_Baumholder.AP.106190_TMYx.2007-2021.zip</v>
      </c>
    </row>
    <row r="2379" spans="1:10" x14ac:dyDescent="0.25">
      <c r="A2379" t="s">
        <v>1301</v>
      </c>
      <c r="B2379" t="s">
        <v>1513</v>
      </c>
      <c r="C2379" t="s">
        <v>1564</v>
      </c>
      <c r="D2379">
        <v>106190</v>
      </c>
      <c r="E2379" t="s">
        <v>14</v>
      </c>
      <c r="F2379">
        <v>49.65</v>
      </c>
      <c r="G2379">
        <v>7.3</v>
      </c>
      <c r="H2379">
        <v>1</v>
      </c>
      <c r="I2379">
        <v>426</v>
      </c>
      <c r="J2379" t="str">
        <f>HYPERLINK("https://climate.onebuilding.org/WMO_Region_6_Europe/DEU_Germany/RP_Rheinland-Pfalz/DEU_RP_Baumholder.AP.106190_TMYx.2009-2023.zip")</f>
        <v>https://climate.onebuilding.org/WMO_Region_6_Europe/DEU_Germany/RP_Rheinland-Pfalz/DEU_RP_Baumholder.AP.106190_TMYx.2009-2023.zip</v>
      </c>
    </row>
    <row r="2380" spans="1:10" x14ac:dyDescent="0.25">
      <c r="A2380" t="s">
        <v>1301</v>
      </c>
      <c r="B2380" t="s">
        <v>1513</v>
      </c>
      <c r="C2380" t="s">
        <v>1564</v>
      </c>
      <c r="D2380">
        <v>106190</v>
      </c>
      <c r="E2380" t="s">
        <v>14</v>
      </c>
      <c r="F2380">
        <v>49.65</v>
      </c>
      <c r="G2380">
        <v>7.3</v>
      </c>
      <c r="H2380">
        <v>1</v>
      </c>
      <c r="I2380">
        <v>426</v>
      </c>
      <c r="J2380" t="str">
        <f>HYPERLINK("https://climate.onebuilding.org/WMO_Region_6_Europe/DEU_Germany/RP_Rheinland-Pfalz/DEU_RP_Baumholder.AP.106190_TMYx.zip")</f>
        <v>https://climate.onebuilding.org/WMO_Region_6_Europe/DEU_Germany/RP_Rheinland-Pfalz/DEU_RP_Baumholder.AP.106190_TMYx.zip</v>
      </c>
    </row>
    <row r="2381" spans="1:10" x14ac:dyDescent="0.25">
      <c r="A2381" t="s">
        <v>1301</v>
      </c>
      <c r="B2381" t="s">
        <v>1513</v>
      </c>
      <c r="C2381" t="s">
        <v>1565</v>
      </c>
      <c r="D2381">
        <v>106260</v>
      </c>
      <c r="E2381" t="s">
        <v>14</v>
      </c>
      <c r="F2381">
        <v>49.85</v>
      </c>
      <c r="G2381">
        <v>7.6</v>
      </c>
      <c r="H2381">
        <v>1</v>
      </c>
      <c r="I2381">
        <v>396</v>
      </c>
      <c r="J2381" t="str">
        <f>HYPERLINK("https://climate.onebuilding.org/WMO_Region_6_Europe/DEU_Germany/RP_Rheinland-Pfalz/DEU_RP_Pferdsfeld.AP.106260_TMYx.zip")</f>
        <v>https://climate.onebuilding.org/WMO_Region_6_Europe/DEU_Germany/RP_Rheinland-Pfalz/DEU_RP_Pferdsfeld.AP.106260_TMYx.zip</v>
      </c>
    </row>
    <row r="2382" spans="1:10" x14ac:dyDescent="0.25">
      <c r="A2382" t="s">
        <v>1301</v>
      </c>
      <c r="B2382" t="s">
        <v>1513</v>
      </c>
      <c r="C2382" t="s">
        <v>1566</v>
      </c>
      <c r="D2382">
        <v>106270</v>
      </c>
      <c r="E2382" t="s">
        <v>14</v>
      </c>
      <c r="F2382">
        <v>49.85</v>
      </c>
      <c r="G2382">
        <v>7.883</v>
      </c>
      <c r="H2382">
        <v>1</v>
      </c>
      <c r="I2382">
        <v>103</v>
      </c>
      <c r="J2382" t="str">
        <f>HYPERLINK("https://climate.onebuilding.org/WMO_Region_6_Europe/DEU_Germany/RP_Rheinland-Pfalz/DEU_RP_Bad.Kreuznach.106270_TMYx.zip")</f>
        <v>https://climate.onebuilding.org/WMO_Region_6_Europe/DEU_Germany/RP_Rheinland-Pfalz/DEU_RP_Bad.Kreuznach.106270_TMYx.zip</v>
      </c>
    </row>
    <row r="2383" spans="1:10" x14ac:dyDescent="0.25">
      <c r="A2383" t="s">
        <v>1301</v>
      </c>
      <c r="B2383" t="s">
        <v>1451</v>
      </c>
      <c r="C2383" t="s">
        <v>1567</v>
      </c>
      <c r="D2383">
        <v>106280</v>
      </c>
      <c r="E2383" t="s">
        <v>1568</v>
      </c>
      <c r="F2383">
        <v>49.985799999999998</v>
      </c>
      <c r="G2383">
        <v>7.9546999999999999</v>
      </c>
      <c r="H2383">
        <v>1</v>
      </c>
      <c r="I2383">
        <v>111.5</v>
      </c>
      <c r="J2383" t="str">
        <f>HYPERLINK("https://climate.onebuilding.org/WMO_Region_6_Europe/DEU_Germany/HE_Hessen/DEU_HE_Geisenheim.106280_TMYx.2004-2018.zip")</f>
        <v>https://climate.onebuilding.org/WMO_Region_6_Europe/DEU_Germany/HE_Hessen/DEU_HE_Geisenheim.106280_TMYx.2004-2018.zip</v>
      </c>
    </row>
    <row r="2384" spans="1:10" x14ac:dyDescent="0.25">
      <c r="A2384" t="s">
        <v>1301</v>
      </c>
      <c r="B2384" t="s">
        <v>1451</v>
      </c>
      <c r="C2384" t="s">
        <v>1567</v>
      </c>
      <c r="D2384">
        <v>106280</v>
      </c>
      <c r="E2384" t="s">
        <v>14</v>
      </c>
      <c r="F2384">
        <v>49.985799999999998</v>
      </c>
      <c r="G2384">
        <v>7.9546999999999999</v>
      </c>
      <c r="H2384">
        <v>1</v>
      </c>
      <c r="I2384">
        <v>111.5</v>
      </c>
      <c r="J2384" t="str">
        <f>HYPERLINK("https://climate.onebuilding.org/WMO_Region_6_Europe/DEU_Germany/HE_Hessen/DEU_HE_Geisenheim.106280_TMYx.2007-2021.zip")</f>
        <v>https://climate.onebuilding.org/WMO_Region_6_Europe/DEU_Germany/HE_Hessen/DEU_HE_Geisenheim.106280_TMYx.2007-2021.zip</v>
      </c>
    </row>
    <row r="2385" spans="1:10" x14ac:dyDescent="0.25">
      <c r="A2385" t="s">
        <v>1301</v>
      </c>
      <c r="B2385" t="s">
        <v>1451</v>
      </c>
      <c r="C2385" t="s">
        <v>1567</v>
      </c>
      <c r="D2385">
        <v>106280</v>
      </c>
      <c r="E2385" t="s">
        <v>14</v>
      </c>
      <c r="F2385">
        <v>49.985799999999998</v>
      </c>
      <c r="G2385">
        <v>7.9546999999999999</v>
      </c>
      <c r="H2385">
        <v>1</v>
      </c>
      <c r="I2385">
        <v>111.5</v>
      </c>
      <c r="J2385" t="str">
        <f>HYPERLINK("https://climate.onebuilding.org/WMO_Region_6_Europe/DEU_Germany/HE_Hessen/DEU_HE_Geisenheim.106280_TMYx.zip")</f>
        <v>https://climate.onebuilding.org/WMO_Region_6_Europe/DEU_Germany/HE_Hessen/DEU_HE_Geisenheim.106280_TMYx.zip</v>
      </c>
    </row>
    <row r="2386" spans="1:10" x14ac:dyDescent="0.25">
      <c r="A2386" t="s">
        <v>1301</v>
      </c>
      <c r="B2386" t="s">
        <v>1513</v>
      </c>
      <c r="C2386" t="s">
        <v>1569</v>
      </c>
      <c r="D2386">
        <v>106320</v>
      </c>
      <c r="E2386" t="s">
        <v>14</v>
      </c>
      <c r="F2386">
        <v>49.966999999999999</v>
      </c>
      <c r="G2386">
        <v>8.15</v>
      </c>
      <c r="H2386">
        <v>1</v>
      </c>
      <c r="I2386">
        <v>232</v>
      </c>
      <c r="J2386" t="str">
        <f>HYPERLINK("https://climate.onebuilding.org/WMO_Region_6_Europe/DEU_Germany/RP_Rheinland-Pfalz/DEU_RP_Mainz-Finthen.AP.106320_TMYx.zip")</f>
        <v>https://climate.onebuilding.org/WMO_Region_6_Europe/DEU_Germany/RP_Rheinland-Pfalz/DEU_RP_Mainz-Finthen.AP.106320_TMYx.zip</v>
      </c>
    </row>
    <row r="2387" spans="1:10" x14ac:dyDescent="0.25">
      <c r="A2387" t="s">
        <v>1301</v>
      </c>
      <c r="B2387" t="s">
        <v>1451</v>
      </c>
      <c r="C2387" t="s">
        <v>1570</v>
      </c>
      <c r="D2387">
        <v>106325</v>
      </c>
      <c r="E2387" t="s">
        <v>1571</v>
      </c>
      <c r="F2387">
        <v>49.960999999999999</v>
      </c>
      <c r="G2387">
        <v>8.6419999999999995</v>
      </c>
      <c r="H2387">
        <v>1</v>
      </c>
      <c r="I2387">
        <v>117.3</v>
      </c>
      <c r="J2387" t="str">
        <f>HYPERLINK("https://climate.onebuilding.org/WMO_Region_6_Europe/DEU_Germany/HE_Hessen/DEU_HE_Frankfurt-Egelsbach.AP.106325_TMYx.2004-2018.zip")</f>
        <v>https://climate.onebuilding.org/WMO_Region_6_Europe/DEU_Germany/HE_Hessen/DEU_HE_Frankfurt-Egelsbach.AP.106325_TMYx.2004-2018.zip</v>
      </c>
    </row>
    <row r="2388" spans="1:10" x14ac:dyDescent="0.25">
      <c r="A2388" t="s">
        <v>1301</v>
      </c>
      <c r="B2388" t="s">
        <v>1451</v>
      </c>
      <c r="C2388" t="s">
        <v>1570</v>
      </c>
      <c r="D2388">
        <v>106325</v>
      </c>
      <c r="E2388" t="s">
        <v>14</v>
      </c>
      <c r="F2388">
        <v>49.960999999999999</v>
      </c>
      <c r="G2388">
        <v>8.6419999999999995</v>
      </c>
      <c r="H2388">
        <v>1</v>
      </c>
      <c r="I2388">
        <v>117.3</v>
      </c>
      <c r="J2388" t="str">
        <f>HYPERLINK("https://climate.onebuilding.org/WMO_Region_6_Europe/DEU_Germany/HE_Hessen/DEU_HE_Frankfurt-Egelsbach.AP.106325_TMYx.2007-2021.zip")</f>
        <v>https://climate.onebuilding.org/WMO_Region_6_Europe/DEU_Germany/HE_Hessen/DEU_HE_Frankfurt-Egelsbach.AP.106325_TMYx.2007-2021.zip</v>
      </c>
    </row>
    <row r="2389" spans="1:10" x14ac:dyDescent="0.25">
      <c r="A2389" t="s">
        <v>1301</v>
      </c>
      <c r="B2389" t="s">
        <v>1451</v>
      </c>
      <c r="C2389" t="s">
        <v>1570</v>
      </c>
      <c r="D2389">
        <v>106325</v>
      </c>
      <c r="E2389" t="s">
        <v>14</v>
      </c>
      <c r="F2389">
        <v>49.960999999999999</v>
      </c>
      <c r="G2389">
        <v>8.6419999999999995</v>
      </c>
      <c r="H2389">
        <v>1</v>
      </c>
      <c r="I2389">
        <v>117.3</v>
      </c>
      <c r="J2389" t="str">
        <f>HYPERLINK("https://climate.onebuilding.org/WMO_Region_6_Europe/DEU_Germany/HE_Hessen/DEU_HE_Frankfurt-Egelsbach.AP.106325_TMYx.2009-2023.zip")</f>
        <v>https://climate.onebuilding.org/WMO_Region_6_Europe/DEU_Germany/HE_Hessen/DEU_HE_Frankfurt-Egelsbach.AP.106325_TMYx.2009-2023.zip</v>
      </c>
    </row>
    <row r="2390" spans="1:10" x14ac:dyDescent="0.25">
      <c r="A2390" t="s">
        <v>1301</v>
      </c>
      <c r="B2390" t="s">
        <v>1451</v>
      </c>
      <c r="C2390" t="s">
        <v>1570</v>
      </c>
      <c r="D2390">
        <v>106325</v>
      </c>
      <c r="E2390" t="s">
        <v>14</v>
      </c>
      <c r="F2390">
        <v>49.960999999999999</v>
      </c>
      <c r="G2390">
        <v>8.6419999999999995</v>
      </c>
      <c r="H2390">
        <v>1</v>
      </c>
      <c r="I2390">
        <v>117.3</v>
      </c>
      <c r="J2390" t="str">
        <f>HYPERLINK("https://climate.onebuilding.org/WMO_Region_6_Europe/DEU_Germany/HE_Hessen/DEU_HE_Frankfurt-Egelsbach.AP.106325_TMYx.zip")</f>
        <v>https://climate.onebuilding.org/WMO_Region_6_Europe/DEU_Germany/HE_Hessen/DEU_HE_Frankfurt-Egelsbach.AP.106325_TMYx.zip</v>
      </c>
    </row>
    <row r="2391" spans="1:10" x14ac:dyDescent="0.25">
      <c r="A2391" t="s">
        <v>1301</v>
      </c>
      <c r="B2391" t="s">
        <v>1451</v>
      </c>
      <c r="C2391" t="s">
        <v>1572</v>
      </c>
      <c r="D2391">
        <v>106330</v>
      </c>
      <c r="E2391" t="s">
        <v>1573</v>
      </c>
      <c r="F2391">
        <v>50.05</v>
      </c>
      <c r="G2391">
        <v>8.3249999999999993</v>
      </c>
      <c r="H2391">
        <v>1</v>
      </c>
      <c r="I2391">
        <v>140.5</v>
      </c>
      <c r="J2391" t="str">
        <f>HYPERLINK("https://climate.onebuilding.org/WMO_Region_6_Europe/DEU_Germany/HE_Hessen/DEU_HE_Wiesbaden.AB.106330_TMYx.2004-2018.zip")</f>
        <v>https://climate.onebuilding.org/WMO_Region_6_Europe/DEU_Germany/HE_Hessen/DEU_HE_Wiesbaden.AB.106330_TMYx.2004-2018.zip</v>
      </c>
    </row>
    <row r="2392" spans="1:10" x14ac:dyDescent="0.25">
      <c r="A2392" t="s">
        <v>1301</v>
      </c>
      <c r="B2392" t="s">
        <v>1451</v>
      </c>
      <c r="C2392" t="s">
        <v>1572</v>
      </c>
      <c r="D2392">
        <v>106330</v>
      </c>
      <c r="E2392" t="s">
        <v>14</v>
      </c>
      <c r="F2392">
        <v>50.05</v>
      </c>
      <c r="G2392">
        <v>8.3249999999999993</v>
      </c>
      <c r="H2392">
        <v>1</v>
      </c>
      <c r="I2392">
        <v>140.5</v>
      </c>
      <c r="J2392" t="str">
        <f>HYPERLINK("https://climate.onebuilding.org/WMO_Region_6_Europe/DEU_Germany/HE_Hessen/DEU_HE_Wiesbaden.AB.106330_TMYx.2007-2021.zip")</f>
        <v>https://climate.onebuilding.org/WMO_Region_6_Europe/DEU_Germany/HE_Hessen/DEU_HE_Wiesbaden.AB.106330_TMYx.2007-2021.zip</v>
      </c>
    </row>
    <row r="2393" spans="1:10" x14ac:dyDescent="0.25">
      <c r="A2393" t="s">
        <v>1301</v>
      </c>
      <c r="B2393" t="s">
        <v>1451</v>
      </c>
      <c r="C2393" t="s">
        <v>1572</v>
      </c>
      <c r="D2393">
        <v>106330</v>
      </c>
      <c r="E2393" t="s">
        <v>14</v>
      </c>
      <c r="F2393">
        <v>50.05</v>
      </c>
      <c r="G2393">
        <v>8.3249999999999993</v>
      </c>
      <c r="H2393">
        <v>1</v>
      </c>
      <c r="I2393">
        <v>140.5</v>
      </c>
      <c r="J2393" t="str">
        <f>HYPERLINK("https://climate.onebuilding.org/WMO_Region_6_Europe/DEU_Germany/HE_Hessen/DEU_HE_Wiesbaden.AB.106330_TMYx.2009-2023.zip")</f>
        <v>https://climate.onebuilding.org/WMO_Region_6_Europe/DEU_Germany/HE_Hessen/DEU_HE_Wiesbaden.AB.106330_TMYx.2009-2023.zip</v>
      </c>
    </row>
    <row r="2394" spans="1:10" x14ac:dyDescent="0.25">
      <c r="A2394" t="s">
        <v>1301</v>
      </c>
      <c r="B2394" t="s">
        <v>1451</v>
      </c>
      <c r="C2394" t="s">
        <v>1572</v>
      </c>
      <c r="D2394">
        <v>106330</v>
      </c>
      <c r="E2394" t="s">
        <v>14</v>
      </c>
      <c r="F2394">
        <v>50.05</v>
      </c>
      <c r="G2394">
        <v>8.3249999999999993</v>
      </c>
      <c r="H2394">
        <v>1</v>
      </c>
      <c r="I2394">
        <v>140.5</v>
      </c>
      <c r="J2394" t="str">
        <f>HYPERLINK("https://climate.onebuilding.org/WMO_Region_6_Europe/DEU_Germany/HE_Hessen/DEU_HE_Wiesbaden.AB.106330_TMYx.zip")</f>
        <v>https://climate.onebuilding.org/WMO_Region_6_Europe/DEU_Germany/HE_Hessen/DEU_HE_Wiesbaden.AB.106330_TMYx.zip</v>
      </c>
    </row>
    <row r="2395" spans="1:10" x14ac:dyDescent="0.25">
      <c r="A2395" t="s">
        <v>1301</v>
      </c>
      <c r="B2395" t="s">
        <v>1448</v>
      </c>
      <c r="C2395" t="s">
        <v>1574</v>
      </c>
      <c r="D2395">
        <v>106334</v>
      </c>
      <c r="E2395" t="s">
        <v>14</v>
      </c>
      <c r="F2395">
        <v>50.116999999999997</v>
      </c>
      <c r="G2395">
        <v>9.1170000000000009</v>
      </c>
      <c r="H2395">
        <v>1</v>
      </c>
      <c r="I2395">
        <v>475</v>
      </c>
      <c r="J2395" t="str">
        <f>HYPERLINK("https://climate.onebuilding.org/WMO_Region_6_Europe/DEU_Germany/BY_Bayern/DEU_BY_Mebstetten.Albstadt.106334_TMYx.zip")</f>
        <v>https://climate.onebuilding.org/WMO_Region_6_Europe/DEU_Germany/BY_Bayern/DEU_BY_Mebstetten.Albstadt.106334_TMYx.zip</v>
      </c>
    </row>
    <row r="2396" spans="1:10" x14ac:dyDescent="0.25">
      <c r="A2396" t="s">
        <v>1301</v>
      </c>
      <c r="B2396" t="s">
        <v>1451</v>
      </c>
      <c r="C2396" t="s">
        <v>1575</v>
      </c>
      <c r="D2396">
        <v>106350</v>
      </c>
      <c r="E2396" t="s">
        <v>14</v>
      </c>
      <c r="F2396">
        <v>50.222000000000001</v>
      </c>
      <c r="G2396">
        <v>8.4468999999999994</v>
      </c>
      <c r="H2396">
        <v>1</v>
      </c>
      <c r="I2396">
        <v>826.8</v>
      </c>
      <c r="J2396" t="str">
        <f>HYPERLINK("https://climate.onebuilding.org/WMO_Region_6_Europe/DEU_Germany/HE_Hessen/DEU_HE_Kleiner.Feldberg.106350_TMYx.zip")</f>
        <v>https://climate.onebuilding.org/WMO_Region_6_Europe/DEU_Germany/HE_Hessen/DEU_HE_Kleiner.Feldberg.106350_TMYx.zip</v>
      </c>
    </row>
    <row r="2397" spans="1:10" x14ac:dyDescent="0.25">
      <c r="A2397" t="s">
        <v>1301</v>
      </c>
      <c r="B2397" t="s">
        <v>1451</v>
      </c>
      <c r="C2397" t="s">
        <v>1576</v>
      </c>
      <c r="D2397">
        <v>106370</v>
      </c>
      <c r="E2397" t="s">
        <v>1577</v>
      </c>
      <c r="F2397">
        <v>50.025799999999997</v>
      </c>
      <c r="G2397">
        <v>8.5213999999999999</v>
      </c>
      <c r="H2397">
        <v>1</v>
      </c>
      <c r="I2397">
        <v>104.1</v>
      </c>
      <c r="J2397" t="str">
        <f>HYPERLINK("https://climate.onebuilding.org/WMO_Region_6_Europe/DEU_Germany/HE_Hessen/DEU_HE_Frankfurt.AP.106370_TMYx.2004-2018.zip")</f>
        <v>https://climate.onebuilding.org/WMO_Region_6_Europe/DEU_Germany/HE_Hessen/DEU_HE_Frankfurt.AP.106370_TMYx.2004-2018.zip</v>
      </c>
    </row>
    <row r="2398" spans="1:10" x14ac:dyDescent="0.25">
      <c r="A2398" t="s">
        <v>1301</v>
      </c>
      <c r="B2398" t="s">
        <v>1451</v>
      </c>
      <c r="C2398" t="s">
        <v>1576</v>
      </c>
      <c r="D2398">
        <v>106370</v>
      </c>
      <c r="E2398" t="s">
        <v>14</v>
      </c>
      <c r="F2398">
        <v>50.025799999999997</v>
      </c>
      <c r="G2398">
        <v>8.5213999999999999</v>
      </c>
      <c r="H2398">
        <v>1</v>
      </c>
      <c r="I2398">
        <v>104.1</v>
      </c>
      <c r="J2398" t="str">
        <f>HYPERLINK("https://climate.onebuilding.org/WMO_Region_6_Europe/DEU_Germany/HE_Hessen/DEU_HE_Frankfurt.AP.106370_TMYx.2007-2021.zip")</f>
        <v>https://climate.onebuilding.org/WMO_Region_6_Europe/DEU_Germany/HE_Hessen/DEU_HE_Frankfurt.AP.106370_TMYx.2007-2021.zip</v>
      </c>
    </row>
    <row r="2399" spans="1:10" x14ac:dyDescent="0.25">
      <c r="A2399" t="s">
        <v>1301</v>
      </c>
      <c r="B2399" t="s">
        <v>1451</v>
      </c>
      <c r="C2399" t="s">
        <v>1576</v>
      </c>
      <c r="D2399">
        <v>106370</v>
      </c>
      <c r="E2399" t="s">
        <v>14</v>
      </c>
      <c r="F2399">
        <v>50.025799999999997</v>
      </c>
      <c r="G2399">
        <v>8.5213999999999999</v>
      </c>
      <c r="H2399">
        <v>1</v>
      </c>
      <c r="I2399">
        <v>104.1</v>
      </c>
      <c r="J2399" t="str">
        <f>HYPERLINK("https://climate.onebuilding.org/WMO_Region_6_Europe/DEU_Germany/HE_Hessen/DEU_HE_Frankfurt.AP.106370_TMYx.2009-2023.zip")</f>
        <v>https://climate.onebuilding.org/WMO_Region_6_Europe/DEU_Germany/HE_Hessen/DEU_HE_Frankfurt.AP.106370_TMYx.2009-2023.zip</v>
      </c>
    </row>
    <row r="2400" spans="1:10" x14ac:dyDescent="0.25">
      <c r="A2400" t="s">
        <v>1301</v>
      </c>
      <c r="B2400" t="s">
        <v>1451</v>
      </c>
      <c r="C2400" t="s">
        <v>1576</v>
      </c>
      <c r="D2400">
        <v>106370</v>
      </c>
      <c r="E2400" t="s">
        <v>14</v>
      </c>
      <c r="F2400">
        <v>50.025799999999997</v>
      </c>
      <c r="G2400">
        <v>8.5213999999999999</v>
      </c>
      <c r="H2400">
        <v>1</v>
      </c>
      <c r="I2400">
        <v>104.1</v>
      </c>
      <c r="J2400" t="str">
        <f>HYPERLINK("https://climate.onebuilding.org/WMO_Region_6_Europe/DEU_Germany/HE_Hessen/DEU_HE_Frankfurt.AP.106370_TMYx.zip")</f>
        <v>https://climate.onebuilding.org/WMO_Region_6_Europe/DEU_Germany/HE_Hessen/DEU_HE_Frankfurt.AP.106370_TMYx.zip</v>
      </c>
    </row>
    <row r="2401" spans="1:10" x14ac:dyDescent="0.25">
      <c r="A2401" t="s">
        <v>1301</v>
      </c>
      <c r="B2401" t="s">
        <v>1451</v>
      </c>
      <c r="C2401" t="s">
        <v>1578</v>
      </c>
      <c r="D2401">
        <v>106380</v>
      </c>
      <c r="E2401" t="s">
        <v>14</v>
      </c>
      <c r="F2401">
        <v>50.183</v>
      </c>
      <c r="G2401">
        <v>8.6669999999999998</v>
      </c>
      <c r="H2401">
        <v>1</v>
      </c>
      <c r="I2401">
        <v>104</v>
      </c>
      <c r="J2401" t="str">
        <f>HYPERLINK("https://climate.onebuilding.org/WMO_Region_6_Europe/DEU_Germany/HE_Hessen/DEU_HE_Maurice.Rose.106380_TMYx.zip")</f>
        <v>https://climate.onebuilding.org/WMO_Region_6_Europe/DEU_Germany/HE_Hessen/DEU_HE_Maurice.Rose.106380_TMYx.zip</v>
      </c>
    </row>
    <row r="2402" spans="1:10" x14ac:dyDescent="0.25">
      <c r="A2402" t="s">
        <v>1301</v>
      </c>
      <c r="B2402" t="s">
        <v>1451</v>
      </c>
      <c r="C2402" t="s">
        <v>301</v>
      </c>
      <c r="D2402">
        <v>106390</v>
      </c>
      <c r="E2402" t="s">
        <v>14</v>
      </c>
      <c r="F2402">
        <v>50.017000000000003</v>
      </c>
      <c r="G2402">
        <v>8.6669999999999998</v>
      </c>
      <c r="H2402">
        <v>1</v>
      </c>
      <c r="I2402">
        <v>135</v>
      </c>
      <c r="J2402" t="str">
        <f>HYPERLINK("https://climate.onebuilding.org/WMO_Region_6_Europe/DEU_Germany/HE_Hessen/DEU_HE_Langen.106390_TMYx.zip")</f>
        <v>https://climate.onebuilding.org/WMO_Region_6_Europe/DEU_Germany/HE_Hessen/DEU_HE_Langen.106390_TMYx.zip</v>
      </c>
    </row>
    <row r="2403" spans="1:10" x14ac:dyDescent="0.25">
      <c r="A2403" t="s">
        <v>1301</v>
      </c>
      <c r="B2403" t="s">
        <v>1451</v>
      </c>
      <c r="C2403" t="s">
        <v>1579</v>
      </c>
      <c r="D2403">
        <v>106410</v>
      </c>
      <c r="E2403" t="s">
        <v>14</v>
      </c>
      <c r="F2403">
        <v>50.09</v>
      </c>
      <c r="G2403">
        <v>8.7860999999999994</v>
      </c>
      <c r="H2403">
        <v>1</v>
      </c>
      <c r="I2403">
        <v>120.5</v>
      </c>
      <c r="J2403" t="str">
        <f>HYPERLINK("https://climate.onebuilding.org/WMO_Region_6_Europe/DEU_Germany/HE_Hessen/DEU_HE_Offenbach.Wetterpar.106410_TMYx.zip")</f>
        <v>https://climate.onebuilding.org/WMO_Region_6_Europe/DEU_Germany/HE_Hessen/DEU_HE_Offenbach.Wetterpar.106410_TMYx.zip</v>
      </c>
    </row>
    <row r="2404" spans="1:10" x14ac:dyDescent="0.25">
      <c r="A2404" t="s">
        <v>1301</v>
      </c>
      <c r="B2404" t="s">
        <v>1451</v>
      </c>
      <c r="C2404" t="s">
        <v>1580</v>
      </c>
      <c r="D2404">
        <v>106420</v>
      </c>
      <c r="E2404" t="s">
        <v>14</v>
      </c>
      <c r="F2404">
        <v>50.168999999999997</v>
      </c>
      <c r="G2404">
        <v>8.9619999999999997</v>
      </c>
      <c r="H2404">
        <v>1</v>
      </c>
      <c r="I2404">
        <v>112.2</v>
      </c>
      <c r="J2404" t="str">
        <f>HYPERLINK("https://climate.onebuilding.org/WMO_Region_6_Europe/DEU_Germany/HE_Hessen/DEU_HE_Langendiebach.AB.106420_TMYx.zip")</f>
        <v>https://climate.onebuilding.org/WMO_Region_6_Europe/DEU_Germany/HE_Hessen/DEU_HE_Langendiebach.AB.106420_TMYx.zip</v>
      </c>
    </row>
    <row r="2405" spans="1:10" x14ac:dyDescent="0.25">
      <c r="A2405" t="s">
        <v>1301</v>
      </c>
      <c r="B2405" t="s">
        <v>1448</v>
      </c>
      <c r="C2405" t="s">
        <v>1581</v>
      </c>
      <c r="D2405">
        <v>106450</v>
      </c>
      <c r="E2405" t="s">
        <v>14</v>
      </c>
      <c r="F2405">
        <v>49.902700000000003</v>
      </c>
      <c r="G2405">
        <v>9.4292999999999996</v>
      </c>
      <c r="H2405">
        <v>1</v>
      </c>
      <c r="I2405">
        <v>530</v>
      </c>
      <c r="J2405" t="str">
        <f>HYPERLINK("https://climate.onebuilding.org/WMO_Region_6_Europe/DEU_Germany/BY_Bayern/DEU_BY_Breitsol.106450_TMYx.zip")</f>
        <v>https://climate.onebuilding.org/WMO_Region_6_Europe/DEU_Germany/BY_Bayern/DEU_BY_Breitsol.106450_TMYx.zip</v>
      </c>
    </row>
    <row r="2406" spans="1:10" x14ac:dyDescent="0.25">
      <c r="A2406" t="s">
        <v>1301</v>
      </c>
      <c r="B2406" t="s">
        <v>1451</v>
      </c>
      <c r="C2406" t="s">
        <v>1582</v>
      </c>
      <c r="D2406">
        <v>106480</v>
      </c>
      <c r="E2406" t="s">
        <v>14</v>
      </c>
      <c r="F2406">
        <v>49.717500000000001</v>
      </c>
      <c r="G2406">
        <v>9.0997000000000003</v>
      </c>
      <c r="H2406">
        <v>1</v>
      </c>
      <c r="I2406">
        <v>455.2</v>
      </c>
      <c r="J2406" t="str">
        <f>HYPERLINK("https://climate.onebuilding.org/WMO_Region_6_Europe/DEU_Germany/HE_Hessen/DEU_HE_Michelstadt-Vielbrunn.106480_TMYx.zip")</f>
        <v>https://climate.onebuilding.org/WMO_Region_6_Europe/DEU_Germany/HE_Hessen/DEU_HE_Michelstadt-Vielbrunn.106480_TMYx.zip</v>
      </c>
    </row>
    <row r="2407" spans="1:10" x14ac:dyDescent="0.25">
      <c r="A2407" t="s">
        <v>1301</v>
      </c>
      <c r="B2407" t="s">
        <v>1448</v>
      </c>
      <c r="C2407" t="s">
        <v>1583</v>
      </c>
      <c r="D2407">
        <v>106530</v>
      </c>
      <c r="E2407" t="s">
        <v>14</v>
      </c>
      <c r="F2407">
        <v>49.648000000000003</v>
      </c>
      <c r="G2407">
        <v>9.9659999999999993</v>
      </c>
      <c r="H2407">
        <v>1</v>
      </c>
      <c r="I2407">
        <v>298.7</v>
      </c>
      <c r="J2407" t="str">
        <f>HYPERLINK("https://climate.onebuilding.org/WMO_Region_6_Europe/DEU_Germany/BY_Bayern/DEU_BY_Giebelstadt.AP.106530_TMYx.zip")</f>
        <v>https://climate.onebuilding.org/WMO_Region_6_Europe/DEU_Germany/BY_Bayern/DEU_BY_Giebelstadt.AP.106530_TMYx.zip</v>
      </c>
    </row>
    <row r="2408" spans="1:10" x14ac:dyDescent="0.25">
      <c r="A2408" t="s">
        <v>1301</v>
      </c>
      <c r="B2408" t="s">
        <v>1448</v>
      </c>
      <c r="C2408" t="s">
        <v>1584</v>
      </c>
      <c r="D2408">
        <v>106550</v>
      </c>
      <c r="E2408" t="s">
        <v>14</v>
      </c>
      <c r="F2408">
        <v>49.770299999999999</v>
      </c>
      <c r="G2408">
        <v>9.9578000000000007</v>
      </c>
      <c r="H2408">
        <v>1</v>
      </c>
      <c r="I2408">
        <v>271.10000000000002</v>
      </c>
      <c r="J2408" t="str">
        <f>HYPERLINK("https://climate.onebuilding.org/WMO_Region_6_Europe/DEU_Germany/BY_Bayern/DEU_BY_Wurzburg.106550_TMYx.zip")</f>
        <v>https://climate.onebuilding.org/WMO_Region_6_Europe/DEU_Germany/BY_Bayern/DEU_BY_Wurzburg.106550_TMYx.zip</v>
      </c>
    </row>
    <row r="2409" spans="1:10" x14ac:dyDescent="0.25">
      <c r="A2409" t="s">
        <v>1301</v>
      </c>
      <c r="B2409" t="s">
        <v>1585</v>
      </c>
      <c r="C2409" t="s">
        <v>1586</v>
      </c>
      <c r="D2409">
        <v>106570</v>
      </c>
      <c r="E2409" t="s">
        <v>14</v>
      </c>
      <c r="F2409">
        <v>49.75</v>
      </c>
      <c r="G2409">
        <v>9.5</v>
      </c>
      <c r="H2409">
        <v>1</v>
      </c>
      <c r="I2409">
        <v>338</v>
      </c>
      <c r="J2409" t="str">
        <f>HYPERLINK("https://climate.onebuilding.org/WMO_Region_6_Europe/DEU_Germany/BW_Baden-Wurttemberg/DEU_BW_Wertheim.106570_TMYx.zip")</f>
        <v>https://climate.onebuilding.org/WMO_Region_6_Europe/DEU_Germany/BW_Baden-Wurttemberg/DEU_BW_Wertheim.106570_TMYx.zip</v>
      </c>
    </row>
    <row r="2410" spans="1:10" x14ac:dyDescent="0.25">
      <c r="A2410" t="s">
        <v>1301</v>
      </c>
      <c r="B2410" t="s">
        <v>1448</v>
      </c>
      <c r="C2410" t="s">
        <v>1587</v>
      </c>
      <c r="D2410">
        <v>106580</v>
      </c>
      <c r="E2410" t="s">
        <v>14</v>
      </c>
      <c r="F2410">
        <v>50.224200000000003</v>
      </c>
      <c r="G2410">
        <v>10.0792</v>
      </c>
      <c r="H2410">
        <v>1</v>
      </c>
      <c r="I2410">
        <v>281.39999999999998</v>
      </c>
      <c r="J2410" t="str">
        <f>HYPERLINK("https://climate.onebuilding.org/WMO_Region_6_Europe/DEU_Germany/BY_Bayern/DEU_BY_Bad.Kissingen.106580_TMYx.zip")</f>
        <v>https://climate.onebuilding.org/WMO_Region_6_Europe/DEU_Germany/BY_Bayern/DEU_BY_Bad.Kissingen.106580_TMYx.zip</v>
      </c>
    </row>
    <row r="2411" spans="1:10" x14ac:dyDescent="0.25">
      <c r="A2411" t="s">
        <v>1301</v>
      </c>
      <c r="B2411" t="s">
        <v>1448</v>
      </c>
      <c r="C2411" t="s">
        <v>1588</v>
      </c>
      <c r="D2411">
        <v>106595</v>
      </c>
      <c r="E2411" t="s">
        <v>14</v>
      </c>
      <c r="F2411">
        <v>49.634</v>
      </c>
      <c r="G2411">
        <v>11.766999999999999</v>
      </c>
      <c r="H2411">
        <v>1</v>
      </c>
      <c r="I2411">
        <v>412.4</v>
      </c>
      <c r="J2411" t="str">
        <f>HYPERLINK("https://climate.onebuilding.org/WMO_Region_6_Europe/DEU_Germany/BY_Bayern/DEU_BY_Vilseck.AP.106595_TMYx.zip")</f>
        <v>https://climate.onebuilding.org/WMO_Region_6_Europe/DEU_Germany/BY_Bayern/DEU_BY_Vilseck.AP.106595_TMYx.zip</v>
      </c>
    </row>
    <row r="2412" spans="1:10" x14ac:dyDescent="0.25">
      <c r="A2412" t="s">
        <v>1301</v>
      </c>
      <c r="B2412" t="s">
        <v>1513</v>
      </c>
      <c r="C2412" t="s">
        <v>1564</v>
      </c>
      <c r="D2412">
        <v>106598</v>
      </c>
      <c r="E2412" t="s">
        <v>14</v>
      </c>
      <c r="F2412">
        <v>49.633000000000003</v>
      </c>
      <c r="G2412">
        <v>7.2830000000000004</v>
      </c>
      <c r="H2412">
        <v>1</v>
      </c>
      <c r="I2412">
        <v>426</v>
      </c>
      <c r="J2412" t="str">
        <f>HYPERLINK("https://climate.onebuilding.org/WMO_Region_6_Europe/DEU_Germany/RP_Rheinland-Pfalz/DEU_RP_Baumholder.AP.106598_TMYx.2007-2021.zip")</f>
        <v>https://climate.onebuilding.org/WMO_Region_6_Europe/DEU_Germany/RP_Rheinland-Pfalz/DEU_RP_Baumholder.AP.106598_TMYx.2007-2021.zip</v>
      </c>
    </row>
    <row r="2413" spans="1:10" x14ac:dyDescent="0.25">
      <c r="A2413" t="s">
        <v>1301</v>
      </c>
      <c r="B2413" t="s">
        <v>1513</v>
      </c>
      <c r="C2413" t="s">
        <v>1564</v>
      </c>
      <c r="D2413">
        <v>106598</v>
      </c>
      <c r="E2413" t="s">
        <v>14</v>
      </c>
      <c r="F2413">
        <v>49.633000000000003</v>
      </c>
      <c r="G2413">
        <v>7.2830000000000004</v>
      </c>
      <c r="H2413">
        <v>1</v>
      </c>
      <c r="I2413">
        <v>426</v>
      </c>
      <c r="J2413" t="str">
        <f>HYPERLINK("https://climate.onebuilding.org/WMO_Region_6_Europe/DEU_Germany/RP_Rheinland-Pfalz/DEU_RP_Baumholder.AP.106598_TMYx.2009-2023.zip")</f>
        <v>https://climate.onebuilding.org/WMO_Region_6_Europe/DEU_Germany/RP_Rheinland-Pfalz/DEU_RP_Baumholder.AP.106598_TMYx.2009-2023.zip</v>
      </c>
    </row>
    <row r="2414" spans="1:10" x14ac:dyDescent="0.25">
      <c r="A2414" t="s">
        <v>1301</v>
      </c>
      <c r="B2414" t="s">
        <v>1513</v>
      </c>
      <c r="C2414" t="s">
        <v>1564</v>
      </c>
      <c r="D2414">
        <v>106598</v>
      </c>
      <c r="E2414" t="s">
        <v>14</v>
      </c>
      <c r="F2414">
        <v>49.633000000000003</v>
      </c>
      <c r="G2414">
        <v>7.2830000000000004</v>
      </c>
      <c r="H2414">
        <v>1</v>
      </c>
      <c r="I2414">
        <v>426</v>
      </c>
      <c r="J2414" t="str">
        <f>HYPERLINK("https://climate.onebuilding.org/WMO_Region_6_Europe/DEU_Germany/RP_Rheinland-Pfalz/DEU_RP_Baumholder.AP.106598_TMYx.zip")</f>
        <v>https://climate.onebuilding.org/WMO_Region_6_Europe/DEU_Germany/RP_Rheinland-Pfalz/DEU_RP_Baumholder.AP.106598_TMYx.zip</v>
      </c>
    </row>
    <row r="2415" spans="1:10" x14ac:dyDescent="0.25">
      <c r="A2415" t="s">
        <v>1301</v>
      </c>
      <c r="B2415" t="s">
        <v>1448</v>
      </c>
      <c r="C2415" t="s">
        <v>1589</v>
      </c>
      <c r="D2415">
        <v>106690</v>
      </c>
      <c r="E2415" t="s">
        <v>14</v>
      </c>
      <c r="F2415">
        <v>49.743000000000002</v>
      </c>
      <c r="G2415">
        <v>10.201000000000001</v>
      </c>
      <c r="H2415">
        <v>1</v>
      </c>
      <c r="I2415">
        <v>210</v>
      </c>
      <c r="J2415" t="str">
        <f>HYPERLINK("https://climate.onebuilding.org/WMO_Region_6_Europe/DEU_Germany/BY_Bayern/DEU_BY_Kitzingen.AP.106690_TMYx.zip")</f>
        <v>https://climate.onebuilding.org/WMO_Region_6_Europe/DEU_Germany/BY_Bayern/DEU_BY_Kitzingen.AP.106690_TMYx.zip</v>
      </c>
    </row>
    <row r="2416" spans="1:10" x14ac:dyDescent="0.25">
      <c r="A2416" t="s">
        <v>1301</v>
      </c>
      <c r="B2416" t="s">
        <v>1448</v>
      </c>
      <c r="C2416" t="s">
        <v>1590</v>
      </c>
      <c r="D2416">
        <v>106710</v>
      </c>
      <c r="E2416" t="s">
        <v>14</v>
      </c>
      <c r="F2416">
        <v>50.306699999999999</v>
      </c>
      <c r="G2416">
        <v>10.9681</v>
      </c>
      <c r="H2416">
        <v>1</v>
      </c>
      <c r="I2416">
        <v>345.7</v>
      </c>
      <c r="J2416" t="str">
        <f>HYPERLINK("https://climate.onebuilding.org/WMO_Region_6_Europe/DEU_Germany/BY_Bayern/DEU_BY_Coburg-Lauteral-Oberlauter.106710_TMYx.zip")</f>
        <v>https://climate.onebuilding.org/WMO_Region_6_Europe/DEU_Germany/BY_Bayern/DEU_BY_Coburg-Lauteral-Oberlauter.106710_TMYx.zip</v>
      </c>
    </row>
    <row r="2417" spans="1:10" x14ac:dyDescent="0.25">
      <c r="A2417" t="s">
        <v>1301</v>
      </c>
      <c r="B2417" t="s">
        <v>1448</v>
      </c>
      <c r="C2417" t="s">
        <v>1591</v>
      </c>
      <c r="D2417">
        <v>106750</v>
      </c>
      <c r="E2417" t="s">
        <v>14</v>
      </c>
      <c r="F2417">
        <v>49.874200000000002</v>
      </c>
      <c r="G2417">
        <v>10.9206</v>
      </c>
      <c r="H2417">
        <v>1</v>
      </c>
      <c r="I2417">
        <v>240.9</v>
      </c>
      <c r="J2417" t="str">
        <f>HYPERLINK("https://climate.onebuilding.org/WMO_Region_6_Europe/DEU_Germany/BY_Bayern/DEU_BY_Bamberg.106750_TMYx.zip")</f>
        <v>https://climate.onebuilding.org/WMO_Region_6_Europe/DEU_Germany/BY_Bayern/DEU_BY_Bamberg.106750_TMYx.zip</v>
      </c>
    </row>
    <row r="2418" spans="1:10" x14ac:dyDescent="0.25">
      <c r="A2418" t="s">
        <v>1301</v>
      </c>
      <c r="B2418" t="s">
        <v>1448</v>
      </c>
      <c r="C2418" t="s">
        <v>1592</v>
      </c>
      <c r="D2418">
        <v>106770</v>
      </c>
      <c r="E2418" t="s">
        <v>14</v>
      </c>
      <c r="F2418">
        <v>49.984000000000002</v>
      </c>
      <c r="G2418">
        <v>11.638999999999999</v>
      </c>
      <c r="H2418">
        <v>1</v>
      </c>
      <c r="I2418">
        <v>488</v>
      </c>
      <c r="J2418" t="str">
        <f>HYPERLINK("https://climate.onebuilding.org/WMO_Region_6_Europe/DEU_Germany/BY_Bayern/DEU_BY_Bayreuth.AP.106770_TMYx.zip")</f>
        <v>https://climate.onebuilding.org/WMO_Region_6_Europe/DEU_Germany/BY_Bayern/DEU_BY_Bayreuth.AP.106770_TMYx.zip</v>
      </c>
    </row>
    <row r="2419" spans="1:10" x14ac:dyDescent="0.25">
      <c r="A2419" t="s">
        <v>1301</v>
      </c>
      <c r="B2419" t="s">
        <v>1448</v>
      </c>
      <c r="C2419" t="s">
        <v>1593</v>
      </c>
      <c r="D2419">
        <v>106850</v>
      </c>
      <c r="E2419" t="s">
        <v>1594</v>
      </c>
      <c r="F2419">
        <v>50.312199999999997</v>
      </c>
      <c r="G2419">
        <v>11.876099999999999</v>
      </c>
      <c r="H2419">
        <v>1</v>
      </c>
      <c r="I2419">
        <v>566.79999999999995</v>
      </c>
      <c r="J2419" t="str">
        <f>HYPERLINK("https://climate.onebuilding.org/WMO_Region_6_Europe/DEU_Germany/BY_Bayern/DEU_BY_Hof.106850_TMYx.2004-2018.zip")</f>
        <v>https://climate.onebuilding.org/WMO_Region_6_Europe/DEU_Germany/BY_Bayern/DEU_BY_Hof.106850_TMYx.2004-2018.zip</v>
      </c>
    </row>
    <row r="2420" spans="1:10" x14ac:dyDescent="0.25">
      <c r="A2420" t="s">
        <v>1301</v>
      </c>
      <c r="B2420" t="s">
        <v>1448</v>
      </c>
      <c r="C2420" t="s">
        <v>1593</v>
      </c>
      <c r="D2420">
        <v>106850</v>
      </c>
      <c r="E2420" t="s">
        <v>14</v>
      </c>
      <c r="F2420">
        <v>50.312199999999997</v>
      </c>
      <c r="G2420">
        <v>11.876099999999999</v>
      </c>
      <c r="H2420">
        <v>1</v>
      </c>
      <c r="I2420">
        <v>566.79999999999995</v>
      </c>
      <c r="J2420" t="str">
        <f>HYPERLINK("https://climate.onebuilding.org/WMO_Region_6_Europe/DEU_Germany/BY_Bayern/DEU_BY_Hof.106850_TMYx.2007-2021.zip")</f>
        <v>https://climate.onebuilding.org/WMO_Region_6_Europe/DEU_Germany/BY_Bayern/DEU_BY_Hof.106850_TMYx.2007-2021.zip</v>
      </c>
    </row>
    <row r="2421" spans="1:10" x14ac:dyDescent="0.25">
      <c r="A2421" t="s">
        <v>1301</v>
      </c>
      <c r="B2421" t="s">
        <v>1448</v>
      </c>
      <c r="C2421" t="s">
        <v>1593</v>
      </c>
      <c r="D2421">
        <v>106850</v>
      </c>
      <c r="E2421" t="s">
        <v>14</v>
      </c>
      <c r="F2421">
        <v>50.312199999999997</v>
      </c>
      <c r="G2421">
        <v>11.876099999999999</v>
      </c>
      <c r="H2421">
        <v>1</v>
      </c>
      <c r="I2421">
        <v>566.79999999999995</v>
      </c>
      <c r="J2421" t="str">
        <f>HYPERLINK("https://climate.onebuilding.org/WMO_Region_6_Europe/DEU_Germany/BY_Bayern/DEU_BY_Hof.106850_TMYx.2009-2023.zip")</f>
        <v>https://climate.onebuilding.org/WMO_Region_6_Europe/DEU_Germany/BY_Bayern/DEU_BY_Hof.106850_TMYx.2009-2023.zip</v>
      </c>
    </row>
    <row r="2422" spans="1:10" x14ac:dyDescent="0.25">
      <c r="A2422" t="s">
        <v>1301</v>
      </c>
      <c r="B2422" t="s">
        <v>1448</v>
      </c>
      <c r="C2422" t="s">
        <v>1593</v>
      </c>
      <c r="D2422">
        <v>106850</v>
      </c>
      <c r="E2422" t="s">
        <v>14</v>
      </c>
      <c r="F2422">
        <v>50.312199999999997</v>
      </c>
      <c r="G2422">
        <v>11.876099999999999</v>
      </c>
      <c r="H2422">
        <v>1</v>
      </c>
      <c r="I2422">
        <v>566.79999999999995</v>
      </c>
      <c r="J2422" t="str">
        <f>HYPERLINK("https://climate.onebuilding.org/WMO_Region_6_Europe/DEU_Germany/BY_Bayern/DEU_BY_Hof.106850_TMYx.zip")</f>
        <v>https://climate.onebuilding.org/WMO_Region_6_Europe/DEU_Germany/BY_Bayern/DEU_BY_Hof.106850_TMYx.zip</v>
      </c>
    </row>
    <row r="2423" spans="1:10" x14ac:dyDescent="0.25">
      <c r="A2423" t="s">
        <v>1301</v>
      </c>
      <c r="B2423" t="s">
        <v>1448</v>
      </c>
      <c r="C2423" t="s">
        <v>1595</v>
      </c>
      <c r="D2423">
        <v>106870</v>
      </c>
      <c r="E2423" t="s">
        <v>1596</v>
      </c>
      <c r="F2423">
        <v>49.698999999999998</v>
      </c>
      <c r="G2423">
        <v>11.94</v>
      </c>
      <c r="H2423">
        <v>1</v>
      </c>
      <c r="I2423">
        <v>415.4</v>
      </c>
      <c r="J2423" t="str">
        <f>HYPERLINK("https://climate.onebuilding.org/WMO_Region_6_Europe/DEU_Germany/BY_Bayern/DEU_BY_Grafenwohr.AB.106870_TMYx.2004-2018.zip")</f>
        <v>https://climate.onebuilding.org/WMO_Region_6_Europe/DEU_Germany/BY_Bayern/DEU_BY_Grafenwohr.AB.106870_TMYx.2004-2018.zip</v>
      </c>
    </row>
    <row r="2424" spans="1:10" x14ac:dyDescent="0.25">
      <c r="A2424" t="s">
        <v>1301</v>
      </c>
      <c r="B2424" t="s">
        <v>1448</v>
      </c>
      <c r="C2424" t="s">
        <v>1595</v>
      </c>
      <c r="D2424">
        <v>106870</v>
      </c>
      <c r="E2424" t="s">
        <v>14</v>
      </c>
      <c r="F2424">
        <v>49.698999999999998</v>
      </c>
      <c r="G2424">
        <v>11.94</v>
      </c>
      <c r="H2424">
        <v>1</v>
      </c>
      <c r="I2424">
        <v>415.4</v>
      </c>
      <c r="J2424" t="str">
        <f>HYPERLINK("https://climate.onebuilding.org/WMO_Region_6_Europe/DEU_Germany/BY_Bayern/DEU_BY_Grafenwohr.AB.106870_TMYx.2007-2021.zip")</f>
        <v>https://climate.onebuilding.org/WMO_Region_6_Europe/DEU_Germany/BY_Bayern/DEU_BY_Grafenwohr.AB.106870_TMYx.2007-2021.zip</v>
      </c>
    </row>
    <row r="2425" spans="1:10" x14ac:dyDescent="0.25">
      <c r="A2425" t="s">
        <v>1301</v>
      </c>
      <c r="B2425" t="s">
        <v>1448</v>
      </c>
      <c r="C2425" t="s">
        <v>1595</v>
      </c>
      <c r="D2425">
        <v>106870</v>
      </c>
      <c r="E2425" t="s">
        <v>14</v>
      </c>
      <c r="F2425">
        <v>49.698999999999998</v>
      </c>
      <c r="G2425">
        <v>11.94</v>
      </c>
      <c r="H2425">
        <v>1</v>
      </c>
      <c r="I2425">
        <v>415.4</v>
      </c>
      <c r="J2425" t="str">
        <f>HYPERLINK("https://climate.onebuilding.org/WMO_Region_6_Europe/DEU_Germany/BY_Bayern/DEU_BY_Grafenwohr.AB.106870_TMYx.2009-2023.zip")</f>
        <v>https://climate.onebuilding.org/WMO_Region_6_Europe/DEU_Germany/BY_Bayern/DEU_BY_Grafenwohr.AB.106870_TMYx.2009-2023.zip</v>
      </c>
    </row>
    <row r="2426" spans="1:10" x14ac:dyDescent="0.25">
      <c r="A2426" t="s">
        <v>1301</v>
      </c>
      <c r="B2426" t="s">
        <v>1448</v>
      </c>
      <c r="C2426" t="s">
        <v>1595</v>
      </c>
      <c r="D2426">
        <v>106870</v>
      </c>
      <c r="E2426" t="s">
        <v>14</v>
      </c>
      <c r="F2426">
        <v>49.698999999999998</v>
      </c>
      <c r="G2426">
        <v>11.94</v>
      </c>
      <c r="H2426">
        <v>1</v>
      </c>
      <c r="I2426">
        <v>415.4</v>
      </c>
      <c r="J2426" t="str">
        <f>HYPERLINK("https://climate.onebuilding.org/WMO_Region_6_Europe/DEU_Germany/BY_Bayern/DEU_BY_Grafenwohr.AB.106870_TMYx.zip")</f>
        <v>https://climate.onebuilding.org/WMO_Region_6_Europe/DEU_Germany/BY_Bayern/DEU_BY_Grafenwohr.AB.106870_TMYx.zip</v>
      </c>
    </row>
    <row r="2427" spans="1:10" x14ac:dyDescent="0.25">
      <c r="A2427" t="s">
        <v>1301</v>
      </c>
      <c r="B2427" t="s">
        <v>1448</v>
      </c>
      <c r="C2427" t="s">
        <v>1597</v>
      </c>
      <c r="D2427">
        <v>106880</v>
      </c>
      <c r="E2427" t="s">
        <v>14</v>
      </c>
      <c r="F2427">
        <v>49.666400000000003</v>
      </c>
      <c r="G2427">
        <v>12.1844</v>
      </c>
      <c r="H2427">
        <v>1</v>
      </c>
      <c r="I2427">
        <v>436.5</v>
      </c>
      <c r="J2427" t="str">
        <f>HYPERLINK("https://climate.onebuilding.org/WMO_Region_6_Europe/DEU_Germany/BY_Bayern/DEU_BY_Weiden.106880_TMYx.zip")</f>
        <v>https://climate.onebuilding.org/WMO_Region_6_Europe/DEU_Germany/BY_Bayern/DEU_BY_Weiden.106880_TMYx.zip</v>
      </c>
    </row>
    <row r="2428" spans="1:10" x14ac:dyDescent="0.25">
      <c r="A2428" t="s">
        <v>1301</v>
      </c>
      <c r="B2428" t="s">
        <v>475</v>
      </c>
      <c r="C2428" t="s">
        <v>1598</v>
      </c>
      <c r="D2428">
        <v>107040</v>
      </c>
      <c r="E2428" t="s">
        <v>14</v>
      </c>
      <c r="F2428">
        <v>49.2639</v>
      </c>
      <c r="G2428">
        <v>6.6867000000000001</v>
      </c>
      <c r="H2428">
        <v>1</v>
      </c>
      <c r="I2428">
        <v>364.6</v>
      </c>
      <c r="J2428" t="str">
        <f>HYPERLINK("https://climate.onebuilding.org/WMO_Region_6_Europe/DEU_Germany/SL_Saarland/DEU_SL_Berus.107040_TMYx.zip")</f>
        <v>https://climate.onebuilding.org/WMO_Region_6_Europe/DEU_Germany/SL_Saarland/DEU_SL_Berus.107040_TMYx.zip</v>
      </c>
    </row>
    <row r="2429" spans="1:10" x14ac:dyDescent="0.25">
      <c r="A2429" t="s">
        <v>1301</v>
      </c>
      <c r="B2429" t="s">
        <v>475</v>
      </c>
      <c r="C2429" t="s">
        <v>1599</v>
      </c>
      <c r="D2429">
        <v>107060</v>
      </c>
      <c r="E2429" t="s">
        <v>14</v>
      </c>
      <c r="F2429">
        <v>49.4739</v>
      </c>
      <c r="G2429">
        <v>7.0385999999999997</v>
      </c>
      <c r="H2429">
        <v>1</v>
      </c>
      <c r="I2429">
        <v>387</v>
      </c>
      <c r="J2429" t="str">
        <f>HYPERLINK("https://climate.onebuilding.org/WMO_Region_6_Europe/DEU_Germany/SL_Saarland/DEU_SL_Tholey.107060_TMYx.zip")</f>
        <v>https://climate.onebuilding.org/WMO_Region_6_Europe/DEU_Germany/SL_Saarland/DEU_SL_Tholey.107060_TMYx.zip</v>
      </c>
    </row>
    <row r="2430" spans="1:10" x14ac:dyDescent="0.25">
      <c r="A2430" t="s">
        <v>1301</v>
      </c>
      <c r="B2430" t="s">
        <v>475</v>
      </c>
      <c r="C2430" t="s">
        <v>1600</v>
      </c>
      <c r="D2430">
        <v>107080</v>
      </c>
      <c r="E2430" t="s">
        <v>1601</v>
      </c>
      <c r="F2430">
        <v>49.212800000000001</v>
      </c>
      <c r="G2430">
        <v>7.1078000000000001</v>
      </c>
      <c r="H2430">
        <v>1</v>
      </c>
      <c r="I2430">
        <v>320.3</v>
      </c>
      <c r="J2430" t="str">
        <f>HYPERLINK("https://climate.onebuilding.org/WMO_Region_6_Europe/DEU_Germany/SL_Saarland/DEU_SL_Saarbrucken.AP.107080_TMYx.2004-2018.zip")</f>
        <v>https://climate.onebuilding.org/WMO_Region_6_Europe/DEU_Germany/SL_Saarland/DEU_SL_Saarbrucken.AP.107080_TMYx.2004-2018.zip</v>
      </c>
    </row>
    <row r="2431" spans="1:10" x14ac:dyDescent="0.25">
      <c r="A2431" t="s">
        <v>1301</v>
      </c>
      <c r="B2431" t="s">
        <v>475</v>
      </c>
      <c r="C2431" t="s">
        <v>1600</v>
      </c>
      <c r="D2431">
        <v>107080</v>
      </c>
      <c r="E2431" t="s">
        <v>14</v>
      </c>
      <c r="F2431">
        <v>49.212800000000001</v>
      </c>
      <c r="G2431">
        <v>7.1078000000000001</v>
      </c>
      <c r="H2431">
        <v>1</v>
      </c>
      <c r="I2431">
        <v>320.3</v>
      </c>
      <c r="J2431" t="str">
        <f>HYPERLINK("https://climate.onebuilding.org/WMO_Region_6_Europe/DEU_Germany/SL_Saarland/DEU_SL_Saarbrucken.AP.107080_TMYx.2007-2021.zip")</f>
        <v>https://climate.onebuilding.org/WMO_Region_6_Europe/DEU_Germany/SL_Saarland/DEU_SL_Saarbrucken.AP.107080_TMYx.2007-2021.zip</v>
      </c>
    </row>
    <row r="2432" spans="1:10" x14ac:dyDescent="0.25">
      <c r="A2432" t="s">
        <v>1301</v>
      </c>
      <c r="B2432" t="s">
        <v>475</v>
      </c>
      <c r="C2432" t="s">
        <v>1600</v>
      </c>
      <c r="D2432">
        <v>107080</v>
      </c>
      <c r="E2432" t="s">
        <v>14</v>
      </c>
      <c r="F2432">
        <v>49.212800000000001</v>
      </c>
      <c r="G2432">
        <v>7.1078000000000001</v>
      </c>
      <c r="H2432">
        <v>1</v>
      </c>
      <c r="I2432">
        <v>320.3</v>
      </c>
      <c r="J2432" t="str">
        <f>HYPERLINK("https://climate.onebuilding.org/WMO_Region_6_Europe/DEU_Germany/SL_Saarland/DEU_SL_Saarbrucken.AP.107080_TMYx.2009-2023.zip")</f>
        <v>https://climate.onebuilding.org/WMO_Region_6_Europe/DEU_Germany/SL_Saarland/DEU_SL_Saarbrucken.AP.107080_TMYx.2009-2023.zip</v>
      </c>
    </row>
    <row r="2433" spans="1:10" x14ac:dyDescent="0.25">
      <c r="A2433" t="s">
        <v>1301</v>
      </c>
      <c r="B2433" t="s">
        <v>475</v>
      </c>
      <c r="C2433" t="s">
        <v>1600</v>
      </c>
      <c r="D2433">
        <v>107080</v>
      </c>
      <c r="E2433" t="s">
        <v>14</v>
      </c>
      <c r="F2433">
        <v>49.212800000000001</v>
      </c>
      <c r="G2433">
        <v>7.1078000000000001</v>
      </c>
      <c r="H2433">
        <v>1</v>
      </c>
      <c r="I2433">
        <v>320.3</v>
      </c>
      <c r="J2433" t="str">
        <f>HYPERLINK("https://climate.onebuilding.org/WMO_Region_6_Europe/DEU_Germany/SL_Saarland/DEU_SL_Saarbrucken.AP.107080_TMYx.zip")</f>
        <v>https://climate.onebuilding.org/WMO_Region_6_Europe/DEU_Germany/SL_Saarland/DEU_SL_Saarbrucken.AP.107080_TMYx.zip</v>
      </c>
    </row>
    <row r="2434" spans="1:10" x14ac:dyDescent="0.25">
      <c r="A2434" t="s">
        <v>1301</v>
      </c>
      <c r="B2434" t="s">
        <v>1513</v>
      </c>
      <c r="C2434" t="s">
        <v>1602</v>
      </c>
      <c r="D2434">
        <v>107120</v>
      </c>
      <c r="E2434" t="s">
        <v>14</v>
      </c>
      <c r="F2434">
        <v>49.5</v>
      </c>
      <c r="G2434">
        <v>7.867</v>
      </c>
      <c r="H2434">
        <v>1</v>
      </c>
      <c r="I2434">
        <v>321</v>
      </c>
      <c r="J2434" t="str">
        <f>HYPERLINK("https://climate.onebuilding.org/WMO_Region_6_Europe/DEU_Germany/RP_Rheinland-Pfalz/DEU_RP_Sembach.AB.107120_TMYx.zip")</f>
        <v>https://climate.onebuilding.org/WMO_Region_6_Europe/DEU_Germany/RP_Rheinland-Pfalz/DEU_RP_Sembach.AB.107120_TMYx.zip</v>
      </c>
    </row>
    <row r="2435" spans="1:10" x14ac:dyDescent="0.25">
      <c r="A2435" t="s">
        <v>1301</v>
      </c>
      <c r="B2435" t="s">
        <v>1513</v>
      </c>
      <c r="C2435" t="s">
        <v>1560</v>
      </c>
      <c r="D2435">
        <v>107140</v>
      </c>
      <c r="E2435" t="s">
        <v>14</v>
      </c>
      <c r="F2435">
        <v>49.21</v>
      </c>
      <c r="G2435">
        <v>7.4009999999999998</v>
      </c>
      <c r="H2435">
        <v>1</v>
      </c>
      <c r="I2435">
        <v>345.3</v>
      </c>
      <c r="J2435" t="str">
        <f>HYPERLINK("https://climate.onebuilding.org/WMO_Region_6_Europe/DEU_Germany/RP_Rheinland-Pfalz/DEU_RP_Zweibruecken.AP.107140_TMYx.zip")</f>
        <v>https://climate.onebuilding.org/WMO_Region_6_Europe/DEU_Germany/RP_Rheinland-Pfalz/DEU_RP_Zweibruecken.AP.107140_TMYx.zip</v>
      </c>
    </row>
    <row r="2436" spans="1:10" x14ac:dyDescent="0.25">
      <c r="A2436" t="s">
        <v>1301</v>
      </c>
      <c r="B2436" t="s">
        <v>1513</v>
      </c>
      <c r="C2436" t="s">
        <v>1603</v>
      </c>
      <c r="D2436">
        <v>107170</v>
      </c>
      <c r="E2436" t="s">
        <v>14</v>
      </c>
      <c r="F2436">
        <v>49.216999999999999</v>
      </c>
      <c r="G2436">
        <v>7.617</v>
      </c>
      <c r="H2436">
        <v>1</v>
      </c>
      <c r="I2436">
        <v>415</v>
      </c>
      <c r="J2436" t="str">
        <f>HYPERLINK("https://climate.onebuilding.org/WMO_Region_6_Europe/DEU_Germany/RP_Rheinland-Pfalz/DEU_RP_Pirmasens.107170_TMYx.zip")</f>
        <v>https://climate.onebuilding.org/WMO_Region_6_Europe/DEU_Germany/RP_Rheinland-Pfalz/DEU_RP_Pirmasens.107170_TMYx.zip</v>
      </c>
    </row>
    <row r="2437" spans="1:10" x14ac:dyDescent="0.25">
      <c r="A2437" t="s">
        <v>1301</v>
      </c>
      <c r="B2437" t="s">
        <v>1513</v>
      </c>
      <c r="C2437" t="s">
        <v>1604</v>
      </c>
      <c r="D2437">
        <v>107240</v>
      </c>
      <c r="E2437" t="s">
        <v>14</v>
      </c>
      <c r="F2437">
        <v>49.375799999999998</v>
      </c>
      <c r="G2437">
        <v>8.1213999999999995</v>
      </c>
      <c r="H2437">
        <v>1</v>
      </c>
      <c r="I2437">
        <v>558.5</v>
      </c>
      <c r="J2437" t="str">
        <f>HYPERLINK("https://climate.onebuilding.org/WMO_Region_6_Europe/DEU_Germany/RP_Rheinland-Pfalz/DEU_RP_Weinbiet.107240_TMYx.zip")</f>
        <v>https://climate.onebuilding.org/WMO_Region_6_Europe/DEU_Germany/RP_Rheinland-Pfalz/DEU_RP_Weinbiet.107240_TMYx.zip</v>
      </c>
    </row>
    <row r="2438" spans="1:10" x14ac:dyDescent="0.25">
      <c r="A2438" t="s">
        <v>1301</v>
      </c>
      <c r="B2438" t="s">
        <v>1585</v>
      </c>
      <c r="C2438" t="s">
        <v>1605</v>
      </c>
      <c r="D2438">
        <v>107250</v>
      </c>
      <c r="E2438" t="s">
        <v>14</v>
      </c>
      <c r="F2438">
        <v>48.8</v>
      </c>
      <c r="G2438">
        <v>8.1829999999999998</v>
      </c>
      <c r="H2438">
        <v>1</v>
      </c>
      <c r="I2438">
        <v>126</v>
      </c>
      <c r="J2438" t="str">
        <f>HYPERLINK("https://climate.onebuilding.org/WMO_Region_6_Europe/DEU_Germany/BW_Baden-Wurttemberg/DEU_BW_Baden.Oos.AP.107250_TMYx.zip")</f>
        <v>https://climate.onebuilding.org/WMO_Region_6_Europe/DEU_Germany/BW_Baden-Wurttemberg/DEU_BW_Baden.Oos.AP.107250_TMYx.zip</v>
      </c>
    </row>
    <row r="2439" spans="1:10" x14ac:dyDescent="0.25">
      <c r="A2439" t="s">
        <v>1301</v>
      </c>
      <c r="B2439" t="s">
        <v>1585</v>
      </c>
      <c r="C2439" t="s">
        <v>1606</v>
      </c>
      <c r="D2439">
        <v>107270</v>
      </c>
      <c r="E2439" t="s">
        <v>14</v>
      </c>
      <c r="F2439">
        <v>49.033000000000001</v>
      </c>
      <c r="G2439">
        <v>8.3670000000000009</v>
      </c>
      <c r="H2439">
        <v>1</v>
      </c>
      <c r="I2439">
        <v>114</v>
      </c>
      <c r="J2439" t="str">
        <f>HYPERLINK("https://climate.onebuilding.org/WMO_Region_6_Europe/DEU_Germany/BW_Baden-Wurttemberg/DEU_BW_Karlsruhe.107270_TMYx.zip")</f>
        <v>https://climate.onebuilding.org/WMO_Region_6_Europe/DEU_Germany/BW_Baden-Wurttemberg/DEU_BW_Karlsruhe.107270_TMYx.zip</v>
      </c>
    </row>
    <row r="2440" spans="1:10" x14ac:dyDescent="0.25">
      <c r="A2440" t="s">
        <v>1301</v>
      </c>
      <c r="B2440" t="s">
        <v>1585</v>
      </c>
      <c r="C2440" t="s">
        <v>1607</v>
      </c>
      <c r="D2440">
        <v>107275</v>
      </c>
      <c r="E2440" t="s">
        <v>1608</v>
      </c>
      <c r="F2440">
        <v>48.779000000000003</v>
      </c>
      <c r="G2440">
        <v>8.0809999999999995</v>
      </c>
      <c r="H2440">
        <v>1</v>
      </c>
      <c r="I2440">
        <v>124.4</v>
      </c>
      <c r="J2440" t="str">
        <f>HYPERLINK("https://climate.onebuilding.org/WMO_Region_6_Europe/DEU_Germany/BW_Baden-Wurttemberg/DEU_BW_Karlsruhe-Baden-Baden.AP.107275_TMYx.2004-2018.zip")</f>
        <v>https://climate.onebuilding.org/WMO_Region_6_Europe/DEU_Germany/BW_Baden-Wurttemberg/DEU_BW_Karlsruhe-Baden-Baden.AP.107275_TMYx.2004-2018.zip</v>
      </c>
    </row>
    <row r="2441" spans="1:10" x14ac:dyDescent="0.25">
      <c r="A2441" t="s">
        <v>1301</v>
      </c>
      <c r="B2441" t="s">
        <v>1585</v>
      </c>
      <c r="C2441" t="s">
        <v>1607</v>
      </c>
      <c r="D2441">
        <v>107275</v>
      </c>
      <c r="E2441" t="s">
        <v>14</v>
      </c>
      <c r="F2441">
        <v>48.779000000000003</v>
      </c>
      <c r="G2441">
        <v>8.0809999999999995</v>
      </c>
      <c r="H2441">
        <v>1</v>
      </c>
      <c r="I2441">
        <v>124.4</v>
      </c>
      <c r="J2441" t="str">
        <f>HYPERLINK("https://climate.onebuilding.org/WMO_Region_6_Europe/DEU_Germany/BW_Baden-Wurttemberg/DEU_BW_Karlsruhe-Baden-Baden.AP.107275_TMYx.2007-2021.zip")</f>
        <v>https://climate.onebuilding.org/WMO_Region_6_Europe/DEU_Germany/BW_Baden-Wurttemberg/DEU_BW_Karlsruhe-Baden-Baden.AP.107275_TMYx.2007-2021.zip</v>
      </c>
    </row>
    <row r="2442" spans="1:10" x14ac:dyDescent="0.25">
      <c r="A2442" t="s">
        <v>1301</v>
      </c>
      <c r="B2442" t="s">
        <v>1585</v>
      </c>
      <c r="C2442" t="s">
        <v>1607</v>
      </c>
      <c r="D2442">
        <v>107275</v>
      </c>
      <c r="E2442" t="s">
        <v>14</v>
      </c>
      <c r="F2442">
        <v>48.779000000000003</v>
      </c>
      <c r="G2442">
        <v>8.0809999999999995</v>
      </c>
      <c r="H2442">
        <v>1</v>
      </c>
      <c r="I2442">
        <v>124.4</v>
      </c>
      <c r="J2442" t="str">
        <f>HYPERLINK("https://climate.onebuilding.org/WMO_Region_6_Europe/DEU_Germany/BW_Baden-Wurttemberg/DEU_BW_Karlsruhe-Baden-Baden.AP.107275_TMYx.2009-2023.zip")</f>
        <v>https://climate.onebuilding.org/WMO_Region_6_Europe/DEU_Germany/BW_Baden-Wurttemberg/DEU_BW_Karlsruhe-Baden-Baden.AP.107275_TMYx.2009-2023.zip</v>
      </c>
    </row>
    <row r="2443" spans="1:10" x14ac:dyDescent="0.25">
      <c r="A2443" t="s">
        <v>1301</v>
      </c>
      <c r="B2443" t="s">
        <v>1585</v>
      </c>
      <c r="C2443" t="s">
        <v>1607</v>
      </c>
      <c r="D2443">
        <v>107275</v>
      </c>
      <c r="E2443" t="s">
        <v>14</v>
      </c>
      <c r="F2443">
        <v>48.779000000000003</v>
      </c>
      <c r="G2443">
        <v>8.0809999999999995</v>
      </c>
      <c r="H2443">
        <v>1</v>
      </c>
      <c r="I2443">
        <v>124.4</v>
      </c>
      <c r="J2443" t="str">
        <f>HYPERLINK("https://climate.onebuilding.org/WMO_Region_6_Europe/DEU_Germany/BW_Baden-Wurttemberg/DEU_BW_Karlsruhe-Baden-Baden.AP.107275_TMYx.zip")</f>
        <v>https://climate.onebuilding.org/WMO_Region_6_Europe/DEU_Germany/BW_Baden-Wurttemberg/DEU_BW_Karlsruhe-Baden-Baden.AP.107275_TMYx.zip</v>
      </c>
    </row>
    <row r="2444" spans="1:10" x14ac:dyDescent="0.25">
      <c r="A2444" t="s">
        <v>1301</v>
      </c>
      <c r="B2444" t="s">
        <v>1585</v>
      </c>
      <c r="C2444" t="s">
        <v>1609</v>
      </c>
      <c r="D2444">
        <v>107280</v>
      </c>
      <c r="E2444" t="s">
        <v>14</v>
      </c>
      <c r="F2444">
        <v>49.564</v>
      </c>
      <c r="G2444">
        <v>8.4629999999999992</v>
      </c>
      <c r="H2444">
        <v>1</v>
      </c>
      <c r="I2444">
        <v>94.2</v>
      </c>
      <c r="J2444" t="str">
        <f>HYPERLINK("https://climate.onebuilding.org/WMO_Region_6_Europe/DEU_Germany/BW_Baden-Wurttemberg/DEU_BW_Coleman.AP.107280_TMYx.2007-2021.zip")</f>
        <v>https://climate.onebuilding.org/WMO_Region_6_Europe/DEU_Germany/BW_Baden-Wurttemberg/DEU_BW_Coleman.AP.107280_TMYx.2007-2021.zip</v>
      </c>
    </row>
    <row r="2445" spans="1:10" x14ac:dyDescent="0.25">
      <c r="A2445" t="s">
        <v>1301</v>
      </c>
      <c r="B2445" t="s">
        <v>1585</v>
      </c>
      <c r="C2445" t="s">
        <v>1609</v>
      </c>
      <c r="D2445">
        <v>107280</v>
      </c>
      <c r="E2445" t="s">
        <v>14</v>
      </c>
      <c r="F2445">
        <v>49.564</v>
      </c>
      <c r="G2445">
        <v>8.4629999999999992</v>
      </c>
      <c r="H2445">
        <v>1</v>
      </c>
      <c r="I2445">
        <v>94.2</v>
      </c>
      <c r="J2445" t="str">
        <f>HYPERLINK("https://climate.onebuilding.org/WMO_Region_6_Europe/DEU_Germany/BW_Baden-Wurttemberg/DEU_BW_Coleman.AP.107280_TMYx.2009-2023.zip")</f>
        <v>https://climate.onebuilding.org/WMO_Region_6_Europe/DEU_Germany/BW_Baden-Wurttemberg/DEU_BW_Coleman.AP.107280_TMYx.2009-2023.zip</v>
      </c>
    </row>
    <row r="2446" spans="1:10" x14ac:dyDescent="0.25">
      <c r="A2446" t="s">
        <v>1301</v>
      </c>
      <c r="B2446" t="s">
        <v>1585</v>
      </c>
      <c r="C2446" t="s">
        <v>1609</v>
      </c>
      <c r="D2446">
        <v>107280</v>
      </c>
      <c r="E2446" t="s">
        <v>14</v>
      </c>
      <c r="F2446">
        <v>49.564</v>
      </c>
      <c r="G2446">
        <v>8.4629999999999992</v>
      </c>
      <c r="H2446">
        <v>1</v>
      </c>
      <c r="I2446">
        <v>94.2</v>
      </c>
      <c r="J2446" t="str">
        <f>HYPERLINK("https://climate.onebuilding.org/WMO_Region_6_Europe/DEU_Germany/BW_Baden-Wurttemberg/DEU_BW_Coleman.AP.107280_TMYx.zip")</f>
        <v>https://climate.onebuilding.org/WMO_Region_6_Europe/DEU_Germany/BW_Baden-Wurttemberg/DEU_BW_Coleman.AP.107280_TMYx.zip</v>
      </c>
    </row>
    <row r="2447" spans="1:10" x14ac:dyDescent="0.25">
      <c r="A2447" t="s">
        <v>1301</v>
      </c>
      <c r="B2447" t="s">
        <v>1585</v>
      </c>
      <c r="C2447" t="s">
        <v>1610</v>
      </c>
      <c r="D2447">
        <v>107290</v>
      </c>
      <c r="E2447" t="s">
        <v>1611</v>
      </c>
      <c r="F2447">
        <v>49.506100000000004</v>
      </c>
      <c r="G2447">
        <v>8.5582999999999991</v>
      </c>
      <c r="H2447">
        <v>1</v>
      </c>
      <c r="I2447">
        <v>99.4</v>
      </c>
      <c r="J2447" t="str">
        <f>HYPERLINK("https://climate.onebuilding.org/WMO_Region_6_Europe/DEU_Germany/BW_Baden-Wurttemberg/DEU_BW_Mannheim.107290_TMYx.2004-2018.zip")</f>
        <v>https://climate.onebuilding.org/WMO_Region_6_Europe/DEU_Germany/BW_Baden-Wurttemberg/DEU_BW_Mannheim.107290_TMYx.2004-2018.zip</v>
      </c>
    </row>
    <row r="2448" spans="1:10" x14ac:dyDescent="0.25">
      <c r="A2448" t="s">
        <v>1301</v>
      </c>
      <c r="B2448" t="s">
        <v>1585</v>
      </c>
      <c r="C2448" t="s">
        <v>1610</v>
      </c>
      <c r="D2448">
        <v>107290</v>
      </c>
      <c r="E2448" t="s">
        <v>14</v>
      </c>
      <c r="F2448">
        <v>49.506100000000004</v>
      </c>
      <c r="G2448">
        <v>8.5582999999999991</v>
      </c>
      <c r="H2448">
        <v>1</v>
      </c>
      <c r="I2448">
        <v>99.4</v>
      </c>
      <c r="J2448" t="str">
        <f>HYPERLINK("https://climate.onebuilding.org/WMO_Region_6_Europe/DEU_Germany/BW_Baden-Wurttemberg/DEU_BW_Mannheim.107290_TMYx.2007-2021.zip")</f>
        <v>https://climate.onebuilding.org/WMO_Region_6_Europe/DEU_Germany/BW_Baden-Wurttemberg/DEU_BW_Mannheim.107290_TMYx.2007-2021.zip</v>
      </c>
    </row>
    <row r="2449" spans="1:10" x14ac:dyDescent="0.25">
      <c r="A2449" t="s">
        <v>1301</v>
      </c>
      <c r="B2449" t="s">
        <v>1585</v>
      </c>
      <c r="C2449" t="s">
        <v>1610</v>
      </c>
      <c r="D2449">
        <v>107290</v>
      </c>
      <c r="E2449" t="s">
        <v>14</v>
      </c>
      <c r="F2449">
        <v>49.506100000000004</v>
      </c>
      <c r="G2449">
        <v>8.5582999999999991</v>
      </c>
      <c r="H2449">
        <v>1</v>
      </c>
      <c r="I2449">
        <v>99.4</v>
      </c>
      <c r="J2449" t="str">
        <f>HYPERLINK("https://climate.onebuilding.org/WMO_Region_6_Europe/DEU_Germany/BW_Baden-Wurttemberg/DEU_BW_Mannheim.107290_TMYx.2009-2023.zip")</f>
        <v>https://climate.onebuilding.org/WMO_Region_6_Europe/DEU_Germany/BW_Baden-Wurttemberg/DEU_BW_Mannheim.107290_TMYx.2009-2023.zip</v>
      </c>
    </row>
    <row r="2450" spans="1:10" x14ac:dyDescent="0.25">
      <c r="A2450" t="s">
        <v>1301</v>
      </c>
      <c r="B2450" t="s">
        <v>1585</v>
      </c>
      <c r="C2450" t="s">
        <v>1610</v>
      </c>
      <c r="D2450">
        <v>107290</v>
      </c>
      <c r="E2450" t="s">
        <v>14</v>
      </c>
      <c r="F2450">
        <v>49.506100000000004</v>
      </c>
      <c r="G2450">
        <v>8.5582999999999991</v>
      </c>
      <c r="H2450">
        <v>1</v>
      </c>
      <c r="I2450">
        <v>99.4</v>
      </c>
      <c r="J2450" t="str">
        <f>HYPERLINK("https://climate.onebuilding.org/WMO_Region_6_Europe/DEU_Germany/BW_Baden-Wurttemberg/DEU_BW_Mannheim.107290_TMYx.zip")</f>
        <v>https://climate.onebuilding.org/WMO_Region_6_Europe/DEU_Germany/BW_Baden-Wurttemberg/DEU_BW_Mannheim.107290_TMYx.zip</v>
      </c>
    </row>
    <row r="2451" spans="1:10" x14ac:dyDescent="0.25">
      <c r="A2451" t="s">
        <v>1301</v>
      </c>
      <c r="B2451" t="s">
        <v>1585</v>
      </c>
      <c r="C2451" t="s">
        <v>1612</v>
      </c>
      <c r="D2451">
        <v>107340</v>
      </c>
      <c r="E2451" t="s">
        <v>14</v>
      </c>
      <c r="F2451">
        <v>49.4</v>
      </c>
      <c r="G2451">
        <v>8.65</v>
      </c>
      <c r="H2451">
        <v>1</v>
      </c>
      <c r="I2451">
        <v>109</v>
      </c>
      <c r="J2451" t="str">
        <f>HYPERLINK("https://climate.onebuilding.org/WMO_Region_6_Europe/DEU_Germany/BW_Baden-Wurttemberg/DEU_BW_Heidelberg.AB.107340_TMYx.zip")</f>
        <v>https://climate.onebuilding.org/WMO_Region_6_Europe/DEU_Germany/BW_Baden-Wurttemberg/DEU_BW_Heidelberg.AB.107340_TMYx.zip</v>
      </c>
    </row>
    <row r="2452" spans="1:10" x14ac:dyDescent="0.25">
      <c r="A2452" t="s">
        <v>1301</v>
      </c>
      <c r="B2452" t="s">
        <v>1585</v>
      </c>
      <c r="C2452" t="s">
        <v>1613</v>
      </c>
      <c r="D2452">
        <v>107350</v>
      </c>
      <c r="E2452" t="s">
        <v>14</v>
      </c>
      <c r="F2452">
        <v>49.25</v>
      </c>
      <c r="G2452">
        <v>8.8829999999999991</v>
      </c>
      <c r="H2452">
        <v>1</v>
      </c>
      <c r="I2452">
        <v>169</v>
      </c>
      <c r="J2452" t="str">
        <f>HYPERLINK("https://climate.onebuilding.org/WMO_Region_6_Europe/DEU_Germany/BW_Baden-Wurttemberg/DEU_BW_Sinsheim.AF.107350_TMYx.zip")</f>
        <v>https://climate.onebuilding.org/WMO_Region_6_Europe/DEU_Germany/BW_Baden-Wurttemberg/DEU_BW_Sinsheim.AF.107350_TMYx.zip</v>
      </c>
    </row>
    <row r="2453" spans="1:10" x14ac:dyDescent="0.25">
      <c r="A2453" t="s">
        <v>1301</v>
      </c>
      <c r="B2453" t="s">
        <v>1585</v>
      </c>
      <c r="C2453" t="s">
        <v>1614</v>
      </c>
      <c r="D2453">
        <v>107360</v>
      </c>
      <c r="E2453" t="s">
        <v>14</v>
      </c>
      <c r="F2453">
        <v>48.972000000000001</v>
      </c>
      <c r="G2453">
        <v>8.8733000000000004</v>
      </c>
      <c r="H2453">
        <v>1</v>
      </c>
      <c r="I2453">
        <v>243.4</v>
      </c>
      <c r="J2453" t="str">
        <f>HYPERLINK("https://climate.onebuilding.org/WMO_Region_6_Europe/DEU_Germany/BW_Baden-Wurttemberg/DEU_BW_Muehlacker.107360_TMYx.zip")</f>
        <v>https://climate.onebuilding.org/WMO_Region_6_Europe/DEU_Germany/BW_Baden-Wurttemberg/DEU_BW_Muehlacker.107360_TMYx.zip</v>
      </c>
    </row>
    <row r="2454" spans="1:10" x14ac:dyDescent="0.25">
      <c r="A2454" t="s">
        <v>1301</v>
      </c>
      <c r="B2454" t="s">
        <v>1585</v>
      </c>
      <c r="C2454" t="s">
        <v>1615</v>
      </c>
      <c r="D2454">
        <v>107370</v>
      </c>
      <c r="E2454" t="s">
        <v>14</v>
      </c>
      <c r="F2454">
        <v>48.767000000000003</v>
      </c>
      <c r="G2454">
        <v>9.1829999999999998</v>
      </c>
      <c r="H2454">
        <v>1</v>
      </c>
      <c r="I2454">
        <v>305</v>
      </c>
      <c r="J2454" t="str">
        <f>HYPERLINK("https://climate.onebuilding.org/WMO_Region_6_Europe/DEU_Germany/BW_Baden-Wurttemberg/DEU_BW_Stuttgart-Weissenburg.107370_TMYx.zip")</f>
        <v>https://climate.onebuilding.org/WMO_Region_6_Europe/DEU_Germany/BW_Baden-Wurttemberg/DEU_BW_Stuttgart-Weissenburg.107370_TMYx.zip</v>
      </c>
    </row>
    <row r="2455" spans="1:10" x14ac:dyDescent="0.25">
      <c r="A2455" t="s">
        <v>1301</v>
      </c>
      <c r="B2455" t="s">
        <v>1585</v>
      </c>
      <c r="C2455" t="s">
        <v>1616</v>
      </c>
      <c r="D2455">
        <v>107380</v>
      </c>
      <c r="E2455" t="s">
        <v>1617</v>
      </c>
      <c r="F2455">
        <v>48.688299999999998</v>
      </c>
      <c r="G2455">
        <v>9.2235999999999994</v>
      </c>
      <c r="H2455">
        <v>1</v>
      </c>
      <c r="I2455">
        <v>391.6</v>
      </c>
      <c r="J2455" t="str">
        <f>HYPERLINK("https://climate.onebuilding.org/WMO_Region_6_Europe/DEU_Germany/BW_Baden-Wurttemberg/DEU_BW_Stuttgart.AP.107380_TMYx.2004-2018.zip")</f>
        <v>https://climate.onebuilding.org/WMO_Region_6_Europe/DEU_Germany/BW_Baden-Wurttemberg/DEU_BW_Stuttgart.AP.107380_TMYx.2004-2018.zip</v>
      </c>
    </row>
    <row r="2456" spans="1:10" x14ac:dyDescent="0.25">
      <c r="A2456" t="s">
        <v>1301</v>
      </c>
      <c r="B2456" t="s">
        <v>1585</v>
      </c>
      <c r="C2456" t="s">
        <v>1616</v>
      </c>
      <c r="D2456">
        <v>107380</v>
      </c>
      <c r="E2456" t="s">
        <v>14</v>
      </c>
      <c r="F2456">
        <v>48.688299999999998</v>
      </c>
      <c r="G2456">
        <v>9.2235999999999994</v>
      </c>
      <c r="H2456">
        <v>1</v>
      </c>
      <c r="I2456">
        <v>391.6</v>
      </c>
      <c r="J2456" t="str">
        <f>HYPERLINK("https://climate.onebuilding.org/WMO_Region_6_Europe/DEU_Germany/BW_Baden-Wurttemberg/DEU_BW_Stuttgart.AP.107380_TMYx.2007-2021.zip")</f>
        <v>https://climate.onebuilding.org/WMO_Region_6_Europe/DEU_Germany/BW_Baden-Wurttemberg/DEU_BW_Stuttgart.AP.107380_TMYx.2007-2021.zip</v>
      </c>
    </row>
    <row r="2457" spans="1:10" x14ac:dyDescent="0.25">
      <c r="A2457" t="s">
        <v>1301</v>
      </c>
      <c r="B2457" t="s">
        <v>1585</v>
      </c>
      <c r="C2457" t="s">
        <v>1616</v>
      </c>
      <c r="D2457">
        <v>107380</v>
      </c>
      <c r="E2457" t="s">
        <v>14</v>
      </c>
      <c r="F2457">
        <v>48.688299999999998</v>
      </c>
      <c r="G2457">
        <v>9.2235999999999994</v>
      </c>
      <c r="H2457">
        <v>1</v>
      </c>
      <c r="I2457">
        <v>391.6</v>
      </c>
      <c r="J2457" t="str">
        <f>HYPERLINK("https://climate.onebuilding.org/WMO_Region_6_Europe/DEU_Germany/BW_Baden-Wurttemberg/DEU_BW_Stuttgart.AP.107380_TMYx.2009-2023.zip")</f>
        <v>https://climate.onebuilding.org/WMO_Region_6_Europe/DEU_Germany/BW_Baden-Wurttemberg/DEU_BW_Stuttgart.AP.107380_TMYx.2009-2023.zip</v>
      </c>
    </row>
    <row r="2458" spans="1:10" x14ac:dyDescent="0.25">
      <c r="A2458" t="s">
        <v>1301</v>
      </c>
      <c r="B2458" t="s">
        <v>1585</v>
      </c>
      <c r="C2458" t="s">
        <v>1616</v>
      </c>
      <c r="D2458">
        <v>107380</v>
      </c>
      <c r="E2458" t="s">
        <v>14</v>
      </c>
      <c r="F2458">
        <v>48.688299999999998</v>
      </c>
      <c r="G2458">
        <v>9.2235999999999994</v>
      </c>
      <c r="H2458">
        <v>1</v>
      </c>
      <c r="I2458">
        <v>391.6</v>
      </c>
      <c r="J2458" t="str">
        <f>HYPERLINK("https://climate.onebuilding.org/WMO_Region_6_Europe/DEU_Germany/BW_Baden-Wurttemberg/DEU_BW_Stuttgart.AP.107380_TMYx.zip")</f>
        <v>https://climate.onebuilding.org/WMO_Region_6_Europe/DEU_Germany/BW_Baden-Wurttemberg/DEU_BW_Stuttgart.AP.107380_TMYx.zip</v>
      </c>
    </row>
    <row r="2459" spans="1:10" x14ac:dyDescent="0.25">
      <c r="A2459" t="s">
        <v>1301</v>
      </c>
      <c r="B2459" t="s">
        <v>1585</v>
      </c>
      <c r="C2459" t="s">
        <v>1618</v>
      </c>
      <c r="D2459">
        <v>107390</v>
      </c>
      <c r="E2459" t="s">
        <v>14</v>
      </c>
      <c r="F2459">
        <v>48.828099999999999</v>
      </c>
      <c r="G2459">
        <v>9.1999999999999993</v>
      </c>
      <c r="H2459">
        <v>1</v>
      </c>
      <c r="I2459">
        <v>317.5</v>
      </c>
      <c r="J2459" t="str">
        <f>HYPERLINK("https://climate.onebuilding.org/WMO_Region_6_Europe/DEU_Germany/BW_Baden-Wurttemberg/DEU_BW_Stuttgart-Schnarrenberg.107390_TMYx.zip")</f>
        <v>https://climate.onebuilding.org/WMO_Region_6_Europe/DEU_Germany/BW_Baden-Wurttemberg/DEU_BW_Stuttgart-Schnarrenberg.107390_TMYx.zip</v>
      </c>
    </row>
    <row r="2460" spans="1:10" x14ac:dyDescent="0.25">
      <c r="A2460" t="s">
        <v>1301</v>
      </c>
      <c r="B2460" t="s">
        <v>1585</v>
      </c>
      <c r="C2460" t="s">
        <v>1619</v>
      </c>
      <c r="D2460">
        <v>107420</v>
      </c>
      <c r="E2460" t="s">
        <v>14</v>
      </c>
      <c r="F2460">
        <v>49.206899999999997</v>
      </c>
      <c r="G2460">
        <v>9.5175000000000001</v>
      </c>
      <c r="H2460">
        <v>1</v>
      </c>
      <c r="I2460">
        <v>274.39999999999998</v>
      </c>
      <c r="J2460" t="str">
        <f>HYPERLINK("https://climate.onebuilding.org/WMO_Region_6_Europe/DEU_Germany/BW_Baden-Wurttemberg/DEU_BW_Ohringen.107420_TMYx.zip")</f>
        <v>https://climate.onebuilding.org/WMO_Region_6_Europe/DEU_Germany/BW_Baden-Wurttemberg/DEU_BW_Ohringen.107420_TMYx.zip</v>
      </c>
    </row>
    <row r="2461" spans="1:10" x14ac:dyDescent="0.25">
      <c r="A2461" t="s">
        <v>1301</v>
      </c>
      <c r="B2461" t="s">
        <v>1585</v>
      </c>
      <c r="C2461" t="s">
        <v>1620</v>
      </c>
      <c r="D2461">
        <v>107430</v>
      </c>
      <c r="E2461" t="s">
        <v>1621</v>
      </c>
      <c r="F2461">
        <v>49.389499999999998</v>
      </c>
      <c r="G2461">
        <v>9.9666999999999994</v>
      </c>
      <c r="H2461">
        <v>1</v>
      </c>
      <c r="I2461">
        <v>472.8</v>
      </c>
      <c r="J2461" t="str">
        <f>HYPERLINK("https://climate.onebuilding.org/WMO_Region_6_Europe/DEU_Germany/BW_Baden-Wurttemberg/DEU_BW_Niederstetten.AP.107430_TMYx.2004-2018.zip")</f>
        <v>https://climate.onebuilding.org/WMO_Region_6_Europe/DEU_Germany/BW_Baden-Wurttemberg/DEU_BW_Niederstetten.AP.107430_TMYx.2004-2018.zip</v>
      </c>
    </row>
    <row r="2462" spans="1:10" x14ac:dyDescent="0.25">
      <c r="A2462" t="s">
        <v>1301</v>
      </c>
      <c r="B2462" t="s">
        <v>1585</v>
      </c>
      <c r="C2462" t="s">
        <v>1620</v>
      </c>
      <c r="D2462">
        <v>107430</v>
      </c>
      <c r="E2462" t="s">
        <v>14</v>
      </c>
      <c r="F2462">
        <v>49.389499999999998</v>
      </c>
      <c r="G2462">
        <v>9.9666999999999994</v>
      </c>
      <c r="H2462">
        <v>1</v>
      </c>
      <c r="I2462">
        <v>472.8</v>
      </c>
      <c r="J2462" t="str">
        <f>HYPERLINK("https://climate.onebuilding.org/WMO_Region_6_Europe/DEU_Germany/BW_Baden-Wurttemberg/DEU_BW_Niederstetten.AP.107430_TMYx.2007-2021.zip")</f>
        <v>https://climate.onebuilding.org/WMO_Region_6_Europe/DEU_Germany/BW_Baden-Wurttemberg/DEU_BW_Niederstetten.AP.107430_TMYx.2007-2021.zip</v>
      </c>
    </row>
    <row r="2463" spans="1:10" x14ac:dyDescent="0.25">
      <c r="A2463" t="s">
        <v>1301</v>
      </c>
      <c r="B2463" t="s">
        <v>1585</v>
      </c>
      <c r="C2463" t="s">
        <v>1620</v>
      </c>
      <c r="D2463">
        <v>107430</v>
      </c>
      <c r="E2463" t="s">
        <v>14</v>
      </c>
      <c r="F2463">
        <v>49.389499999999998</v>
      </c>
      <c r="G2463">
        <v>9.9666999999999994</v>
      </c>
      <c r="H2463">
        <v>1</v>
      </c>
      <c r="I2463">
        <v>472.8</v>
      </c>
      <c r="J2463" t="str">
        <f>HYPERLINK("https://climate.onebuilding.org/WMO_Region_6_Europe/DEU_Germany/BW_Baden-Wurttemberg/DEU_BW_Niederstetten.AP.107430_TMYx.2009-2023.zip")</f>
        <v>https://climate.onebuilding.org/WMO_Region_6_Europe/DEU_Germany/BW_Baden-Wurttemberg/DEU_BW_Niederstetten.AP.107430_TMYx.2009-2023.zip</v>
      </c>
    </row>
    <row r="2464" spans="1:10" x14ac:dyDescent="0.25">
      <c r="A2464" t="s">
        <v>1301</v>
      </c>
      <c r="B2464" t="s">
        <v>1585</v>
      </c>
      <c r="C2464" t="s">
        <v>1620</v>
      </c>
      <c r="D2464">
        <v>107430</v>
      </c>
      <c r="E2464" t="s">
        <v>14</v>
      </c>
      <c r="F2464">
        <v>49.389499999999998</v>
      </c>
      <c r="G2464">
        <v>9.9666999999999994</v>
      </c>
      <c r="H2464">
        <v>1</v>
      </c>
      <c r="I2464">
        <v>472.8</v>
      </c>
      <c r="J2464" t="str">
        <f>HYPERLINK("https://climate.onebuilding.org/WMO_Region_6_Europe/DEU_Germany/BW_Baden-Wurttemberg/DEU_BW_Niederstetten.AP.107430_TMYx.zip")</f>
        <v>https://climate.onebuilding.org/WMO_Region_6_Europe/DEU_Germany/BW_Baden-Wurttemberg/DEU_BW_Niederstetten.AP.107430_TMYx.zip</v>
      </c>
    </row>
    <row r="2465" spans="1:10" x14ac:dyDescent="0.25">
      <c r="A2465" t="s">
        <v>1301</v>
      </c>
      <c r="B2465" t="s">
        <v>1585</v>
      </c>
      <c r="C2465" t="s">
        <v>1622</v>
      </c>
      <c r="D2465">
        <v>107450</v>
      </c>
      <c r="E2465" t="s">
        <v>14</v>
      </c>
      <c r="F2465">
        <v>49.118000000000002</v>
      </c>
      <c r="G2465">
        <v>9.7840000000000007</v>
      </c>
      <c r="H2465">
        <v>1</v>
      </c>
      <c r="I2465">
        <v>399.6</v>
      </c>
      <c r="J2465" t="str">
        <f>HYPERLINK("https://climate.onebuilding.org/WMO_Region_6_Europe/DEU_Germany/BW_Baden-Wurttemberg/DEU_BW_Schwabisch.Hall-Wurth.AP.107450_TMYx.2007-2021.zip")</f>
        <v>https://climate.onebuilding.org/WMO_Region_6_Europe/DEU_Germany/BW_Baden-Wurttemberg/DEU_BW_Schwabisch.Hall-Wurth.AP.107450_TMYx.2007-2021.zip</v>
      </c>
    </row>
    <row r="2466" spans="1:10" x14ac:dyDescent="0.25">
      <c r="A2466" t="s">
        <v>1301</v>
      </c>
      <c r="B2466" t="s">
        <v>1585</v>
      </c>
      <c r="C2466" t="s">
        <v>1622</v>
      </c>
      <c r="D2466">
        <v>107450</v>
      </c>
      <c r="E2466" t="s">
        <v>14</v>
      </c>
      <c r="F2466">
        <v>49.118000000000002</v>
      </c>
      <c r="G2466">
        <v>9.7840000000000007</v>
      </c>
      <c r="H2466">
        <v>1</v>
      </c>
      <c r="I2466">
        <v>399.6</v>
      </c>
      <c r="J2466" t="str">
        <f>HYPERLINK("https://climate.onebuilding.org/WMO_Region_6_Europe/DEU_Germany/BW_Baden-Wurttemberg/DEU_BW_Schwabisch.Hall-Wurth.AP.107450_TMYx.2009-2023.zip")</f>
        <v>https://climate.onebuilding.org/WMO_Region_6_Europe/DEU_Germany/BW_Baden-Wurttemberg/DEU_BW_Schwabisch.Hall-Wurth.AP.107450_TMYx.2009-2023.zip</v>
      </c>
    </row>
    <row r="2467" spans="1:10" x14ac:dyDescent="0.25">
      <c r="A2467" t="s">
        <v>1301</v>
      </c>
      <c r="B2467" t="s">
        <v>1585</v>
      </c>
      <c r="C2467" t="s">
        <v>1622</v>
      </c>
      <c r="D2467">
        <v>107450</v>
      </c>
      <c r="E2467" t="s">
        <v>14</v>
      </c>
      <c r="F2467">
        <v>49.118000000000002</v>
      </c>
      <c r="G2467">
        <v>9.7840000000000007</v>
      </c>
      <c r="H2467">
        <v>1</v>
      </c>
      <c r="I2467">
        <v>399.6</v>
      </c>
      <c r="J2467" t="str">
        <f>HYPERLINK("https://climate.onebuilding.org/WMO_Region_6_Europe/DEU_Germany/BW_Baden-Wurttemberg/DEU_BW_Schwabisch.Hall-Wurth.AP.107450_TMYx.zip")</f>
        <v>https://climate.onebuilding.org/WMO_Region_6_Europe/DEU_Germany/BW_Baden-Wurttemberg/DEU_BW_Schwabisch.Hall-Wurth.AP.107450_TMYx.zip</v>
      </c>
    </row>
    <row r="2468" spans="1:10" x14ac:dyDescent="0.25">
      <c r="A2468" t="s">
        <v>1301</v>
      </c>
      <c r="B2468" t="s">
        <v>1448</v>
      </c>
      <c r="C2468" t="s">
        <v>1623</v>
      </c>
      <c r="D2468">
        <v>107520</v>
      </c>
      <c r="E2468" t="s">
        <v>1624</v>
      </c>
      <c r="F2468">
        <v>49.473999999999997</v>
      </c>
      <c r="G2468">
        <v>10.388</v>
      </c>
      <c r="H2468">
        <v>1</v>
      </c>
      <c r="I2468">
        <v>328.6</v>
      </c>
      <c r="J2468" t="str">
        <f>HYPERLINK("https://climate.onebuilding.org/WMO_Region_6_Europe/DEU_Germany/BY_Bayern/DEU_BY_Illesheim.AB.107520_TMYx.2004-2018.zip")</f>
        <v>https://climate.onebuilding.org/WMO_Region_6_Europe/DEU_Germany/BY_Bayern/DEU_BY_Illesheim.AB.107520_TMYx.2004-2018.zip</v>
      </c>
    </row>
    <row r="2469" spans="1:10" x14ac:dyDescent="0.25">
      <c r="A2469" t="s">
        <v>1301</v>
      </c>
      <c r="B2469" t="s">
        <v>1448</v>
      </c>
      <c r="C2469" t="s">
        <v>1623</v>
      </c>
      <c r="D2469">
        <v>107520</v>
      </c>
      <c r="E2469" t="s">
        <v>14</v>
      </c>
      <c r="F2469">
        <v>49.476999999999997</v>
      </c>
      <c r="G2469">
        <v>10.382</v>
      </c>
      <c r="H2469">
        <v>1</v>
      </c>
      <c r="I2469">
        <v>328.6</v>
      </c>
      <c r="J2469" t="str">
        <f>HYPERLINK("https://climate.onebuilding.org/WMO_Region_6_Europe/DEU_Germany/BY_Bayern/DEU_BY_Illesheim.AB.107520_TMYx.2007-2021.zip")</f>
        <v>https://climate.onebuilding.org/WMO_Region_6_Europe/DEU_Germany/BY_Bayern/DEU_BY_Illesheim.AB.107520_TMYx.2007-2021.zip</v>
      </c>
    </row>
    <row r="2470" spans="1:10" x14ac:dyDescent="0.25">
      <c r="A2470" t="s">
        <v>1301</v>
      </c>
      <c r="B2470" t="s">
        <v>1448</v>
      </c>
      <c r="C2470" t="s">
        <v>1623</v>
      </c>
      <c r="D2470">
        <v>107520</v>
      </c>
      <c r="E2470" t="s">
        <v>14</v>
      </c>
      <c r="F2470">
        <v>49.476999999999997</v>
      </c>
      <c r="G2470">
        <v>10.382</v>
      </c>
      <c r="H2470">
        <v>1</v>
      </c>
      <c r="I2470">
        <v>328.6</v>
      </c>
      <c r="J2470" t="str">
        <f>HYPERLINK("https://climate.onebuilding.org/WMO_Region_6_Europe/DEU_Germany/BY_Bayern/DEU_BY_Illesheim.AB.107520_TMYx.2009-2023.zip")</f>
        <v>https://climate.onebuilding.org/WMO_Region_6_Europe/DEU_Germany/BY_Bayern/DEU_BY_Illesheim.AB.107520_TMYx.2009-2023.zip</v>
      </c>
    </row>
    <row r="2471" spans="1:10" x14ac:dyDescent="0.25">
      <c r="A2471" t="s">
        <v>1301</v>
      </c>
      <c r="B2471" t="s">
        <v>1448</v>
      </c>
      <c r="C2471" t="s">
        <v>1623</v>
      </c>
      <c r="D2471">
        <v>107520</v>
      </c>
      <c r="E2471" t="s">
        <v>14</v>
      </c>
      <c r="F2471">
        <v>49.476999999999997</v>
      </c>
      <c r="G2471">
        <v>10.382</v>
      </c>
      <c r="H2471">
        <v>1</v>
      </c>
      <c r="I2471">
        <v>328.6</v>
      </c>
      <c r="J2471" t="str">
        <f>HYPERLINK("https://climate.onebuilding.org/WMO_Region_6_Europe/DEU_Germany/BY_Bayern/DEU_BY_Illesheim.AB.107520_TMYx.zip")</f>
        <v>https://climate.onebuilding.org/WMO_Region_6_Europe/DEU_Germany/BY_Bayern/DEU_BY_Illesheim.AB.107520_TMYx.zip</v>
      </c>
    </row>
    <row r="2472" spans="1:10" x14ac:dyDescent="0.25">
      <c r="A2472" t="s">
        <v>1301</v>
      </c>
      <c r="B2472" t="s">
        <v>1448</v>
      </c>
      <c r="C2472" t="s">
        <v>1625</v>
      </c>
      <c r="D2472">
        <v>107550</v>
      </c>
      <c r="E2472" t="s">
        <v>1626</v>
      </c>
      <c r="F2472">
        <v>49.308</v>
      </c>
      <c r="G2472">
        <v>10.638999999999999</v>
      </c>
      <c r="H2472">
        <v>1</v>
      </c>
      <c r="I2472">
        <v>467</v>
      </c>
      <c r="J2472" t="str">
        <f>HYPERLINK("https://climate.onebuilding.org/WMO_Region_6_Europe/DEU_Germany/BY_Bayern/DEU_BY_Ansbach.Katterbach.AB.107550_TMYx.2004-2018.zip")</f>
        <v>https://climate.onebuilding.org/WMO_Region_6_Europe/DEU_Germany/BY_Bayern/DEU_BY_Ansbach.Katterbach.AB.107550_TMYx.2004-2018.zip</v>
      </c>
    </row>
    <row r="2473" spans="1:10" x14ac:dyDescent="0.25">
      <c r="A2473" t="s">
        <v>1301</v>
      </c>
      <c r="B2473" t="s">
        <v>1448</v>
      </c>
      <c r="C2473" t="s">
        <v>1625</v>
      </c>
      <c r="D2473">
        <v>107550</v>
      </c>
      <c r="E2473" t="s">
        <v>14</v>
      </c>
      <c r="F2473">
        <v>49.308</v>
      </c>
      <c r="G2473">
        <v>10.638999999999999</v>
      </c>
      <c r="H2473">
        <v>1</v>
      </c>
      <c r="I2473">
        <v>467</v>
      </c>
      <c r="J2473" t="str">
        <f>HYPERLINK("https://climate.onebuilding.org/WMO_Region_6_Europe/DEU_Germany/BY_Bayern/DEU_BY_Ansbach.Katterbach.AB.107550_TMYx.2007-2021.zip")</f>
        <v>https://climate.onebuilding.org/WMO_Region_6_Europe/DEU_Germany/BY_Bayern/DEU_BY_Ansbach.Katterbach.AB.107550_TMYx.2007-2021.zip</v>
      </c>
    </row>
    <row r="2474" spans="1:10" x14ac:dyDescent="0.25">
      <c r="A2474" t="s">
        <v>1301</v>
      </c>
      <c r="B2474" t="s">
        <v>1448</v>
      </c>
      <c r="C2474" t="s">
        <v>1625</v>
      </c>
      <c r="D2474">
        <v>107550</v>
      </c>
      <c r="E2474" t="s">
        <v>14</v>
      </c>
      <c r="F2474">
        <v>49.308</v>
      </c>
      <c r="G2474">
        <v>10.638999999999999</v>
      </c>
      <c r="H2474">
        <v>1</v>
      </c>
      <c r="I2474">
        <v>467</v>
      </c>
      <c r="J2474" t="str">
        <f>HYPERLINK("https://climate.onebuilding.org/WMO_Region_6_Europe/DEU_Germany/BY_Bayern/DEU_BY_Ansbach.Katterbach.AB.107550_TMYx.2009-2023.zip")</f>
        <v>https://climate.onebuilding.org/WMO_Region_6_Europe/DEU_Germany/BY_Bayern/DEU_BY_Ansbach.Katterbach.AB.107550_TMYx.2009-2023.zip</v>
      </c>
    </row>
    <row r="2475" spans="1:10" x14ac:dyDescent="0.25">
      <c r="A2475" t="s">
        <v>1301</v>
      </c>
      <c r="B2475" t="s">
        <v>1448</v>
      </c>
      <c r="C2475" t="s">
        <v>1625</v>
      </c>
      <c r="D2475">
        <v>107550</v>
      </c>
      <c r="E2475" t="s">
        <v>14</v>
      </c>
      <c r="F2475">
        <v>49.308</v>
      </c>
      <c r="G2475">
        <v>10.638999999999999</v>
      </c>
      <c r="H2475">
        <v>1</v>
      </c>
      <c r="I2475">
        <v>467</v>
      </c>
      <c r="J2475" t="str">
        <f>HYPERLINK("https://climate.onebuilding.org/WMO_Region_6_Europe/DEU_Germany/BY_Bayern/DEU_BY_Ansbach.Katterbach.AB.107550_TMYx.zip")</f>
        <v>https://climate.onebuilding.org/WMO_Region_6_Europe/DEU_Germany/BY_Bayern/DEU_BY_Ansbach.Katterbach.AB.107550_TMYx.zip</v>
      </c>
    </row>
    <row r="2476" spans="1:10" x14ac:dyDescent="0.25">
      <c r="A2476" t="s">
        <v>1301</v>
      </c>
      <c r="B2476" t="s">
        <v>1448</v>
      </c>
      <c r="C2476" t="s">
        <v>1627</v>
      </c>
      <c r="D2476">
        <v>107610</v>
      </c>
      <c r="E2476" t="s">
        <v>14</v>
      </c>
      <c r="F2476">
        <v>49.011699999999998</v>
      </c>
      <c r="G2476">
        <v>10.9308</v>
      </c>
      <c r="H2476">
        <v>1</v>
      </c>
      <c r="I2476">
        <v>440.5</v>
      </c>
      <c r="J2476" t="str">
        <f>HYPERLINK("https://climate.onebuilding.org/WMO_Region_6_Europe/DEU_Germany/BY_Bayern/DEU_BY_Weissenburg.107610_TMYx.zip")</f>
        <v>https://climate.onebuilding.org/WMO_Region_6_Europe/DEU_Germany/BY_Bayern/DEU_BY_Weissenburg.107610_TMYx.zip</v>
      </c>
    </row>
    <row r="2477" spans="1:10" x14ac:dyDescent="0.25">
      <c r="A2477" t="s">
        <v>1301</v>
      </c>
      <c r="B2477" t="s">
        <v>1448</v>
      </c>
      <c r="C2477" t="s">
        <v>1628</v>
      </c>
      <c r="D2477">
        <v>107620</v>
      </c>
      <c r="E2477" t="s">
        <v>14</v>
      </c>
      <c r="F2477">
        <v>49.5</v>
      </c>
      <c r="G2477">
        <v>10.967000000000001</v>
      </c>
      <c r="H2477">
        <v>1</v>
      </c>
      <c r="I2477">
        <v>302</v>
      </c>
      <c r="J2477" t="str">
        <f>HYPERLINK("https://climate.onebuilding.org/WMO_Region_6_Europe/DEU_Germany/BY_Bayern/DEU_BY_Furth.107620_TMYx.zip")</f>
        <v>https://climate.onebuilding.org/WMO_Region_6_Europe/DEU_Germany/BY_Bayern/DEU_BY_Furth.107620_TMYx.zip</v>
      </c>
    </row>
    <row r="2478" spans="1:10" x14ac:dyDescent="0.25">
      <c r="A2478" t="s">
        <v>1301</v>
      </c>
      <c r="B2478" t="s">
        <v>1448</v>
      </c>
      <c r="C2478" t="s">
        <v>1629</v>
      </c>
      <c r="D2478">
        <v>107630</v>
      </c>
      <c r="E2478" t="s">
        <v>1630</v>
      </c>
      <c r="F2478">
        <v>49.503100000000003</v>
      </c>
      <c r="G2478">
        <v>11.055</v>
      </c>
      <c r="H2478">
        <v>1</v>
      </c>
      <c r="I2478">
        <v>317.60000000000002</v>
      </c>
      <c r="J2478" t="str">
        <f>HYPERLINK("https://climate.onebuilding.org/WMO_Region_6_Europe/DEU_Germany/BY_Bayern/DEU_BY_Nurnberg.AP.107630_TMYx.2004-2018.zip")</f>
        <v>https://climate.onebuilding.org/WMO_Region_6_Europe/DEU_Germany/BY_Bayern/DEU_BY_Nurnberg.AP.107630_TMYx.2004-2018.zip</v>
      </c>
    </row>
    <row r="2479" spans="1:10" x14ac:dyDescent="0.25">
      <c r="A2479" t="s">
        <v>1301</v>
      </c>
      <c r="B2479" t="s">
        <v>1448</v>
      </c>
      <c r="C2479" t="s">
        <v>1629</v>
      </c>
      <c r="D2479">
        <v>107630</v>
      </c>
      <c r="E2479" t="s">
        <v>14</v>
      </c>
      <c r="F2479">
        <v>49.503100000000003</v>
      </c>
      <c r="G2479">
        <v>11.055</v>
      </c>
      <c r="H2479">
        <v>1</v>
      </c>
      <c r="I2479">
        <v>317.60000000000002</v>
      </c>
      <c r="J2479" t="str">
        <f>HYPERLINK("https://climate.onebuilding.org/WMO_Region_6_Europe/DEU_Germany/BY_Bayern/DEU_BY_Nurnberg.AP.107630_TMYx.2007-2021.zip")</f>
        <v>https://climate.onebuilding.org/WMO_Region_6_Europe/DEU_Germany/BY_Bayern/DEU_BY_Nurnberg.AP.107630_TMYx.2007-2021.zip</v>
      </c>
    </row>
    <row r="2480" spans="1:10" x14ac:dyDescent="0.25">
      <c r="A2480" t="s">
        <v>1301</v>
      </c>
      <c r="B2480" t="s">
        <v>1448</v>
      </c>
      <c r="C2480" t="s">
        <v>1629</v>
      </c>
      <c r="D2480">
        <v>107630</v>
      </c>
      <c r="E2480" t="s">
        <v>14</v>
      </c>
      <c r="F2480">
        <v>49.503100000000003</v>
      </c>
      <c r="G2480">
        <v>11.055</v>
      </c>
      <c r="H2480">
        <v>1</v>
      </c>
      <c r="I2480">
        <v>317.60000000000002</v>
      </c>
      <c r="J2480" t="str">
        <f>HYPERLINK("https://climate.onebuilding.org/WMO_Region_6_Europe/DEU_Germany/BY_Bayern/DEU_BY_Nurnberg.AP.107630_TMYx.2009-2023.zip")</f>
        <v>https://climate.onebuilding.org/WMO_Region_6_Europe/DEU_Germany/BY_Bayern/DEU_BY_Nurnberg.AP.107630_TMYx.2009-2023.zip</v>
      </c>
    </row>
    <row r="2481" spans="1:10" x14ac:dyDescent="0.25">
      <c r="A2481" t="s">
        <v>1301</v>
      </c>
      <c r="B2481" t="s">
        <v>1448</v>
      </c>
      <c r="C2481" t="s">
        <v>1629</v>
      </c>
      <c r="D2481">
        <v>107630</v>
      </c>
      <c r="E2481" t="s">
        <v>14</v>
      </c>
      <c r="F2481">
        <v>49.503100000000003</v>
      </c>
      <c r="G2481">
        <v>11.055</v>
      </c>
      <c r="H2481">
        <v>1</v>
      </c>
      <c r="I2481">
        <v>317.60000000000002</v>
      </c>
      <c r="J2481" t="str">
        <f>HYPERLINK("https://climate.onebuilding.org/WMO_Region_6_Europe/DEU_Germany/BY_Bayern/DEU_BY_Nurnberg.AP.107630_TMYx.zip")</f>
        <v>https://climate.onebuilding.org/WMO_Region_6_Europe/DEU_Germany/BY_Bayern/DEU_BY_Nurnberg.AP.107630_TMYx.zip</v>
      </c>
    </row>
    <row r="2482" spans="1:10" x14ac:dyDescent="0.25">
      <c r="A2482" t="s">
        <v>1301</v>
      </c>
      <c r="B2482" t="s">
        <v>1448</v>
      </c>
      <c r="C2482" t="s">
        <v>1631</v>
      </c>
      <c r="D2482">
        <v>107640</v>
      </c>
      <c r="E2482" t="s">
        <v>14</v>
      </c>
      <c r="F2482">
        <v>49.383000000000003</v>
      </c>
      <c r="G2482">
        <v>11.167</v>
      </c>
      <c r="H2482">
        <v>1</v>
      </c>
      <c r="I2482">
        <v>386</v>
      </c>
      <c r="J2482" t="str">
        <f>HYPERLINK("https://climate.onebuilding.org/WMO_Region_6_Europe/DEU_Germany/BY_Bayern/DEU_BY_Nurnberg-Feucht.107640_TMYx.zip")</f>
        <v>https://climate.onebuilding.org/WMO_Region_6_Europe/DEU_Germany/BY_Bayern/DEU_BY_Nurnberg-Feucht.107640_TMYx.zip</v>
      </c>
    </row>
    <row r="2483" spans="1:10" x14ac:dyDescent="0.25">
      <c r="A2483" t="s">
        <v>1301</v>
      </c>
      <c r="B2483" t="s">
        <v>1448</v>
      </c>
      <c r="C2483" t="s">
        <v>1632</v>
      </c>
      <c r="D2483">
        <v>107650</v>
      </c>
      <c r="E2483" t="s">
        <v>1633</v>
      </c>
      <c r="F2483">
        <v>49.2164</v>
      </c>
      <c r="G2483">
        <v>11.1036</v>
      </c>
      <c r="H2483">
        <v>1</v>
      </c>
      <c r="I2483">
        <v>387</v>
      </c>
      <c r="J2483" t="str">
        <f>HYPERLINK("https://climate.onebuilding.org/WMO_Region_6_Europe/DEU_Germany/BY_Bayern/DEU_BY_Roth.AP.107650_TMYx.2004-2018.zip")</f>
        <v>https://climate.onebuilding.org/WMO_Region_6_Europe/DEU_Germany/BY_Bayern/DEU_BY_Roth.AP.107650_TMYx.2004-2018.zip</v>
      </c>
    </row>
    <row r="2484" spans="1:10" x14ac:dyDescent="0.25">
      <c r="A2484" t="s">
        <v>1301</v>
      </c>
      <c r="B2484" t="s">
        <v>1448</v>
      </c>
      <c r="C2484" t="s">
        <v>1632</v>
      </c>
      <c r="D2484">
        <v>107650</v>
      </c>
      <c r="E2484" t="s">
        <v>14</v>
      </c>
      <c r="F2484">
        <v>49.2164</v>
      </c>
      <c r="G2484">
        <v>11.1036</v>
      </c>
      <c r="H2484">
        <v>1</v>
      </c>
      <c r="I2484">
        <v>387</v>
      </c>
      <c r="J2484" t="str">
        <f>HYPERLINK("https://climate.onebuilding.org/WMO_Region_6_Europe/DEU_Germany/BY_Bayern/DEU_BY_Roth.AP.107650_TMYx.2007-2021.zip")</f>
        <v>https://climate.onebuilding.org/WMO_Region_6_Europe/DEU_Germany/BY_Bayern/DEU_BY_Roth.AP.107650_TMYx.2007-2021.zip</v>
      </c>
    </row>
    <row r="2485" spans="1:10" x14ac:dyDescent="0.25">
      <c r="A2485" t="s">
        <v>1301</v>
      </c>
      <c r="B2485" t="s">
        <v>1448</v>
      </c>
      <c r="C2485" t="s">
        <v>1632</v>
      </c>
      <c r="D2485">
        <v>107650</v>
      </c>
      <c r="E2485" t="s">
        <v>14</v>
      </c>
      <c r="F2485">
        <v>49.2164</v>
      </c>
      <c r="G2485">
        <v>11.1036</v>
      </c>
      <c r="H2485">
        <v>1</v>
      </c>
      <c r="I2485">
        <v>387</v>
      </c>
      <c r="J2485" t="str">
        <f>HYPERLINK("https://climate.onebuilding.org/WMO_Region_6_Europe/DEU_Germany/BY_Bayern/DEU_BY_Roth.AP.107650_TMYx.2009-2023.zip")</f>
        <v>https://climate.onebuilding.org/WMO_Region_6_Europe/DEU_Germany/BY_Bayern/DEU_BY_Roth.AP.107650_TMYx.2009-2023.zip</v>
      </c>
    </row>
    <row r="2486" spans="1:10" x14ac:dyDescent="0.25">
      <c r="A2486" t="s">
        <v>1301</v>
      </c>
      <c r="B2486" t="s">
        <v>1448</v>
      </c>
      <c r="C2486" t="s">
        <v>1632</v>
      </c>
      <c r="D2486">
        <v>107650</v>
      </c>
      <c r="E2486" t="s">
        <v>14</v>
      </c>
      <c r="F2486">
        <v>49.2164</v>
      </c>
      <c r="G2486">
        <v>11.1036</v>
      </c>
      <c r="H2486">
        <v>1</v>
      </c>
      <c r="I2486">
        <v>387</v>
      </c>
      <c r="J2486" t="str">
        <f>HYPERLINK("https://climate.onebuilding.org/WMO_Region_6_Europe/DEU_Germany/BY_Bayern/DEU_BY_Roth.AP.107650_TMYx.zip")</f>
        <v>https://climate.onebuilding.org/WMO_Region_6_Europe/DEU_Germany/BY_Bayern/DEU_BY_Roth.AP.107650_TMYx.zip</v>
      </c>
    </row>
    <row r="2487" spans="1:10" x14ac:dyDescent="0.25">
      <c r="A2487" t="s">
        <v>1301</v>
      </c>
      <c r="B2487" t="s">
        <v>1448</v>
      </c>
      <c r="C2487" t="s">
        <v>1634</v>
      </c>
      <c r="D2487">
        <v>107710</v>
      </c>
      <c r="E2487" t="s">
        <v>1635</v>
      </c>
      <c r="F2487">
        <v>49.4283</v>
      </c>
      <c r="G2487">
        <v>11.9017</v>
      </c>
      <c r="H2487">
        <v>1</v>
      </c>
      <c r="I2487">
        <v>418.1</v>
      </c>
      <c r="J2487" t="str">
        <f>HYPERLINK("https://climate.onebuilding.org/WMO_Region_6_Europe/DEU_Germany/BY_Bayern/DEU_BY_Kummersbruck.107710_TMYx.2004-2018.zip")</f>
        <v>https://climate.onebuilding.org/WMO_Region_6_Europe/DEU_Germany/BY_Bayern/DEU_BY_Kummersbruck.107710_TMYx.2004-2018.zip</v>
      </c>
    </row>
    <row r="2488" spans="1:10" x14ac:dyDescent="0.25">
      <c r="A2488" t="s">
        <v>1301</v>
      </c>
      <c r="B2488" t="s">
        <v>1448</v>
      </c>
      <c r="C2488" t="s">
        <v>1634</v>
      </c>
      <c r="D2488">
        <v>107710</v>
      </c>
      <c r="E2488" t="s">
        <v>14</v>
      </c>
      <c r="F2488">
        <v>49.4283</v>
      </c>
      <c r="G2488">
        <v>11.9017</v>
      </c>
      <c r="H2488">
        <v>1</v>
      </c>
      <c r="I2488">
        <v>418.1</v>
      </c>
      <c r="J2488" t="str">
        <f>HYPERLINK("https://climate.onebuilding.org/WMO_Region_6_Europe/DEU_Germany/BY_Bayern/DEU_BY_Kummersbruck.107710_TMYx.2007-2021.zip")</f>
        <v>https://climate.onebuilding.org/WMO_Region_6_Europe/DEU_Germany/BY_Bayern/DEU_BY_Kummersbruck.107710_TMYx.2007-2021.zip</v>
      </c>
    </row>
    <row r="2489" spans="1:10" x14ac:dyDescent="0.25">
      <c r="A2489" t="s">
        <v>1301</v>
      </c>
      <c r="B2489" t="s">
        <v>1448</v>
      </c>
      <c r="C2489" t="s">
        <v>1634</v>
      </c>
      <c r="D2489">
        <v>107710</v>
      </c>
      <c r="E2489" t="s">
        <v>14</v>
      </c>
      <c r="F2489">
        <v>49.4283</v>
      </c>
      <c r="G2489">
        <v>11.9017</v>
      </c>
      <c r="H2489">
        <v>1</v>
      </c>
      <c r="I2489">
        <v>418.1</v>
      </c>
      <c r="J2489" t="str">
        <f>HYPERLINK("https://climate.onebuilding.org/WMO_Region_6_Europe/DEU_Germany/BY_Bayern/DEU_BY_Kummersbruck.107710_TMYx.2009-2023.zip")</f>
        <v>https://climate.onebuilding.org/WMO_Region_6_Europe/DEU_Germany/BY_Bayern/DEU_BY_Kummersbruck.107710_TMYx.2009-2023.zip</v>
      </c>
    </row>
    <row r="2490" spans="1:10" x14ac:dyDescent="0.25">
      <c r="A2490" t="s">
        <v>1301</v>
      </c>
      <c r="B2490" t="s">
        <v>1448</v>
      </c>
      <c r="C2490" t="s">
        <v>1634</v>
      </c>
      <c r="D2490">
        <v>107710</v>
      </c>
      <c r="E2490" t="s">
        <v>14</v>
      </c>
      <c r="F2490">
        <v>49.4283</v>
      </c>
      <c r="G2490">
        <v>11.9017</v>
      </c>
      <c r="H2490">
        <v>1</v>
      </c>
      <c r="I2490">
        <v>418.1</v>
      </c>
      <c r="J2490" t="str">
        <f>HYPERLINK("https://climate.onebuilding.org/WMO_Region_6_Europe/DEU_Germany/BY_Bayern/DEU_BY_Kummersbruck.107710_TMYx.zip")</f>
        <v>https://climate.onebuilding.org/WMO_Region_6_Europe/DEU_Germany/BY_Bayern/DEU_BY_Kummersbruck.107710_TMYx.zip</v>
      </c>
    </row>
    <row r="2491" spans="1:10" x14ac:dyDescent="0.25">
      <c r="A2491" t="s">
        <v>1301</v>
      </c>
      <c r="B2491" t="s">
        <v>1448</v>
      </c>
      <c r="C2491" t="s">
        <v>1636</v>
      </c>
      <c r="D2491">
        <v>107750</v>
      </c>
      <c r="E2491" t="s">
        <v>1637</v>
      </c>
      <c r="F2491">
        <v>49.216999999999999</v>
      </c>
      <c r="G2491">
        <v>11.833</v>
      </c>
      <c r="H2491">
        <v>1</v>
      </c>
      <c r="I2491">
        <v>443.5</v>
      </c>
      <c r="J2491" t="str">
        <f>HYPERLINK("https://climate.onebuilding.org/WMO_Region_6_Europe/DEU_Germany/BY_Bayern/DEU_BY_Hohenfels.AB.107750_TMYx.2004-2018.zip")</f>
        <v>https://climate.onebuilding.org/WMO_Region_6_Europe/DEU_Germany/BY_Bayern/DEU_BY_Hohenfels.AB.107750_TMYx.2004-2018.zip</v>
      </c>
    </row>
    <row r="2492" spans="1:10" x14ac:dyDescent="0.25">
      <c r="A2492" t="s">
        <v>1301</v>
      </c>
      <c r="B2492" t="s">
        <v>1448</v>
      </c>
      <c r="C2492" t="s">
        <v>1636</v>
      </c>
      <c r="D2492">
        <v>107750</v>
      </c>
      <c r="E2492" t="s">
        <v>14</v>
      </c>
      <c r="F2492">
        <v>49.216999999999999</v>
      </c>
      <c r="G2492">
        <v>11.833</v>
      </c>
      <c r="H2492">
        <v>1</v>
      </c>
      <c r="I2492">
        <v>443.5</v>
      </c>
      <c r="J2492" t="str">
        <f>HYPERLINK("https://climate.onebuilding.org/WMO_Region_6_Europe/DEU_Germany/BY_Bayern/DEU_BY_Hohenfels.AB.107750_TMYx.2007-2021.zip")</f>
        <v>https://climate.onebuilding.org/WMO_Region_6_Europe/DEU_Germany/BY_Bayern/DEU_BY_Hohenfels.AB.107750_TMYx.2007-2021.zip</v>
      </c>
    </row>
    <row r="2493" spans="1:10" x14ac:dyDescent="0.25">
      <c r="A2493" t="s">
        <v>1301</v>
      </c>
      <c r="B2493" t="s">
        <v>1448</v>
      </c>
      <c r="C2493" t="s">
        <v>1636</v>
      </c>
      <c r="D2493">
        <v>107750</v>
      </c>
      <c r="E2493" t="s">
        <v>14</v>
      </c>
      <c r="F2493">
        <v>49.216999999999999</v>
      </c>
      <c r="G2493">
        <v>11.833</v>
      </c>
      <c r="H2493">
        <v>1</v>
      </c>
      <c r="I2493">
        <v>443.5</v>
      </c>
      <c r="J2493" t="str">
        <f>HYPERLINK("https://climate.onebuilding.org/WMO_Region_6_Europe/DEU_Germany/BY_Bayern/DEU_BY_Hohenfels.AB.107750_TMYx.2009-2023.zip")</f>
        <v>https://climate.onebuilding.org/WMO_Region_6_Europe/DEU_Germany/BY_Bayern/DEU_BY_Hohenfels.AB.107750_TMYx.2009-2023.zip</v>
      </c>
    </row>
    <row r="2494" spans="1:10" x14ac:dyDescent="0.25">
      <c r="A2494" t="s">
        <v>1301</v>
      </c>
      <c r="B2494" t="s">
        <v>1448</v>
      </c>
      <c r="C2494" t="s">
        <v>1636</v>
      </c>
      <c r="D2494">
        <v>107750</v>
      </c>
      <c r="E2494" t="s">
        <v>14</v>
      </c>
      <c r="F2494">
        <v>49.216999999999999</v>
      </c>
      <c r="G2494">
        <v>11.833</v>
      </c>
      <c r="H2494">
        <v>1</v>
      </c>
      <c r="I2494">
        <v>443.5</v>
      </c>
      <c r="J2494" t="str">
        <f>HYPERLINK("https://climate.onebuilding.org/WMO_Region_6_Europe/DEU_Germany/BY_Bayern/DEU_BY_Hohenfels.AB.107750_TMYx.zip")</f>
        <v>https://climate.onebuilding.org/WMO_Region_6_Europe/DEU_Germany/BY_Bayern/DEU_BY_Hohenfels.AB.107750_TMYx.zip</v>
      </c>
    </row>
    <row r="2495" spans="1:10" x14ac:dyDescent="0.25">
      <c r="A2495" t="s">
        <v>1301</v>
      </c>
      <c r="B2495" t="s">
        <v>1448</v>
      </c>
      <c r="C2495" t="s">
        <v>1638</v>
      </c>
      <c r="D2495">
        <v>107760</v>
      </c>
      <c r="E2495" t="s">
        <v>14</v>
      </c>
      <c r="F2495">
        <v>49.042200000000001</v>
      </c>
      <c r="G2495">
        <v>12.101900000000001</v>
      </c>
      <c r="H2495">
        <v>1</v>
      </c>
      <c r="I2495">
        <v>369.6</v>
      </c>
      <c r="J2495" t="str">
        <f>HYPERLINK("https://climate.onebuilding.org/WMO_Region_6_Europe/DEU_Germany/BY_Bayern/DEU_BY_Regensburg-Oberhub.107760_TMYx.zip")</f>
        <v>https://climate.onebuilding.org/WMO_Region_6_Europe/DEU_Germany/BY_Bayern/DEU_BY_Regensburg-Oberhub.107760_TMYx.zip</v>
      </c>
    </row>
    <row r="2496" spans="1:10" x14ac:dyDescent="0.25">
      <c r="A2496" t="s">
        <v>1301</v>
      </c>
      <c r="B2496" t="s">
        <v>1448</v>
      </c>
      <c r="C2496" t="s">
        <v>1639</v>
      </c>
      <c r="D2496">
        <v>107770</v>
      </c>
      <c r="E2496" t="s">
        <v>14</v>
      </c>
      <c r="F2496">
        <v>48.948099999999997</v>
      </c>
      <c r="G2496">
        <v>11.428900000000001</v>
      </c>
      <c r="H2496">
        <v>1</v>
      </c>
      <c r="I2496">
        <v>537.6</v>
      </c>
      <c r="J2496" t="str">
        <f>HYPERLINK("https://climate.onebuilding.org/WMO_Region_6_Europe/DEU_Germany/BY_Bayern/DEU_BY_Gelbelsee.107770_TMYx.zip")</f>
        <v>https://climate.onebuilding.org/WMO_Region_6_Europe/DEU_Germany/BY_Bayern/DEU_BY_Gelbelsee.107770_TMYx.zip</v>
      </c>
    </row>
    <row r="2497" spans="1:10" x14ac:dyDescent="0.25">
      <c r="A2497" t="s">
        <v>1301</v>
      </c>
      <c r="B2497" t="s">
        <v>1448</v>
      </c>
      <c r="C2497" t="s">
        <v>1640</v>
      </c>
      <c r="D2497">
        <v>107880</v>
      </c>
      <c r="E2497" t="s">
        <v>1641</v>
      </c>
      <c r="F2497">
        <v>48.827500000000001</v>
      </c>
      <c r="G2497">
        <v>12.559699999999999</v>
      </c>
      <c r="H2497">
        <v>1</v>
      </c>
      <c r="I2497">
        <v>359.4</v>
      </c>
      <c r="J2497" t="str">
        <f>HYPERLINK("https://climate.onebuilding.org/WMO_Region_6_Europe/DEU_Germany/BY_Bayern/DEU_BY_Feldkirchen-Mitterhausen.AF.107880_TMYx.2004-2018.zip")</f>
        <v>https://climate.onebuilding.org/WMO_Region_6_Europe/DEU_Germany/BY_Bayern/DEU_BY_Feldkirchen-Mitterhausen.AF.107880_TMYx.2004-2018.zip</v>
      </c>
    </row>
    <row r="2498" spans="1:10" x14ac:dyDescent="0.25">
      <c r="A2498" t="s">
        <v>1301</v>
      </c>
      <c r="B2498" t="s">
        <v>1448</v>
      </c>
      <c r="C2498" t="s">
        <v>1640</v>
      </c>
      <c r="D2498">
        <v>107880</v>
      </c>
      <c r="E2498" t="s">
        <v>14</v>
      </c>
      <c r="F2498">
        <v>48.827500000000001</v>
      </c>
      <c r="G2498">
        <v>12.559699999999999</v>
      </c>
      <c r="H2498">
        <v>1</v>
      </c>
      <c r="I2498">
        <v>359.4</v>
      </c>
      <c r="J2498" t="str">
        <f>HYPERLINK("https://climate.onebuilding.org/WMO_Region_6_Europe/DEU_Germany/BY_Bayern/DEU_BY_Feldkirchen-Mitterhausen.AF.107880_TMYx.2007-2021.zip")</f>
        <v>https://climate.onebuilding.org/WMO_Region_6_Europe/DEU_Germany/BY_Bayern/DEU_BY_Feldkirchen-Mitterhausen.AF.107880_TMYx.2007-2021.zip</v>
      </c>
    </row>
    <row r="2499" spans="1:10" x14ac:dyDescent="0.25">
      <c r="A2499" t="s">
        <v>1301</v>
      </c>
      <c r="B2499" t="s">
        <v>1448</v>
      </c>
      <c r="C2499" t="s">
        <v>1640</v>
      </c>
      <c r="D2499">
        <v>107880</v>
      </c>
      <c r="E2499" t="s">
        <v>14</v>
      </c>
      <c r="F2499">
        <v>48.827500000000001</v>
      </c>
      <c r="G2499">
        <v>12.559699999999999</v>
      </c>
      <c r="H2499">
        <v>1</v>
      </c>
      <c r="I2499">
        <v>359.4</v>
      </c>
      <c r="J2499" t="str">
        <f>HYPERLINK("https://climate.onebuilding.org/WMO_Region_6_Europe/DEU_Germany/BY_Bayern/DEU_BY_Feldkirchen-Mitterhausen.AF.107880_TMYx.zip")</f>
        <v>https://climate.onebuilding.org/WMO_Region_6_Europe/DEU_Germany/BY_Bayern/DEU_BY_Feldkirchen-Mitterhausen.AF.107880_TMYx.zip</v>
      </c>
    </row>
    <row r="2500" spans="1:10" x14ac:dyDescent="0.25">
      <c r="A2500" t="s">
        <v>1301</v>
      </c>
      <c r="B2500" t="s">
        <v>1448</v>
      </c>
      <c r="C2500" t="s">
        <v>1642</v>
      </c>
      <c r="D2500">
        <v>107910</v>
      </c>
      <c r="E2500" t="s">
        <v>14</v>
      </c>
      <c r="F2500">
        <v>49.113</v>
      </c>
      <c r="G2500">
        <v>13.1342</v>
      </c>
      <c r="H2500">
        <v>1</v>
      </c>
      <c r="I2500">
        <v>1445.8</v>
      </c>
      <c r="J2500" t="str">
        <f>HYPERLINK("https://climate.onebuilding.org/WMO_Region_6_Europe/DEU_Germany/BY_Bayern/DEU_BY_Grosser.Arber.107910_TMYx.zip")</f>
        <v>https://climate.onebuilding.org/WMO_Region_6_Europe/DEU_Germany/BY_Bayern/DEU_BY_Grosser.Arber.107910_TMYx.zip</v>
      </c>
    </row>
    <row r="2501" spans="1:10" x14ac:dyDescent="0.25">
      <c r="A2501" t="s">
        <v>1301</v>
      </c>
      <c r="B2501" t="s">
        <v>1448</v>
      </c>
      <c r="C2501" t="s">
        <v>1643</v>
      </c>
      <c r="D2501">
        <v>107960</v>
      </c>
      <c r="E2501" t="s">
        <v>14</v>
      </c>
      <c r="F2501">
        <v>49.028100000000002</v>
      </c>
      <c r="G2501">
        <v>13.2386</v>
      </c>
      <c r="H2501">
        <v>1</v>
      </c>
      <c r="I2501">
        <v>616</v>
      </c>
      <c r="J2501" t="str">
        <f>HYPERLINK("https://climate.onebuilding.org/WMO_Region_6_Europe/DEU_Germany/BY_Bayern/DEU_BY_Zwiesel.107960_TMYx.zip")</f>
        <v>https://climate.onebuilding.org/WMO_Region_6_Europe/DEU_Germany/BY_Bayern/DEU_BY_Zwiesel.107960_TMYx.zip</v>
      </c>
    </row>
    <row r="2502" spans="1:10" x14ac:dyDescent="0.25">
      <c r="A2502" t="s">
        <v>1301</v>
      </c>
      <c r="B2502" t="s">
        <v>1585</v>
      </c>
      <c r="C2502" t="s">
        <v>1644</v>
      </c>
      <c r="D2502">
        <v>108030</v>
      </c>
      <c r="E2502" t="s">
        <v>14</v>
      </c>
      <c r="F2502">
        <v>48.023299999999999</v>
      </c>
      <c r="G2502">
        <v>7.8343999999999996</v>
      </c>
      <c r="H2502">
        <v>1</v>
      </c>
      <c r="I2502">
        <v>237.6</v>
      </c>
      <c r="J2502" t="str">
        <f>HYPERLINK("https://climate.onebuilding.org/WMO_Region_6_Europe/DEU_Germany/BW_Baden-Wurttemberg/DEU_BW_Freiburg.AP.108030_TMYx.zip")</f>
        <v>https://climate.onebuilding.org/WMO_Region_6_Europe/DEU_Germany/BW_Baden-Wurttemberg/DEU_BW_Freiburg.AP.108030_TMYx.zip</v>
      </c>
    </row>
    <row r="2503" spans="1:10" x14ac:dyDescent="0.25">
      <c r="A2503" t="s">
        <v>1301</v>
      </c>
      <c r="B2503" t="s">
        <v>1585</v>
      </c>
      <c r="C2503" t="s">
        <v>1645</v>
      </c>
      <c r="D2503">
        <v>108050</v>
      </c>
      <c r="E2503" t="s">
        <v>1646</v>
      </c>
      <c r="F2503">
        <v>48.364699999999999</v>
      </c>
      <c r="G2503">
        <v>7.8281000000000001</v>
      </c>
      <c r="H2503">
        <v>1</v>
      </c>
      <c r="I2503">
        <v>156.9</v>
      </c>
      <c r="J2503" t="str">
        <f>HYPERLINK("https://climate.onebuilding.org/WMO_Region_6_Europe/DEU_Germany/BW_Baden-Wurttemberg/DEU_BW_Lahr-Schwarzwald.AP.108050_TMYx.2004-2018.zip")</f>
        <v>https://climate.onebuilding.org/WMO_Region_6_Europe/DEU_Germany/BW_Baden-Wurttemberg/DEU_BW_Lahr-Schwarzwald.AP.108050_TMYx.2004-2018.zip</v>
      </c>
    </row>
    <row r="2504" spans="1:10" x14ac:dyDescent="0.25">
      <c r="A2504" t="s">
        <v>1301</v>
      </c>
      <c r="B2504" t="s">
        <v>1585</v>
      </c>
      <c r="C2504" t="s">
        <v>1645</v>
      </c>
      <c r="D2504">
        <v>108050</v>
      </c>
      <c r="E2504" t="s">
        <v>14</v>
      </c>
      <c r="F2504">
        <v>48.364699999999999</v>
      </c>
      <c r="G2504">
        <v>7.8281000000000001</v>
      </c>
      <c r="H2504">
        <v>1</v>
      </c>
      <c r="I2504">
        <v>156.9</v>
      </c>
      <c r="J2504" t="str">
        <f>HYPERLINK("https://climate.onebuilding.org/WMO_Region_6_Europe/DEU_Germany/BW_Baden-Wurttemberg/DEU_BW_Lahr-Schwarzwald.AP.108050_TMYx.2007-2021.zip")</f>
        <v>https://climate.onebuilding.org/WMO_Region_6_Europe/DEU_Germany/BW_Baden-Wurttemberg/DEU_BW_Lahr-Schwarzwald.AP.108050_TMYx.2007-2021.zip</v>
      </c>
    </row>
    <row r="2505" spans="1:10" x14ac:dyDescent="0.25">
      <c r="A2505" t="s">
        <v>1301</v>
      </c>
      <c r="B2505" t="s">
        <v>1585</v>
      </c>
      <c r="C2505" t="s">
        <v>1645</v>
      </c>
      <c r="D2505">
        <v>108050</v>
      </c>
      <c r="E2505" t="s">
        <v>14</v>
      </c>
      <c r="F2505">
        <v>48.364699999999999</v>
      </c>
      <c r="G2505">
        <v>7.8281000000000001</v>
      </c>
      <c r="H2505">
        <v>1</v>
      </c>
      <c r="I2505">
        <v>156.9</v>
      </c>
      <c r="J2505" t="str">
        <f>HYPERLINK("https://climate.onebuilding.org/WMO_Region_6_Europe/DEU_Germany/BW_Baden-Wurttemberg/DEU_BW_Lahr-Schwarzwald.AP.108050_TMYx.2009-2023.zip")</f>
        <v>https://climate.onebuilding.org/WMO_Region_6_Europe/DEU_Germany/BW_Baden-Wurttemberg/DEU_BW_Lahr-Schwarzwald.AP.108050_TMYx.2009-2023.zip</v>
      </c>
    </row>
    <row r="2506" spans="1:10" x14ac:dyDescent="0.25">
      <c r="A2506" t="s">
        <v>1301</v>
      </c>
      <c r="B2506" t="s">
        <v>1585</v>
      </c>
      <c r="C2506" t="s">
        <v>1645</v>
      </c>
      <c r="D2506">
        <v>108050</v>
      </c>
      <c r="E2506" t="s">
        <v>14</v>
      </c>
      <c r="F2506">
        <v>48.364699999999999</v>
      </c>
      <c r="G2506">
        <v>7.8281000000000001</v>
      </c>
      <c r="H2506">
        <v>1</v>
      </c>
      <c r="I2506">
        <v>156.9</v>
      </c>
      <c r="J2506" t="str">
        <f>HYPERLINK("https://climate.onebuilding.org/WMO_Region_6_Europe/DEU_Germany/BW_Baden-Wurttemberg/DEU_BW_Lahr-Schwarzwald.AP.108050_TMYx.zip")</f>
        <v>https://climate.onebuilding.org/WMO_Region_6_Europe/DEU_Germany/BW_Baden-Wurttemberg/DEU_BW_Lahr-Schwarzwald.AP.108050_TMYx.zip</v>
      </c>
    </row>
    <row r="2507" spans="1:10" x14ac:dyDescent="0.25">
      <c r="A2507" t="s">
        <v>1301</v>
      </c>
      <c r="B2507" t="s">
        <v>1585</v>
      </c>
      <c r="C2507" t="s">
        <v>1647</v>
      </c>
      <c r="D2507">
        <v>108150</v>
      </c>
      <c r="E2507" t="s">
        <v>14</v>
      </c>
      <c r="F2507">
        <v>48.453600000000002</v>
      </c>
      <c r="G2507">
        <v>8.4092000000000002</v>
      </c>
      <c r="H2507">
        <v>1</v>
      </c>
      <c r="I2507">
        <v>800.7</v>
      </c>
      <c r="J2507" t="str">
        <f>HYPERLINK("https://climate.onebuilding.org/WMO_Region_6_Europe/DEU_Germany/BW_Baden-Wurttemberg/DEU_BW_Freudenstadt.108150_TMYx.zip")</f>
        <v>https://climate.onebuilding.org/WMO_Region_6_Europe/DEU_Germany/BW_Baden-Wurttemberg/DEU_BW_Freudenstadt.108150_TMYx.zip</v>
      </c>
    </row>
    <row r="2508" spans="1:10" x14ac:dyDescent="0.25">
      <c r="A2508" t="s">
        <v>1301</v>
      </c>
      <c r="B2508" t="s">
        <v>1585</v>
      </c>
      <c r="C2508" t="s">
        <v>1648</v>
      </c>
      <c r="D2508">
        <v>108180</v>
      </c>
      <c r="E2508" t="s">
        <v>14</v>
      </c>
      <c r="F2508">
        <v>48.1053</v>
      </c>
      <c r="G2508">
        <v>8.7550000000000008</v>
      </c>
      <c r="H2508">
        <v>1</v>
      </c>
      <c r="I2508">
        <v>974.6</v>
      </c>
      <c r="J2508" t="str">
        <f>HYPERLINK("https://climate.onebuilding.org/WMO_Region_6_Europe/DEU_Germany/BW_Baden-Wurttemberg/DEU_BW_Klippeneck.AF.108180_TMYx.zip")</f>
        <v>https://climate.onebuilding.org/WMO_Region_6_Europe/DEU_Germany/BW_Baden-Wurttemberg/DEU_BW_Klippeneck.AF.108180_TMYx.zip</v>
      </c>
    </row>
    <row r="2509" spans="1:10" x14ac:dyDescent="0.25">
      <c r="A2509" t="s">
        <v>1301</v>
      </c>
      <c r="B2509" t="s">
        <v>1585</v>
      </c>
      <c r="C2509" t="s">
        <v>1649</v>
      </c>
      <c r="D2509">
        <v>108270</v>
      </c>
      <c r="E2509" t="s">
        <v>1650</v>
      </c>
      <c r="F2509">
        <v>48.169400000000003</v>
      </c>
      <c r="G2509">
        <v>8.9433000000000007</v>
      </c>
      <c r="H2509">
        <v>1</v>
      </c>
      <c r="I2509">
        <v>920</v>
      </c>
      <c r="J2509" t="str">
        <f>HYPERLINK("https://climate.onebuilding.org/WMO_Region_6_Europe/DEU_Germany/BW_Baden-Wurttemberg/DEU_BW_Messstetten.108270_TMYx.2004-2018.zip")</f>
        <v>https://climate.onebuilding.org/WMO_Region_6_Europe/DEU_Germany/BW_Baden-Wurttemberg/DEU_BW_Messstetten.108270_TMYx.2004-2018.zip</v>
      </c>
    </row>
    <row r="2510" spans="1:10" x14ac:dyDescent="0.25">
      <c r="A2510" t="s">
        <v>1301</v>
      </c>
      <c r="B2510" t="s">
        <v>1585</v>
      </c>
      <c r="C2510" t="s">
        <v>1649</v>
      </c>
      <c r="D2510">
        <v>108270</v>
      </c>
      <c r="E2510" t="s">
        <v>14</v>
      </c>
      <c r="F2510">
        <v>48.169400000000003</v>
      </c>
      <c r="G2510">
        <v>8.9433000000000007</v>
      </c>
      <c r="H2510">
        <v>1</v>
      </c>
      <c r="I2510">
        <v>920</v>
      </c>
      <c r="J2510" t="str">
        <f>HYPERLINK("https://climate.onebuilding.org/WMO_Region_6_Europe/DEU_Germany/BW_Baden-Wurttemberg/DEU_BW_Messstetten.108270_TMYx.2007-2021.zip")</f>
        <v>https://climate.onebuilding.org/WMO_Region_6_Europe/DEU_Germany/BW_Baden-Wurttemberg/DEU_BW_Messstetten.108270_TMYx.2007-2021.zip</v>
      </c>
    </row>
    <row r="2511" spans="1:10" x14ac:dyDescent="0.25">
      <c r="A2511" t="s">
        <v>1301</v>
      </c>
      <c r="B2511" t="s">
        <v>1585</v>
      </c>
      <c r="C2511" t="s">
        <v>1649</v>
      </c>
      <c r="D2511">
        <v>108270</v>
      </c>
      <c r="E2511" t="s">
        <v>14</v>
      </c>
      <c r="F2511">
        <v>48.169400000000003</v>
      </c>
      <c r="G2511">
        <v>8.9433000000000007</v>
      </c>
      <c r="H2511">
        <v>1</v>
      </c>
      <c r="I2511">
        <v>920</v>
      </c>
      <c r="J2511" t="str">
        <f>HYPERLINK("https://climate.onebuilding.org/WMO_Region_6_Europe/DEU_Germany/BW_Baden-Wurttemberg/DEU_BW_Messstetten.108270_TMYx.2009-2023.zip")</f>
        <v>https://climate.onebuilding.org/WMO_Region_6_Europe/DEU_Germany/BW_Baden-Wurttemberg/DEU_BW_Messstetten.108270_TMYx.2009-2023.zip</v>
      </c>
    </row>
    <row r="2512" spans="1:10" x14ac:dyDescent="0.25">
      <c r="A2512" t="s">
        <v>1301</v>
      </c>
      <c r="B2512" t="s">
        <v>1585</v>
      </c>
      <c r="C2512" t="s">
        <v>1649</v>
      </c>
      <c r="D2512">
        <v>108270</v>
      </c>
      <c r="E2512" t="s">
        <v>14</v>
      </c>
      <c r="F2512">
        <v>48.169400000000003</v>
      </c>
      <c r="G2512">
        <v>8.9433000000000007</v>
      </c>
      <c r="H2512">
        <v>1</v>
      </c>
      <c r="I2512">
        <v>920</v>
      </c>
      <c r="J2512" t="str">
        <f>HYPERLINK("https://climate.onebuilding.org/WMO_Region_6_Europe/DEU_Germany/BW_Baden-Wurttemberg/DEU_BW_Messstetten.108270_TMYx.zip")</f>
        <v>https://climate.onebuilding.org/WMO_Region_6_Europe/DEU_Germany/BW_Baden-Wurttemberg/DEU_BW_Messstetten.108270_TMYx.zip</v>
      </c>
    </row>
    <row r="2513" spans="1:10" x14ac:dyDescent="0.25">
      <c r="A2513" t="s">
        <v>1301</v>
      </c>
      <c r="B2513" t="s">
        <v>1585</v>
      </c>
      <c r="C2513" t="s">
        <v>1651</v>
      </c>
      <c r="D2513">
        <v>108280</v>
      </c>
      <c r="E2513" t="s">
        <v>14</v>
      </c>
      <c r="F2513">
        <v>48.1</v>
      </c>
      <c r="G2513">
        <v>9.25</v>
      </c>
      <c r="H2513">
        <v>1</v>
      </c>
      <c r="I2513">
        <v>646</v>
      </c>
      <c r="J2513" t="str">
        <f>HYPERLINK("https://climate.onebuilding.org/WMO_Region_6_Europe/DEU_Germany/BW_Baden-Wurttemberg/DEU_BW_Sigmaringen.108280_TMYx.zip")</f>
        <v>https://climate.onebuilding.org/WMO_Region_6_Europe/DEU_Germany/BW_Baden-Wurttemberg/DEU_BW_Sigmaringen.108280_TMYx.zip</v>
      </c>
    </row>
    <row r="2514" spans="1:10" x14ac:dyDescent="0.25">
      <c r="A2514" t="s">
        <v>1301</v>
      </c>
      <c r="B2514" t="s">
        <v>1585</v>
      </c>
      <c r="C2514" t="s">
        <v>1652</v>
      </c>
      <c r="D2514">
        <v>108354</v>
      </c>
      <c r="E2514" t="s">
        <v>14</v>
      </c>
      <c r="F2514">
        <v>48.716999999999999</v>
      </c>
      <c r="G2514">
        <v>9.6999999999999993</v>
      </c>
      <c r="H2514">
        <v>1</v>
      </c>
      <c r="I2514">
        <v>382</v>
      </c>
      <c r="J2514" t="str">
        <f>HYPERLINK("https://climate.onebuilding.org/WMO_Region_6_Europe/DEU_Germany/BW_Baden-Wurttemberg/DEU_BW_Goppingen.108354_TMYx.zip")</f>
        <v>https://climate.onebuilding.org/WMO_Region_6_Europe/DEU_Germany/BW_Baden-Wurttemberg/DEU_BW_Goppingen.108354_TMYx.zip</v>
      </c>
    </row>
    <row r="2515" spans="1:10" x14ac:dyDescent="0.25">
      <c r="A2515" t="s">
        <v>1301</v>
      </c>
      <c r="B2515" t="s">
        <v>1585</v>
      </c>
      <c r="C2515" t="s">
        <v>1653</v>
      </c>
      <c r="D2515">
        <v>108360</v>
      </c>
      <c r="E2515" t="s">
        <v>14</v>
      </c>
      <c r="F2515">
        <v>48.665799999999997</v>
      </c>
      <c r="G2515">
        <v>9.8646999999999991</v>
      </c>
      <c r="H2515">
        <v>1</v>
      </c>
      <c r="I2515">
        <v>738.4</v>
      </c>
      <c r="J2515" t="str">
        <f>HYPERLINK("https://climate.onebuilding.org/WMO_Region_6_Europe/DEU_Germany/BW_Baden-Wurttemberg/DEU_BW_Schnittlingen.108360_TMYx.zip")</f>
        <v>https://climate.onebuilding.org/WMO_Region_6_Europe/DEU_Germany/BW_Baden-Wurttemberg/DEU_BW_Schnittlingen.108360_TMYx.zip</v>
      </c>
    </row>
    <row r="2516" spans="1:10" x14ac:dyDescent="0.25">
      <c r="A2516" t="s">
        <v>1301</v>
      </c>
      <c r="B2516" t="s">
        <v>1585</v>
      </c>
      <c r="C2516" t="s">
        <v>1654</v>
      </c>
      <c r="D2516">
        <v>108370</v>
      </c>
      <c r="E2516" t="s">
        <v>1655</v>
      </c>
      <c r="F2516">
        <v>48.217500000000001</v>
      </c>
      <c r="G2516">
        <v>9.9097000000000008</v>
      </c>
      <c r="H2516">
        <v>1</v>
      </c>
      <c r="I2516">
        <v>549.79999999999995</v>
      </c>
      <c r="J2516" t="str">
        <f>HYPERLINK("https://climate.onebuilding.org/WMO_Region_6_Europe/DEU_Germany/BW_Baden-Wurttemberg/DEU_BW_Laupheim.AB.108370_TMYx.2004-2018.zip")</f>
        <v>https://climate.onebuilding.org/WMO_Region_6_Europe/DEU_Germany/BW_Baden-Wurttemberg/DEU_BW_Laupheim.AB.108370_TMYx.2004-2018.zip</v>
      </c>
    </row>
    <row r="2517" spans="1:10" x14ac:dyDescent="0.25">
      <c r="A2517" t="s">
        <v>1301</v>
      </c>
      <c r="B2517" t="s">
        <v>1585</v>
      </c>
      <c r="C2517" t="s">
        <v>1654</v>
      </c>
      <c r="D2517">
        <v>108370</v>
      </c>
      <c r="E2517" t="s">
        <v>14</v>
      </c>
      <c r="F2517">
        <v>48.217500000000001</v>
      </c>
      <c r="G2517">
        <v>9.9097000000000008</v>
      </c>
      <c r="H2517">
        <v>1</v>
      </c>
      <c r="I2517">
        <v>549.79999999999995</v>
      </c>
      <c r="J2517" t="str">
        <f>HYPERLINK("https://climate.onebuilding.org/WMO_Region_6_Europe/DEU_Germany/BW_Baden-Wurttemberg/DEU_BW_Laupheim.AB.108370_TMYx.2007-2021.zip")</f>
        <v>https://climate.onebuilding.org/WMO_Region_6_Europe/DEU_Germany/BW_Baden-Wurttemberg/DEU_BW_Laupheim.AB.108370_TMYx.2007-2021.zip</v>
      </c>
    </row>
    <row r="2518" spans="1:10" x14ac:dyDescent="0.25">
      <c r="A2518" t="s">
        <v>1301</v>
      </c>
      <c r="B2518" t="s">
        <v>1585</v>
      </c>
      <c r="C2518" t="s">
        <v>1654</v>
      </c>
      <c r="D2518">
        <v>108370</v>
      </c>
      <c r="E2518" t="s">
        <v>14</v>
      </c>
      <c r="F2518">
        <v>48.217500000000001</v>
      </c>
      <c r="G2518">
        <v>9.9097000000000008</v>
      </c>
      <c r="H2518">
        <v>1</v>
      </c>
      <c r="I2518">
        <v>549.79999999999995</v>
      </c>
      <c r="J2518" t="str">
        <f>HYPERLINK("https://climate.onebuilding.org/WMO_Region_6_Europe/DEU_Germany/BW_Baden-Wurttemberg/DEU_BW_Laupheim.AB.108370_TMYx.2009-2023.zip")</f>
        <v>https://climate.onebuilding.org/WMO_Region_6_Europe/DEU_Germany/BW_Baden-Wurttemberg/DEU_BW_Laupheim.AB.108370_TMYx.2009-2023.zip</v>
      </c>
    </row>
    <row r="2519" spans="1:10" x14ac:dyDescent="0.25">
      <c r="A2519" t="s">
        <v>1301</v>
      </c>
      <c r="B2519" t="s">
        <v>1585</v>
      </c>
      <c r="C2519" t="s">
        <v>1654</v>
      </c>
      <c r="D2519">
        <v>108370</v>
      </c>
      <c r="E2519" t="s">
        <v>14</v>
      </c>
      <c r="F2519">
        <v>48.217500000000001</v>
      </c>
      <c r="G2519">
        <v>9.9097000000000008</v>
      </c>
      <c r="H2519">
        <v>1</v>
      </c>
      <c r="I2519">
        <v>549.79999999999995</v>
      </c>
      <c r="J2519" t="str">
        <f>HYPERLINK("https://climate.onebuilding.org/WMO_Region_6_Europe/DEU_Germany/BW_Baden-Wurttemberg/DEU_BW_Laupheim.AB.108370_TMYx.zip")</f>
        <v>https://climate.onebuilding.org/WMO_Region_6_Europe/DEU_Germany/BW_Baden-Wurttemberg/DEU_BW_Laupheim.AB.108370_TMYx.zip</v>
      </c>
    </row>
    <row r="2520" spans="1:10" x14ac:dyDescent="0.25">
      <c r="A2520" t="s">
        <v>1301</v>
      </c>
      <c r="B2520" t="s">
        <v>1585</v>
      </c>
      <c r="C2520" t="s">
        <v>1656</v>
      </c>
      <c r="D2520">
        <v>108380</v>
      </c>
      <c r="E2520" t="s">
        <v>14</v>
      </c>
      <c r="F2520">
        <v>48.383000000000003</v>
      </c>
      <c r="G2520">
        <v>9.9499999999999993</v>
      </c>
      <c r="H2520">
        <v>1</v>
      </c>
      <c r="I2520">
        <v>578</v>
      </c>
      <c r="J2520" t="str">
        <f>HYPERLINK("https://climate.onebuilding.org/WMO_Region_6_Europe/DEU_Germany/BW_Baden-Wurttemberg/DEU_BW_Ulm.108380_TMYx.zip")</f>
        <v>https://climate.onebuilding.org/WMO_Region_6_Europe/DEU_Germany/BW_Baden-Wurttemberg/DEU_BW_Ulm.108380_TMYx.zip</v>
      </c>
    </row>
    <row r="2521" spans="1:10" x14ac:dyDescent="0.25">
      <c r="A2521" t="s">
        <v>1301</v>
      </c>
      <c r="B2521" t="s">
        <v>1448</v>
      </c>
      <c r="C2521" t="s">
        <v>1657</v>
      </c>
      <c r="D2521">
        <v>108450</v>
      </c>
      <c r="E2521" t="s">
        <v>14</v>
      </c>
      <c r="F2521">
        <v>48.433</v>
      </c>
      <c r="G2521">
        <v>10.233000000000001</v>
      </c>
      <c r="H2521">
        <v>1</v>
      </c>
      <c r="I2521">
        <v>489</v>
      </c>
      <c r="J2521" t="str">
        <f>HYPERLINK("https://climate.onebuilding.org/WMO_Region_6_Europe/DEU_Germany/BY_Bayern/DEU_BY_Leipheim.AP.108450_TMYx.zip")</f>
        <v>https://climate.onebuilding.org/WMO_Region_6_Europe/DEU_Germany/BY_Bayern/DEU_BY_Leipheim.AP.108450_TMYx.zip</v>
      </c>
    </row>
    <row r="2522" spans="1:10" x14ac:dyDescent="0.25">
      <c r="A2522" t="s">
        <v>1301</v>
      </c>
      <c r="B2522" t="s">
        <v>1448</v>
      </c>
      <c r="C2522" t="s">
        <v>1658</v>
      </c>
      <c r="D2522">
        <v>108500</v>
      </c>
      <c r="E2522" t="s">
        <v>14</v>
      </c>
      <c r="F2522">
        <v>48.791699999999999</v>
      </c>
      <c r="G2522">
        <v>10.706099999999999</v>
      </c>
      <c r="H2522">
        <v>1</v>
      </c>
      <c r="I2522">
        <v>502.9</v>
      </c>
      <c r="J2522" t="str">
        <f>HYPERLINK("https://climate.onebuilding.org/WMO_Region_6_Europe/DEU_Germany/BY_Bayern/DEU_BY_Harburg.108500_TMYx.zip")</f>
        <v>https://climate.onebuilding.org/WMO_Region_6_Europe/DEU_Germany/BY_Bayern/DEU_BY_Harburg.108500_TMYx.zip</v>
      </c>
    </row>
    <row r="2523" spans="1:10" x14ac:dyDescent="0.25">
      <c r="A2523" t="s">
        <v>1301</v>
      </c>
      <c r="B2523" t="s">
        <v>1448</v>
      </c>
      <c r="C2523" t="s">
        <v>1659</v>
      </c>
      <c r="D2523">
        <v>108520</v>
      </c>
      <c r="E2523" t="s">
        <v>1660</v>
      </c>
      <c r="F2523">
        <v>48.4253</v>
      </c>
      <c r="G2523">
        <v>10.9419</v>
      </c>
      <c r="H2523">
        <v>1</v>
      </c>
      <c r="I2523">
        <v>476.7</v>
      </c>
      <c r="J2523" t="str">
        <f>HYPERLINK("https://climate.onebuilding.org/WMO_Region_6_Europe/DEU_Germany/BY_Bayern/DEU_BY_Augsburg.AP.108520_TMYx.2004-2018.zip")</f>
        <v>https://climate.onebuilding.org/WMO_Region_6_Europe/DEU_Germany/BY_Bayern/DEU_BY_Augsburg.AP.108520_TMYx.2004-2018.zip</v>
      </c>
    </row>
    <row r="2524" spans="1:10" x14ac:dyDescent="0.25">
      <c r="A2524" t="s">
        <v>1301</v>
      </c>
      <c r="B2524" t="s">
        <v>1448</v>
      </c>
      <c r="C2524" t="s">
        <v>1659</v>
      </c>
      <c r="D2524">
        <v>108520</v>
      </c>
      <c r="E2524" t="s">
        <v>14</v>
      </c>
      <c r="F2524">
        <v>48.4253</v>
      </c>
      <c r="G2524">
        <v>10.9419</v>
      </c>
      <c r="H2524">
        <v>1</v>
      </c>
      <c r="I2524">
        <v>476.7</v>
      </c>
      <c r="J2524" t="str">
        <f>HYPERLINK("https://climate.onebuilding.org/WMO_Region_6_Europe/DEU_Germany/BY_Bayern/DEU_BY_Augsburg.AP.108520_TMYx.2007-2021.zip")</f>
        <v>https://climate.onebuilding.org/WMO_Region_6_Europe/DEU_Germany/BY_Bayern/DEU_BY_Augsburg.AP.108520_TMYx.2007-2021.zip</v>
      </c>
    </row>
    <row r="2525" spans="1:10" x14ac:dyDescent="0.25">
      <c r="A2525" t="s">
        <v>1301</v>
      </c>
      <c r="B2525" t="s">
        <v>1448</v>
      </c>
      <c r="C2525" t="s">
        <v>1659</v>
      </c>
      <c r="D2525">
        <v>108520</v>
      </c>
      <c r="E2525" t="s">
        <v>14</v>
      </c>
      <c r="F2525">
        <v>48.4253</v>
      </c>
      <c r="G2525">
        <v>10.9419</v>
      </c>
      <c r="H2525">
        <v>1</v>
      </c>
      <c r="I2525">
        <v>476.7</v>
      </c>
      <c r="J2525" t="str">
        <f>HYPERLINK("https://climate.onebuilding.org/WMO_Region_6_Europe/DEU_Germany/BY_Bayern/DEU_BY_Augsburg.AP.108520_TMYx.2009-2023.zip")</f>
        <v>https://climate.onebuilding.org/WMO_Region_6_Europe/DEU_Germany/BY_Bayern/DEU_BY_Augsburg.AP.108520_TMYx.2009-2023.zip</v>
      </c>
    </row>
    <row r="2526" spans="1:10" x14ac:dyDescent="0.25">
      <c r="A2526" t="s">
        <v>1301</v>
      </c>
      <c r="B2526" t="s">
        <v>1448</v>
      </c>
      <c r="C2526" t="s">
        <v>1659</v>
      </c>
      <c r="D2526">
        <v>108520</v>
      </c>
      <c r="E2526" t="s">
        <v>14</v>
      </c>
      <c r="F2526">
        <v>48.4253</v>
      </c>
      <c r="G2526">
        <v>10.9419</v>
      </c>
      <c r="H2526">
        <v>1</v>
      </c>
      <c r="I2526">
        <v>476.7</v>
      </c>
      <c r="J2526" t="str">
        <f>HYPERLINK("https://climate.onebuilding.org/WMO_Region_6_Europe/DEU_Germany/BY_Bayern/DEU_BY_Augsburg.AP.108520_TMYx.zip")</f>
        <v>https://climate.onebuilding.org/WMO_Region_6_Europe/DEU_Germany/BY_Bayern/DEU_BY_Augsburg.AP.108520_TMYx.zip</v>
      </c>
    </row>
    <row r="2527" spans="1:10" x14ac:dyDescent="0.25">
      <c r="A2527" t="s">
        <v>1301</v>
      </c>
      <c r="B2527" t="s">
        <v>1448</v>
      </c>
      <c r="C2527" t="s">
        <v>1661</v>
      </c>
      <c r="D2527">
        <v>108530</v>
      </c>
      <c r="E2527" t="s">
        <v>1662</v>
      </c>
      <c r="F2527">
        <v>48.709699999999998</v>
      </c>
      <c r="G2527">
        <v>11.2097</v>
      </c>
      <c r="H2527">
        <v>1</v>
      </c>
      <c r="I2527">
        <v>387.3</v>
      </c>
      <c r="J2527" t="str">
        <f>HYPERLINK("https://climate.onebuilding.org/WMO_Region_6_Europe/DEU_Germany/BY_Bayern/DEU_BY_Neuburg.AB.108530_TMYx.2004-2018.zip")</f>
        <v>https://climate.onebuilding.org/WMO_Region_6_Europe/DEU_Germany/BY_Bayern/DEU_BY_Neuburg.AB.108530_TMYx.2004-2018.zip</v>
      </c>
    </row>
    <row r="2528" spans="1:10" x14ac:dyDescent="0.25">
      <c r="A2528" t="s">
        <v>1301</v>
      </c>
      <c r="B2528" t="s">
        <v>1448</v>
      </c>
      <c r="C2528" t="s">
        <v>1661</v>
      </c>
      <c r="D2528">
        <v>108530</v>
      </c>
      <c r="E2528" t="s">
        <v>14</v>
      </c>
      <c r="F2528">
        <v>48.708599999999997</v>
      </c>
      <c r="G2528">
        <v>11.214700000000001</v>
      </c>
      <c r="H2528">
        <v>1</v>
      </c>
      <c r="I2528">
        <v>387.3</v>
      </c>
      <c r="J2528" t="str">
        <f>HYPERLINK("https://climate.onebuilding.org/WMO_Region_6_Europe/DEU_Germany/BY_Bayern/DEU_BY_Neuburg.AB.108530_TMYx.2007-2021.zip")</f>
        <v>https://climate.onebuilding.org/WMO_Region_6_Europe/DEU_Germany/BY_Bayern/DEU_BY_Neuburg.AB.108530_TMYx.2007-2021.zip</v>
      </c>
    </row>
    <row r="2529" spans="1:10" x14ac:dyDescent="0.25">
      <c r="A2529" t="s">
        <v>1301</v>
      </c>
      <c r="B2529" t="s">
        <v>1448</v>
      </c>
      <c r="C2529" t="s">
        <v>1661</v>
      </c>
      <c r="D2529">
        <v>108530</v>
      </c>
      <c r="E2529" t="s">
        <v>14</v>
      </c>
      <c r="F2529">
        <v>48.708599999999997</v>
      </c>
      <c r="G2529">
        <v>11.214700000000001</v>
      </c>
      <c r="H2529">
        <v>1</v>
      </c>
      <c r="I2529">
        <v>387.3</v>
      </c>
      <c r="J2529" t="str">
        <f>HYPERLINK("https://climate.onebuilding.org/WMO_Region_6_Europe/DEU_Germany/BY_Bayern/DEU_BY_Neuburg.AB.108530_TMYx.2009-2023.zip")</f>
        <v>https://climate.onebuilding.org/WMO_Region_6_Europe/DEU_Germany/BY_Bayern/DEU_BY_Neuburg.AB.108530_TMYx.2009-2023.zip</v>
      </c>
    </row>
    <row r="2530" spans="1:10" x14ac:dyDescent="0.25">
      <c r="A2530" t="s">
        <v>1301</v>
      </c>
      <c r="B2530" t="s">
        <v>1448</v>
      </c>
      <c r="C2530" t="s">
        <v>1661</v>
      </c>
      <c r="D2530">
        <v>108530</v>
      </c>
      <c r="E2530" t="s">
        <v>14</v>
      </c>
      <c r="F2530">
        <v>48.708599999999997</v>
      </c>
      <c r="G2530">
        <v>11.214700000000001</v>
      </c>
      <c r="H2530">
        <v>1</v>
      </c>
      <c r="I2530">
        <v>387.3</v>
      </c>
      <c r="J2530" t="str">
        <f>HYPERLINK("https://climate.onebuilding.org/WMO_Region_6_Europe/DEU_Germany/BY_Bayern/DEU_BY_Neuburg.AB.108530_TMYx.zip")</f>
        <v>https://climate.onebuilding.org/WMO_Region_6_Europe/DEU_Germany/BY_Bayern/DEU_BY_Neuburg.AB.108530_TMYx.zip</v>
      </c>
    </row>
    <row r="2531" spans="1:10" x14ac:dyDescent="0.25">
      <c r="A2531" t="s">
        <v>1301</v>
      </c>
      <c r="B2531" t="s">
        <v>1585</v>
      </c>
      <c r="C2531" t="s">
        <v>1663</v>
      </c>
      <c r="D2531">
        <v>108560</v>
      </c>
      <c r="E2531" t="s">
        <v>1664</v>
      </c>
      <c r="F2531">
        <v>48.185000000000002</v>
      </c>
      <c r="G2531">
        <v>10.8508</v>
      </c>
      <c r="H2531">
        <v>1</v>
      </c>
      <c r="I2531">
        <v>562</v>
      </c>
      <c r="J2531" t="str">
        <f>HYPERLINK("https://climate.onebuilding.org/WMO_Region_6_Europe/DEU_Germany/BW_Baden-Wurttemberg/DEU_BW_Lechfeld.AB.108560_TMYx.2004-2018.zip")</f>
        <v>https://climate.onebuilding.org/WMO_Region_6_Europe/DEU_Germany/BW_Baden-Wurttemberg/DEU_BW_Lechfeld.AB.108560_TMYx.2004-2018.zip</v>
      </c>
    </row>
    <row r="2532" spans="1:10" x14ac:dyDescent="0.25">
      <c r="A2532" t="s">
        <v>1301</v>
      </c>
      <c r="B2532" t="s">
        <v>1585</v>
      </c>
      <c r="C2532" t="s">
        <v>1663</v>
      </c>
      <c r="D2532">
        <v>108560</v>
      </c>
      <c r="E2532" t="s">
        <v>14</v>
      </c>
      <c r="F2532">
        <v>48.185000000000002</v>
      </c>
      <c r="G2532">
        <v>10.8508</v>
      </c>
      <c r="H2532">
        <v>1</v>
      </c>
      <c r="I2532">
        <v>562</v>
      </c>
      <c r="J2532" t="str">
        <f>HYPERLINK("https://climate.onebuilding.org/WMO_Region_6_Europe/DEU_Germany/BW_Baden-Wurttemberg/DEU_BW_Lechfeld.AB.108560_TMYx.2007-2021.zip")</f>
        <v>https://climate.onebuilding.org/WMO_Region_6_Europe/DEU_Germany/BW_Baden-Wurttemberg/DEU_BW_Lechfeld.AB.108560_TMYx.2007-2021.zip</v>
      </c>
    </row>
    <row r="2533" spans="1:10" x14ac:dyDescent="0.25">
      <c r="A2533" t="s">
        <v>1301</v>
      </c>
      <c r="B2533" t="s">
        <v>1585</v>
      </c>
      <c r="C2533" t="s">
        <v>1663</v>
      </c>
      <c r="D2533">
        <v>108560</v>
      </c>
      <c r="E2533" t="s">
        <v>14</v>
      </c>
      <c r="F2533">
        <v>48.185000000000002</v>
      </c>
      <c r="G2533">
        <v>10.8508</v>
      </c>
      <c r="H2533">
        <v>1</v>
      </c>
      <c r="I2533">
        <v>562</v>
      </c>
      <c r="J2533" t="str">
        <f>HYPERLINK("https://climate.onebuilding.org/WMO_Region_6_Europe/DEU_Germany/BW_Baden-Wurttemberg/DEU_BW_Lechfeld.AB.108560_TMYx.2009-2023.zip")</f>
        <v>https://climate.onebuilding.org/WMO_Region_6_Europe/DEU_Germany/BW_Baden-Wurttemberg/DEU_BW_Lechfeld.AB.108560_TMYx.2009-2023.zip</v>
      </c>
    </row>
    <row r="2534" spans="1:10" x14ac:dyDescent="0.25">
      <c r="A2534" t="s">
        <v>1301</v>
      </c>
      <c r="B2534" t="s">
        <v>1585</v>
      </c>
      <c r="C2534" t="s">
        <v>1663</v>
      </c>
      <c r="D2534">
        <v>108560</v>
      </c>
      <c r="E2534" t="s">
        <v>14</v>
      </c>
      <c r="F2534">
        <v>48.185000000000002</v>
      </c>
      <c r="G2534">
        <v>10.8508</v>
      </c>
      <c r="H2534">
        <v>1</v>
      </c>
      <c r="I2534">
        <v>562</v>
      </c>
      <c r="J2534" t="str">
        <f>HYPERLINK("https://climate.onebuilding.org/WMO_Region_6_Europe/DEU_Germany/BW_Baden-Wurttemberg/DEU_BW_Lechfeld.AB.108560_TMYx.zip")</f>
        <v>https://climate.onebuilding.org/WMO_Region_6_Europe/DEU_Germany/BW_Baden-Wurttemberg/DEU_BW_Lechfeld.AB.108560_TMYx.zip</v>
      </c>
    </row>
    <row r="2535" spans="1:10" x14ac:dyDescent="0.25">
      <c r="A2535" t="s">
        <v>1301</v>
      </c>
      <c r="B2535" t="s">
        <v>1585</v>
      </c>
      <c r="C2535" t="s">
        <v>1665</v>
      </c>
      <c r="D2535">
        <v>108570</v>
      </c>
      <c r="E2535" t="s">
        <v>1666</v>
      </c>
      <c r="F2535">
        <v>48.077199999999998</v>
      </c>
      <c r="G2535">
        <v>10.914400000000001</v>
      </c>
      <c r="H2535">
        <v>1</v>
      </c>
      <c r="I2535">
        <v>627.70000000000005</v>
      </c>
      <c r="J2535" t="str">
        <f>HYPERLINK("https://climate.onebuilding.org/WMO_Region_6_Europe/DEU_Germany/BW_Baden-Wurttemberg/DEU_BW_Penzing.AB.108570_TMYx.2004-2018.zip")</f>
        <v>https://climate.onebuilding.org/WMO_Region_6_Europe/DEU_Germany/BW_Baden-Wurttemberg/DEU_BW_Penzing.AB.108570_TMYx.2004-2018.zip</v>
      </c>
    </row>
    <row r="2536" spans="1:10" x14ac:dyDescent="0.25">
      <c r="A2536" t="s">
        <v>1301</v>
      </c>
      <c r="B2536" t="s">
        <v>1585</v>
      </c>
      <c r="C2536" t="s">
        <v>1665</v>
      </c>
      <c r="D2536">
        <v>108570</v>
      </c>
      <c r="E2536" t="s">
        <v>14</v>
      </c>
      <c r="F2536">
        <v>48.070999999999998</v>
      </c>
      <c r="G2536">
        <v>10.906000000000001</v>
      </c>
      <c r="H2536">
        <v>1</v>
      </c>
      <c r="I2536">
        <v>627.70000000000005</v>
      </c>
      <c r="J2536" t="str">
        <f>HYPERLINK("https://climate.onebuilding.org/WMO_Region_6_Europe/DEU_Germany/BW_Baden-Wurttemberg/DEU_BW_Penzing.AB.108570_TMYx.2007-2021.zip")</f>
        <v>https://climate.onebuilding.org/WMO_Region_6_Europe/DEU_Germany/BW_Baden-Wurttemberg/DEU_BW_Penzing.AB.108570_TMYx.2007-2021.zip</v>
      </c>
    </row>
    <row r="2537" spans="1:10" x14ac:dyDescent="0.25">
      <c r="A2537" t="s">
        <v>1301</v>
      </c>
      <c r="B2537" t="s">
        <v>1585</v>
      </c>
      <c r="C2537" t="s">
        <v>1665</v>
      </c>
      <c r="D2537">
        <v>108570</v>
      </c>
      <c r="E2537" t="s">
        <v>14</v>
      </c>
      <c r="F2537">
        <v>48.070999999999998</v>
      </c>
      <c r="G2537">
        <v>10.906000000000001</v>
      </c>
      <c r="H2537">
        <v>1</v>
      </c>
      <c r="I2537">
        <v>627.70000000000005</v>
      </c>
      <c r="J2537" t="str">
        <f>HYPERLINK("https://climate.onebuilding.org/WMO_Region_6_Europe/DEU_Germany/BW_Baden-Wurttemberg/DEU_BW_Penzing.AB.108570_TMYx.2009-2023.zip")</f>
        <v>https://climate.onebuilding.org/WMO_Region_6_Europe/DEU_Germany/BW_Baden-Wurttemberg/DEU_BW_Penzing.AB.108570_TMYx.2009-2023.zip</v>
      </c>
    </row>
    <row r="2538" spans="1:10" x14ac:dyDescent="0.25">
      <c r="A2538" t="s">
        <v>1301</v>
      </c>
      <c r="B2538" t="s">
        <v>1585</v>
      </c>
      <c r="C2538" t="s">
        <v>1665</v>
      </c>
      <c r="D2538">
        <v>108570</v>
      </c>
      <c r="E2538" t="s">
        <v>14</v>
      </c>
      <c r="F2538">
        <v>48.070999999999998</v>
      </c>
      <c r="G2538">
        <v>10.906000000000001</v>
      </c>
      <c r="H2538">
        <v>1</v>
      </c>
      <c r="I2538">
        <v>627.70000000000005</v>
      </c>
      <c r="J2538" t="str">
        <f>HYPERLINK("https://climate.onebuilding.org/WMO_Region_6_Europe/DEU_Germany/BW_Baden-Wurttemberg/DEU_BW_Penzing.AB.108570_TMYx.zip")</f>
        <v>https://climate.onebuilding.org/WMO_Region_6_Europe/DEU_Germany/BW_Baden-Wurttemberg/DEU_BW_Penzing.AB.108570_TMYx.zip</v>
      </c>
    </row>
    <row r="2539" spans="1:10" x14ac:dyDescent="0.25">
      <c r="A2539" t="s">
        <v>1301</v>
      </c>
      <c r="B2539" t="s">
        <v>1448</v>
      </c>
      <c r="C2539" t="s">
        <v>1667</v>
      </c>
      <c r="D2539">
        <v>108580</v>
      </c>
      <c r="E2539" t="s">
        <v>14</v>
      </c>
      <c r="F2539">
        <v>48.206000000000003</v>
      </c>
      <c r="G2539">
        <v>11.266999999999999</v>
      </c>
      <c r="H2539">
        <v>1</v>
      </c>
      <c r="I2539">
        <v>519.1</v>
      </c>
      <c r="J2539" t="str">
        <f>HYPERLINK("https://climate.onebuilding.org/WMO_Region_6_Europe/DEU_Germany/BY_Bayern/DEU_BY_Furstenfeldbruck.AB.108580_TMYx.zip")</f>
        <v>https://climate.onebuilding.org/WMO_Region_6_Europe/DEU_Germany/BY_Bayern/DEU_BY_Furstenfeldbruck.AB.108580_TMYx.zip</v>
      </c>
    </row>
    <row r="2540" spans="1:10" x14ac:dyDescent="0.25">
      <c r="A2540" t="s">
        <v>1301</v>
      </c>
      <c r="B2540" t="s">
        <v>1448</v>
      </c>
      <c r="C2540" t="s">
        <v>1668</v>
      </c>
      <c r="D2540">
        <v>108600</v>
      </c>
      <c r="E2540" t="s">
        <v>1669</v>
      </c>
      <c r="F2540">
        <v>48.711100000000002</v>
      </c>
      <c r="G2540">
        <v>11.536099999999999</v>
      </c>
      <c r="H2540">
        <v>1</v>
      </c>
      <c r="I2540">
        <v>366</v>
      </c>
      <c r="J2540" t="str">
        <f>HYPERLINK("https://climate.onebuilding.org/WMO_Region_6_Europe/DEU_Germany/BY_Bayern/DEU_BY_Ingolstadt.Manching.AF.108600_TMYx.2004-2018.zip")</f>
        <v>https://climate.onebuilding.org/WMO_Region_6_Europe/DEU_Germany/BY_Bayern/DEU_BY_Ingolstadt.Manching.AF.108600_TMYx.2004-2018.zip</v>
      </c>
    </row>
    <row r="2541" spans="1:10" x14ac:dyDescent="0.25">
      <c r="A2541" t="s">
        <v>1301</v>
      </c>
      <c r="B2541" t="s">
        <v>1448</v>
      </c>
      <c r="C2541" t="s">
        <v>1668</v>
      </c>
      <c r="D2541">
        <v>108600</v>
      </c>
      <c r="E2541" t="s">
        <v>14</v>
      </c>
      <c r="F2541">
        <v>48.711100000000002</v>
      </c>
      <c r="G2541">
        <v>11.536099999999999</v>
      </c>
      <c r="H2541">
        <v>1</v>
      </c>
      <c r="I2541">
        <v>366</v>
      </c>
      <c r="J2541" t="str">
        <f>HYPERLINK("https://climate.onebuilding.org/WMO_Region_6_Europe/DEU_Germany/BY_Bayern/DEU_BY_Ingolstadt.Manching.AF.108600_TMYx.2007-2021.zip")</f>
        <v>https://climate.onebuilding.org/WMO_Region_6_Europe/DEU_Germany/BY_Bayern/DEU_BY_Ingolstadt.Manching.AF.108600_TMYx.2007-2021.zip</v>
      </c>
    </row>
    <row r="2542" spans="1:10" x14ac:dyDescent="0.25">
      <c r="A2542" t="s">
        <v>1301</v>
      </c>
      <c r="B2542" t="s">
        <v>1448</v>
      </c>
      <c r="C2542" t="s">
        <v>1668</v>
      </c>
      <c r="D2542">
        <v>108600</v>
      </c>
      <c r="E2542" t="s">
        <v>14</v>
      </c>
      <c r="F2542">
        <v>48.711100000000002</v>
      </c>
      <c r="G2542">
        <v>11.536099999999999</v>
      </c>
      <c r="H2542">
        <v>1</v>
      </c>
      <c r="I2542">
        <v>366</v>
      </c>
      <c r="J2542" t="str">
        <f>HYPERLINK("https://climate.onebuilding.org/WMO_Region_6_Europe/DEU_Germany/BY_Bayern/DEU_BY_Ingolstadt.Manching.AF.108600_TMYx.2009-2023.zip")</f>
        <v>https://climate.onebuilding.org/WMO_Region_6_Europe/DEU_Germany/BY_Bayern/DEU_BY_Ingolstadt.Manching.AF.108600_TMYx.2009-2023.zip</v>
      </c>
    </row>
    <row r="2543" spans="1:10" x14ac:dyDescent="0.25">
      <c r="A2543" t="s">
        <v>1301</v>
      </c>
      <c r="B2543" t="s">
        <v>1448</v>
      </c>
      <c r="C2543" t="s">
        <v>1668</v>
      </c>
      <c r="D2543">
        <v>108600</v>
      </c>
      <c r="E2543" t="s">
        <v>14</v>
      </c>
      <c r="F2543">
        <v>48.711100000000002</v>
      </c>
      <c r="G2543">
        <v>11.536099999999999</v>
      </c>
      <c r="H2543">
        <v>1</v>
      </c>
      <c r="I2543">
        <v>366</v>
      </c>
      <c r="J2543" t="str">
        <f>HYPERLINK("https://climate.onebuilding.org/WMO_Region_6_Europe/DEU_Germany/BY_Bayern/DEU_BY_Ingolstadt.Manching.AF.108600_TMYx.zip")</f>
        <v>https://climate.onebuilding.org/WMO_Region_6_Europe/DEU_Germany/BY_Bayern/DEU_BY_Ingolstadt.Manching.AF.108600_TMYx.zip</v>
      </c>
    </row>
    <row r="2544" spans="1:10" x14ac:dyDescent="0.25">
      <c r="A2544" t="s">
        <v>1301</v>
      </c>
      <c r="B2544" t="s">
        <v>1448</v>
      </c>
      <c r="C2544" t="s">
        <v>1670</v>
      </c>
      <c r="D2544">
        <v>108620</v>
      </c>
      <c r="E2544" t="s">
        <v>14</v>
      </c>
      <c r="F2544">
        <v>48.75</v>
      </c>
      <c r="G2544">
        <v>11.8</v>
      </c>
      <c r="H2544">
        <v>1</v>
      </c>
      <c r="I2544">
        <v>404</v>
      </c>
      <c r="J2544" t="str">
        <f>HYPERLINK("https://climate.onebuilding.org/WMO_Region_6_Europe/DEU_Germany/BY_Bayern/DEU_BY_Siegenburg.108620_TMYx.zip")</f>
        <v>https://climate.onebuilding.org/WMO_Region_6_Europe/DEU_Germany/BY_Bayern/DEU_BY_Siegenburg.108620_TMYx.zip</v>
      </c>
    </row>
    <row r="2545" spans="1:10" x14ac:dyDescent="0.25">
      <c r="A2545" t="s">
        <v>1301</v>
      </c>
      <c r="B2545" t="s">
        <v>1448</v>
      </c>
      <c r="C2545" t="s">
        <v>1671</v>
      </c>
      <c r="D2545">
        <v>108630</v>
      </c>
      <c r="E2545" t="s">
        <v>14</v>
      </c>
      <c r="F2545">
        <v>48.402500000000003</v>
      </c>
      <c r="G2545">
        <v>11.6944</v>
      </c>
      <c r="H2545">
        <v>1</v>
      </c>
      <c r="I2545">
        <v>478.7</v>
      </c>
      <c r="J2545" t="str">
        <f>HYPERLINK("https://climate.onebuilding.org/WMO_Region_6_Europe/DEU_Germany/BY_Bayern/DEU_BY_Weihenstephan.Durna.108630_TMYx.2007-2021.zip")</f>
        <v>https://climate.onebuilding.org/WMO_Region_6_Europe/DEU_Germany/BY_Bayern/DEU_BY_Weihenstephan.Durna.108630_TMYx.2007-2021.zip</v>
      </c>
    </row>
    <row r="2546" spans="1:10" x14ac:dyDescent="0.25">
      <c r="A2546" t="s">
        <v>1301</v>
      </c>
      <c r="B2546" t="s">
        <v>1448</v>
      </c>
      <c r="C2546" t="s">
        <v>1671</v>
      </c>
      <c r="D2546">
        <v>108630</v>
      </c>
      <c r="E2546" t="s">
        <v>14</v>
      </c>
      <c r="F2546">
        <v>48.402500000000003</v>
      </c>
      <c r="G2546">
        <v>11.6944</v>
      </c>
      <c r="H2546">
        <v>1</v>
      </c>
      <c r="I2546">
        <v>478.7</v>
      </c>
      <c r="J2546" t="str">
        <f>HYPERLINK("https://climate.onebuilding.org/WMO_Region_6_Europe/DEU_Germany/BY_Bayern/DEU_BY_Weihenstephan.Durna.108630_TMYx.zip")</f>
        <v>https://climate.onebuilding.org/WMO_Region_6_Europe/DEU_Germany/BY_Bayern/DEU_BY_Weihenstephan.Durna.108630_TMYx.zip</v>
      </c>
    </row>
    <row r="2547" spans="1:10" x14ac:dyDescent="0.25">
      <c r="A2547" t="s">
        <v>1301</v>
      </c>
      <c r="B2547" t="s">
        <v>1448</v>
      </c>
      <c r="C2547" t="s">
        <v>1672</v>
      </c>
      <c r="D2547">
        <v>108640</v>
      </c>
      <c r="E2547" t="s">
        <v>14</v>
      </c>
      <c r="F2547">
        <v>48.067</v>
      </c>
      <c r="G2547">
        <v>11.632999999999999</v>
      </c>
      <c r="H2547">
        <v>1</v>
      </c>
      <c r="I2547">
        <v>560</v>
      </c>
      <c r="J2547" t="str">
        <f>HYPERLINK("https://climate.onebuilding.org/WMO_Region_6_Europe/DEU_Germany/BY_Bayern/DEU_BY_Neubiberg.AB.108640_TMYx.zip")</f>
        <v>https://climate.onebuilding.org/WMO_Region_6_Europe/DEU_Germany/BY_Bayern/DEU_BY_Neubiberg.AB.108640_TMYx.zip</v>
      </c>
    </row>
    <row r="2548" spans="1:10" x14ac:dyDescent="0.25">
      <c r="A2548" t="s">
        <v>1301</v>
      </c>
      <c r="B2548" t="s">
        <v>1448</v>
      </c>
      <c r="C2548" t="s">
        <v>1673</v>
      </c>
      <c r="D2548">
        <v>108644</v>
      </c>
      <c r="E2548" t="s">
        <v>1674</v>
      </c>
      <c r="F2548">
        <v>48.081000000000003</v>
      </c>
      <c r="G2548">
        <v>11.282999999999999</v>
      </c>
      <c r="H2548">
        <v>1</v>
      </c>
      <c r="I2548">
        <v>593.4</v>
      </c>
      <c r="J2548" t="str">
        <f>HYPERLINK("https://climate.onebuilding.org/WMO_Region_6_Europe/DEU_Germany/BY_Bayern/DEU_BY_Oberpfaffenhofen.AB.108644_TMYx.2004-2018.zip")</f>
        <v>https://climate.onebuilding.org/WMO_Region_6_Europe/DEU_Germany/BY_Bayern/DEU_BY_Oberpfaffenhofen.AB.108644_TMYx.2004-2018.zip</v>
      </c>
    </row>
    <row r="2549" spans="1:10" x14ac:dyDescent="0.25">
      <c r="A2549" t="s">
        <v>1301</v>
      </c>
      <c r="B2549" t="s">
        <v>1448</v>
      </c>
      <c r="C2549" t="s">
        <v>1673</v>
      </c>
      <c r="D2549">
        <v>108644</v>
      </c>
      <c r="E2549" t="s">
        <v>14</v>
      </c>
      <c r="F2549">
        <v>48.081000000000003</v>
      </c>
      <c r="G2549">
        <v>11.282999999999999</v>
      </c>
      <c r="H2549">
        <v>1</v>
      </c>
      <c r="I2549">
        <v>593.4</v>
      </c>
      <c r="J2549" t="str">
        <f>HYPERLINK("https://climate.onebuilding.org/WMO_Region_6_Europe/DEU_Germany/BY_Bayern/DEU_BY_Oberpfaffenhofen.AB.108644_TMYx.2007-2021.zip")</f>
        <v>https://climate.onebuilding.org/WMO_Region_6_Europe/DEU_Germany/BY_Bayern/DEU_BY_Oberpfaffenhofen.AB.108644_TMYx.2007-2021.zip</v>
      </c>
    </row>
    <row r="2550" spans="1:10" x14ac:dyDescent="0.25">
      <c r="A2550" t="s">
        <v>1301</v>
      </c>
      <c r="B2550" t="s">
        <v>1448</v>
      </c>
      <c r="C2550" t="s">
        <v>1673</v>
      </c>
      <c r="D2550">
        <v>108644</v>
      </c>
      <c r="E2550" t="s">
        <v>14</v>
      </c>
      <c r="F2550">
        <v>48.081000000000003</v>
      </c>
      <c r="G2550">
        <v>11.282999999999999</v>
      </c>
      <c r="H2550">
        <v>1</v>
      </c>
      <c r="I2550">
        <v>593.4</v>
      </c>
      <c r="J2550" t="str">
        <f>HYPERLINK("https://climate.onebuilding.org/WMO_Region_6_Europe/DEU_Germany/BY_Bayern/DEU_BY_Oberpfaffenhofen.AB.108644_TMYx.2009-2023.zip")</f>
        <v>https://climate.onebuilding.org/WMO_Region_6_Europe/DEU_Germany/BY_Bayern/DEU_BY_Oberpfaffenhofen.AB.108644_TMYx.2009-2023.zip</v>
      </c>
    </row>
    <row r="2551" spans="1:10" x14ac:dyDescent="0.25">
      <c r="A2551" t="s">
        <v>1301</v>
      </c>
      <c r="B2551" t="s">
        <v>1448</v>
      </c>
      <c r="C2551" t="s">
        <v>1673</v>
      </c>
      <c r="D2551">
        <v>108644</v>
      </c>
      <c r="E2551" t="s">
        <v>14</v>
      </c>
      <c r="F2551">
        <v>48.081000000000003</v>
      </c>
      <c r="G2551">
        <v>11.282999999999999</v>
      </c>
      <c r="H2551">
        <v>1</v>
      </c>
      <c r="I2551">
        <v>593.4</v>
      </c>
      <c r="J2551" t="str">
        <f>HYPERLINK("https://climate.onebuilding.org/WMO_Region_6_Europe/DEU_Germany/BY_Bayern/DEU_BY_Oberpfaffenhofen.AB.108644_TMYx.zip")</f>
        <v>https://climate.onebuilding.org/WMO_Region_6_Europe/DEU_Germany/BY_Bayern/DEU_BY_Oberpfaffenhofen.AB.108644_TMYx.zip</v>
      </c>
    </row>
    <row r="2552" spans="1:10" x14ac:dyDescent="0.25">
      <c r="A2552" t="s">
        <v>1301</v>
      </c>
      <c r="B2552" t="s">
        <v>1448</v>
      </c>
      <c r="C2552" t="s">
        <v>1675</v>
      </c>
      <c r="D2552">
        <v>108650</v>
      </c>
      <c r="E2552" t="s">
        <v>14</v>
      </c>
      <c r="F2552">
        <v>48.163200000000003</v>
      </c>
      <c r="G2552">
        <v>11.542899999999999</v>
      </c>
      <c r="H2552">
        <v>1</v>
      </c>
      <c r="I2552">
        <v>520</v>
      </c>
      <c r="J2552" t="str">
        <f>HYPERLINK("https://climate.onebuilding.org/WMO_Region_6_Europe/DEU_Germany/BY_Bayern/DEU_BY_Munich-Theresienwiese.108650_TMYx.zip")</f>
        <v>https://climate.onebuilding.org/WMO_Region_6_Europe/DEU_Germany/BY_Bayern/DEU_BY_Munich-Theresienwiese.108650_TMYx.zip</v>
      </c>
    </row>
    <row r="2553" spans="1:10" x14ac:dyDescent="0.25">
      <c r="A2553" t="s">
        <v>1301</v>
      </c>
      <c r="B2553" t="s">
        <v>1448</v>
      </c>
      <c r="C2553" t="s">
        <v>1676</v>
      </c>
      <c r="D2553">
        <v>108690</v>
      </c>
      <c r="E2553" t="s">
        <v>14</v>
      </c>
      <c r="F2553">
        <v>48.322000000000003</v>
      </c>
      <c r="G2553">
        <v>11.949</v>
      </c>
      <c r="H2553">
        <v>1</v>
      </c>
      <c r="I2553">
        <v>461.8</v>
      </c>
      <c r="J2553" t="str">
        <f>HYPERLINK("https://climate.onebuilding.org/WMO_Region_6_Europe/DEU_Germany/BY_Bayern/DEU_BY_Erding.AB.108690_TMYx.2007-2021.zip")</f>
        <v>https://climate.onebuilding.org/WMO_Region_6_Europe/DEU_Germany/BY_Bayern/DEU_BY_Erding.AB.108690_TMYx.2007-2021.zip</v>
      </c>
    </row>
    <row r="2554" spans="1:10" x14ac:dyDescent="0.25">
      <c r="A2554" t="s">
        <v>1301</v>
      </c>
      <c r="B2554" t="s">
        <v>1448</v>
      </c>
      <c r="C2554" t="s">
        <v>1676</v>
      </c>
      <c r="D2554">
        <v>108690</v>
      </c>
      <c r="E2554" t="s">
        <v>14</v>
      </c>
      <c r="F2554">
        <v>48.322000000000003</v>
      </c>
      <c r="G2554">
        <v>11.949</v>
      </c>
      <c r="H2554">
        <v>1</v>
      </c>
      <c r="I2554">
        <v>461.8</v>
      </c>
      <c r="J2554" t="str">
        <f>HYPERLINK("https://climate.onebuilding.org/WMO_Region_6_Europe/DEU_Germany/BY_Bayern/DEU_BY_Erding.AB.108690_TMYx.2009-2023.zip")</f>
        <v>https://climate.onebuilding.org/WMO_Region_6_Europe/DEU_Germany/BY_Bayern/DEU_BY_Erding.AB.108690_TMYx.2009-2023.zip</v>
      </c>
    </row>
    <row r="2555" spans="1:10" x14ac:dyDescent="0.25">
      <c r="A2555" t="s">
        <v>1301</v>
      </c>
      <c r="B2555" t="s">
        <v>1448</v>
      </c>
      <c r="C2555" t="s">
        <v>1676</v>
      </c>
      <c r="D2555">
        <v>108690</v>
      </c>
      <c r="E2555" t="s">
        <v>14</v>
      </c>
      <c r="F2555">
        <v>48.322000000000003</v>
      </c>
      <c r="G2555">
        <v>11.949</v>
      </c>
      <c r="H2555">
        <v>1</v>
      </c>
      <c r="I2555">
        <v>461.8</v>
      </c>
      <c r="J2555" t="str">
        <f>HYPERLINK("https://climate.onebuilding.org/WMO_Region_6_Europe/DEU_Germany/BY_Bayern/DEU_BY_Erding.AB.108690_TMYx.zip")</f>
        <v>https://climate.onebuilding.org/WMO_Region_6_Europe/DEU_Germany/BY_Bayern/DEU_BY_Erding.AB.108690_TMYx.zip</v>
      </c>
    </row>
    <row r="2556" spans="1:10" x14ac:dyDescent="0.25">
      <c r="A2556" t="s">
        <v>1301</v>
      </c>
      <c r="B2556" t="s">
        <v>1448</v>
      </c>
      <c r="C2556" t="s">
        <v>1677</v>
      </c>
      <c r="D2556">
        <v>108700</v>
      </c>
      <c r="E2556" t="s">
        <v>1678</v>
      </c>
      <c r="F2556">
        <v>48.35</v>
      </c>
      <c r="G2556">
        <v>11.782999999999999</v>
      </c>
      <c r="H2556">
        <v>1</v>
      </c>
      <c r="I2556">
        <v>448</v>
      </c>
      <c r="J2556" t="str">
        <f>HYPERLINK("https://climate.onebuilding.org/WMO_Region_6_Europe/DEU_Germany/BY_Bayern/DEU_BY_Munich.AP.108700_TMYx.2004-2018.zip")</f>
        <v>https://climate.onebuilding.org/WMO_Region_6_Europe/DEU_Germany/BY_Bayern/DEU_BY_Munich.AP.108700_TMYx.2004-2018.zip</v>
      </c>
    </row>
    <row r="2557" spans="1:10" x14ac:dyDescent="0.25">
      <c r="A2557" t="s">
        <v>1301</v>
      </c>
      <c r="B2557" t="s">
        <v>1448</v>
      </c>
      <c r="C2557" t="s">
        <v>1677</v>
      </c>
      <c r="D2557">
        <v>108700</v>
      </c>
      <c r="E2557" t="s">
        <v>14</v>
      </c>
      <c r="F2557">
        <v>48.35</v>
      </c>
      <c r="G2557">
        <v>11.782999999999999</v>
      </c>
      <c r="H2557">
        <v>1</v>
      </c>
      <c r="I2557">
        <v>448</v>
      </c>
      <c r="J2557" t="str">
        <f>HYPERLINK("https://climate.onebuilding.org/WMO_Region_6_Europe/DEU_Germany/BY_Bayern/DEU_BY_Munich.AP.108700_TMYx.2007-2021.zip")</f>
        <v>https://climate.onebuilding.org/WMO_Region_6_Europe/DEU_Germany/BY_Bayern/DEU_BY_Munich.AP.108700_TMYx.2007-2021.zip</v>
      </c>
    </row>
    <row r="2558" spans="1:10" x14ac:dyDescent="0.25">
      <c r="A2558" t="s">
        <v>1301</v>
      </c>
      <c r="B2558" t="s">
        <v>1448</v>
      </c>
      <c r="C2558" t="s">
        <v>1677</v>
      </c>
      <c r="D2558">
        <v>108700</v>
      </c>
      <c r="E2558" t="s">
        <v>14</v>
      </c>
      <c r="F2558">
        <v>48.35</v>
      </c>
      <c r="G2558">
        <v>11.782999999999999</v>
      </c>
      <c r="H2558">
        <v>1</v>
      </c>
      <c r="I2558">
        <v>448</v>
      </c>
      <c r="J2558" t="str">
        <f>HYPERLINK("https://climate.onebuilding.org/WMO_Region_6_Europe/DEU_Germany/BY_Bayern/DEU_BY_Munich.AP.108700_TMYx.2009-2023.zip")</f>
        <v>https://climate.onebuilding.org/WMO_Region_6_Europe/DEU_Germany/BY_Bayern/DEU_BY_Munich.AP.108700_TMYx.2009-2023.zip</v>
      </c>
    </row>
    <row r="2559" spans="1:10" x14ac:dyDescent="0.25">
      <c r="A2559" t="s">
        <v>1301</v>
      </c>
      <c r="B2559" t="s">
        <v>1448</v>
      </c>
      <c r="C2559" t="s">
        <v>1677</v>
      </c>
      <c r="D2559">
        <v>108700</v>
      </c>
      <c r="E2559" t="s">
        <v>14</v>
      </c>
      <c r="F2559">
        <v>48.35</v>
      </c>
      <c r="G2559">
        <v>11.782999999999999</v>
      </c>
      <c r="H2559">
        <v>1</v>
      </c>
      <c r="I2559">
        <v>448</v>
      </c>
      <c r="J2559" t="str">
        <f>HYPERLINK("https://climate.onebuilding.org/WMO_Region_6_Europe/DEU_Germany/BY_Bayern/DEU_BY_Munich.AP.108700_TMYx.zip")</f>
        <v>https://climate.onebuilding.org/WMO_Region_6_Europe/DEU_Germany/BY_Bayern/DEU_BY_Munich.AP.108700_TMYx.zip</v>
      </c>
    </row>
    <row r="2560" spans="1:10" x14ac:dyDescent="0.25">
      <c r="A2560" t="s">
        <v>1301</v>
      </c>
      <c r="B2560" t="s">
        <v>1448</v>
      </c>
      <c r="C2560" t="s">
        <v>1679</v>
      </c>
      <c r="D2560">
        <v>108750</v>
      </c>
      <c r="E2560" t="s">
        <v>14</v>
      </c>
      <c r="F2560">
        <v>48.279200000000003</v>
      </c>
      <c r="G2560">
        <v>12.5025</v>
      </c>
      <c r="H2560">
        <v>1</v>
      </c>
      <c r="I2560">
        <v>406.7</v>
      </c>
      <c r="J2560" t="str">
        <f>HYPERLINK("https://climate.onebuilding.org/WMO_Region_6_Europe/DEU_Germany/BY_Bayern/DEU_BY_Muhldorf.AF.108750_TMYx.zip")</f>
        <v>https://climate.onebuilding.org/WMO_Region_6_Europe/DEU_Germany/BY_Bayern/DEU_BY_Muhldorf.AF.108750_TMYx.zip</v>
      </c>
    </row>
    <row r="2561" spans="1:10" x14ac:dyDescent="0.25">
      <c r="A2561" t="s">
        <v>1301</v>
      </c>
      <c r="B2561" t="s">
        <v>1448</v>
      </c>
      <c r="C2561" t="s">
        <v>1680</v>
      </c>
      <c r="D2561">
        <v>108930</v>
      </c>
      <c r="E2561" t="s">
        <v>14</v>
      </c>
      <c r="F2561">
        <v>48.582999999999998</v>
      </c>
      <c r="G2561">
        <v>13.467000000000001</v>
      </c>
      <c r="H2561">
        <v>1</v>
      </c>
      <c r="I2561">
        <v>409</v>
      </c>
      <c r="J2561" t="str">
        <f>HYPERLINK("https://climate.onebuilding.org/WMO_Region_6_Europe/DEU_Germany/BY_Bayern/DEU_BY_Passau.108930_TMYx.zip")</f>
        <v>https://climate.onebuilding.org/WMO_Region_6_Europe/DEU_Germany/BY_Bayern/DEU_BY_Passau.108930_TMYx.zip</v>
      </c>
    </row>
    <row r="2562" spans="1:10" x14ac:dyDescent="0.25">
      <c r="A2562" t="s">
        <v>1301</v>
      </c>
      <c r="B2562" t="s">
        <v>1448</v>
      </c>
      <c r="C2562" t="s">
        <v>1681</v>
      </c>
      <c r="D2562">
        <v>108950</v>
      </c>
      <c r="E2562" t="s">
        <v>1682</v>
      </c>
      <c r="F2562">
        <v>48.545299999999997</v>
      </c>
      <c r="G2562">
        <v>13.3531</v>
      </c>
      <c r="H2562">
        <v>1</v>
      </c>
      <c r="I2562">
        <v>479.9</v>
      </c>
      <c r="J2562" t="str">
        <f>HYPERLINK("https://climate.onebuilding.org/WMO_Region_6_Europe/DEU_Germany/BY_Bayern/DEU_BY_Furstenzell.108950_TMYx.2004-2018.zip")</f>
        <v>https://climate.onebuilding.org/WMO_Region_6_Europe/DEU_Germany/BY_Bayern/DEU_BY_Furstenzell.108950_TMYx.2004-2018.zip</v>
      </c>
    </row>
    <row r="2563" spans="1:10" x14ac:dyDescent="0.25">
      <c r="A2563" t="s">
        <v>1301</v>
      </c>
      <c r="B2563" t="s">
        <v>1448</v>
      </c>
      <c r="C2563" t="s">
        <v>1681</v>
      </c>
      <c r="D2563">
        <v>108950</v>
      </c>
      <c r="E2563" t="s">
        <v>14</v>
      </c>
      <c r="F2563">
        <v>48.545299999999997</v>
      </c>
      <c r="G2563">
        <v>13.3531</v>
      </c>
      <c r="H2563">
        <v>1</v>
      </c>
      <c r="I2563">
        <v>479.9</v>
      </c>
      <c r="J2563" t="str">
        <f>HYPERLINK("https://climate.onebuilding.org/WMO_Region_6_Europe/DEU_Germany/BY_Bayern/DEU_BY_Furstenzell.108950_TMYx.2007-2021.zip")</f>
        <v>https://climate.onebuilding.org/WMO_Region_6_Europe/DEU_Germany/BY_Bayern/DEU_BY_Furstenzell.108950_TMYx.2007-2021.zip</v>
      </c>
    </row>
    <row r="2564" spans="1:10" x14ac:dyDescent="0.25">
      <c r="A2564" t="s">
        <v>1301</v>
      </c>
      <c r="B2564" t="s">
        <v>1448</v>
      </c>
      <c r="C2564" t="s">
        <v>1681</v>
      </c>
      <c r="D2564">
        <v>108950</v>
      </c>
      <c r="E2564" t="s">
        <v>14</v>
      </c>
      <c r="F2564">
        <v>48.545299999999997</v>
      </c>
      <c r="G2564">
        <v>13.3531</v>
      </c>
      <c r="H2564">
        <v>1</v>
      </c>
      <c r="I2564">
        <v>479.9</v>
      </c>
      <c r="J2564" t="str">
        <f>HYPERLINK("https://climate.onebuilding.org/WMO_Region_6_Europe/DEU_Germany/BY_Bayern/DEU_BY_Furstenzell.108950_TMYx.zip")</f>
        <v>https://climate.onebuilding.org/WMO_Region_6_Europe/DEU_Germany/BY_Bayern/DEU_BY_Furstenzell.108950_TMYx.zip</v>
      </c>
    </row>
    <row r="2565" spans="1:10" x14ac:dyDescent="0.25">
      <c r="A2565" t="s">
        <v>1301</v>
      </c>
      <c r="B2565" t="s">
        <v>1585</v>
      </c>
      <c r="C2565" t="s">
        <v>1683</v>
      </c>
      <c r="D2565">
        <v>109000</v>
      </c>
      <c r="E2565" t="s">
        <v>14</v>
      </c>
      <c r="F2565">
        <v>47.9</v>
      </c>
      <c r="G2565">
        <v>7.617</v>
      </c>
      <c r="H2565">
        <v>1</v>
      </c>
      <c r="I2565">
        <v>217</v>
      </c>
      <c r="J2565" t="str">
        <f>HYPERLINK("https://climate.onebuilding.org/WMO_Region_6_Europe/DEU_Germany/BW_Baden-Wurttemberg/DEU_BW_Bremgarten.AB.109000_TMYx.zip")</f>
        <v>https://climate.onebuilding.org/WMO_Region_6_Europe/DEU_Germany/BW_Baden-Wurttemberg/DEU_BW_Bremgarten.AB.109000_TMYx.zip</v>
      </c>
    </row>
    <row r="2566" spans="1:10" x14ac:dyDescent="0.25">
      <c r="A2566" t="s">
        <v>1301</v>
      </c>
      <c r="B2566" t="s">
        <v>1585</v>
      </c>
      <c r="C2566" t="s">
        <v>1684</v>
      </c>
      <c r="D2566">
        <v>109080</v>
      </c>
      <c r="E2566" t="s">
        <v>14</v>
      </c>
      <c r="F2566">
        <v>47.875</v>
      </c>
      <c r="G2566">
        <v>8.0038999999999998</v>
      </c>
      <c r="H2566">
        <v>1</v>
      </c>
      <c r="I2566">
        <v>1495.8</v>
      </c>
      <c r="J2566" t="str">
        <f>HYPERLINK("https://climate.onebuilding.org/WMO_Region_6_Europe/DEU_Germany/BW_Baden-Wurttemberg/DEU_BW_Feldberg.Schwarzwald.109080_TMYx.zip")</f>
        <v>https://climate.onebuilding.org/WMO_Region_6_Europe/DEU_Germany/BW_Baden-Wurttemberg/DEU_BW_Feldberg.Schwarzwald.109080_TMYx.zip</v>
      </c>
    </row>
    <row r="2567" spans="1:10" x14ac:dyDescent="0.25">
      <c r="A2567" t="s">
        <v>1301</v>
      </c>
      <c r="B2567" t="s">
        <v>1585</v>
      </c>
      <c r="C2567" t="s">
        <v>1685</v>
      </c>
      <c r="D2567">
        <v>109120</v>
      </c>
      <c r="E2567" t="s">
        <v>1686</v>
      </c>
      <c r="F2567">
        <v>47.972999999999999</v>
      </c>
      <c r="G2567">
        <v>8.5220000000000002</v>
      </c>
      <c r="H2567">
        <v>1</v>
      </c>
      <c r="I2567">
        <v>680</v>
      </c>
      <c r="J2567" t="str">
        <f>HYPERLINK("https://climate.onebuilding.org/WMO_Region_6_Europe/DEU_Germany/BW_Baden-Wurttemberg/DEU_BW_Donaueschingen-Villingen.AP.109120_TMYx.2004-2018.zip")</f>
        <v>https://climate.onebuilding.org/WMO_Region_6_Europe/DEU_Germany/BW_Baden-Wurttemberg/DEU_BW_Donaueschingen-Villingen.AP.109120_TMYx.2004-2018.zip</v>
      </c>
    </row>
    <row r="2568" spans="1:10" x14ac:dyDescent="0.25">
      <c r="A2568" t="s">
        <v>1301</v>
      </c>
      <c r="B2568" t="s">
        <v>1585</v>
      </c>
      <c r="C2568" t="s">
        <v>1685</v>
      </c>
      <c r="D2568">
        <v>109120</v>
      </c>
      <c r="E2568" t="s">
        <v>14</v>
      </c>
      <c r="F2568">
        <v>47.972999999999999</v>
      </c>
      <c r="G2568">
        <v>8.5220000000000002</v>
      </c>
      <c r="H2568">
        <v>1</v>
      </c>
      <c r="I2568">
        <v>680</v>
      </c>
      <c r="J2568" t="str">
        <f>HYPERLINK("https://climate.onebuilding.org/WMO_Region_6_Europe/DEU_Germany/BW_Baden-Wurttemberg/DEU_BW_Donaueschingen-Villingen.AP.109120_TMYx.2007-2021.zip")</f>
        <v>https://climate.onebuilding.org/WMO_Region_6_Europe/DEU_Germany/BW_Baden-Wurttemberg/DEU_BW_Donaueschingen-Villingen.AP.109120_TMYx.2007-2021.zip</v>
      </c>
    </row>
    <row r="2569" spans="1:10" x14ac:dyDescent="0.25">
      <c r="A2569" t="s">
        <v>1301</v>
      </c>
      <c r="B2569" t="s">
        <v>1585</v>
      </c>
      <c r="C2569" t="s">
        <v>1685</v>
      </c>
      <c r="D2569">
        <v>109120</v>
      </c>
      <c r="E2569" t="s">
        <v>14</v>
      </c>
      <c r="F2569">
        <v>47.972999999999999</v>
      </c>
      <c r="G2569">
        <v>8.5220000000000002</v>
      </c>
      <c r="H2569">
        <v>1</v>
      </c>
      <c r="I2569">
        <v>680</v>
      </c>
      <c r="J2569" t="str">
        <f>HYPERLINK("https://climate.onebuilding.org/WMO_Region_6_Europe/DEU_Germany/BW_Baden-Wurttemberg/DEU_BW_Donaueschingen-Villingen.AP.109120_TMYx.2009-2023.zip")</f>
        <v>https://climate.onebuilding.org/WMO_Region_6_Europe/DEU_Germany/BW_Baden-Wurttemberg/DEU_BW_Donaueschingen-Villingen.AP.109120_TMYx.2009-2023.zip</v>
      </c>
    </row>
    <row r="2570" spans="1:10" x14ac:dyDescent="0.25">
      <c r="A2570" t="s">
        <v>1301</v>
      </c>
      <c r="B2570" t="s">
        <v>1585</v>
      </c>
      <c r="C2570" t="s">
        <v>1685</v>
      </c>
      <c r="D2570">
        <v>109120</v>
      </c>
      <c r="E2570" t="s">
        <v>14</v>
      </c>
      <c r="F2570">
        <v>47.972999999999999</v>
      </c>
      <c r="G2570">
        <v>8.5220000000000002</v>
      </c>
      <c r="H2570">
        <v>1</v>
      </c>
      <c r="I2570">
        <v>680</v>
      </c>
      <c r="J2570" t="str">
        <f>HYPERLINK("https://climate.onebuilding.org/WMO_Region_6_Europe/DEU_Germany/BW_Baden-Wurttemberg/DEU_BW_Donaueschingen-Villingen.AP.109120_TMYx.zip")</f>
        <v>https://climate.onebuilding.org/WMO_Region_6_Europe/DEU_Germany/BW_Baden-Wurttemberg/DEU_BW_Donaueschingen-Villingen.AP.109120_TMYx.zip</v>
      </c>
    </row>
    <row r="2571" spans="1:10" x14ac:dyDescent="0.25">
      <c r="A2571" t="s">
        <v>1301</v>
      </c>
      <c r="B2571" t="s">
        <v>1585</v>
      </c>
      <c r="C2571" t="s">
        <v>1687</v>
      </c>
      <c r="D2571">
        <v>109210</v>
      </c>
      <c r="E2571" t="s">
        <v>14</v>
      </c>
      <c r="F2571">
        <v>47.982999999999997</v>
      </c>
      <c r="G2571">
        <v>8.9</v>
      </c>
      <c r="H2571">
        <v>1</v>
      </c>
      <c r="I2571">
        <v>804</v>
      </c>
      <c r="J2571" t="str">
        <f>HYPERLINK("https://climate.onebuilding.org/WMO_Region_6_Europe/DEU_Germany/BW_Baden-Wurttemberg/DEU_BW_Neuhausen.ob.Eck.AF.109210_TMYx.zip")</f>
        <v>https://climate.onebuilding.org/WMO_Region_6_Europe/DEU_Germany/BW_Baden-Wurttemberg/DEU_BW_Neuhausen.ob.Eck.AF.109210_TMYx.zip</v>
      </c>
    </row>
    <row r="2572" spans="1:10" x14ac:dyDescent="0.25">
      <c r="A2572" t="s">
        <v>1301</v>
      </c>
      <c r="B2572" t="s">
        <v>1585</v>
      </c>
      <c r="C2572" t="s">
        <v>1688</v>
      </c>
      <c r="D2572">
        <v>109290</v>
      </c>
      <c r="E2572" t="s">
        <v>14</v>
      </c>
      <c r="F2572">
        <v>47.677500000000002</v>
      </c>
      <c r="G2572">
        <v>9.19</v>
      </c>
      <c r="H2572">
        <v>1</v>
      </c>
      <c r="I2572">
        <v>444.4</v>
      </c>
      <c r="J2572" t="str">
        <f>HYPERLINK("https://climate.onebuilding.org/WMO_Region_6_Europe/DEU_Germany/BW_Baden-Wurttemberg/DEU_BW_Konstanz.109290_TMYx.zip")</f>
        <v>https://climate.onebuilding.org/WMO_Region_6_Europe/DEU_Germany/BW_Baden-Wurttemberg/DEU_BW_Konstanz.109290_TMYx.zip</v>
      </c>
    </row>
    <row r="2573" spans="1:10" x14ac:dyDescent="0.25">
      <c r="A2573" t="s">
        <v>1301</v>
      </c>
      <c r="B2573" t="s">
        <v>1585</v>
      </c>
      <c r="C2573" t="s">
        <v>1689</v>
      </c>
      <c r="D2573">
        <v>109350</v>
      </c>
      <c r="E2573" t="s">
        <v>1690</v>
      </c>
      <c r="F2573">
        <v>47.670999999999999</v>
      </c>
      <c r="G2573">
        <v>9.5109999999999992</v>
      </c>
      <c r="H2573">
        <v>1</v>
      </c>
      <c r="I2573">
        <v>416.7</v>
      </c>
      <c r="J2573" t="str">
        <f>HYPERLINK("https://climate.onebuilding.org/WMO_Region_6_Europe/DEU_Germany/BW_Baden-Wurttemberg/DEU_BW_Friedrichshafen.AP.109350_TMYx.2004-2018.zip")</f>
        <v>https://climate.onebuilding.org/WMO_Region_6_Europe/DEU_Germany/BW_Baden-Wurttemberg/DEU_BW_Friedrichshafen.AP.109350_TMYx.2004-2018.zip</v>
      </c>
    </row>
    <row r="2574" spans="1:10" x14ac:dyDescent="0.25">
      <c r="A2574" t="s">
        <v>1301</v>
      </c>
      <c r="B2574" t="s">
        <v>1585</v>
      </c>
      <c r="C2574" t="s">
        <v>1689</v>
      </c>
      <c r="D2574">
        <v>109350</v>
      </c>
      <c r="E2574" t="s">
        <v>14</v>
      </c>
      <c r="F2574">
        <v>47.670999999999999</v>
      </c>
      <c r="G2574">
        <v>9.5109999999999992</v>
      </c>
      <c r="H2574">
        <v>1</v>
      </c>
      <c r="I2574">
        <v>416.7</v>
      </c>
      <c r="J2574" t="str">
        <f>HYPERLINK("https://climate.onebuilding.org/WMO_Region_6_Europe/DEU_Germany/BW_Baden-Wurttemberg/DEU_BW_Friedrichshafen.AP.109350_TMYx.2007-2021.zip")</f>
        <v>https://climate.onebuilding.org/WMO_Region_6_Europe/DEU_Germany/BW_Baden-Wurttemberg/DEU_BW_Friedrichshafen.AP.109350_TMYx.2007-2021.zip</v>
      </c>
    </row>
    <row r="2575" spans="1:10" x14ac:dyDescent="0.25">
      <c r="A2575" t="s">
        <v>1301</v>
      </c>
      <c r="B2575" t="s">
        <v>1585</v>
      </c>
      <c r="C2575" t="s">
        <v>1689</v>
      </c>
      <c r="D2575">
        <v>109350</v>
      </c>
      <c r="E2575" t="s">
        <v>14</v>
      </c>
      <c r="F2575">
        <v>47.670999999999999</v>
      </c>
      <c r="G2575">
        <v>9.5109999999999992</v>
      </c>
      <c r="H2575">
        <v>1</v>
      </c>
      <c r="I2575">
        <v>416.7</v>
      </c>
      <c r="J2575" t="str">
        <f>HYPERLINK("https://climate.onebuilding.org/WMO_Region_6_Europe/DEU_Germany/BW_Baden-Wurttemberg/DEU_BW_Friedrichshafen.AP.109350_TMYx.2009-2023.zip")</f>
        <v>https://climate.onebuilding.org/WMO_Region_6_Europe/DEU_Germany/BW_Baden-Wurttemberg/DEU_BW_Friedrichshafen.AP.109350_TMYx.2009-2023.zip</v>
      </c>
    </row>
    <row r="2576" spans="1:10" x14ac:dyDescent="0.25">
      <c r="A2576" t="s">
        <v>1301</v>
      </c>
      <c r="B2576" t="s">
        <v>1585</v>
      </c>
      <c r="C2576" t="s">
        <v>1689</v>
      </c>
      <c r="D2576">
        <v>109350</v>
      </c>
      <c r="E2576" t="s">
        <v>14</v>
      </c>
      <c r="F2576">
        <v>47.670999999999999</v>
      </c>
      <c r="G2576">
        <v>9.5109999999999992</v>
      </c>
      <c r="H2576">
        <v>1</v>
      </c>
      <c r="I2576">
        <v>416.7</v>
      </c>
      <c r="J2576" t="str">
        <f>HYPERLINK("https://climate.onebuilding.org/WMO_Region_6_Europe/DEU_Germany/BW_Baden-Wurttemberg/DEU_BW_Friedrichshafen.AP.109350_TMYx.zip")</f>
        <v>https://climate.onebuilding.org/WMO_Region_6_Europe/DEU_Germany/BW_Baden-Wurttemberg/DEU_BW_Friedrichshafen.AP.109350_TMYx.zip</v>
      </c>
    </row>
    <row r="2577" spans="1:10" x14ac:dyDescent="0.25">
      <c r="A2577" t="s">
        <v>1301</v>
      </c>
      <c r="B2577" t="s">
        <v>1448</v>
      </c>
      <c r="C2577" t="s">
        <v>1691</v>
      </c>
      <c r="D2577">
        <v>109460</v>
      </c>
      <c r="E2577" t="s">
        <v>14</v>
      </c>
      <c r="F2577">
        <v>47.723300000000002</v>
      </c>
      <c r="G2577">
        <v>10.3347</v>
      </c>
      <c r="H2577">
        <v>1</v>
      </c>
      <c r="I2577">
        <v>702.1</v>
      </c>
      <c r="J2577" t="str">
        <f>HYPERLINK("https://climate.onebuilding.org/WMO_Region_6_Europe/DEU_Germany/BY_Bayern/DEU_BY_Kempten.109460_TMYx.zip")</f>
        <v>https://climate.onebuilding.org/WMO_Region_6_Europe/DEU_Germany/BY_Bayern/DEU_BY_Kempten.109460_TMYx.zip</v>
      </c>
    </row>
    <row r="2578" spans="1:10" x14ac:dyDescent="0.25">
      <c r="A2578" t="s">
        <v>1301</v>
      </c>
      <c r="B2578" t="s">
        <v>1448</v>
      </c>
      <c r="C2578" t="s">
        <v>1692</v>
      </c>
      <c r="D2578">
        <v>109470</v>
      </c>
      <c r="E2578" t="s">
        <v>1693</v>
      </c>
      <c r="F2578">
        <v>47.988999999999997</v>
      </c>
      <c r="G2578">
        <v>10.24</v>
      </c>
      <c r="H2578">
        <v>1</v>
      </c>
      <c r="I2578">
        <v>629.1</v>
      </c>
      <c r="J2578" t="str">
        <f>HYPERLINK("https://climate.onebuilding.org/WMO_Region_6_Europe/DEU_Germany/BY_Bayern/DEU_BY_Memmingen-Allgau.AP.109470_TMYx.2004-2018.zip")</f>
        <v>https://climate.onebuilding.org/WMO_Region_6_Europe/DEU_Germany/BY_Bayern/DEU_BY_Memmingen-Allgau.AP.109470_TMYx.2004-2018.zip</v>
      </c>
    </row>
    <row r="2579" spans="1:10" x14ac:dyDescent="0.25">
      <c r="A2579" t="s">
        <v>1301</v>
      </c>
      <c r="B2579" t="s">
        <v>1448</v>
      </c>
      <c r="C2579" t="s">
        <v>1692</v>
      </c>
      <c r="D2579">
        <v>109470</v>
      </c>
      <c r="E2579" t="s">
        <v>14</v>
      </c>
      <c r="F2579">
        <v>47.988999999999997</v>
      </c>
      <c r="G2579">
        <v>10.24</v>
      </c>
      <c r="H2579">
        <v>1</v>
      </c>
      <c r="I2579">
        <v>629.1</v>
      </c>
      <c r="J2579" t="str">
        <f>HYPERLINK("https://climate.onebuilding.org/WMO_Region_6_Europe/DEU_Germany/BY_Bayern/DEU_BY_Memmingen-Allgau.AP.109470_TMYx.2007-2021.zip")</f>
        <v>https://climate.onebuilding.org/WMO_Region_6_Europe/DEU_Germany/BY_Bayern/DEU_BY_Memmingen-Allgau.AP.109470_TMYx.2007-2021.zip</v>
      </c>
    </row>
    <row r="2580" spans="1:10" x14ac:dyDescent="0.25">
      <c r="A2580" t="s">
        <v>1301</v>
      </c>
      <c r="B2580" t="s">
        <v>1448</v>
      </c>
      <c r="C2580" t="s">
        <v>1692</v>
      </c>
      <c r="D2580">
        <v>109470</v>
      </c>
      <c r="E2580" t="s">
        <v>14</v>
      </c>
      <c r="F2580">
        <v>47.988999999999997</v>
      </c>
      <c r="G2580">
        <v>10.24</v>
      </c>
      <c r="H2580">
        <v>1</v>
      </c>
      <c r="I2580">
        <v>629.1</v>
      </c>
      <c r="J2580" t="str">
        <f>HYPERLINK("https://climate.onebuilding.org/WMO_Region_6_Europe/DEU_Germany/BY_Bayern/DEU_BY_Memmingen-Allgau.AP.109470_TMYx.2009-2023.zip")</f>
        <v>https://climate.onebuilding.org/WMO_Region_6_Europe/DEU_Germany/BY_Bayern/DEU_BY_Memmingen-Allgau.AP.109470_TMYx.2009-2023.zip</v>
      </c>
    </row>
    <row r="2581" spans="1:10" x14ac:dyDescent="0.25">
      <c r="A2581" t="s">
        <v>1301</v>
      </c>
      <c r="B2581" t="s">
        <v>1448</v>
      </c>
      <c r="C2581" t="s">
        <v>1692</v>
      </c>
      <c r="D2581">
        <v>109470</v>
      </c>
      <c r="E2581" t="s">
        <v>14</v>
      </c>
      <c r="F2581">
        <v>47.988999999999997</v>
      </c>
      <c r="G2581">
        <v>10.24</v>
      </c>
      <c r="H2581">
        <v>1</v>
      </c>
      <c r="I2581">
        <v>629.1</v>
      </c>
      <c r="J2581" t="str">
        <f>HYPERLINK("https://climate.onebuilding.org/WMO_Region_6_Europe/DEU_Germany/BY_Bayern/DEU_BY_Memmingen-Allgau.AP.109470_TMYx.zip")</f>
        <v>https://climate.onebuilding.org/WMO_Region_6_Europe/DEU_Germany/BY_Bayern/DEU_BY_Memmingen-Allgau.AP.109470_TMYx.zip</v>
      </c>
    </row>
    <row r="2582" spans="1:10" x14ac:dyDescent="0.25">
      <c r="A2582" t="s">
        <v>1301</v>
      </c>
      <c r="B2582" t="s">
        <v>1448</v>
      </c>
      <c r="C2582" t="s">
        <v>1694</v>
      </c>
      <c r="D2582">
        <v>109480</v>
      </c>
      <c r="E2582" t="s">
        <v>14</v>
      </c>
      <c r="F2582">
        <v>47.398600000000002</v>
      </c>
      <c r="G2582">
        <v>10.2761</v>
      </c>
      <c r="H2582">
        <v>1</v>
      </c>
      <c r="I2582">
        <v>807.1</v>
      </c>
      <c r="J2582" t="str">
        <f>HYPERLINK("https://climate.onebuilding.org/WMO_Region_6_Europe/DEU_Germany/BY_Bayern/DEU_BY_Oberstdorf.109480_TMYx.zip")</f>
        <v>https://climate.onebuilding.org/WMO_Region_6_Europe/DEU_Germany/BY_Bayern/DEU_BY_Oberstdorf.109480_TMYx.zip</v>
      </c>
    </row>
    <row r="2583" spans="1:10" x14ac:dyDescent="0.25">
      <c r="A2583" t="s">
        <v>1301</v>
      </c>
      <c r="B2583" t="s">
        <v>1448</v>
      </c>
      <c r="C2583" t="s">
        <v>1695</v>
      </c>
      <c r="D2583">
        <v>109530</v>
      </c>
      <c r="E2583" t="s">
        <v>14</v>
      </c>
      <c r="F2583">
        <v>47.866999999999997</v>
      </c>
      <c r="G2583">
        <v>10.617000000000001</v>
      </c>
      <c r="H2583">
        <v>1</v>
      </c>
      <c r="I2583">
        <v>721</v>
      </c>
      <c r="J2583" t="str">
        <f>HYPERLINK("https://climate.onebuilding.org/WMO_Region_6_Europe/DEU_Germany/BY_Bayern/DEU_BY_Kaufbeuren.AFB.109530_TMYx.zip")</f>
        <v>https://climate.onebuilding.org/WMO_Region_6_Europe/DEU_Germany/BY_Bayern/DEU_BY_Kaufbeuren.AFB.109530_TMYx.zip</v>
      </c>
    </row>
    <row r="2584" spans="1:10" x14ac:dyDescent="0.25">
      <c r="A2584" t="s">
        <v>1301</v>
      </c>
      <c r="B2584" t="s">
        <v>1448</v>
      </c>
      <c r="C2584" t="s">
        <v>1696</v>
      </c>
      <c r="D2584">
        <v>109540</v>
      </c>
      <c r="E2584" t="s">
        <v>1697</v>
      </c>
      <c r="F2584">
        <v>47.834200000000003</v>
      </c>
      <c r="G2584">
        <v>10.8667</v>
      </c>
      <c r="H2584">
        <v>1</v>
      </c>
      <c r="I2584">
        <v>756.7</v>
      </c>
      <c r="J2584" t="str">
        <f>HYPERLINK("https://climate.onebuilding.org/WMO_Region_6_Europe/DEU_Germany/BY_Bayern/DEU_BY_Altenstadt.AP.109540_TMYx.2004-2018.zip")</f>
        <v>https://climate.onebuilding.org/WMO_Region_6_Europe/DEU_Germany/BY_Bayern/DEU_BY_Altenstadt.AP.109540_TMYx.2004-2018.zip</v>
      </c>
    </row>
    <row r="2585" spans="1:10" x14ac:dyDescent="0.25">
      <c r="A2585" t="s">
        <v>1301</v>
      </c>
      <c r="B2585" t="s">
        <v>1448</v>
      </c>
      <c r="C2585" t="s">
        <v>1696</v>
      </c>
      <c r="D2585">
        <v>109540</v>
      </c>
      <c r="E2585" t="s">
        <v>14</v>
      </c>
      <c r="F2585">
        <v>47.834200000000003</v>
      </c>
      <c r="G2585">
        <v>10.8667</v>
      </c>
      <c r="H2585">
        <v>1</v>
      </c>
      <c r="I2585">
        <v>756.7</v>
      </c>
      <c r="J2585" t="str">
        <f>HYPERLINK("https://climate.onebuilding.org/WMO_Region_6_Europe/DEU_Germany/BY_Bayern/DEU_BY_Altenstadt.AP.109540_TMYx.2007-2021.zip")</f>
        <v>https://climate.onebuilding.org/WMO_Region_6_Europe/DEU_Germany/BY_Bayern/DEU_BY_Altenstadt.AP.109540_TMYx.2007-2021.zip</v>
      </c>
    </row>
    <row r="2586" spans="1:10" x14ac:dyDescent="0.25">
      <c r="A2586" t="s">
        <v>1301</v>
      </c>
      <c r="B2586" t="s">
        <v>1448</v>
      </c>
      <c r="C2586" t="s">
        <v>1696</v>
      </c>
      <c r="D2586">
        <v>109540</v>
      </c>
      <c r="E2586" t="s">
        <v>14</v>
      </c>
      <c r="F2586">
        <v>47.834200000000003</v>
      </c>
      <c r="G2586">
        <v>10.8667</v>
      </c>
      <c r="H2586">
        <v>1</v>
      </c>
      <c r="I2586">
        <v>756.7</v>
      </c>
      <c r="J2586" t="str">
        <f>HYPERLINK("https://climate.onebuilding.org/WMO_Region_6_Europe/DEU_Germany/BY_Bayern/DEU_BY_Altenstadt.AP.109540_TMYx.2009-2023.zip")</f>
        <v>https://climate.onebuilding.org/WMO_Region_6_Europe/DEU_Germany/BY_Bayern/DEU_BY_Altenstadt.AP.109540_TMYx.2009-2023.zip</v>
      </c>
    </row>
    <row r="2587" spans="1:10" x14ac:dyDescent="0.25">
      <c r="A2587" t="s">
        <v>1301</v>
      </c>
      <c r="B2587" t="s">
        <v>1448</v>
      </c>
      <c r="C2587" t="s">
        <v>1696</v>
      </c>
      <c r="D2587">
        <v>109540</v>
      </c>
      <c r="E2587" t="s">
        <v>14</v>
      </c>
      <c r="F2587">
        <v>47.834200000000003</v>
      </c>
      <c r="G2587">
        <v>10.8667</v>
      </c>
      <c r="H2587">
        <v>1</v>
      </c>
      <c r="I2587">
        <v>756.7</v>
      </c>
      <c r="J2587" t="str">
        <f>HYPERLINK("https://climate.onebuilding.org/WMO_Region_6_Europe/DEU_Germany/BY_Bayern/DEU_BY_Altenstadt.AP.109540_TMYx.zip")</f>
        <v>https://climate.onebuilding.org/WMO_Region_6_Europe/DEU_Germany/BY_Bayern/DEU_BY_Altenstadt.AP.109540_TMYx.zip</v>
      </c>
    </row>
    <row r="2588" spans="1:10" x14ac:dyDescent="0.25">
      <c r="A2588" t="s">
        <v>1301</v>
      </c>
      <c r="B2588" t="s">
        <v>210</v>
      </c>
      <c r="C2588" t="s">
        <v>1698</v>
      </c>
      <c r="D2588">
        <v>109610</v>
      </c>
      <c r="E2588" t="s">
        <v>14</v>
      </c>
      <c r="F2588">
        <v>47.4208</v>
      </c>
      <c r="G2588">
        <v>10.9847</v>
      </c>
      <c r="H2588">
        <v>1</v>
      </c>
      <c r="I2588">
        <v>2960.2</v>
      </c>
      <c r="J2588" t="str">
        <f>HYPERLINK("https://climate.onebuilding.org/WMO_Region_6_Europe/DEU_Germany/ST_Sachsen-Anhalt/DEU_ST_Zugspitze.Mtn.109610_TMYx.zip")</f>
        <v>https://climate.onebuilding.org/WMO_Region_6_Europe/DEU_Germany/ST_Sachsen-Anhalt/DEU_ST_Zugspitze.Mtn.109610_TMYx.zip</v>
      </c>
    </row>
    <row r="2589" spans="1:10" x14ac:dyDescent="0.25">
      <c r="A2589" t="s">
        <v>1301</v>
      </c>
      <c r="B2589" t="s">
        <v>1448</v>
      </c>
      <c r="C2589" t="s">
        <v>1699</v>
      </c>
      <c r="D2589">
        <v>109620</v>
      </c>
      <c r="E2589" t="s">
        <v>14</v>
      </c>
      <c r="F2589">
        <v>47.800800000000002</v>
      </c>
      <c r="G2589">
        <v>11.0108</v>
      </c>
      <c r="H2589">
        <v>1</v>
      </c>
      <c r="I2589">
        <v>985.5</v>
      </c>
      <c r="J2589" t="str">
        <f>HYPERLINK("https://climate.onebuilding.org/WMO_Region_6_Europe/DEU_Germany/BY_Bayern/DEU_BY_Hohenpeissenberg.Obs.109620_TMYx.zip")</f>
        <v>https://climate.onebuilding.org/WMO_Region_6_Europe/DEU_Germany/BY_Bayern/DEU_BY_Hohenpeissenberg.Obs.109620_TMYx.zip</v>
      </c>
    </row>
    <row r="2590" spans="1:10" x14ac:dyDescent="0.25">
      <c r="A2590" t="s">
        <v>1301</v>
      </c>
      <c r="B2590" t="s">
        <v>1448</v>
      </c>
      <c r="C2590" t="s">
        <v>1700</v>
      </c>
      <c r="D2590">
        <v>109630</v>
      </c>
      <c r="E2590" t="s">
        <v>14</v>
      </c>
      <c r="F2590">
        <v>47.4831</v>
      </c>
      <c r="G2590">
        <v>11.062200000000001</v>
      </c>
      <c r="H2590">
        <v>1</v>
      </c>
      <c r="I2590">
        <v>720.2</v>
      </c>
      <c r="J2590" t="str">
        <f>HYPERLINK("https://climate.onebuilding.org/WMO_Region_6_Europe/DEU_Germany/BY_Bayern/DEU_BY_Garmisch-Partenkirchen.109630_TMYx.zip")</f>
        <v>https://climate.onebuilding.org/WMO_Region_6_Europe/DEU_Germany/BY_Bayern/DEU_BY_Garmisch-Partenkirchen.109630_TMYx.zip</v>
      </c>
    </row>
    <row r="2591" spans="1:10" x14ac:dyDescent="0.25">
      <c r="A2591" t="s">
        <v>1301</v>
      </c>
      <c r="B2591" t="s">
        <v>1448</v>
      </c>
      <c r="C2591" t="s">
        <v>1701</v>
      </c>
      <c r="D2591">
        <v>109710</v>
      </c>
      <c r="E2591" t="s">
        <v>14</v>
      </c>
      <c r="F2591">
        <v>47.767000000000003</v>
      </c>
      <c r="G2591">
        <v>11.6</v>
      </c>
      <c r="H2591">
        <v>1</v>
      </c>
      <c r="I2591">
        <v>716</v>
      </c>
      <c r="J2591" t="str">
        <f>HYPERLINK("https://climate.onebuilding.org/WMO_Region_6_Europe/DEU_Germany/BY_Bayern/DEU_BY_Greiling.AF.109710_TMYx.zip")</f>
        <v>https://climate.onebuilding.org/WMO_Region_6_Europe/DEU_Germany/BY_Bayern/DEU_BY_Greiling.AF.109710_TMYx.zip</v>
      </c>
    </row>
    <row r="2592" spans="1:10" x14ac:dyDescent="0.25">
      <c r="A2592" t="s">
        <v>1301</v>
      </c>
      <c r="B2592" t="s">
        <v>1448</v>
      </c>
      <c r="C2592" t="s">
        <v>1702</v>
      </c>
      <c r="D2592">
        <v>109800</v>
      </c>
      <c r="E2592" t="s">
        <v>14</v>
      </c>
      <c r="F2592">
        <v>47.7</v>
      </c>
      <c r="G2592">
        <v>12.016999999999999</v>
      </c>
      <c r="H2592">
        <v>1</v>
      </c>
      <c r="I2592">
        <v>1832</v>
      </c>
      <c r="J2592" t="str">
        <f>HYPERLINK("https://climate.onebuilding.org/WMO_Region_6_Europe/DEU_Germany/BY_Bayern/DEU_BY_Wendelstein.Mtn.109800_TMYx.zip")</f>
        <v>https://climate.onebuilding.org/WMO_Region_6_Europe/DEU_Germany/BY_Bayern/DEU_BY_Wendelstein.Mtn.109800_TMYx.zip</v>
      </c>
    </row>
    <row r="2593" spans="1:10" x14ac:dyDescent="0.25">
      <c r="A2593" t="s">
        <v>1301</v>
      </c>
      <c r="B2593" t="s">
        <v>1448</v>
      </c>
      <c r="C2593" t="s">
        <v>1703</v>
      </c>
      <c r="D2593">
        <v>109820</v>
      </c>
      <c r="E2593" t="s">
        <v>14</v>
      </c>
      <c r="F2593">
        <v>47.884399999999999</v>
      </c>
      <c r="G2593">
        <v>12.5403</v>
      </c>
      <c r="H2593">
        <v>1</v>
      </c>
      <c r="I2593">
        <v>552</v>
      </c>
      <c r="J2593" t="str">
        <f>HYPERLINK("https://climate.onebuilding.org/WMO_Region_6_Europe/DEU_Germany/BY_Bayern/DEU_BY_Chieming.109820_TMYx.zip")</f>
        <v>https://climate.onebuilding.org/WMO_Region_6_Europe/DEU_Germany/BY_Bayern/DEU_BY_Chieming.109820_TMYx.zip</v>
      </c>
    </row>
    <row r="2594" spans="1:10" x14ac:dyDescent="0.25">
      <c r="A2594" t="s">
        <v>1301</v>
      </c>
      <c r="B2594" t="s">
        <v>1395</v>
      </c>
      <c r="C2594" t="s">
        <v>1704</v>
      </c>
      <c r="D2594">
        <v>693664</v>
      </c>
      <c r="E2594" t="s">
        <v>14</v>
      </c>
      <c r="F2594">
        <v>51.889000000000003</v>
      </c>
      <c r="G2594">
        <v>14.532</v>
      </c>
      <c r="H2594">
        <v>1</v>
      </c>
      <c r="I2594">
        <v>83.5</v>
      </c>
      <c r="J2594" t="str">
        <f>HYPERLINK("https://climate.onebuilding.org/WMO_Region_6_Europe/DEU_Germany/BB_Brandenburg/DEU_BB_Cottbus.Drewitz.AP.693664_TMYx.zip")</f>
        <v>https://climate.onebuilding.org/WMO_Region_6_Europe/DEU_Germany/BB_Brandenburg/DEU_BB_Cottbus.Drewitz.AP.693664_TMYx.zip</v>
      </c>
    </row>
    <row r="2595" spans="1:10" x14ac:dyDescent="0.25">
      <c r="A2595" t="s">
        <v>1705</v>
      </c>
      <c r="B2595" t="s">
        <v>44</v>
      </c>
      <c r="C2595" t="s">
        <v>1706</v>
      </c>
      <c r="D2595" s="1" t="s">
        <v>1707</v>
      </c>
      <c r="E2595" t="s">
        <v>1708</v>
      </c>
      <c r="F2595">
        <v>55.599400000000003</v>
      </c>
      <c r="G2595">
        <v>7.6224999999999996</v>
      </c>
      <c r="H2595">
        <v>1</v>
      </c>
      <c r="I2595">
        <v>10</v>
      </c>
      <c r="J2595" t="str">
        <f>HYPERLINK("https://climate.onebuilding.org/WMO_Region_6_Europe/DNK_Denmark/SD_South_Denmark/DNK_SD_Horns.Rev.B.Offshore.Windfarm.Helideck.060170_TMYx.2004-2018.zip")</f>
        <v>https://climate.onebuilding.org/WMO_Region_6_Europe/DNK_Denmark/SD_South_Denmark/DNK_SD_Horns.Rev.B.Offshore.Windfarm.Helideck.060170_TMYx.2004-2018.zip</v>
      </c>
    </row>
    <row r="2596" spans="1:10" x14ac:dyDescent="0.25">
      <c r="A2596" t="s">
        <v>1705</v>
      </c>
      <c r="B2596" t="s">
        <v>44</v>
      </c>
      <c r="C2596" t="s">
        <v>1706</v>
      </c>
      <c r="D2596" s="1" t="s">
        <v>1707</v>
      </c>
      <c r="E2596" t="s">
        <v>14</v>
      </c>
      <c r="F2596">
        <v>55.599400000000003</v>
      </c>
      <c r="G2596">
        <v>7.6224999999999996</v>
      </c>
      <c r="H2596">
        <v>1</v>
      </c>
      <c r="I2596">
        <v>10</v>
      </c>
      <c r="J2596" t="str">
        <f>HYPERLINK("https://climate.onebuilding.org/WMO_Region_6_Europe/DNK_Denmark/SD_South_Denmark/DNK_SD_Horns.Rev.B.Offshore.Windfarm.Helideck.060170_TMYx.2007-2021.zip")</f>
        <v>https://climate.onebuilding.org/WMO_Region_6_Europe/DNK_Denmark/SD_South_Denmark/DNK_SD_Horns.Rev.B.Offshore.Windfarm.Helideck.060170_TMYx.2007-2021.zip</v>
      </c>
    </row>
    <row r="2597" spans="1:10" x14ac:dyDescent="0.25">
      <c r="A2597" t="s">
        <v>1705</v>
      </c>
      <c r="B2597" t="s">
        <v>44</v>
      </c>
      <c r="C2597" t="s">
        <v>1706</v>
      </c>
      <c r="D2597" s="1" t="s">
        <v>1707</v>
      </c>
      <c r="E2597" t="s">
        <v>14</v>
      </c>
      <c r="F2597">
        <v>55.599400000000003</v>
      </c>
      <c r="G2597">
        <v>7.6224999999999996</v>
      </c>
      <c r="H2597">
        <v>1</v>
      </c>
      <c r="I2597">
        <v>10</v>
      </c>
      <c r="J2597" t="str">
        <f>HYPERLINK("https://climate.onebuilding.org/WMO_Region_6_Europe/DNK_Denmark/SD_South_Denmark/DNK_SD_Horns.Rev.B.Offshore.Windfarm.Helideck.060170_TMYx.2009-2023.zip")</f>
        <v>https://climate.onebuilding.org/WMO_Region_6_Europe/DNK_Denmark/SD_South_Denmark/DNK_SD_Horns.Rev.B.Offshore.Windfarm.Helideck.060170_TMYx.2009-2023.zip</v>
      </c>
    </row>
    <row r="2598" spans="1:10" x14ac:dyDescent="0.25">
      <c r="A2598" t="s">
        <v>1705</v>
      </c>
      <c r="B2598" t="s">
        <v>44</v>
      </c>
      <c r="C2598" t="s">
        <v>1706</v>
      </c>
      <c r="D2598" s="1" t="s">
        <v>1707</v>
      </c>
      <c r="E2598" t="s">
        <v>14</v>
      </c>
      <c r="F2598">
        <v>55.599400000000003</v>
      </c>
      <c r="G2598">
        <v>7.6224999999999996</v>
      </c>
      <c r="H2598">
        <v>1</v>
      </c>
      <c r="I2598">
        <v>10</v>
      </c>
      <c r="J2598" t="str">
        <f>HYPERLINK("https://climate.onebuilding.org/WMO_Region_6_Europe/DNK_Denmark/SD_South_Denmark/DNK_SD_Horns.Rev.B.Offshore.Windfarm.Helideck.060170_TMYx.zip")</f>
        <v>https://climate.onebuilding.org/WMO_Region_6_Europe/DNK_Denmark/SD_South_Denmark/DNK_SD_Horns.Rev.B.Offshore.Windfarm.Helideck.060170_TMYx.zip</v>
      </c>
    </row>
    <row r="2599" spans="1:10" x14ac:dyDescent="0.25">
      <c r="A2599" t="s">
        <v>1705</v>
      </c>
      <c r="B2599" t="s">
        <v>1709</v>
      </c>
      <c r="C2599" t="s">
        <v>1710</v>
      </c>
      <c r="D2599" s="1" t="s">
        <v>1711</v>
      </c>
      <c r="E2599" t="s">
        <v>1712</v>
      </c>
      <c r="F2599">
        <v>56.929200000000002</v>
      </c>
      <c r="G2599">
        <v>8.6410999999999998</v>
      </c>
      <c r="H2599">
        <v>1</v>
      </c>
      <c r="I2599">
        <v>41</v>
      </c>
      <c r="J2599" t="str">
        <f>HYPERLINK("https://climate.onebuilding.org/WMO_Region_6_Europe/DNK_Denmark/MJ_Central_Jutland/DNK_MJ_Silstrup.060190_TMYx.2004-2018.zip")</f>
        <v>https://climate.onebuilding.org/WMO_Region_6_Europe/DNK_Denmark/MJ_Central_Jutland/DNK_MJ_Silstrup.060190_TMYx.2004-2018.zip</v>
      </c>
    </row>
    <row r="2600" spans="1:10" x14ac:dyDescent="0.25">
      <c r="A2600" t="s">
        <v>1705</v>
      </c>
      <c r="B2600" t="s">
        <v>1709</v>
      </c>
      <c r="C2600" t="s">
        <v>1710</v>
      </c>
      <c r="D2600" s="1" t="s">
        <v>1711</v>
      </c>
      <c r="E2600" t="s">
        <v>14</v>
      </c>
      <c r="F2600">
        <v>56.929200000000002</v>
      </c>
      <c r="G2600">
        <v>8.6410999999999998</v>
      </c>
      <c r="H2600">
        <v>1</v>
      </c>
      <c r="I2600">
        <v>41</v>
      </c>
      <c r="J2600" t="str">
        <f>HYPERLINK("https://climate.onebuilding.org/WMO_Region_6_Europe/DNK_Denmark/MJ_Central_Jutland/DNK_MJ_Silstrup.060190_TMYx.2007-2021.zip")</f>
        <v>https://climate.onebuilding.org/WMO_Region_6_Europe/DNK_Denmark/MJ_Central_Jutland/DNK_MJ_Silstrup.060190_TMYx.2007-2021.zip</v>
      </c>
    </row>
    <row r="2601" spans="1:10" x14ac:dyDescent="0.25">
      <c r="A2601" t="s">
        <v>1705</v>
      </c>
      <c r="B2601" t="s">
        <v>1709</v>
      </c>
      <c r="C2601" t="s">
        <v>1710</v>
      </c>
      <c r="D2601" s="1" t="s">
        <v>1711</v>
      </c>
      <c r="E2601" t="s">
        <v>14</v>
      </c>
      <c r="F2601">
        <v>56.929200000000002</v>
      </c>
      <c r="G2601">
        <v>8.6410999999999998</v>
      </c>
      <c r="H2601">
        <v>1</v>
      </c>
      <c r="I2601">
        <v>41</v>
      </c>
      <c r="J2601" t="str">
        <f>HYPERLINK("https://climate.onebuilding.org/WMO_Region_6_Europe/DNK_Denmark/MJ_Central_Jutland/DNK_MJ_Silstrup.060190_TMYx.2009-2023.zip")</f>
        <v>https://climate.onebuilding.org/WMO_Region_6_Europe/DNK_Denmark/MJ_Central_Jutland/DNK_MJ_Silstrup.060190_TMYx.2009-2023.zip</v>
      </c>
    </row>
    <row r="2602" spans="1:10" x14ac:dyDescent="0.25">
      <c r="A2602" t="s">
        <v>1705</v>
      </c>
      <c r="B2602" t="s">
        <v>1709</v>
      </c>
      <c r="C2602" t="s">
        <v>1710</v>
      </c>
      <c r="D2602" s="1" t="s">
        <v>1711</v>
      </c>
      <c r="E2602" t="s">
        <v>14</v>
      </c>
      <c r="F2602">
        <v>56.929200000000002</v>
      </c>
      <c r="G2602">
        <v>8.6410999999999998</v>
      </c>
      <c r="H2602">
        <v>1</v>
      </c>
      <c r="I2602">
        <v>41</v>
      </c>
      <c r="J2602" t="str">
        <f>HYPERLINK("https://climate.onebuilding.org/WMO_Region_6_Europe/DNK_Denmark/MJ_Central_Jutland/DNK_MJ_Silstrup.060190_TMYx.zip")</f>
        <v>https://climate.onebuilding.org/WMO_Region_6_Europe/DNK_Denmark/MJ_Central_Jutland/DNK_MJ_Silstrup.060190_TMYx.zip</v>
      </c>
    </row>
    <row r="2603" spans="1:10" x14ac:dyDescent="0.25">
      <c r="A2603" t="s">
        <v>1705</v>
      </c>
      <c r="B2603" t="s">
        <v>1713</v>
      </c>
      <c r="C2603" t="s">
        <v>1714</v>
      </c>
      <c r="D2603" s="1" t="s">
        <v>1715</v>
      </c>
      <c r="E2603" t="s">
        <v>14</v>
      </c>
      <c r="F2603">
        <v>57.121699999999997</v>
      </c>
      <c r="G2603">
        <v>8.5946999999999996</v>
      </c>
      <c r="H2603">
        <v>1</v>
      </c>
      <c r="I2603">
        <v>3</v>
      </c>
      <c r="J2603" t="str">
        <f>HYPERLINK("https://climate.onebuilding.org/WMO_Region_6_Europe/DNK_Denmark/ND_North_Jutland/DNK_ND_Hanstholm.060210_TMYx.zip")</f>
        <v>https://climate.onebuilding.org/WMO_Region_6_Europe/DNK_Denmark/ND_North_Jutland/DNK_ND_Hanstholm.060210_TMYx.zip</v>
      </c>
    </row>
    <row r="2604" spans="1:10" x14ac:dyDescent="0.25">
      <c r="A2604" t="s">
        <v>1705</v>
      </c>
      <c r="B2604" t="s">
        <v>1713</v>
      </c>
      <c r="C2604" t="s">
        <v>1716</v>
      </c>
      <c r="D2604" s="1" t="s">
        <v>1717</v>
      </c>
      <c r="E2604" t="s">
        <v>14</v>
      </c>
      <c r="F2604">
        <v>57.066699999999997</v>
      </c>
      <c r="G2604">
        <v>8.7113999999999994</v>
      </c>
      <c r="H2604">
        <v>1</v>
      </c>
      <c r="I2604">
        <v>7</v>
      </c>
      <c r="J2604" t="str">
        <f>HYPERLINK("https://climate.onebuilding.org/WMO_Region_6_Europe/DNK_Denmark/ND_North_Jutland/DNK_ND_Thisted.AP.060240_TMYx.zip")</f>
        <v>https://climate.onebuilding.org/WMO_Region_6_Europe/DNK_Denmark/ND_North_Jutland/DNK_ND_Thisted.AP.060240_TMYx.zip</v>
      </c>
    </row>
    <row r="2605" spans="1:10" x14ac:dyDescent="0.25">
      <c r="A2605" t="s">
        <v>1705</v>
      </c>
      <c r="B2605" t="s">
        <v>1713</v>
      </c>
      <c r="C2605" t="s">
        <v>1718</v>
      </c>
      <c r="D2605" s="1" t="s">
        <v>1719</v>
      </c>
      <c r="E2605" t="s">
        <v>1720</v>
      </c>
      <c r="F2605">
        <v>57.096400000000003</v>
      </c>
      <c r="G2605">
        <v>9.8506</v>
      </c>
      <c r="H2605">
        <v>1</v>
      </c>
      <c r="I2605">
        <v>13</v>
      </c>
      <c r="J2605" t="str">
        <f>HYPERLINK("https://climate.onebuilding.org/WMO_Region_6_Europe/DNK_Denmark/ND_North_Jutland/DNK_ND_Aalborg.AP.060300_TMYx.2004-2018.zip")</f>
        <v>https://climate.onebuilding.org/WMO_Region_6_Europe/DNK_Denmark/ND_North_Jutland/DNK_ND_Aalborg.AP.060300_TMYx.2004-2018.zip</v>
      </c>
    </row>
    <row r="2606" spans="1:10" x14ac:dyDescent="0.25">
      <c r="A2606" t="s">
        <v>1705</v>
      </c>
      <c r="B2606" t="s">
        <v>1713</v>
      </c>
      <c r="C2606" t="s">
        <v>1718</v>
      </c>
      <c r="D2606" s="1" t="s">
        <v>1719</v>
      </c>
      <c r="E2606" t="s">
        <v>14</v>
      </c>
      <c r="F2606">
        <v>57.096400000000003</v>
      </c>
      <c r="G2606">
        <v>9.8506</v>
      </c>
      <c r="H2606">
        <v>1</v>
      </c>
      <c r="I2606">
        <v>13</v>
      </c>
      <c r="J2606" t="str">
        <f>HYPERLINK("https://climate.onebuilding.org/WMO_Region_6_Europe/DNK_Denmark/ND_North_Jutland/DNK_ND_Aalborg.AP.060300_TMYx.2007-2021.zip")</f>
        <v>https://climate.onebuilding.org/WMO_Region_6_Europe/DNK_Denmark/ND_North_Jutland/DNK_ND_Aalborg.AP.060300_TMYx.2007-2021.zip</v>
      </c>
    </row>
    <row r="2607" spans="1:10" x14ac:dyDescent="0.25">
      <c r="A2607" t="s">
        <v>1705</v>
      </c>
      <c r="B2607" t="s">
        <v>1713</v>
      </c>
      <c r="C2607" t="s">
        <v>1718</v>
      </c>
      <c r="D2607" s="1" t="s">
        <v>1719</v>
      </c>
      <c r="E2607" t="s">
        <v>14</v>
      </c>
      <c r="F2607">
        <v>57.096400000000003</v>
      </c>
      <c r="G2607">
        <v>9.8506</v>
      </c>
      <c r="H2607">
        <v>1</v>
      </c>
      <c r="I2607">
        <v>13</v>
      </c>
      <c r="J2607" t="str">
        <f>HYPERLINK("https://climate.onebuilding.org/WMO_Region_6_Europe/DNK_Denmark/ND_North_Jutland/DNK_ND_Aalborg.AP.060300_TMYx.2009-2023.zip")</f>
        <v>https://climate.onebuilding.org/WMO_Region_6_Europe/DNK_Denmark/ND_North_Jutland/DNK_ND_Aalborg.AP.060300_TMYx.2009-2023.zip</v>
      </c>
    </row>
    <row r="2608" spans="1:10" x14ac:dyDescent="0.25">
      <c r="A2608" t="s">
        <v>1705</v>
      </c>
      <c r="B2608" t="s">
        <v>1713</v>
      </c>
      <c r="C2608" t="s">
        <v>1718</v>
      </c>
      <c r="D2608" s="1" t="s">
        <v>1719</v>
      </c>
      <c r="E2608" t="s">
        <v>14</v>
      </c>
      <c r="F2608">
        <v>57.096400000000003</v>
      </c>
      <c r="G2608">
        <v>9.8506</v>
      </c>
      <c r="H2608">
        <v>1</v>
      </c>
      <c r="I2608">
        <v>13</v>
      </c>
      <c r="J2608" t="str">
        <f>HYPERLINK("https://climate.onebuilding.org/WMO_Region_6_Europe/DNK_Denmark/ND_North_Jutland/DNK_ND_Aalborg.AP.060300_TMYx.zip")</f>
        <v>https://climate.onebuilding.org/WMO_Region_6_Europe/DNK_Denmark/ND_North_Jutland/DNK_ND_Aalborg.AP.060300_TMYx.zip</v>
      </c>
    </row>
    <row r="2609" spans="1:10" x14ac:dyDescent="0.25">
      <c r="A2609" t="s">
        <v>1705</v>
      </c>
      <c r="B2609" t="s">
        <v>1713</v>
      </c>
      <c r="C2609" t="s">
        <v>1721</v>
      </c>
      <c r="D2609" s="1" t="s">
        <v>1722</v>
      </c>
      <c r="E2609" t="s">
        <v>1723</v>
      </c>
      <c r="F2609">
        <v>57.185299999999998</v>
      </c>
      <c r="G2609">
        <v>9.9525000000000006</v>
      </c>
      <c r="H2609">
        <v>1</v>
      </c>
      <c r="I2609">
        <v>13</v>
      </c>
      <c r="J2609" t="str">
        <f>HYPERLINK("https://climate.onebuilding.org/WMO_Region_6_Europe/DNK_Denmark/ND_North_Jutland/DNK_ND_Tylstrup.060310_TMYx.2004-2018.zip")</f>
        <v>https://climate.onebuilding.org/WMO_Region_6_Europe/DNK_Denmark/ND_North_Jutland/DNK_ND_Tylstrup.060310_TMYx.2004-2018.zip</v>
      </c>
    </row>
    <row r="2610" spans="1:10" x14ac:dyDescent="0.25">
      <c r="A2610" t="s">
        <v>1705</v>
      </c>
      <c r="B2610" t="s">
        <v>1713</v>
      </c>
      <c r="C2610" t="s">
        <v>1721</v>
      </c>
      <c r="D2610" s="1" t="s">
        <v>1722</v>
      </c>
      <c r="E2610" t="s">
        <v>14</v>
      </c>
      <c r="F2610">
        <v>57.185299999999998</v>
      </c>
      <c r="G2610">
        <v>9.9525000000000006</v>
      </c>
      <c r="H2610">
        <v>1</v>
      </c>
      <c r="I2610">
        <v>13</v>
      </c>
      <c r="J2610" t="str">
        <f>HYPERLINK("https://climate.onebuilding.org/WMO_Region_6_Europe/DNK_Denmark/ND_North_Jutland/DNK_ND_Tylstrup.060310_TMYx.2007-2021.zip")</f>
        <v>https://climate.onebuilding.org/WMO_Region_6_Europe/DNK_Denmark/ND_North_Jutland/DNK_ND_Tylstrup.060310_TMYx.2007-2021.zip</v>
      </c>
    </row>
    <row r="2611" spans="1:10" x14ac:dyDescent="0.25">
      <c r="A2611" t="s">
        <v>1705</v>
      </c>
      <c r="B2611" t="s">
        <v>1713</v>
      </c>
      <c r="C2611" t="s">
        <v>1721</v>
      </c>
      <c r="D2611" s="1" t="s">
        <v>1722</v>
      </c>
      <c r="E2611" t="s">
        <v>14</v>
      </c>
      <c r="F2611">
        <v>57.185299999999998</v>
      </c>
      <c r="G2611">
        <v>9.9525000000000006</v>
      </c>
      <c r="H2611">
        <v>1</v>
      </c>
      <c r="I2611">
        <v>13</v>
      </c>
      <c r="J2611" t="str">
        <f>HYPERLINK("https://climate.onebuilding.org/WMO_Region_6_Europe/DNK_Denmark/ND_North_Jutland/DNK_ND_Tylstrup.060310_TMYx.2009-2023.zip")</f>
        <v>https://climate.onebuilding.org/WMO_Region_6_Europe/DNK_Denmark/ND_North_Jutland/DNK_ND_Tylstrup.060310_TMYx.2009-2023.zip</v>
      </c>
    </row>
    <row r="2612" spans="1:10" x14ac:dyDescent="0.25">
      <c r="A2612" t="s">
        <v>1705</v>
      </c>
      <c r="B2612" t="s">
        <v>1713</v>
      </c>
      <c r="C2612" t="s">
        <v>1721</v>
      </c>
      <c r="D2612" s="1" t="s">
        <v>1722</v>
      </c>
      <c r="E2612" t="s">
        <v>14</v>
      </c>
      <c r="F2612">
        <v>57.185299999999998</v>
      </c>
      <c r="G2612">
        <v>9.9525000000000006</v>
      </c>
      <c r="H2612">
        <v>1</v>
      </c>
      <c r="I2612">
        <v>13</v>
      </c>
      <c r="J2612" t="str">
        <f>HYPERLINK("https://climate.onebuilding.org/WMO_Region_6_Europe/DNK_Denmark/ND_North_Jutland/DNK_ND_Tylstrup.060310_TMYx.zip")</f>
        <v>https://climate.onebuilding.org/WMO_Region_6_Europe/DNK_Denmark/ND_North_Jutland/DNK_ND_Tylstrup.060310_TMYx.zip</v>
      </c>
    </row>
    <row r="2613" spans="1:10" x14ac:dyDescent="0.25">
      <c r="A2613" t="s">
        <v>1705</v>
      </c>
      <c r="B2613" t="s">
        <v>1713</v>
      </c>
      <c r="C2613" t="s">
        <v>1724</v>
      </c>
      <c r="D2613" s="1" t="s">
        <v>1725</v>
      </c>
      <c r="E2613" t="s">
        <v>1726</v>
      </c>
      <c r="F2613">
        <v>57.382800000000003</v>
      </c>
      <c r="G2613">
        <v>10.335000000000001</v>
      </c>
      <c r="H2613">
        <v>1</v>
      </c>
      <c r="I2613">
        <v>56.3</v>
      </c>
      <c r="J2613" t="str">
        <f>HYPERLINK("https://climate.onebuilding.org/WMO_Region_6_Europe/DNK_Denmark/ND_North_Jutland/DNK_ND_Stenhoj.060320_TMYx.2004-2018.zip")</f>
        <v>https://climate.onebuilding.org/WMO_Region_6_Europe/DNK_Denmark/ND_North_Jutland/DNK_ND_Stenhoj.060320_TMYx.2004-2018.zip</v>
      </c>
    </row>
    <row r="2614" spans="1:10" x14ac:dyDescent="0.25">
      <c r="A2614" t="s">
        <v>1705</v>
      </c>
      <c r="B2614" t="s">
        <v>1713</v>
      </c>
      <c r="C2614" t="s">
        <v>1724</v>
      </c>
      <c r="D2614" s="1" t="s">
        <v>1725</v>
      </c>
      <c r="E2614" t="s">
        <v>14</v>
      </c>
      <c r="F2614">
        <v>57.382800000000003</v>
      </c>
      <c r="G2614">
        <v>10.335000000000001</v>
      </c>
      <c r="H2614">
        <v>1</v>
      </c>
      <c r="I2614">
        <v>56.3</v>
      </c>
      <c r="J2614" t="str">
        <f>HYPERLINK("https://climate.onebuilding.org/WMO_Region_6_Europe/DNK_Denmark/ND_North_Jutland/DNK_ND_Stenhoj.060320_TMYx.2007-2021.zip")</f>
        <v>https://climate.onebuilding.org/WMO_Region_6_Europe/DNK_Denmark/ND_North_Jutland/DNK_ND_Stenhoj.060320_TMYx.2007-2021.zip</v>
      </c>
    </row>
    <row r="2615" spans="1:10" x14ac:dyDescent="0.25">
      <c r="A2615" t="s">
        <v>1705</v>
      </c>
      <c r="B2615" t="s">
        <v>1713</v>
      </c>
      <c r="C2615" t="s">
        <v>1724</v>
      </c>
      <c r="D2615" s="1" t="s">
        <v>1725</v>
      </c>
      <c r="E2615" t="s">
        <v>14</v>
      </c>
      <c r="F2615">
        <v>57.382800000000003</v>
      </c>
      <c r="G2615">
        <v>10.335000000000001</v>
      </c>
      <c r="H2615">
        <v>1</v>
      </c>
      <c r="I2615">
        <v>56.3</v>
      </c>
      <c r="J2615" t="str">
        <f>HYPERLINK("https://climate.onebuilding.org/WMO_Region_6_Europe/DNK_Denmark/ND_North_Jutland/DNK_ND_Stenhoj.060320_TMYx.2009-2023.zip")</f>
        <v>https://climate.onebuilding.org/WMO_Region_6_Europe/DNK_Denmark/ND_North_Jutland/DNK_ND_Stenhoj.060320_TMYx.2009-2023.zip</v>
      </c>
    </row>
    <row r="2616" spans="1:10" x14ac:dyDescent="0.25">
      <c r="A2616" t="s">
        <v>1705</v>
      </c>
      <c r="B2616" t="s">
        <v>1713</v>
      </c>
      <c r="C2616" t="s">
        <v>1724</v>
      </c>
      <c r="D2616" s="1" t="s">
        <v>1725</v>
      </c>
      <c r="E2616" t="s">
        <v>14</v>
      </c>
      <c r="F2616">
        <v>57.382800000000003</v>
      </c>
      <c r="G2616">
        <v>10.335000000000001</v>
      </c>
      <c r="H2616">
        <v>1</v>
      </c>
      <c r="I2616">
        <v>56.3</v>
      </c>
      <c r="J2616" t="str">
        <f>HYPERLINK("https://climate.onebuilding.org/WMO_Region_6_Europe/DNK_Denmark/ND_North_Jutland/DNK_ND_Stenhoj.060320_TMYx.zip")</f>
        <v>https://climate.onebuilding.org/WMO_Region_6_Europe/DNK_Denmark/ND_North_Jutland/DNK_ND_Stenhoj.060320_TMYx.zip</v>
      </c>
    </row>
    <row r="2617" spans="1:10" x14ac:dyDescent="0.25">
      <c r="A2617" t="s">
        <v>1705</v>
      </c>
      <c r="B2617" t="s">
        <v>1713</v>
      </c>
      <c r="C2617" t="s">
        <v>1727</v>
      </c>
      <c r="D2617" s="1" t="s">
        <v>1728</v>
      </c>
      <c r="E2617" t="s">
        <v>14</v>
      </c>
      <c r="F2617">
        <v>57.595599999999997</v>
      </c>
      <c r="G2617">
        <v>9.9581</v>
      </c>
      <c r="H2617">
        <v>1</v>
      </c>
      <c r="I2617">
        <v>3</v>
      </c>
      <c r="J2617" t="str">
        <f>HYPERLINK("https://climate.onebuilding.org/WMO_Region_6_Europe/DNK_Denmark/ND_North_Jutland/DNK_ND_Hirtshals.060330_TMYx.zip")</f>
        <v>https://climate.onebuilding.org/WMO_Region_6_Europe/DNK_Denmark/ND_North_Jutland/DNK_ND_Hirtshals.060330_TMYx.zip</v>
      </c>
    </row>
    <row r="2618" spans="1:10" x14ac:dyDescent="0.25">
      <c r="A2618" t="s">
        <v>1705</v>
      </c>
      <c r="B2618" t="s">
        <v>1713</v>
      </c>
      <c r="C2618" t="s">
        <v>1729</v>
      </c>
      <c r="D2618" s="1" t="s">
        <v>1730</v>
      </c>
      <c r="E2618" t="s">
        <v>14</v>
      </c>
      <c r="F2618">
        <v>57.504399999999997</v>
      </c>
      <c r="G2618">
        <v>10.222799999999999</v>
      </c>
      <c r="H2618">
        <v>1</v>
      </c>
      <c r="I2618">
        <v>28</v>
      </c>
      <c r="J2618" t="str">
        <f>HYPERLINK("https://climate.onebuilding.org/WMO_Region_6_Europe/DNK_Denmark/ND_North_Jutland/DNK_ND_Sindal.AP.060340_TMYx.2007-2021.zip")</f>
        <v>https://climate.onebuilding.org/WMO_Region_6_Europe/DNK_Denmark/ND_North_Jutland/DNK_ND_Sindal.AP.060340_TMYx.2007-2021.zip</v>
      </c>
    </row>
    <row r="2619" spans="1:10" x14ac:dyDescent="0.25">
      <c r="A2619" t="s">
        <v>1705</v>
      </c>
      <c r="B2619" t="s">
        <v>1713</v>
      </c>
      <c r="C2619" t="s">
        <v>1729</v>
      </c>
      <c r="D2619" s="1" t="s">
        <v>1730</v>
      </c>
      <c r="E2619" t="s">
        <v>14</v>
      </c>
      <c r="F2619">
        <v>57.504399999999997</v>
      </c>
      <c r="G2619">
        <v>10.222799999999999</v>
      </c>
      <c r="H2619">
        <v>1</v>
      </c>
      <c r="I2619">
        <v>28</v>
      </c>
      <c r="J2619" t="str">
        <f>HYPERLINK("https://climate.onebuilding.org/WMO_Region_6_Europe/DNK_Denmark/ND_North_Jutland/DNK_ND_Sindal.AP.060340_TMYx.2009-2023.zip")</f>
        <v>https://climate.onebuilding.org/WMO_Region_6_Europe/DNK_Denmark/ND_North_Jutland/DNK_ND_Sindal.AP.060340_TMYx.2009-2023.zip</v>
      </c>
    </row>
    <row r="2620" spans="1:10" x14ac:dyDescent="0.25">
      <c r="A2620" t="s">
        <v>1705</v>
      </c>
      <c r="B2620" t="s">
        <v>1713</v>
      </c>
      <c r="C2620" t="s">
        <v>1729</v>
      </c>
      <c r="D2620" s="1" t="s">
        <v>1730</v>
      </c>
      <c r="E2620" t="s">
        <v>14</v>
      </c>
      <c r="F2620">
        <v>57.504399999999997</v>
      </c>
      <c r="G2620">
        <v>10.222799999999999</v>
      </c>
      <c r="H2620">
        <v>1</v>
      </c>
      <c r="I2620">
        <v>28</v>
      </c>
      <c r="J2620" t="str">
        <f>HYPERLINK("https://climate.onebuilding.org/WMO_Region_6_Europe/DNK_Denmark/ND_North_Jutland/DNK_ND_Sindal.AP.060340_TMYx.zip")</f>
        <v>https://climate.onebuilding.org/WMO_Region_6_Europe/DNK_Denmark/ND_North_Jutland/DNK_ND_Sindal.AP.060340_TMYx.zip</v>
      </c>
    </row>
    <row r="2621" spans="1:10" x14ac:dyDescent="0.25">
      <c r="A2621" t="s">
        <v>1705</v>
      </c>
      <c r="B2621" t="s">
        <v>1713</v>
      </c>
      <c r="C2621" t="s">
        <v>1731</v>
      </c>
      <c r="D2621" s="1" t="s">
        <v>1732</v>
      </c>
      <c r="E2621" t="s">
        <v>1733</v>
      </c>
      <c r="F2621">
        <v>57.736400000000003</v>
      </c>
      <c r="G2621">
        <v>10.6317</v>
      </c>
      <c r="H2621">
        <v>1</v>
      </c>
      <c r="I2621">
        <v>5</v>
      </c>
      <c r="J2621" t="str">
        <f>HYPERLINK("https://climate.onebuilding.org/WMO_Region_6_Europe/DNK_Denmark/ND_North_Jutland/DNK_ND_Skagen.Lighthouse.060410_TMYx.2004-2018.zip")</f>
        <v>https://climate.onebuilding.org/WMO_Region_6_Europe/DNK_Denmark/ND_North_Jutland/DNK_ND_Skagen.Lighthouse.060410_TMYx.2004-2018.zip</v>
      </c>
    </row>
    <row r="2622" spans="1:10" x14ac:dyDescent="0.25">
      <c r="A2622" t="s">
        <v>1705</v>
      </c>
      <c r="B2622" t="s">
        <v>1713</v>
      </c>
      <c r="C2622" t="s">
        <v>1731</v>
      </c>
      <c r="D2622" s="1" t="s">
        <v>1732</v>
      </c>
      <c r="E2622" t="s">
        <v>14</v>
      </c>
      <c r="F2622">
        <v>57.736400000000003</v>
      </c>
      <c r="G2622">
        <v>10.6317</v>
      </c>
      <c r="H2622">
        <v>1</v>
      </c>
      <c r="I2622">
        <v>5</v>
      </c>
      <c r="J2622" t="str">
        <f>HYPERLINK("https://climate.onebuilding.org/WMO_Region_6_Europe/DNK_Denmark/ND_North_Jutland/DNK_ND_Skagen.Lighthouse.060410_TMYx.2007-2021.zip")</f>
        <v>https://climate.onebuilding.org/WMO_Region_6_Europe/DNK_Denmark/ND_North_Jutland/DNK_ND_Skagen.Lighthouse.060410_TMYx.2007-2021.zip</v>
      </c>
    </row>
    <row r="2623" spans="1:10" x14ac:dyDescent="0.25">
      <c r="A2623" t="s">
        <v>1705</v>
      </c>
      <c r="B2623" t="s">
        <v>1713</v>
      </c>
      <c r="C2623" t="s">
        <v>1731</v>
      </c>
      <c r="D2623" s="1" t="s">
        <v>1732</v>
      </c>
      <c r="E2623" t="s">
        <v>14</v>
      </c>
      <c r="F2623">
        <v>57.736400000000003</v>
      </c>
      <c r="G2623">
        <v>10.6317</v>
      </c>
      <c r="H2623">
        <v>1</v>
      </c>
      <c r="I2623">
        <v>5</v>
      </c>
      <c r="J2623" t="str">
        <f>HYPERLINK("https://climate.onebuilding.org/WMO_Region_6_Europe/DNK_Denmark/ND_North_Jutland/DNK_ND_Skagen.Lighthouse.060410_TMYx.2009-2023.zip")</f>
        <v>https://climate.onebuilding.org/WMO_Region_6_Europe/DNK_Denmark/ND_North_Jutland/DNK_ND_Skagen.Lighthouse.060410_TMYx.2009-2023.zip</v>
      </c>
    </row>
    <row r="2624" spans="1:10" x14ac:dyDescent="0.25">
      <c r="A2624" t="s">
        <v>1705</v>
      </c>
      <c r="B2624" t="s">
        <v>1713</v>
      </c>
      <c r="C2624" t="s">
        <v>1731</v>
      </c>
      <c r="D2624" s="1" t="s">
        <v>1732</v>
      </c>
      <c r="E2624" t="s">
        <v>14</v>
      </c>
      <c r="F2624">
        <v>57.736400000000003</v>
      </c>
      <c r="G2624">
        <v>10.6317</v>
      </c>
      <c r="H2624">
        <v>1</v>
      </c>
      <c r="I2624">
        <v>5</v>
      </c>
      <c r="J2624" t="str">
        <f>HYPERLINK("https://climate.onebuilding.org/WMO_Region_6_Europe/DNK_Denmark/ND_North_Jutland/DNK_ND_Skagen.Lighthouse.060410_TMYx.zip")</f>
        <v>https://climate.onebuilding.org/WMO_Region_6_Europe/DNK_Denmark/ND_North_Jutland/DNK_ND_Skagen.Lighthouse.060410_TMYx.zip</v>
      </c>
    </row>
    <row r="2625" spans="1:10" x14ac:dyDescent="0.25">
      <c r="A2625" t="s">
        <v>1705</v>
      </c>
      <c r="B2625" t="s">
        <v>1713</v>
      </c>
      <c r="C2625" t="s">
        <v>1734</v>
      </c>
      <c r="D2625" s="1" t="s">
        <v>1735</v>
      </c>
      <c r="E2625" t="s">
        <v>14</v>
      </c>
      <c r="F2625">
        <v>57.408200000000001</v>
      </c>
      <c r="G2625">
        <v>10.5184</v>
      </c>
      <c r="H2625">
        <v>1</v>
      </c>
      <c r="I2625">
        <v>80</v>
      </c>
      <c r="J2625" t="str">
        <f>HYPERLINK("https://climate.onebuilding.org/WMO_Region_6_Europe/DNK_Denmark/ND_North_Jutland/DNK_ND_Frederikshavn.060430_TMYx.zip")</f>
        <v>https://climate.onebuilding.org/WMO_Region_6_Europe/DNK_Denmark/ND_North_Jutland/DNK_ND_Frederikshavn.060430_TMYx.zip</v>
      </c>
    </row>
    <row r="2626" spans="1:10" x14ac:dyDescent="0.25">
      <c r="A2626" t="s">
        <v>1705</v>
      </c>
      <c r="B2626" t="s">
        <v>1713</v>
      </c>
      <c r="C2626" t="s">
        <v>1736</v>
      </c>
      <c r="D2626" s="1" t="s">
        <v>1737</v>
      </c>
      <c r="E2626" t="s">
        <v>14</v>
      </c>
      <c r="F2626">
        <v>56.990299999999998</v>
      </c>
      <c r="G2626">
        <v>10.3089</v>
      </c>
      <c r="H2626">
        <v>1</v>
      </c>
      <c r="I2626">
        <v>16</v>
      </c>
      <c r="J2626" t="str">
        <f>HYPERLINK("https://climate.onebuilding.org/WMO_Region_6_Europe/DNK_Denmark/ND_North_Jutland/DNK_ND_Hals.060440_TMYx.zip")</f>
        <v>https://climate.onebuilding.org/WMO_Region_6_Europe/DNK_Denmark/ND_North_Jutland/DNK_ND_Hals.060440_TMYx.zip</v>
      </c>
    </row>
    <row r="2627" spans="1:10" x14ac:dyDescent="0.25">
      <c r="A2627" t="s">
        <v>1705</v>
      </c>
      <c r="B2627" t="s">
        <v>1713</v>
      </c>
      <c r="C2627" t="s">
        <v>1738</v>
      </c>
      <c r="D2627" s="1" t="s">
        <v>1739</v>
      </c>
      <c r="E2627" t="s">
        <v>14</v>
      </c>
      <c r="F2627">
        <v>57.267000000000003</v>
      </c>
      <c r="G2627">
        <v>10.317</v>
      </c>
      <c r="H2627">
        <v>1</v>
      </c>
      <c r="I2627">
        <v>16</v>
      </c>
      <c r="J2627" t="str">
        <f>HYPERLINK("https://climate.onebuilding.org/WMO_Region_6_Europe/DNK_Denmark/ND_North_Jutland/DNK_ND_Dybvad.060450_TMYx.zip")</f>
        <v>https://climate.onebuilding.org/WMO_Region_6_Europe/DNK_Denmark/ND_North_Jutland/DNK_ND_Dybvad.060450_TMYx.zip</v>
      </c>
    </row>
    <row r="2628" spans="1:10" x14ac:dyDescent="0.25">
      <c r="A2628" t="s">
        <v>1705</v>
      </c>
      <c r="B2628" t="s">
        <v>1713</v>
      </c>
      <c r="C2628" t="s">
        <v>1740</v>
      </c>
      <c r="D2628" s="1" t="s">
        <v>1741</v>
      </c>
      <c r="E2628" t="s">
        <v>14</v>
      </c>
      <c r="F2628">
        <v>57.466999999999999</v>
      </c>
      <c r="G2628">
        <v>11.417</v>
      </c>
      <c r="H2628">
        <v>1</v>
      </c>
      <c r="I2628">
        <v>1</v>
      </c>
      <c r="J2628" t="str">
        <f>HYPERLINK("https://climate.onebuilding.org/WMO_Region_6_Europe/DNK_Denmark/ND_North_Jutland/DNK_ND_Laeso.Trindel.Reef.060470_TMYx.zip")</f>
        <v>https://climate.onebuilding.org/WMO_Region_6_Europe/DNK_Denmark/ND_North_Jutland/DNK_ND_Laeso.Trindel.Reef.060470_TMYx.zip</v>
      </c>
    </row>
    <row r="2629" spans="1:10" x14ac:dyDescent="0.25">
      <c r="A2629" t="s">
        <v>1705</v>
      </c>
      <c r="B2629" t="s">
        <v>1713</v>
      </c>
      <c r="C2629" t="s">
        <v>1742</v>
      </c>
      <c r="D2629" s="1" t="s">
        <v>1743</v>
      </c>
      <c r="E2629" t="s">
        <v>14</v>
      </c>
      <c r="F2629">
        <v>56.716999999999999</v>
      </c>
      <c r="G2629">
        <v>10.117000000000001</v>
      </c>
      <c r="H2629">
        <v>1</v>
      </c>
      <c r="I2629">
        <v>2</v>
      </c>
      <c r="J2629" t="str">
        <f>HYPERLINK("https://climate.onebuilding.org/WMO_Region_6_Europe/DNK_Denmark/ND_North_Jutland/DNK_ND_Hadsund.060480_TMYx.zip")</f>
        <v>https://climate.onebuilding.org/WMO_Region_6_Europe/DNK_Denmark/ND_North_Jutland/DNK_ND_Hadsund.060480_TMYx.zip</v>
      </c>
    </row>
    <row r="2630" spans="1:10" x14ac:dyDescent="0.25">
      <c r="A2630" t="s">
        <v>1705</v>
      </c>
      <c r="B2630" t="s">
        <v>1709</v>
      </c>
      <c r="C2630" t="s">
        <v>1744</v>
      </c>
      <c r="D2630" s="1" t="s">
        <v>1745</v>
      </c>
      <c r="E2630" t="s">
        <v>1746</v>
      </c>
      <c r="F2630">
        <v>56.560600000000001</v>
      </c>
      <c r="G2630">
        <v>10.0928</v>
      </c>
      <c r="H2630">
        <v>1</v>
      </c>
      <c r="I2630">
        <v>89.2</v>
      </c>
      <c r="J2630" t="str">
        <f>HYPERLINK("https://climate.onebuilding.org/WMO_Region_6_Europe/DNK_Denmark/MJ_Central_Jutland/DNK_MJ_Hald.Vest.060490_TMYx.2004-2018.zip")</f>
        <v>https://climate.onebuilding.org/WMO_Region_6_Europe/DNK_Denmark/MJ_Central_Jutland/DNK_MJ_Hald.Vest.060490_TMYx.2004-2018.zip</v>
      </c>
    </row>
    <row r="2631" spans="1:10" x14ac:dyDescent="0.25">
      <c r="A2631" t="s">
        <v>1705</v>
      </c>
      <c r="B2631" t="s">
        <v>1709</v>
      </c>
      <c r="C2631" t="s">
        <v>1744</v>
      </c>
      <c r="D2631" s="1" t="s">
        <v>1745</v>
      </c>
      <c r="E2631" t="s">
        <v>14</v>
      </c>
      <c r="F2631">
        <v>56.560600000000001</v>
      </c>
      <c r="G2631">
        <v>10.0928</v>
      </c>
      <c r="H2631">
        <v>1</v>
      </c>
      <c r="I2631">
        <v>89.2</v>
      </c>
      <c r="J2631" t="str">
        <f>HYPERLINK("https://climate.onebuilding.org/WMO_Region_6_Europe/DNK_Denmark/MJ_Central_Jutland/DNK_MJ_Hald.Vest.060490_TMYx.2007-2021.zip")</f>
        <v>https://climate.onebuilding.org/WMO_Region_6_Europe/DNK_Denmark/MJ_Central_Jutland/DNK_MJ_Hald.Vest.060490_TMYx.2007-2021.zip</v>
      </c>
    </row>
    <row r="2632" spans="1:10" x14ac:dyDescent="0.25">
      <c r="A2632" t="s">
        <v>1705</v>
      </c>
      <c r="B2632" t="s">
        <v>1709</v>
      </c>
      <c r="C2632" t="s">
        <v>1744</v>
      </c>
      <c r="D2632" s="1" t="s">
        <v>1745</v>
      </c>
      <c r="E2632" t="s">
        <v>14</v>
      </c>
      <c r="F2632">
        <v>56.560600000000001</v>
      </c>
      <c r="G2632">
        <v>10.0928</v>
      </c>
      <c r="H2632">
        <v>1</v>
      </c>
      <c r="I2632">
        <v>89.2</v>
      </c>
      <c r="J2632" t="str">
        <f>HYPERLINK("https://climate.onebuilding.org/WMO_Region_6_Europe/DNK_Denmark/MJ_Central_Jutland/DNK_MJ_Hald.Vest.060490_TMYx.2009-2023.zip")</f>
        <v>https://climate.onebuilding.org/WMO_Region_6_Europe/DNK_Denmark/MJ_Central_Jutland/DNK_MJ_Hald.Vest.060490_TMYx.2009-2023.zip</v>
      </c>
    </row>
    <row r="2633" spans="1:10" x14ac:dyDescent="0.25">
      <c r="A2633" t="s">
        <v>1705</v>
      </c>
      <c r="B2633" t="s">
        <v>1709</v>
      </c>
      <c r="C2633" t="s">
        <v>1744</v>
      </c>
      <c r="D2633" s="1" t="s">
        <v>1745</v>
      </c>
      <c r="E2633" t="s">
        <v>14</v>
      </c>
      <c r="F2633">
        <v>56.560600000000001</v>
      </c>
      <c r="G2633">
        <v>10.0928</v>
      </c>
      <c r="H2633">
        <v>1</v>
      </c>
      <c r="I2633">
        <v>89.2</v>
      </c>
      <c r="J2633" t="str">
        <f>HYPERLINK("https://climate.onebuilding.org/WMO_Region_6_Europe/DNK_Denmark/MJ_Central_Jutland/DNK_MJ_Hald.Vest.060490_TMYx.zip")</f>
        <v>https://climate.onebuilding.org/WMO_Region_6_Europe/DNK_Denmark/MJ_Central_Jutland/DNK_MJ_Hald.Vest.060490_TMYx.zip</v>
      </c>
    </row>
    <row r="2634" spans="1:10" x14ac:dyDescent="0.25">
      <c r="A2634" t="s">
        <v>1705</v>
      </c>
      <c r="B2634" t="s">
        <v>1709</v>
      </c>
      <c r="C2634" t="s">
        <v>1747</v>
      </c>
      <c r="D2634" s="1" t="s">
        <v>1748</v>
      </c>
      <c r="E2634" t="s">
        <v>1749</v>
      </c>
      <c r="F2634">
        <v>56.706699999999998</v>
      </c>
      <c r="G2634">
        <v>8.2149999999999999</v>
      </c>
      <c r="H2634">
        <v>1</v>
      </c>
      <c r="I2634">
        <v>4</v>
      </c>
      <c r="J2634" t="str">
        <f>HYPERLINK("https://climate.onebuilding.org/WMO_Region_6_Europe/DNK_Denmark/MJ_Central_Jutland/DNK_MJ_Thyboron.060520_TMYx.2004-2018.zip")</f>
        <v>https://climate.onebuilding.org/WMO_Region_6_Europe/DNK_Denmark/MJ_Central_Jutland/DNK_MJ_Thyboron.060520_TMYx.2004-2018.zip</v>
      </c>
    </row>
    <row r="2635" spans="1:10" x14ac:dyDescent="0.25">
      <c r="A2635" t="s">
        <v>1705</v>
      </c>
      <c r="B2635" t="s">
        <v>1709</v>
      </c>
      <c r="C2635" t="s">
        <v>1747</v>
      </c>
      <c r="D2635" s="1" t="s">
        <v>1748</v>
      </c>
      <c r="E2635" t="s">
        <v>14</v>
      </c>
      <c r="F2635">
        <v>56.706699999999998</v>
      </c>
      <c r="G2635">
        <v>8.2149999999999999</v>
      </c>
      <c r="H2635">
        <v>1</v>
      </c>
      <c r="I2635">
        <v>4</v>
      </c>
      <c r="J2635" t="str">
        <f>HYPERLINK("https://climate.onebuilding.org/WMO_Region_6_Europe/DNK_Denmark/MJ_Central_Jutland/DNK_MJ_Thyboron.060520_TMYx.2007-2021.zip")</f>
        <v>https://climate.onebuilding.org/WMO_Region_6_Europe/DNK_Denmark/MJ_Central_Jutland/DNK_MJ_Thyboron.060520_TMYx.2007-2021.zip</v>
      </c>
    </row>
    <row r="2636" spans="1:10" x14ac:dyDescent="0.25">
      <c r="A2636" t="s">
        <v>1705</v>
      </c>
      <c r="B2636" t="s">
        <v>1709</v>
      </c>
      <c r="C2636" t="s">
        <v>1747</v>
      </c>
      <c r="D2636" s="1" t="s">
        <v>1748</v>
      </c>
      <c r="E2636" t="s">
        <v>14</v>
      </c>
      <c r="F2636">
        <v>56.706699999999998</v>
      </c>
      <c r="G2636">
        <v>8.2149999999999999</v>
      </c>
      <c r="H2636">
        <v>1</v>
      </c>
      <c r="I2636">
        <v>4</v>
      </c>
      <c r="J2636" t="str">
        <f>HYPERLINK("https://climate.onebuilding.org/WMO_Region_6_Europe/DNK_Denmark/MJ_Central_Jutland/DNK_MJ_Thyboron.060520_TMYx.2009-2023.zip")</f>
        <v>https://climate.onebuilding.org/WMO_Region_6_Europe/DNK_Denmark/MJ_Central_Jutland/DNK_MJ_Thyboron.060520_TMYx.2009-2023.zip</v>
      </c>
    </row>
    <row r="2637" spans="1:10" x14ac:dyDescent="0.25">
      <c r="A2637" t="s">
        <v>1705</v>
      </c>
      <c r="B2637" t="s">
        <v>1709</v>
      </c>
      <c r="C2637" t="s">
        <v>1747</v>
      </c>
      <c r="D2637" s="1" t="s">
        <v>1748</v>
      </c>
      <c r="E2637" t="s">
        <v>14</v>
      </c>
      <c r="F2637">
        <v>56.706699999999998</v>
      </c>
      <c r="G2637">
        <v>8.2149999999999999</v>
      </c>
      <c r="H2637">
        <v>1</v>
      </c>
      <c r="I2637">
        <v>4</v>
      </c>
      <c r="J2637" t="str">
        <f>HYPERLINK("https://climate.onebuilding.org/WMO_Region_6_Europe/DNK_Denmark/MJ_Central_Jutland/DNK_MJ_Thyboron.060520_TMYx.zip")</f>
        <v>https://climate.onebuilding.org/WMO_Region_6_Europe/DNK_Denmark/MJ_Central_Jutland/DNK_MJ_Thyboron.060520_TMYx.zip</v>
      </c>
    </row>
    <row r="2638" spans="1:10" x14ac:dyDescent="0.25">
      <c r="A2638" t="s">
        <v>1705</v>
      </c>
      <c r="B2638" t="s">
        <v>1713</v>
      </c>
      <c r="C2638" t="s">
        <v>1750</v>
      </c>
      <c r="D2638" s="1" t="s">
        <v>1751</v>
      </c>
      <c r="E2638" t="s">
        <v>14</v>
      </c>
      <c r="F2638">
        <v>57.004899999999999</v>
      </c>
      <c r="G2638">
        <v>9.2828999999999997</v>
      </c>
      <c r="H2638">
        <v>1</v>
      </c>
      <c r="I2638">
        <v>6</v>
      </c>
      <c r="J2638" t="str">
        <f>HYPERLINK("https://climate.onebuilding.org/WMO_Region_6_Europe/DNK_Denmark/ND_North_Jutland/DNK_ND_Aggersund.060530_TMYx.zip")</f>
        <v>https://climate.onebuilding.org/WMO_Region_6_Europe/DNK_Denmark/ND_North_Jutland/DNK_ND_Aggersund.060530_TMYx.zip</v>
      </c>
    </row>
    <row r="2639" spans="1:10" x14ac:dyDescent="0.25">
      <c r="A2639" t="s">
        <v>1705</v>
      </c>
      <c r="B2639" t="s">
        <v>1709</v>
      </c>
      <c r="C2639" t="s">
        <v>1752</v>
      </c>
      <c r="D2639" s="1" t="s">
        <v>1753</v>
      </c>
      <c r="E2639" t="s">
        <v>14</v>
      </c>
      <c r="F2639">
        <v>56.395699999999998</v>
      </c>
      <c r="G2639">
        <v>8.4429999999999996</v>
      </c>
      <c r="H2639">
        <v>1</v>
      </c>
      <c r="I2639">
        <v>15</v>
      </c>
      <c r="J2639" t="str">
        <f>HYPERLINK("https://climate.onebuilding.org/WMO_Region_6_Europe/DNK_Denmark/MJ_Central_Jutland/DNK_MJ_Lindtorp.AP.060540_TMYx.zip")</f>
        <v>https://climate.onebuilding.org/WMO_Region_6_Europe/DNK_Denmark/MJ_Central_Jutland/DNK_MJ_Lindtorp.AP.060540_TMYx.zip</v>
      </c>
    </row>
    <row r="2640" spans="1:10" x14ac:dyDescent="0.25">
      <c r="A2640" t="s">
        <v>1705</v>
      </c>
      <c r="B2640" t="s">
        <v>1709</v>
      </c>
      <c r="C2640" t="s">
        <v>1754</v>
      </c>
      <c r="D2640" s="1" t="s">
        <v>1755</v>
      </c>
      <c r="E2640" t="s">
        <v>1756</v>
      </c>
      <c r="F2640">
        <v>56.383000000000003</v>
      </c>
      <c r="G2640">
        <v>8.6702999999999992</v>
      </c>
      <c r="H2640">
        <v>1</v>
      </c>
      <c r="I2640">
        <v>54.6</v>
      </c>
      <c r="J2640" t="str">
        <f>HYPERLINK("https://climate.onebuilding.org/WMO_Region_6_Europe/DNK_Denmark/MJ_Central_Jutland/DNK_MJ_Mejrup.060560_TMYx.2004-2018.zip")</f>
        <v>https://climate.onebuilding.org/WMO_Region_6_Europe/DNK_Denmark/MJ_Central_Jutland/DNK_MJ_Mejrup.060560_TMYx.2004-2018.zip</v>
      </c>
    </row>
    <row r="2641" spans="1:10" x14ac:dyDescent="0.25">
      <c r="A2641" t="s">
        <v>1705</v>
      </c>
      <c r="B2641" t="s">
        <v>1709</v>
      </c>
      <c r="C2641" t="s">
        <v>1754</v>
      </c>
      <c r="D2641" s="1" t="s">
        <v>1755</v>
      </c>
      <c r="E2641" t="s">
        <v>14</v>
      </c>
      <c r="F2641">
        <v>56.383000000000003</v>
      </c>
      <c r="G2641">
        <v>8.6702999999999992</v>
      </c>
      <c r="H2641">
        <v>1</v>
      </c>
      <c r="I2641">
        <v>54.6</v>
      </c>
      <c r="J2641" t="str">
        <f>HYPERLINK("https://climate.onebuilding.org/WMO_Region_6_Europe/DNK_Denmark/MJ_Central_Jutland/DNK_MJ_Mejrup.060560_TMYx.2007-2021.zip")</f>
        <v>https://climate.onebuilding.org/WMO_Region_6_Europe/DNK_Denmark/MJ_Central_Jutland/DNK_MJ_Mejrup.060560_TMYx.2007-2021.zip</v>
      </c>
    </row>
    <row r="2642" spans="1:10" x14ac:dyDescent="0.25">
      <c r="A2642" t="s">
        <v>1705</v>
      </c>
      <c r="B2642" t="s">
        <v>1709</v>
      </c>
      <c r="C2642" t="s">
        <v>1754</v>
      </c>
      <c r="D2642" s="1" t="s">
        <v>1755</v>
      </c>
      <c r="E2642" t="s">
        <v>14</v>
      </c>
      <c r="F2642">
        <v>56.383000000000003</v>
      </c>
      <c r="G2642">
        <v>8.6702999999999992</v>
      </c>
      <c r="H2642">
        <v>1</v>
      </c>
      <c r="I2642">
        <v>54.6</v>
      </c>
      <c r="J2642" t="str">
        <f>HYPERLINK("https://climate.onebuilding.org/WMO_Region_6_Europe/DNK_Denmark/MJ_Central_Jutland/DNK_MJ_Mejrup.060560_TMYx.2009-2023.zip")</f>
        <v>https://climate.onebuilding.org/WMO_Region_6_Europe/DNK_Denmark/MJ_Central_Jutland/DNK_MJ_Mejrup.060560_TMYx.2009-2023.zip</v>
      </c>
    </row>
    <row r="2643" spans="1:10" x14ac:dyDescent="0.25">
      <c r="A2643" t="s">
        <v>1705</v>
      </c>
      <c r="B2643" t="s">
        <v>1709</v>
      </c>
      <c r="C2643" t="s">
        <v>1754</v>
      </c>
      <c r="D2643" s="1" t="s">
        <v>1755</v>
      </c>
      <c r="E2643" t="s">
        <v>14</v>
      </c>
      <c r="F2643">
        <v>56.383000000000003</v>
      </c>
      <c r="G2643">
        <v>8.6702999999999992</v>
      </c>
      <c r="H2643">
        <v>1</v>
      </c>
      <c r="I2643">
        <v>54.6</v>
      </c>
      <c r="J2643" t="str">
        <f>HYPERLINK("https://climate.onebuilding.org/WMO_Region_6_Europe/DNK_Denmark/MJ_Central_Jutland/DNK_MJ_Mejrup.060560_TMYx.zip")</f>
        <v>https://climate.onebuilding.org/WMO_Region_6_Europe/DNK_Denmark/MJ_Central_Jutland/DNK_MJ_Mejrup.060560_TMYx.zip</v>
      </c>
    </row>
    <row r="2644" spans="1:10" x14ac:dyDescent="0.25">
      <c r="A2644" t="s">
        <v>1705</v>
      </c>
      <c r="B2644" t="s">
        <v>1709</v>
      </c>
      <c r="C2644" t="s">
        <v>1757</v>
      </c>
      <c r="D2644" s="1" t="s">
        <v>1758</v>
      </c>
      <c r="E2644" t="s">
        <v>1759</v>
      </c>
      <c r="F2644">
        <v>56.007199999999997</v>
      </c>
      <c r="G2644">
        <v>8.1410999999999998</v>
      </c>
      <c r="H2644">
        <v>1</v>
      </c>
      <c r="I2644">
        <v>5</v>
      </c>
      <c r="J2644" t="str">
        <f>HYPERLINK("https://climate.onebuilding.org/WMO_Region_6_Europe/DNK_Denmark/MJ_Central_Jutland/DNK_MJ_Hvide.Sande.060580_TMYx.2004-2018.zip")</f>
        <v>https://climate.onebuilding.org/WMO_Region_6_Europe/DNK_Denmark/MJ_Central_Jutland/DNK_MJ_Hvide.Sande.060580_TMYx.2004-2018.zip</v>
      </c>
    </row>
    <row r="2645" spans="1:10" x14ac:dyDescent="0.25">
      <c r="A2645" t="s">
        <v>1705</v>
      </c>
      <c r="B2645" t="s">
        <v>1709</v>
      </c>
      <c r="C2645" t="s">
        <v>1757</v>
      </c>
      <c r="D2645" s="1" t="s">
        <v>1758</v>
      </c>
      <c r="E2645" t="s">
        <v>14</v>
      </c>
      <c r="F2645">
        <v>56.007199999999997</v>
      </c>
      <c r="G2645">
        <v>8.1410999999999998</v>
      </c>
      <c r="H2645">
        <v>1</v>
      </c>
      <c r="I2645">
        <v>5</v>
      </c>
      <c r="J2645" t="str">
        <f>HYPERLINK("https://climate.onebuilding.org/WMO_Region_6_Europe/DNK_Denmark/MJ_Central_Jutland/DNK_MJ_Hvide.Sande.060580_TMYx.2007-2021.zip")</f>
        <v>https://climate.onebuilding.org/WMO_Region_6_Europe/DNK_Denmark/MJ_Central_Jutland/DNK_MJ_Hvide.Sande.060580_TMYx.2007-2021.zip</v>
      </c>
    </row>
    <row r="2646" spans="1:10" x14ac:dyDescent="0.25">
      <c r="A2646" t="s">
        <v>1705</v>
      </c>
      <c r="B2646" t="s">
        <v>1709</v>
      </c>
      <c r="C2646" t="s">
        <v>1757</v>
      </c>
      <c r="D2646" s="1" t="s">
        <v>1758</v>
      </c>
      <c r="E2646" t="s">
        <v>14</v>
      </c>
      <c r="F2646">
        <v>56.007199999999997</v>
      </c>
      <c r="G2646">
        <v>8.1410999999999998</v>
      </c>
      <c r="H2646">
        <v>1</v>
      </c>
      <c r="I2646">
        <v>5</v>
      </c>
      <c r="J2646" t="str">
        <f>HYPERLINK("https://climate.onebuilding.org/WMO_Region_6_Europe/DNK_Denmark/MJ_Central_Jutland/DNK_MJ_Hvide.Sande.060580_TMYx.2009-2023.zip")</f>
        <v>https://climate.onebuilding.org/WMO_Region_6_Europe/DNK_Denmark/MJ_Central_Jutland/DNK_MJ_Hvide.Sande.060580_TMYx.2009-2023.zip</v>
      </c>
    </row>
    <row r="2647" spans="1:10" x14ac:dyDescent="0.25">
      <c r="A2647" t="s">
        <v>1705</v>
      </c>
      <c r="B2647" t="s">
        <v>1709</v>
      </c>
      <c r="C2647" t="s">
        <v>1757</v>
      </c>
      <c r="D2647" s="1" t="s">
        <v>1758</v>
      </c>
      <c r="E2647" t="s">
        <v>14</v>
      </c>
      <c r="F2647">
        <v>56.007199999999997</v>
      </c>
      <c r="G2647">
        <v>8.1410999999999998</v>
      </c>
      <c r="H2647">
        <v>1</v>
      </c>
      <c r="I2647">
        <v>5</v>
      </c>
      <c r="J2647" t="str">
        <f>HYPERLINK("https://climate.onebuilding.org/WMO_Region_6_Europe/DNK_Denmark/MJ_Central_Jutland/DNK_MJ_Hvide.Sande.060580_TMYx.zip")</f>
        <v>https://climate.onebuilding.org/WMO_Region_6_Europe/DNK_Denmark/MJ_Central_Jutland/DNK_MJ_Hvide.Sande.060580_TMYx.zip</v>
      </c>
    </row>
    <row r="2648" spans="1:10" x14ac:dyDescent="0.25">
      <c r="A2648" t="s">
        <v>1705</v>
      </c>
      <c r="B2648" t="s">
        <v>1709</v>
      </c>
      <c r="C2648" t="s">
        <v>1760</v>
      </c>
      <c r="D2648" s="1" t="s">
        <v>1761</v>
      </c>
      <c r="E2648" t="s">
        <v>14</v>
      </c>
      <c r="F2648">
        <v>56.049599999999998</v>
      </c>
      <c r="G2648">
        <v>8.1036999999999999</v>
      </c>
      <c r="H2648">
        <v>1</v>
      </c>
      <c r="I2648">
        <v>10</v>
      </c>
      <c r="J2648" t="str">
        <f>HYPERLINK("https://climate.onebuilding.org/WMO_Region_6_Europe/DNK_Denmark/MJ_Central_Jutland/DNK_MJ_Lyngvig.Lighthouse.060590_TMYx.zip")</f>
        <v>https://climate.onebuilding.org/WMO_Region_6_Europe/DNK_Denmark/MJ_Central_Jutland/DNK_MJ_Lyngvig.Lighthouse.060590_TMYx.zip</v>
      </c>
    </row>
    <row r="2649" spans="1:10" x14ac:dyDescent="0.25">
      <c r="A2649" t="s">
        <v>1705</v>
      </c>
      <c r="B2649" t="s">
        <v>1709</v>
      </c>
      <c r="C2649" t="s">
        <v>1762</v>
      </c>
      <c r="D2649" s="1" t="s">
        <v>1763</v>
      </c>
      <c r="E2649" t="s">
        <v>1764</v>
      </c>
      <c r="F2649">
        <v>56.293300000000002</v>
      </c>
      <c r="G2649">
        <v>9.1138999999999992</v>
      </c>
      <c r="H2649">
        <v>1</v>
      </c>
      <c r="I2649">
        <v>53</v>
      </c>
      <c r="J2649" t="str">
        <f>HYPERLINK("https://climate.onebuilding.org/WMO_Region_6_Europe/DNK_Denmark/MJ_Central_Jutland/DNK_MJ_Karup-Midtjyllands.AP.060600_TMYx.2004-2018.zip")</f>
        <v>https://climate.onebuilding.org/WMO_Region_6_Europe/DNK_Denmark/MJ_Central_Jutland/DNK_MJ_Karup-Midtjyllands.AP.060600_TMYx.2004-2018.zip</v>
      </c>
    </row>
    <row r="2650" spans="1:10" x14ac:dyDescent="0.25">
      <c r="A2650" t="s">
        <v>1705</v>
      </c>
      <c r="B2650" t="s">
        <v>1709</v>
      </c>
      <c r="C2650" t="s">
        <v>1762</v>
      </c>
      <c r="D2650" s="1" t="s">
        <v>1763</v>
      </c>
      <c r="E2650" t="s">
        <v>14</v>
      </c>
      <c r="F2650">
        <v>56.293300000000002</v>
      </c>
      <c r="G2650">
        <v>9.1138999999999992</v>
      </c>
      <c r="H2650">
        <v>1</v>
      </c>
      <c r="I2650">
        <v>53</v>
      </c>
      <c r="J2650" t="str">
        <f>HYPERLINK("https://climate.onebuilding.org/WMO_Region_6_Europe/DNK_Denmark/MJ_Central_Jutland/DNK_MJ_Karup-Midtjyllands.AP.060600_TMYx.2007-2021.zip")</f>
        <v>https://climate.onebuilding.org/WMO_Region_6_Europe/DNK_Denmark/MJ_Central_Jutland/DNK_MJ_Karup-Midtjyllands.AP.060600_TMYx.2007-2021.zip</v>
      </c>
    </row>
    <row r="2651" spans="1:10" x14ac:dyDescent="0.25">
      <c r="A2651" t="s">
        <v>1705</v>
      </c>
      <c r="B2651" t="s">
        <v>1709</v>
      </c>
      <c r="C2651" t="s">
        <v>1762</v>
      </c>
      <c r="D2651" s="1" t="s">
        <v>1763</v>
      </c>
      <c r="E2651" t="s">
        <v>14</v>
      </c>
      <c r="F2651">
        <v>56.293300000000002</v>
      </c>
      <c r="G2651">
        <v>9.1138999999999992</v>
      </c>
      <c r="H2651">
        <v>1</v>
      </c>
      <c r="I2651">
        <v>53</v>
      </c>
      <c r="J2651" t="str">
        <f>HYPERLINK("https://climate.onebuilding.org/WMO_Region_6_Europe/DNK_Denmark/MJ_Central_Jutland/DNK_MJ_Karup-Midtjyllands.AP.060600_TMYx.2009-2023.zip")</f>
        <v>https://climate.onebuilding.org/WMO_Region_6_Europe/DNK_Denmark/MJ_Central_Jutland/DNK_MJ_Karup-Midtjyllands.AP.060600_TMYx.2009-2023.zip</v>
      </c>
    </row>
    <row r="2652" spans="1:10" x14ac:dyDescent="0.25">
      <c r="A2652" t="s">
        <v>1705</v>
      </c>
      <c r="B2652" t="s">
        <v>1709</v>
      </c>
      <c r="C2652" t="s">
        <v>1762</v>
      </c>
      <c r="D2652" s="1" t="s">
        <v>1763</v>
      </c>
      <c r="E2652" t="s">
        <v>14</v>
      </c>
      <c r="F2652">
        <v>56.293300000000002</v>
      </c>
      <c r="G2652">
        <v>9.1138999999999992</v>
      </c>
      <c r="H2652">
        <v>1</v>
      </c>
      <c r="I2652">
        <v>53</v>
      </c>
      <c r="J2652" t="str">
        <f>HYPERLINK("https://climate.onebuilding.org/WMO_Region_6_Europe/DNK_Denmark/MJ_Central_Jutland/DNK_MJ_Karup-Midtjyllands.AP.060600_TMYx.zip")</f>
        <v>https://climate.onebuilding.org/WMO_Region_6_Europe/DNK_Denmark/MJ_Central_Jutland/DNK_MJ_Karup-Midtjyllands.AP.060600_TMYx.zip</v>
      </c>
    </row>
    <row r="2653" spans="1:10" x14ac:dyDescent="0.25">
      <c r="A2653" t="s">
        <v>1705</v>
      </c>
      <c r="B2653" t="s">
        <v>1709</v>
      </c>
      <c r="C2653" t="s">
        <v>1765</v>
      </c>
      <c r="D2653" s="1" t="s">
        <v>1766</v>
      </c>
      <c r="E2653" t="s">
        <v>14</v>
      </c>
      <c r="F2653">
        <v>56.55</v>
      </c>
      <c r="G2653">
        <v>9.173</v>
      </c>
      <c r="H2653">
        <v>1</v>
      </c>
      <c r="I2653">
        <v>22.6</v>
      </c>
      <c r="J2653" t="str">
        <f>HYPERLINK("https://climate.onebuilding.org/WMO_Region_6_Europe/DNK_Denmark/MJ_Central_Jutland/DNK_MJ_Skive.AP.060620_TMYx.zip")</f>
        <v>https://climate.onebuilding.org/WMO_Region_6_Europe/DNK_Denmark/MJ_Central_Jutland/DNK_MJ_Skive.AP.060620_TMYx.zip</v>
      </c>
    </row>
    <row r="2654" spans="1:10" x14ac:dyDescent="0.25">
      <c r="A2654" t="s">
        <v>1705</v>
      </c>
      <c r="B2654" t="s">
        <v>1713</v>
      </c>
      <c r="C2654" t="s">
        <v>1767</v>
      </c>
      <c r="D2654" s="1" t="s">
        <v>1768</v>
      </c>
      <c r="E2654" t="s">
        <v>1769</v>
      </c>
      <c r="F2654">
        <v>56.755800000000001</v>
      </c>
      <c r="G2654">
        <v>9.5067000000000004</v>
      </c>
      <c r="H2654">
        <v>1</v>
      </c>
      <c r="I2654">
        <v>33</v>
      </c>
      <c r="J2654" t="str">
        <f>HYPERLINK("https://climate.onebuilding.org/WMO_Region_6_Europe/DNK_Denmark/ND_North_Jutland/DNK_ND_Aars.Syd.060650_TMYx.2004-2018.zip")</f>
        <v>https://climate.onebuilding.org/WMO_Region_6_Europe/DNK_Denmark/ND_North_Jutland/DNK_ND_Aars.Syd.060650_TMYx.2004-2018.zip</v>
      </c>
    </row>
    <row r="2655" spans="1:10" x14ac:dyDescent="0.25">
      <c r="A2655" t="s">
        <v>1705</v>
      </c>
      <c r="B2655" t="s">
        <v>1713</v>
      </c>
      <c r="C2655" t="s">
        <v>1767</v>
      </c>
      <c r="D2655" s="1" t="s">
        <v>1768</v>
      </c>
      <c r="E2655" t="s">
        <v>14</v>
      </c>
      <c r="F2655">
        <v>56.755800000000001</v>
      </c>
      <c r="G2655">
        <v>9.5067000000000004</v>
      </c>
      <c r="H2655">
        <v>1</v>
      </c>
      <c r="I2655">
        <v>33</v>
      </c>
      <c r="J2655" t="str">
        <f>HYPERLINK("https://climate.onebuilding.org/WMO_Region_6_Europe/DNK_Denmark/ND_North_Jutland/DNK_ND_Aars.Syd.060650_TMYx.2007-2021.zip")</f>
        <v>https://climate.onebuilding.org/WMO_Region_6_Europe/DNK_Denmark/ND_North_Jutland/DNK_ND_Aars.Syd.060650_TMYx.2007-2021.zip</v>
      </c>
    </row>
    <row r="2656" spans="1:10" x14ac:dyDescent="0.25">
      <c r="A2656" t="s">
        <v>1705</v>
      </c>
      <c r="B2656" t="s">
        <v>1713</v>
      </c>
      <c r="C2656" t="s">
        <v>1767</v>
      </c>
      <c r="D2656" s="1" t="s">
        <v>1768</v>
      </c>
      <c r="E2656" t="s">
        <v>14</v>
      </c>
      <c r="F2656">
        <v>56.755800000000001</v>
      </c>
      <c r="G2656">
        <v>9.5067000000000004</v>
      </c>
      <c r="H2656">
        <v>1</v>
      </c>
      <c r="I2656">
        <v>33</v>
      </c>
      <c r="J2656" t="str">
        <f>HYPERLINK("https://climate.onebuilding.org/WMO_Region_6_Europe/DNK_Denmark/ND_North_Jutland/DNK_ND_Aars.Syd.060650_TMYx.2009-2023.zip")</f>
        <v>https://climate.onebuilding.org/WMO_Region_6_Europe/DNK_Denmark/ND_North_Jutland/DNK_ND_Aars.Syd.060650_TMYx.2009-2023.zip</v>
      </c>
    </row>
    <row r="2657" spans="1:10" x14ac:dyDescent="0.25">
      <c r="A2657" t="s">
        <v>1705</v>
      </c>
      <c r="B2657" t="s">
        <v>1713</v>
      </c>
      <c r="C2657" t="s">
        <v>1767</v>
      </c>
      <c r="D2657" s="1" t="s">
        <v>1768</v>
      </c>
      <c r="E2657" t="s">
        <v>14</v>
      </c>
      <c r="F2657">
        <v>56.755800000000001</v>
      </c>
      <c r="G2657">
        <v>9.5067000000000004</v>
      </c>
      <c r="H2657">
        <v>1</v>
      </c>
      <c r="I2657">
        <v>33</v>
      </c>
      <c r="J2657" t="str">
        <f>HYPERLINK("https://climate.onebuilding.org/WMO_Region_6_Europe/DNK_Denmark/ND_North_Jutland/DNK_ND_Aars.Syd.060650_TMYx.zip")</f>
        <v>https://climate.onebuilding.org/WMO_Region_6_Europe/DNK_Denmark/ND_North_Jutland/DNK_ND_Aars.Syd.060650_TMYx.zip</v>
      </c>
    </row>
    <row r="2658" spans="1:10" x14ac:dyDescent="0.25">
      <c r="A2658" t="s">
        <v>1705</v>
      </c>
      <c r="B2658" t="s">
        <v>1709</v>
      </c>
      <c r="C2658" t="s">
        <v>1770</v>
      </c>
      <c r="D2658" s="1" t="s">
        <v>1771</v>
      </c>
      <c r="E2658" t="s">
        <v>14</v>
      </c>
      <c r="F2658">
        <v>55.991100000000003</v>
      </c>
      <c r="G2658">
        <v>8.3538999999999994</v>
      </c>
      <c r="H2658">
        <v>1</v>
      </c>
      <c r="I2658">
        <v>5.2</v>
      </c>
      <c r="J2658" t="str">
        <f>HYPERLINK("https://climate.onebuilding.org/WMO_Region_6_Europe/DNK_Denmark/MJ_Central_Jutland/DNK_MJ_Stauning.AP.060660_TMYx.2007-2021.zip")</f>
        <v>https://climate.onebuilding.org/WMO_Region_6_Europe/DNK_Denmark/MJ_Central_Jutland/DNK_MJ_Stauning.AP.060660_TMYx.2007-2021.zip</v>
      </c>
    </row>
    <row r="2659" spans="1:10" x14ac:dyDescent="0.25">
      <c r="A2659" t="s">
        <v>1705</v>
      </c>
      <c r="B2659" t="s">
        <v>1709</v>
      </c>
      <c r="C2659" t="s">
        <v>1770</v>
      </c>
      <c r="D2659" s="1" t="s">
        <v>1771</v>
      </c>
      <c r="E2659" t="s">
        <v>14</v>
      </c>
      <c r="F2659">
        <v>55.991100000000003</v>
      </c>
      <c r="G2659">
        <v>8.3538999999999994</v>
      </c>
      <c r="H2659">
        <v>1</v>
      </c>
      <c r="I2659">
        <v>5.2</v>
      </c>
      <c r="J2659" t="str">
        <f>HYPERLINK("https://climate.onebuilding.org/WMO_Region_6_Europe/DNK_Denmark/MJ_Central_Jutland/DNK_MJ_Stauning.AP.060660_TMYx.2009-2023.zip")</f>
        <v>https://climate.onebuilding.org/WMO_Region_6_Europe/DNK_Denmark/MJ_Central_Jutland/DNK_MJ_Stauning.AP.060660_TMYx.2009-2023.zip</v>
      </c>
    </row>
    <row r="2660" spans="1:10" x14ac:dyDescent="0.25">
      <c r="A2660" t="s">
        <v>1705</v>
      </c>
      <c r="B2660" t="s">
        <v>1709</v>
      </c>
      <c r="C2660" t="s">
        <v>1770</v>
      </c>
      <c r="D2660" s="1" t="s">
        <v>1771</v>
      </c>
      <c r="E2660" t="s">
        <v>14</v>
      </c>
      <c r="F2660">
        <v>55.991100000000003</v>
      </c>
      <c r="G2660">
        <v>8.3538999999999994</v>
      </c>
      <c r="H2660">
        <v>1</v>
      </c>
      <c r="I2660">
        <v>5.2</v>
      </c>
      <c r="J2660" t="str">
        <f>HYPERLINK("https://climate.onebuilding.org/WMO_Region_6_Europe/DNK_Denmark/MJ_Central_Jutland/DNK_MJ_Stauning.AP.060660_TMYx.zip")</f>
        <v>https://climate.onebuilding.org/WMO_Region_6_Europe/DNK_Denmark/MJ_Central_Jutland/DNK_MJ_Stauning.AP.060660_TMYx.zip</v>
      </c>
    </row>
    <row r="2661" spans="1:10" x14ac:dyDescent="0.25">
      <c r="A2661" t="s">
        <v>1705</v>
      </c>
      <c r="B2661" t="s">
        <v>1709</v>
      </c>
      <c r="C2661" t="s">
        <v>1772</v>
      </c>
      <c r="D2661" s="1" t="s">
        <v>1773</v>
      </c>
      <c r="E2661" t="s">
        <v>1774</v>
      </c>
      <c r="F2661">
        <v>56.093899999999998</v>
      </c>
      <c r="G2661">
        <v>9.1811000000000007</v>
      </c>
      <c r="H2661">
        <v>1</v>
      </c>
      <c r="I2661">
        <v>62</v>
      </c>
      <c r="J2661" t="str">
        <f>HYPERLINK("https://climate.onebuilding.org/WMO_Region_6_Europe/DNK_Denmark/MJ_Central_Jutland/DNK_MJ_Isenvad.060680_TMYx.2004-2018.zip")</f>
        <v>https://climate.onebuilding.org/WMO_Region_6_Europe/DNK_Denmark/MJ_Central_Jutland/DNK_MJ_Isenvad.060680_TMYx.2004-2018.zip</v>
      </c>
    </row>
    <row r="2662" spans="1:10" x14ac:dyDescent="0.25">
      <c r="A2662" t="s">
        <v>1705</v>
      </c>
      <c r="B2662" t="s">
        <v>1709</v>
      </c>
      <c r="C2662" t="s">
        <v>1772</v>
      </c>
      <c r="D2662" s="1" t="s">
        <v>1773</v>
      </c>
      <c r="E2662" t="s">
        <v>14</v>
      </c>
      <c r="F2662">
        <v>56.093899999999998</v>
      </c>
      <c r="G2662">
        <v>9.1811000000000007</v>
      </c>
      <c r="H2662">
        <v>1</v>
      </c>
      <c r="I2662">
        <v>62</v>
      </c>
      <c r="J2662" t="str">
        <f>HYPERLINK("https://climate.onebuilding.org/WMO_Region_6_Europe/DNK_Denmark/MJ_Central_Jutland/DNK_MJ_Isenvad.060680_TMYx.2007-2021.zip")</f>
        <v>https://climate.onebuilding.org/WMO_Region_6_Europe/DNK_Denmark/MJ_Central_Jutland/DNK_MJ_Isenvad.060680_TMYx.2007-2021.zip</v>
      </c>
    </row>
    <row r="2663" spans="1:10" x14ac:dyDescent="0.25">
      <c r="A2663" t="s">
        <v>1705</v>
      </c>
      <c r="B2663" t="s">
        <v>1709</v>
      </c>
      <c r="C2663" t="s">
        <v>1772</v>
      </c>
      <c r="D2663" s="1" t="s">
        <v>1773</v>
      </c>
      <c r="E2663" t="s">
        <v>14</v>
      </c>
      <c r="F2663">
        <v>56.093899999999998</v>
      </c>
      <c r="G2663">
        <v>9.1811000000000007</v>
      </c>
      <c r="H2663">
        <v>1</v>
      </c>
      <c r="I2663">
        <v>62</v>
      </c>
      <c r="J2663" t="str">
        <f>HYPERLINK("https://climate.onebuilding.org/WMO_Region_6_Europe/DNK_Denmark/MJ_Central_Jutland/DNK_MJ_Isenvad.060680_TMYx.2009-2023.zip")</f>
        <v>https://climate.onebuilding.org/WMO_Region_6_Europe/DNK_Denmark/MJ_Central_Jutland/DNK_MJ_Isenvad.060680_TMYx.2009-2023.zip</v>
      </c>
    </row>
    <row r="2664" spans="1:10" x14ac:dyDescent="0.25">
      <c r="A2664" t="s">
        <v>1705</v>
      </c>
      <c r="B2664" t="s">
        <v>1709</v>
      </c>
      <c r="C2664" t="s">
        <v>1772</v>
      </c>
      <c r="D2664" s="1" t="s">
        <v>1773</v>
      </c>
      <c r="E2664" t="s">
        <v>14</v>
      </c>
      <c r="F2664">
        <v>56.093899999999998</v>
      </c>
      <c r="G2664">
        <v>9.1811000000000007</v>
      </c>
      <c r="H2664">
        <v>1</v>
      </c>
      <c r="I2664">
        <v>62</v>
      </c>
      <c r="J2664" t="str">
        <f>HYPERLINK("https://climate.onebuilding.org/WMO_Region_6_Europe/DNK_Denmark/MJ_Central_Jutland/DNK_MJ_Isenvad.060680_TMYx.zip")</f>
        <v>https://climate.onebuilding.org/WMO_Region_6_Europe/DNK_Denmark/MJ_Central_Jutland/DNK_MJ_Isenvad.060680_TMYx.zip</v>
      </c>
    </row>
    <row r="2665" spans="1:10" x14ac:dyDescent="0.25">
      <c r="A2665" t="s">
        <v>1705</v>
      </c>
      <c r="B2665" t="s">
        <v>1709</v>
      </c>
      <c r="C2665" t="s">
        <v>1775</v>
      </c>
      <c r="D2665" s="1" t="s">
        <v>1776</v>
      </c>
      <c r="E2665" t="s">
        <v>1777</v>
      </c>
      <c r="F2665">
        <v>56.493099999999998</v>
      </c>
      <c r="G2665">
        <v>9.5708000000000002</v>
      </c>
      <c r="H2665">
        <v>1</v>
      </c>
      <c r="I2665">
        <v>58</v>
      </c>
      <c r="J2665" t="str">
        <f>HYPERLINK("https://climate.onebuilding.org/WMO_Region_6_Europe/DNK_Denmark/MJ_Central_Jutland/DNK_MJ_Foulum.060690_TMYx.2004-2018.zip")</f>
        <v>https://climate.onebuilding.org/WMO_Region_6_Europe/DNK_Denmark/MJ_Central_Jutland/DNK_MJ_Foulum.060690_TMYx.2004-2018.zip</v>
      </c>
    </row>
    <row r="2666" spans="1:10" x14ac:dyDescent="0.25">
      <c r="A2666" t="s">
        <v>1705</v>
      </c>
      <c r="B2666" t="s">
        <v>1709</v>
      </c>
      <c r="C2666" t="s">
        <v>1775</v>
      </c>
      <c r="D2666" s="1" t="s">
        <v>1776</v>
      </c>
      <c r="E2666" t="s">
        <v>14</v>
      </c>
      <c r="F2666">
        <v>56.493099999999998</v>
      </c>
      <c r="G2666">
        <v>9.5708000000000002</v>
      </c>
      <c r="H2666">
        <v>1</v>
      </c>
      <c r="I2666">
        <v>58</v>
      </c>
      <c r="J2666" t="str">
        <f>HYPERLINK("https://climate.onebuilding.org/WMO_Region_6_Europe/DNK_Denmark/MJ_Central_Jutland/DNK_MJ_Foulum.060690_TMYx.2007-2021.zip")</f>
        <v>https://climate.onebuilding.org/WMO_Region_6_Europe/DNK_Denmark/MJ_Central_Jutland/DNK_MJ_Foulum.060690_TMYx.2007-2021.zip</v>
      </c>
    </row>
    <row r="2667" spans="1:10" x14ac:dyDescent="0.25">
      <c r="A2667" t="s">
        <v>1705</v>
      </c>
      <c r="B2667" t="s">
        <v>1709</v>
      </c>
      <c r="C2667" t="s">
        <v>1775</v>
      </c>
      <c r="D2667" s="1" t="s">
        <v>1776</v>
      </c>
      <c r="E2667" t="s">
        <v>14</v>
      </c>
      <c r="F2667">
        <v>56.493099999999998</v>
      </c>
      <c r="G2667">
        <v>9.5708000000000002</v>
      </c>
      <c r="H2667">
        <v>1</v>
      </c>
      <c r="I2667">
        <v>58</v>
      </c>
      <c r="J2667" t="str">
        <f>HYPERLINK("https://climate.onebuilding.org/WMO_Region_6_Europe/DNK_Denmark/MJ_Central_Jutland/DNK_MJ_Foulum.060690_TMYx.2009-2023.zip")</f>
        <v>https://climate.onebuilding.org/WMO_Region_6_Europe/DNK_Denmark/MJ_Central_Jutland/DNK_MJ_Foulum.060690_TMYx.2009-2023.zip</v>
      </c>
    </row>
    <row r="2668" spans="1:10" x14ac:dyDescent="0.25">
      <c r="A2668" t="s">
        <v>1705</v>
      </c>
      <c r="B2668" t="s">
        <v>1709</v>
      </c>
      <c r="C2668" t="s">
        <v>1775</v>
      </c>
      <c r="D2668" s="1" t="s">
        <v>1776</v>
      </c>
      <c r="E2668" t="s">
        <v>14</v>
      </c>
      <c r="F2668">
        <v>56.493099999999998</v>
      </c>
      <c r="G2668">
        <v>9.5708000000000002</v>
      </c>
      <c r="H2668">
        <v>1</v>
      </c>
      <c r="I2668">
        <v>58</v>
      </c>
      <c r="J2668" t="str">
        <f>HYPERLINK("https://climate.onebuilding.org/WMO_Region_6_Europe/DNK_Denmark/MJ_Central_Jutland/DNK_MJ_Foulum.060690_TMYx.zip")</f>
        <v>https://climate.onebuilding.org/WMO_Region_6_Europe/DNK_Denmark/MJ_Central_Jutland/DNK_MJ_Foulum.060690_TMYx.zip</v>
      </c>
    </row>
    <row r="2669" spans="1:10" x14ac:dyDescent="0.25">
      <c r="A2669" t="s">
        <v>1705</v>
      </c>
      <c r="B2669" t="s">
        <v>1709</v>
      </c>
      <c r="C2669" t="s">
        <v>1778</v>
      </c>
      <c r="D2669" s="1" t="s">
        <v>1779</v>
      </c>
      <c r="E2669" t="s">
        <v>1780</v>
      </c>
      <c r="F2669">
        <v>56.308300000000003</v>
      </c>
      <c r="G2669">
        <v>10.6256</v>
      </c>
      <c r="H2669">
        <v>1</v>
      </c>
      <c r="I2669">
        <v>25</v>
      </c>
      <c r="J2669" t="str">
        <f>HYPERLINK("https://climate.onebuilding.org/WMO_Region_6_Europe/DNK_Denmark/MJ_Central_Jutland/DNK_MJ_Aarhus.AP.060700_TMYx.2004-2018.zip")</f>
        <v>https://climate.onebuilding.org/WMO_Region_6_Europe/DNK_Denmark/MJ_Central_Jutland/DNK_MJ_Aarhus.AP.060700_TMYx.2004-2018.zip</v>
      </c>
    </row>
    <row r="2670" spans="1:10" x14ac:dyDescent="0.25">
      <c r="A2670" t="s">
        <v>1705</v>
      </c>
      <c r="B2670" t="s">
        <v>1709</v>
      </c>
      <c r="C2670" t="s">
        <v>1778</v>
      </c>
      <c r="D2670" s="1" t="s">
        <v>1779</v>
      </c>
      <c r="E2670" t="s">
        <v>14</v>
      </c>
      <c r="F2670">
        <v>56.308300000000003</v>
      </c>
      <c r="G2670">
        <v>10.6256</v>
      </c>
      <c r="H2670">
        <v>1</v>
      </c>
      <c r="I2670">
        <v>25</v>
      </c>
      <c r="J2670" t="str">
        <f>HYPERLINK("https://climate.onebuilding.org/WMO_Region_6_Europe/DNK_Denmark/MJ_Central_Jutland/DNK_MJ_Aarhus.AP.060700_TMYx.2007-2021.zip")</f>
        <v>https://climate.onebuilding.org/WMO_Region_6_Europe/DNK_Denmark/MJ_Central_Jutland/DNK_MJ_Aarhus.AP.060700_TMYx.2007-2021.zip</v>
      </c>
    </row>
    <row r="2671" spans="1:10" x14ac:dyDescent="0.25">
      <c r="A2671" t="s">
        <v>1705</v>
      </c>
      <c r="B2671" t="s">
        <v>1709</v>
      </c>
      <c r="C2671" t="s">
        <v>1778</v>
      </c>
      <c r="D2671" s="1" t="s">
        <v>1779</v>
      </c>
      <c r="E2671" t="s">
        <v>14</v>
      </c>
      <c r="F2671">
        <v>56.308300000000003</v>
      </c>
      <c r="G2671">
        <v>10.6256</v>
      </c>
      <c r="H2671">
        <v>1</v>
      </c>
      <c r="I2671">
        <v>25</v>
      </c>
      <c r="J2671" t="str">
        <f>HYPERLINK("https://climate.onebuilding.org/WMO_Region_6_Europe/DNK_Denmark/MJ_Central_Jutland/DNK_MJ_Aarhus.AP.060700_TMYx.2009-2023.zip")</f>
        <v>https://climate.onebuilding.org/WMO_Region_6_Europe/DNK_Denmark/MJ_Central_Jutland/DNK_MJ_Aarhus.AP.060700_TMYx.2009-2023.zip</v>
      </c>
    </row>
    <row r="2672" spans="1:10" x14ac:dyDescent="0.25">
      <c r="A2672" t="s">
        <v>1705</v>
      </c>
      <c r="B2672" t="s">
        <v>1709</v>
      </c>
      <c r="C2672" t="s">
        <v>1778</v>
      </c>
      <c r="D2672" s="1" t="s">
        <v>1779</v>
      </c>
      <c r="E2672" t="s">
        <v>14</v>
      </c>
      <c r="F2672">
        <v>56.308300000000003</v>
      </c>
      <c r="G2672">
        <v>10.6256</v>
      </c>
      <c r="H2672">
        <v>1</v>
      </c>
      <c r="I2672">
        <v>25</v>
      </c>
      <c r="J2672" t="str">
        <f>HYPERLINK("https://climate.onebuilding.org/WMO_Region_6_Europe/DNK_Denmark/MJ_Central_Jutland/DNK_MJ_Aarhus.AP.060700_TMYx.zip")</f>
        <v>https://climate.onebuilding.org/WMO_Region_6_Europe/DNK_Denmark/MJ_Central_Jutland/DNK_MJ_Aarhus.AP.060700_TMYx.zip</v>
      </c>
    </row>
    <row r="2673" spans="1:10" x14ac:dyDescent="0.25">
      <c r="A2673" t="s">
        <v>1705</v>
      </c>
      <c r="B2673" t="s">
        <v>1709</v>
      </c>
      <c r="C2673" t="s">
        <v>1781</v>
      </c>
      <c r="D2673" s="1" t="s">
        <v>1782</v>
      </c>
      <c r="E2673" t="s">
        <v>14</v>
      </c>
      <c r="F2673">
        <v>56.454300000000003</v>
      </c>
      <c r="G2673">
        <v>10.923500000000001</v>
      </c>
      <c r="H2673">
        <v>1</v>
      </c>
      <c r="I2673">
        <v>8</v>
      </c>
      <c r="J2673" t="str">
        <f>HYPERLINK("https://climate.onebuilding.org/WMO_Region_6_Europe/DNK_Denmark/MJ_Central_Jutland/DNK_MJ_Cape.Fornaes.060710_TMYx.zip")</f>
        <v>https://climate.onebuilding.org/WMO_Region_6_Europe/DNK_Denmark/MJ_Central_Jutland/DNK_MJ_Cape.Fornaes.060710_TMYx.zip</v>
      </c>
    </row>
    <row r="2674" spans="1:10" x14ac:dyDescent="0.25">
      <c r="A2674" t="s">
        <v>1705</v>
      </c>
      <c r="B2674" t="s">
        <v>1709</v>
      </c>
      <c r="C2674" t="s">
        <v>1783</v>
      </c>
      <c r="D2674" s="1" t="s">
        <v>1784</v>
      </c>
      <c r="E2674" t="s">
        <v>1785</v>
      </c>
      <c r="F2674">
        <v>56.302799999999998</v>
      </c>
      <c r="G2674">
        <v>10.1272</v>
      </c>
      <c r="H2674">
        <v>1</v>
      </c>
      <c r="I2674">
        <v>62</v>
      </c>
      <c r="J2674" t="str">
        <f>HYPERLINK("https://climate.onebuilding.org/WMO_Region_6_Europe/DNK_Denmark/MJ_Central_Jutland/DNK_MJ_Odum.060720_TMYx.2004-2018.zip")</f>
        <v>https://climate.onebuilding.org/WMO_Region_6_Europe/DNK_Denmark/MJ_Central_Jutland/DNK_MJ_Odum.060720_TMYx.2004-2018.zip</v>
      </c>
    </row>
    <row r="2675" spans="1:10" x14ac:dyDescent="0.25">
      <c r="A2675" t="s">
        <v>1705</v>
      </c>
      <c r="B2675" t="s">
        <v>1709</v>
      </c>
      <c r="C2675" t="s">
        <v>1783</v>
      </c>
      <c r="D2675" s="1" t="s">
        <v>1784</v>
      </c>
      <c r="E2675" t="s">
        <v>14</v>
      </c>
      <c r="F2675">
        <v>56.302799999999998</v>
      </c>
      <c r="G2675">
        <v>10.1272</v>
      </c>
      <c r="H2675">
        <v>1</v>
      </c>
      <c r="I2675">
        <v>62</v>
      </c>
      <c r="J2675" t="str">
        <f>HYPERLINK("https://climate.onebuilding.org/WMO_Region_6_Europe/DNK_Denmark/MJ_Central_Jutland/DNK_MJ_Odum.060720_TMYx.2007-2021.zip")</f>
        <v>https://climate.onebuilding.org/WMO_Region_6_Europe/DNK_Denmark/MJ_Central_Jutland/DNK_MJ_Odum.060720_TMYx.2007-2021.zip</v>
      </c>
    </row>
    <row r="2676" spans="1:10" x14ac:dyDescent="0.25">
      <c r="A2676" t="s">
        <v>1705</v>
      </c>
      <c r="B2676" t="s">
        <v>1709</v>
      </c>
      <c r="C2676" t="s">
        <v>1783</v>
      </c>
      <c r="D2676" s="1" t="s">
        <v>1784</v>
      </c>
      <c r="E2676" t="s">
        <v>14</v>
      </c>
      <c r="F2676">
        <v>56.302799999999998</v>
      </c>
      <c r="G2676">
        <v>10.1272</v>
      </c>
      <c r="H2676">
        <v>1</v>
      </c>
      <c r="I2676">
        <v>62</v>
      </c>
      <c r="J2676" t="str">
        <f>HYPERLINK("https://climate.onebuilding.org/WMO_Region_6_Europe/DNK_Denmark/MJ_Central_Jutland/DNK_MJ_Odum.060720_TMYx.2009-2023.zip")</f>
        <v>https://climate.onebuilding.org/WMO_Region_6_Europe/DNK_Denmark/MJ_Central_Jutland/DNK_MJ_Odum.060720_TMYx.2009-2023.zip</v>
      </c>
    </row>
    <row r="2677" spans="1:10" x14ac:dyDescent="0.25">
      <c r="A2677" t="s">
        <v>1705</v>
      </c>
      <c r="B2677" t="s">
        <v>1709</v>
      </c>
      <c r="C2677" t="s">
        <v>1783</v>
      </c>
      <c r="D2677" s="1" t="s">
        <v>1784</v>
      </c>
      <c r="E2677" t="s">
        <v>14</v>
      </c>
      <c r="F2677">
        <v>56.302799999999998</v>
      </c>
      <c r="G2677">
        <v>10.1272</v>
      </c>
      <c r="H2677">
        <v>1</v>
      </c>
      <c r="I2677">
        <v>62</v>
      </c>
      <c r="J2677" t="str">
        <f>HYPERLINK("https://climate.onebuilding.org/WMO_Region_6_Europe/DNK_Denmark/MJ_Central_Jutland/DNK_MJ_Odum.060720_TMYx.zip")</f>
        <v>https://climate.onebuilding.org/WMO_Region_6_Europe/DNK_Denmark/MJ_Central_Jutland/DNK_MJ_Odum.060720_TMYx.zip</v>
      </c>
    </row>
    <row r="2678" spans="1:10" x14ac:dyDescent="0.25">
      <c r="A2678" t="s">
        <v>1705</v>
      </c>
      <c r="B2678" t="s">
        <v>1709</v>
      </c>
      <c r="C2678" t="s">
        <v>1786</v>
      </c>
      <c r="D2678" s="1" t="s">
        <v>1787</v>
      </c>
      <c r="E2678" t="s">
        <v>1788</v>
      </c>
      <c r="F2678">
        <v>56.095599999999997</v>
      </c>
      <c r="G2678">
        <v>10.5136</v>
      </c>
      <c r="H2678">
        <v>1</v>
      </c>
      <c r="I2678">
        <v>6</v>
      </c>
      <c r="J2678" t="str">
        <f>HYPERLINK("https://climate.onebuilding.org/WMO_Region_6_Europe/DNK_Denmark/MJ_Central_Jutland/DNK_MJ_Sletterhage.Lighthouse.060730_TMYx.2004-2018.zip")</f>
        <v>https://climate.onebuilding.org/WMO_Region_6_Europe/DNK_Denmark/MJ_Central_Jutland/DNK_MJ_Sletterhage.Lighthouse.060730_TMYx.2004-2018.zip</v>
      </c>
    </row>
    <row r="2679" spans="1:10" x14ac:dyDescent="0.25">
      <c r="A2679" t="s">
        <v>1705</v>
      </c>
      <c r="B2679" t="s">
        <v>1709</v>
      </c>
      <c r="C2679" t="s">
        <v>1786</v>
      </c>
      <c r="D2679" s="1" t="s">
        <v>1787</v>
      </c>
      <c r="E2679" t="s">
        <v>14</v>
      </c>
      <c r="F2679">
        <v>56.095599999999997</v>
      </c>
      <c r="G2679">
        <v>10.5136</v>
      </c>
      <c r="H2679">
        <v>1</v>
      </c>
      <c r="I2679">
        <v>6</v>
      </c>
      <c r="J2679" t="str">
        <f>HYPERLINK("https://climate.onebuilding.org/WMO_Region_6_Europe/DNK_Denmark/MJ_Central_Jutland/DNK_MJ_Sletterhage.Lighthouse.060730_TMYx.2007-2021.zip")</f>
        <v>https://climate.onebuilding.org/WMO_Region_6_Europe/DNK_Denmark/MJ_Central_Jutland/DNK_MJ_Sletterhage.Lighthouse.060730_TMYx.2007-2021.zip</v>
      </c>
    </row>
    <row r="2680" spans="1:10" x14ac:dyDescent="0.25">
      <c r="A2680" t="s">
        <v>1705</v>
      </c>
      <c r="B2680" t="s">
        <v>1709</v>
      </c>
      <c r="C2680" t="s">
        <v>1786</v>
      </c>
      <c r="D2680" s="1" t="s">
        <v>1787</v>
      </c>
      <c r="E2680" t="s">
        <v>14</v>
      </c>
      <c r="F2680">
        <v>56.095599999999997</v>
      </c>
      <c r="G2680">
        <v>10.5136</v>
      </c>
      <c r="H2680">
        <v>1</v>
      </c>
      <c r="I2680">
        <v>6</v>
      </c>
      <c r="J2680" t="str">
        <f>HYPERLINK("https://climate.onebuilding.org/WMO_Region_6_Europe/DNK_Denmark/MJ_Central_Jutland/DNK_MJ_Sletterhage.Lighthouse.060730_TMYx.2009-2023.zip")</f>
        <v>https://climate.onebuilding.org/WMO_Region_6_Europe/DNK_Denmark/MJ_Central_Jutland/DNK_MJ_Sletterhage.Lighthouse.060730_TMYx.2009-2023.zip</v>
      </c>
    </row>
    <row r="2681" spans="1:10" x14ac:dyDescent="0.25">
      <c r="A2681" t="s">
        <v>1705</v>
      </c>
      <c r="B2681" t="s">
        <v>1709</v>
      </c>
      <c r="C2681" t="s">
        <v>1786</v>
      </c>
      <c r="D2681" s="1" t="s">
        <v>1787</v>
      </c>
      <c r="E2681" t="s">
        <v>14</v>
      </c>
      <c r="F2681">
        <v>56.095599999999997</v>
      </c>
      <c r="G2681">
        <v>10.5136</v>
      </c>
      <c r="H2681">
        <v>1</v>
      </c>
      <c r="I2681">
        <v>6</v>
      </c>
      <c r="J2681" t="str">
        <f>HYPERLINK("https://climate.onebuilding.org/WMO_Region_6_Europe/DNK_Denmark/MJ_Central_Jutland/DNK_MJ_Sletterhage.Lighthouse.060730_TMYx.zip")</f>
        <v>https://climate.onebuilding.org/WMO_Region_6_Europe/DNK_Denmark/MJ_Central_Jutland/DNK_MJ_Sletterhage.Lighthouse.060730_TMYx.zip</v>
      </c>
    </row>
    <row r="2682" spans="1:10" x14ac:dyDescent="0.25">
      <c r="A2682" t="s">
        <v>1705</v>
      </c>
      <c r="B2682" t="s">
        <v>1709</v>
      </c>
      <c r="C2682" t="s">
        <v>1789</v>
      </c>
      <c r="D2682" s="1" t="s">
        <v>1790</v>
      </c>
      <c r="E2682" t="s">
        <v>1791</v>
      </c>
      <c r="F2682">
        <v>56.080300000000001</v>
      </c>
      <c r="G2682">
        <v>10.135300000000001</v>
      </c>
      <c r="H2682">
        <v>1</v>
      </c>
      <c r="I2682">
        <v>55</v>
      </c>
      <c r="J2682" t="str">
        <f>HYPERLINK("https://climate.onebuilding.org/WMO_Region_6_Europe/DNK_Denmark/MJ_Central_Jutland/DNK_MJ_Aarhus.Syd.060740_TMYx.2004-2018.zip")</f>
        <v>https://climate.onebuilding.org/WMO_Region_6_Europe/DNK_Denmark/MJ_Central_Jutland/DNK_MJ_Aarhus.Syd.060740_TMYx.2004-2018.zip</v>
      </c>
    </row>
    <row r="2683" spans="1:10" x14ac:dyDescent="0.25">
      <c r="A2683" t="s">
        <v>1705</v>
      </c>
      <c r="B2683" t="s">
        <v>1709</v>
      </c>
      <c r="C2683" t="s">
        <v>1789</v>
      </c>
      <c r="D2683" s="1" t="s">
        <v>1790</v>
      </c>
      <c r="E2683" t="s">
        <v>14</v>
      </c>
      <c r="F2683">
        <v>56.080300000000001</v>
      </c>
      <c r="G2683">
        <v>10.135300000000001</v>
      </c>
      <c r="H2683">
        <v>1</v>
      </c>
      <c r="I2683">
        <v>55</v>
      </c>
      <c r="J2683" t="str">
        <f>HYPERLINK("https://climate.onebuilding.org/WMO_Region_6_Europe/DNK_Denmark/MJ_Central_Jutland/DNK_MJ_Aarhus.Syd.060740_TMYx.2007-2021.zip")</f>
        <v>https://climate.onebuilding.org/WMO_Region_6_Europe/DNK_Denmark/MJ_Central_Jutland/DNK_MJ_Aarhus.Syd.060740_TMYx.2007-2021.zip</v>
      </c>
    </row>
    <row r="2684" spans="1:10" x14ac:dyDescent="0.25">
      <c r="A2684" t="s">
        <v>1705</v>
      </c>
      <c r="B2684" t="s">
        <v>1709</v>
      </c>
      <c r="C2684" t="s">
        <v>1789</v>
      </c>
      <c r="D2684" s="1" t="s">
        <v>1790</v>
      </c>
      <c r="E2684" t="s">
        <v>14</v>
      </c>
      <c r="F2684">
        <v>56.080300000000001</v>
      </c>
      <c r="G2684">
        <v>10.135300000000001</v>
      </c>
      <c r="H2684">
        <v>1</v>
      </c>
      <c r="I2684">
        <v>55</v>
      </c>
      <c r="J2684" t="str">
        <f>HYPERLINK("https://climate.onebuilding.org/WMO_Region_6_Europe/DNK_Denmark/MJ_Central_Jutland/DNK_MJ_Aarhus.Syd.060740_TMYx.2009-2023.zip")</f>
        <v>https://climate.onebuilding.org/WMO_Region_6_Europe/DNK_Denmark/MJ_Central_Jutland/DNK_MJ_Aarhus.Syd.060740_TMYx.2009-2023.zip</v>
      </c>
    </row>
    <row r="2685" spans="1:10" x14ac:dyDescent="0.25">
      <c r="A2685" t="s">
        <v>1705</v>
      </c>
      <c r="B2685" t="s">
        <v>1709</v>
      </c>
      <c r="C2685" t="s">
        <v>1789</v>
      </c>
      <c r="D2685" s="1" t="s">
        <v>1790</v>
      </c>
      <c r="E2685" t="s">
        <v>14</v>
      </c>
      <c r="F2685">
        <v>56.080300000000001</v>
      </c>
      <c r="G2685">
        <v>10.135300000000001</v>
      </c>
      <c r="H2685">
        <v>1</v>
      </c>
      <c r="I2685">
        <v>55</v>
      </c>
      <c r="J2685" t="str">
        <f>HYPERLINK("https://climate.onebuilding.org/WMO_Region_6_Europe/DNK_Denmark/MJ_Central_Jutland/DNK_MJ_Aarhus.Syd.060740_TMYx.zip")</f>
        <v>https://climate.onebuilding.org/WMO_Region_6_Europe/DNK_Denmark/MJ_Central_Jutland/DNK_MJ_Aarhus.Syd.060740_TMYx.zip</v>
      </c>
    </row>
    <row r="2686" spans="1:10" x14ac:dyDescent="0.25">
      <c r="A2686" t="s">
        <v>1705</v>
      </c>
      <c r="B2686" t="s">
        <v>1709</v>
      </c>
      <c r="C2686" t="s">
        <v>1792</v>
      </c>
      <c r="D2686" s="1" t="s">
        <v>1793</v>
      </c>
      <c r="E2686" t="s">
        <v>14</v>
      </c>
      <c r="F2686">
        <v>56.7</v>
      </c>
      <c r="G2686">
        <v>11.55</v>
      </c>
      <c r="H2686">
        <v>1</v>
      </c>
      <c r="I2686">
        <v>8</v>
      </c>
      <c r="J2686" t="str">
        <f>HYPERLINK("https://climate.onebuilding.org/WMO_Region_6_Europe/DNK_Denmark/MJ_Central_Jutland/DNK_MJ_Anholt.AF.060780_TMYx.zip")</f>
        <v>https://climate.onebuilding.org/WMO_Region_6_Europe/DNK_Denmark/MJ_Central_Jutland/DNK_MJ_Anholt.AF.060780_TMYx.zip</v>
      </c>
    </row>
    <row r="2687" spans="1:10" x14ac:dyDescent="0.25">
      <c r="A2687" t="s">
        <v>1705</v>
      </c>
      <c r="B2687" t="s">
        <v>1709</v>
      </c>
      <c r="C2687" t="s">
        <v>1794</v>
      </c>
      <c r="D2687" s="1" t="s">
        <v>1795</v>
      </c>
      <c r="E2687" t="s">
        <v>1796</v>
      </c>
      <c r="F2687">
        <v>56.716900000000003</v>
      </c>
      <c r="G2687">
        <v>11.5097</v>
      </c>
      <c r="H2687">
        <v>1</v>
      </c>
      <c r="I2687">
        <v>4</v>
      </c>
      <c r="J2687" t="str">
        <f>HYPERLINK("https://climate.onebuilding.org/WMO_Region_6_Europe/DNK_Denmark/MJ_Central_Jutland/DNK_MJ_Anholt.Harbour.060790_TMYx.2004-2018.zip")</f>
        <v>https://climate.onebuilding.org/WMO_Region_6_Europe/DNK_Denmark/MJ_Central_Jutland/DNK_MJ_Anholt.Harbour.060790_TMYx.2004-2018.zip</v>
      </c>
    </row>
    <row r="2688" spans="1:10" x14ac:dyDescent="0.25">
      <c r="A2688" t="s">
        <v>1705</v>
      </c>
      <c r="B2688" t="s">
        <v>1709</v>
      </c>
      <c r="C2688" t="s">
        <v>1794</v>
      </c>
      <c r="D2688" s="1" t="s">
        <v>1795</v>
      </c>
      <c r="E2688" t="s">
        <v>14</v>
      </c>
      <c r="F2688">
        <v>56.716900000000003</v>
      </c>
      <c r="G2688">
        <v>11.5097</v>
      </c>
      <c r="H2688">
        <v>1</v>
      </c>
      <c r="I2688">
        <v>4</v>
      </c>
      <c r="J2688" t="str">
        <f>HYPERLINK("https://climate.onebuilding.org/WMO_Region_6_Europe/DNK_Denmark/MJ_Central_Jutland/DNK_MJ_Anholt.Harbour.060790_TMYx.2007-2021.zip")</f>
        <v>https://climate.onebuilding.org/WMO_Region_6_Europe/DNK_Denmark/MJ_Central_Jutland/DNK_MJ_Anholt.Harbour.060790_TMYx.2007-2021.zip</v>
      </c>
    </row>
    <row r="2689" spans="1:10" x14ac:dyDescent="0.25">
      <c r="A2689" t="s">
        <v>1705</v>
      </c>
      <c r="B2689" t="s">
        <v>1709</v>
      </c>
      <c r="C2689" t="s">
        <v>1794</v>
      </c>
      <c r="D2689" s="1" t="s">
        <v>1795</v>
      </c>
      <c r="E2689" t="s">
        <v>14</v>
      </c>
      <c r="F2689">
        <v>56.716900000000003</v>
      </c>
      <c r="G2689">
        <v>11.5097</v>
      </c>
      <c r="H2689">
        <v>1</v>
      </c>
      <c r="I2689">
        <v>4</v>
      </c>
      <c r="J2689" t="str">
        <f>HYPERLINK("https://climate.onebuilding.org/WMO_Region_6_Europe/DNK_Denmark/MJ_Central_Jutland/DNK_MJ_Anholt.Harbour.060790_TMYx.2009-2023.zip")</f>
        <v>https://climate.onebuilding.org/WMO_Region_6_Europe/DNK_Denmark/MJ_Central_Jutland/DNK_MJ_Anholt.Harbour.060790_TMYx.2009-2023.zip</v>
      </c>
    </row>
    <row r="2690" spans="1:10" x14ac:dyDescent="0.25">
      <c r="A2690" t="s">
        <v>1705</v>
      </c>
      <c r="B2690" t="s">
        <v>1709</v>
      </c>
      <c r="C2690" t="s">
        <v>1794</v>
      </c>
      <c r="D2690" s="1" t="s">
        <v>1795</v>
      </c>
      <c r="E2690" t="s">
        <v>14</v>
      </c>
      <c r="F2690">
        <v>56.716900000000003</v>
      </c>
      <c r="G2690">
        <v>11.5097</v>
      </c>
      <c r="H2690">
        <v>1</v>
      </c>
      <c r="I2690">
        <v>4</v>
      </c>
      <c r="J2690" t="str">
        <f>HYPERLINK("https://climate.onebuilding.org/WMO_Region_6_Europe/DNK_Denmark/MJ_Central_Jutland/DNK_MJ_Anholt.Harbour.060790_TMYx.zip")</f>
        <v>https://climate.onebuilding.org/WMO_Region_6_Europe/DNK_Denmark/MJ_Central_Jutland/DNK_MJ_Anholt.Harbour.060790_TMYx.zip</v>
      </c>
    </row>
    <row r="2691" spans="1:10" x14ac:dyDescent="0.25">
      <c r="A2691" t="s">
        <v>1705</v>
      </c>
      <c r="B2691" t="s">
        <v>44</v>
      </c>
      <c r="C2691" t="s">
        <v>1797</v>
      </c>
      <c r="D2691" s="1" t="s">
        <v>1798</v>
      </c>
      <c r="E2691" t="s">
        <v>1799</v>
      </c>
      <c r="F2691">
        <v>55.528100000000002</v>
      </c>
      <c r="G2691">
        <v>8.5631000000000004</v>
      </c>
      <c r="H2691">
        <v>1</v>
      </c>
      <c r="I2691">
        <v>29.6</v>
      </c>
      <c r="J2691" t="str">
        <f>HYPERLINK("https://climate.onebuilding.org/WMO_Region_6_Europe/DNK_Denmark/SD_South_Denmark/DNK_SD_Esbjerg.AP.060800_TMYx.2004-2018.zip")</f>
        <v>https://climate.onebuilding.org/WMO_Region_6_Europe/DNK_Denmark/SD_South_Denmark/DNK_SD_Esbjerg.AP.060800_TMYx.2004-2018.zip</v>
      </c>
    </row>
    <row r="2692" spans="1:10" x14ac:dyDescent="0.25">
      <c r="A2692" t="s">
        <v>1705</v>
      </c>
      <c r="B2692" t="s">
        <v>44</v>
      </c>
      <c r="C2692" t="s">
        <v>1797</v>
      </c>
      <c r="D2692" s="1" t="s">
        <v>1798</v>
      </c>
      <c r="E2692" t="s">
        <v>14</v>
      </c>
      <c r="F2692">
        <v>55.528100000000002</v>
      </c>
      <c r="G2692">
        <v>8.5631000000000004</v>
      </c>
      <c r="H2692">
        <v>1</v>
      </c>
      <c r="I2692">
        <v>29.6</v>
      </c>
      <c r="J2692" t="str">
        <f>HYPERLINK("https://climate.onebuilding.org/WMO_Region_6_Europe/DNK_Denmark/SD_South_Denmark/DNK_SD_Esbjerg.AP.060800_TMYx.2007-2021.zip")</f>
        <v>https://climate.onebuilding.org/WMO_Region_6_Europe/DNK_Denmark/SD_South_Denmark/DNK_SD_Esbjerg.AP.060800_TMYx.2007-2021.zip</v>
      </c>
    </row>
    <row r="2693" spans="1:10" x14ac:dyDescent="0.25">
      <c r="A2693" t="s">
        <v>1705</v>
      </c>
      <c r="B2693" t="s">
        <v>44</v>
      </c>
      <c r="C2693" t="s">
        <v>1797</v>
      </c>
      <c r="D2693" s="1" t="s">
        <v>1798</v>
      </c>
      <c r="E2693" t="s">
        <v>14</v>
      </c>
      <c r="F2693">
        <v>55.528100000000002</v>
      </c>
      <c r="G2693">
        <v>8.5631000000000004</v>
      </c>
      <c r="H2693">
        <v>1</v>
      </c>
      <c r="I2693">
        <v>29.6</v>
      </c>
      <c r="J2693" t="str">
        <f>HYPERLINK("https://climate.onebuilding.org/WMO_Region_6_Europe/DNK_Denmark/SD_South_Denmark/DNK_SD_Esbjerg.AP.060800_TMYx.2009-2023.zip")</f>
        <v>https://climate.onebuilding.org/WMO_Region_6_Europe/DNK_Denmark/SD_South_Denmark/DNK_SD_Esbjerg.AP.060800_TMYx.2009-2023.zip</v>
      </c>
    </row>
    <row r="2694" spans="1:10" x14ac:dyDescent="0.25">
      <c r="A2694" t="s">
        <v>1705</v>
      </c>
      <c r="B2694" t="s">
        <v>44</v>
      </c>
      <c r="C2694" t="s">
        <v>1797</v>
      </c>
      <c r="D2694" s="1" t="s">
        <v>1798</v>
      </c>
      <c r="E2694" t="s">
        <v>14</v>
      </c>
      <c r="F2694">
        <v>55.528100000000002</v>
      </c>
      <c r="G2694">
        <v>8.5631000000000004</v>
      </c>
      <c r="H2694">
        <v>1</v>
      </c>
      <c r="I2694">
        <v>29.6</v>
      </c>
      <c r="J2694" t="str">
        <f>HYPERLINK("https://climate.onebuilding.org/WMO_Region_6_Europe/DNK_Denmark/SD_South_Denmark/DNK_SD_Esbjerg.AP.060800_TMYx.zip")</f>
        <v>https://climate.onebuilding.org/WMO_Region_6_Europe/DNK_Denmark/SD_South_Denmark/DNK_SD_Esbjerg.AP.060800_TMYx.zip</v>
      </c>
    </row>
    <row r="2695" spans="1:10" x14ac:dyDescent="0.25">
      <c r="A2695" t="s">
        <v>1705</v>
      </c>
      <c r="B2695" t="s">
        <v>44</v>
      </c>
      <c r="C2695" t="s">
        <v>1800</v>
      </c>
      <c r="D2695" s="1" t="s">
        <v>1801</v>
      </c>
      <c r="E2695" t="s">
        <v>1802</v>
      </c>
      <c r="F2695">
        <v>55.557499999999997</v>
      </c>
      <c r="G2695">
        <v>8.0828000000000007</v>
      </c>
      <c r="H2695">
        <v>1</v>
      </c>
      <c r="I2695">
        <v>18</v>
      </c>
      <c r="J2695" t="str">
        <f>HYPERLINK("https://climate.onebuilding.org/WMO_Region_6_Europe/DNK_Denmark/SD_South_Denmark/DNK_SD_Blavandshuk.060810_TMYx.2004-2018.zip")</f>
        <v>https://climate.onebuilding.org/WMO_Region_6_Europe/DNK_Denmark/SD_South_Denmark/DNK_SD_Blavandshuk.060810_TMYx.2004-2018.zip</v>
      </c>
    </row>
    <row r="2696" spans="1:10" x14ac:dyDescent="0.25">
      <c r="A2696" t="s">
        <v>1705</v>
      </c>
      <c r="B2696" t="s">
        <v>44</v>
      </c>
      <c r="C2696" t="s">
        <v>1800</v>
      </c>
      <c r="D2696" s="1" t="s">
        <v>1801</v>
      </c>
      <c r="E2696" t="s">
        <v>14</v>
      </c>
      <c r="F2696">
        <v>55.557499999999997</v>
      </c>
      <c r="G2696">
        <v>8.0828000000000007</v>
      </c>
      <c r="H2696">
        <v>1</v>
      </c>
      <c r="I2696">
        <v>18</v>
      </c>
      <c r="J2696" t="str">
        <f>HYPERLINK("https://climate.onebuilding.org/WMO_Region_6_Europe/DNK_Denmark/SD_South_Denmark/DNK_SD_Blavandshuk.060810_TMYx.2007-2021.zip")</f>
        <v>https://climate.onebuilding.org/WMO_Region_6_Europe/DNK_Denmark/SD_South_Denmark/DNK_SD_Blavandshuk.060810_TMYx.2007-2021.zip</v>
      </c>
    </row>
    <row r="2697" spans="1:10" x14ac:dyDescent="0.25">
      <c r="A2697" t="s">
        <v>1705</v>
      </c>
      <c r="B2697" t="s">
        <v>44</v>
      </c>
      <c r="C2697" t="s">
        <v>1800</v>
      </c>
      <c r="D2697" s="1" t="s">
        <v>1801</v>
      </c>
      <c r="E2697" t="s">
        <v>14</v>
      </c>
      <c r="F2697">
        <v>55.557499999999997</v>
      </c>
      <c r="G2697">
        <v>8.0828000000000007</v>
      </c>
      <c r="H2697">
        <v>1</v>
      </c>
      <c r="I2697">
        <v>18</v>
      </c>
      <c r="J2697" t="str">
        <f>HYPERLINK("https://climate.onebuilding.org/WMO_Region_6_Europe/DNK_Denmark/SD_South_Denmark/DNK_SD_Blavandshuk.060810_TMYx.2009-2023.zip")</f>
        <v>https://climate.onebuilding.org/WMO_Region_6_Europe/DNK_Denmark/SD_South_Denmark/DNK_SD_Blavandshuk.060810_TMYx.2009-2023.zip</v>
      </c>
    </row>
    <row r="2698" spans="1:10" x14ac:dyDescent="0.25">
      <c r="A2698" t="s">
        <v>1705</v>
      </c>
      <c r="B2698" t="s">
        <v>44</v>
      </c>
      <c r="C2698" t="s">
        <v>1800</v>
      </c>
      <c r="D2698" s="1" t="s">
        <v>1801</v>
      </c>
      <c r="E2698" t="s">
        <v>14</v>
      </c>
      <c r="F2698">
        <v>55.557499999999997</v>
      </c>
      <c r="G2698">
        <v>8.0828000000000007</v>
      </c>
      <c r="H2698">
        <v>1</v>
      </c>
      <c r="I2698">
        <v>18</v>
      </c>
      <c r="J2698" t="str">
        <f>HYPERLINK("https://climate.onebuilding.org/WMO_Region_6_Europe/DNK_Denmark/SD_South_Denmark/DNK_SD_Blavandshuk.060810_TMYx.zip")</f>
        <v>https://climate.onebuilding.org/WMO_Region_6_Europe/DNK_Denmark/SD_South_Denmark/DNK_SD_Blavandshuk.060810_TMYx.zip</v>
      </c>
    </row>
    <row r="2699" spans="1:10" x14ac:dyDescent="0.25">
      <c r="A2699" t="s">
        <v>1705</v>
      </c>
      <c r="B2699" t="s">
        <v>1709</v>
      </c>
      <c r="C2699" t="s">
        <v>1803</v>
      </c>
      <c r="D2699" s="1" t="s">
        <v>1804</v>
      </c>
      <c r="E2699" t="s">
        <v>1805</v>
      </c>
      <c r="F2699">
        <v>55.966999999999999</v>
      </c>
      <c r="G2699">
        <v>8.6329999999999991</v>
      </c>
      <c r="H2699">
        <v>1</v>
      </c>
      <c r="I2699">
        <v>25</v>
      </c>
      <c r="J2699" t="str">
        <f>HYPERLINK("https://climate.onebuilding.org/WMO_Region_6_Europe/DNK_Denmark/MJ_Central_Jutland/DNK_MJ_Borris.060820_TMYx.2004-2018.zip")</f>
        <v>https://climate.onebuilding.org/WMO_Region_6_Europe/DNK_Denmark/MJ_Central_Jutland/DNK_MJ_Borris.060820_TMYx.2004-2018.zip</v>
      </c>
    </row>
    <row r="2700" spans="1:10" x14ac:dyDescent="0.25">
      <c r="A2700" t="s">
        <v>1705</v>
      </c>
      <c r="B2700" t="s">
        <v>1709</v>
      </c>
      <c r="C2700" t="s">
        <v>1803</v>
      </c>
      <c r="D2700" s="1" t="s">
        <v>1804</v>
      </c>
      <c r="E2700" t="s">
        <v>14</v>
      </c>
      <c r="F2700">
        <v>55.966999999999999</v>
      </c>
      <c r="G2700">
        <v>8.6329999999999991</v>
      </c>
      <c r="H2700">
        <v>1</v>
      </c>
      <c r="I2700">
        <v>25</v>
      </c>
      <c r="J2700" t="str">
        <f>HYPERLINK("https://climate.onebuilding.org/WMO_Region_6_Europe/DNK_Denmark/MJ_Central_Jutland/DNK_MJ_Borris.060820_TMYx.2007-2021.zip")</f>
        <v>https://climate.onebuilding.org/WMO_Region_6_Europe/DNK_Denmark/MJ_Central_Jutland/DNK_MJ_Borris.060820_TMYx.2007-2021.zip</v>
      </c>
    </row>
    <row r="2701" spans="1:10" x14ac:dyDescent="0.25">
      <c r="A2701" t="s">
        <v>1705</v>
      </c>
      <c r="B2701" t="s">
        <v>1709</v>
      </c>
      <c r="C2701" t="s">
        <v>1803</v>
      </c>
      <c r="D2701" s="1" t="s">
        <v>1804</v>
      </c>
      <c r="E2701" t="s">
        <v>14</v>
      </c>
      <c r="F2701">
        <v>55.966999999999999</v>
      </c>
      <c r="G2701">
        <v>8.6329999999999991</v>
      </c>
      <c r="H2701">
        <v>1</v>
      </c>
      <c r="I2701">
        <v>25</v>
      </c>
      <c r="J2701" t="str">
        <f>HYPERLINK("https://climate.onebuilding.org/WMO_Region_6_Europe/DNK_Denmark/MJ_Central_Jutland/DNK_MJ_Borris.060820_TMYx.2009-2023.zip")</f>
        <v>https://climate.onebuilding.org/WMO_Region_6_Europe/DNK_Denmark/MJ_Central_Jutland/DNK_MJ_Borris.060820_TMYx.2009-2023.zip</v>
      </c>
    </row>
    <row r="2702" spans="1:10" x14ac:dyDescent="0.25">
      <c r="A2702" t="s">
        <v>1705</v>
      </c>
      <c r="B2702" t="s">
        <v>1709</v>
      </c>
      <c r="C2702" t="s">
        <v>1803</v>
      </c>
      <c r="D2702" s="1" t="s">
        <v>1804</v>
      </c>
      <c r="E2702" t="s">
        <v>14</v>
      </c>
      <c r="F2702">
        <v>55.966999999999999</v>
      </c>
      <c r="G2702">
        <v>8.6329999999999991</v>
      </c>
      <c r="H2702">
        <v>1</v>
      </c>
      <c r="I2702">
        <v>25</v>
      </c>
      <c r="J2702" t="str">
        <f>HYPERLINK("https://climate.onebuilding.org/WMO_Region_6_Europe/DNK_Denmark/MJ_Central_Jutland/DNK_MJ_Borris.060820_TMYx.zip")</f>
        <v>https://climate.onebuilding.org/WMO_Region_6_Europe/DNK_Denmark/MJ_Central_Jutland/DNK_MJ_Borris.060820_TMYx.zip</v>
      </c>
    </row>
    <row r="2703" spans="1:10" x14ac:dyDescent="0.25">
      <c r="A2703" t="s">
        <v>1705</v>
      </c>
      <c r="B2703" t="s">
        <v>1709</v>
      </c>
      <c r="C2703" t="s">
        <v>1806</v>
      </c>
      <c r="D2703" s="1" t="s">
        <v>1807</v>
      </c>
      <c r="E2703" t="s">
        <v>14</v>
      </c>
      <c r="F2703">
        <v>56.183</v>
      </c>
      <c r="G2703">
        <v>9.0329999999999995</v>
      </c>
      <c r="H2703">
        <v>1</v>
      </c>
      <c r="I2703">
        <v>51</v>
      </c>
      <c r="J2703" t="str">
        <f>HYPERLINK("https://climate.onebuilding.org/WMO_Region_6_Europe/DNK_Denmark/MJ_Central_Jutland/DNK_MJ_Skinderholm-Herning.AP.060840_TMYx.zip")</f>
        <v>https://climate.onebuilding.org/WMO_Region_6_Europe/DNK_Denmark/MJ_Central_Jutland/DNK_MJ_Skinderholm-Herning.AP.060840_TMYx.zip</v>
      </c>
    </row>
    <row r="2704" spans="1:10" x14ac:dyDescent="0.25">
      <c r="A2704" t="s">
        <v>1705</v>
      </c>
      <c r="B2704" t="s">
        <v>44</v>
      </c>
      <c r="C2704" t="s">
        <v>1808</v>
      </c>
      <c r="D2704" s="1" t="s">
        <v>1809</v>
      </c>
      <c r="E2704" t="s">
        <v>14</v>
      </c>
      <c r="F2704">
        <v>55.582999999999998</v>
      </c>
      <c r="G2704">
        <v>8.25</v>
      </c>
      <c r="H2704">
        <v>1</v>
      </c>
      <c r="I2704">
        <v>17</v>
      </c>
      <c r="J2704" t="str">
        <f>HYPERLINK("https://climate.onebuilding.org/WMO_Region_6_Europe/DNK_Denmark/SD_South_Denmark/DNK_SD_Oksboel.060860_TMYx.2007-2021.zip")</f>
        <v>https://climate.onebuilding.org/WMO_Region_6_Europe/DNK_Denmark/SD_South_Denmark/DNK_SD_Oksboel.060860_TMYx.2007-2021.zip</v>
      </c>
    </row>
    <row r="2705" spans="1:10" x14ac:dyDescent="0.25">
      <c r="A2705" t="s">
        <v>1705</v>
      </c>
      <c r="B2705" t="s">
        <v>44</v>
      </c>
      <c r="C2705" t="s">
        <v>1808</v>
      </c>
      <c r="D2705" s="1" t="s">
        <v>1809</v>
      </c>
      <c r="E2705" t="s">
        <v>14</v>
      </c>
      <c r="F2705">
        <v>55.582999999999998</v>
      </c>
      <c r="G2705">
        <v>8.25</v>
      </c>
      <c r="H2705">
        <v>1</v>
      </c>
      <c r="I2705">
        <v>17</v>
      </c>
      <c r="J2705" t="str">
        <f>HYPERLINK("https://climate.onebuilding.org/WMO_Region_6_Europe/DNK_Denmark/SD_South_Denmark/DNK_SD_Oksboel.060860_TMYx.2009-2023.zip")</f>
        <v>https://climate.onebuilding.org/WMO_Region_6_Europe/DNK_Denmark/SD_South_Denmark/DNK_SD_Oksboel.060860_TMYx.2009-2023.zip</v>
      </c>
    </row>
    <row r="2706" spans="1:10" x14ac:dyDescent="0.25">
      <c r="A2706" t="s">
        <v>1705</v>
      </c>
      <c r="B2706" t="s">
        <v>44</v>
      </c>
      <c r="C2706" t="s">
        <v>1808</v>
      </c>
      <c r="D2706" s="1" t="s">
        <v>1809</v>
      </c>
      <c r="E2706" t="s">
        <v>14</v>
      </c>
      <c r="F2706">
        <v>55.582999999999998</v>
      </c>
      <c r="G2706">
        <v>8.25</v>
      </c>
      <c r="H2706">
        <v>1</v>
      </c>
      <c r="I2706">
        <v>17</v>
      </c>
      <c r="J2706" t="str">
        <f>HYPERLINK("https://climate.onebuilding.org/WMO_Region_6_Europe/DNK_Denmark/SD_South_Denmark/DNK_SD_Oksboel.060860_TMYx.zip")</f>
        <v>https://climate.onebuilding.org/WMO_Region_6_Europe/DNK_Denmark/SD_South_Denmark/DNK_SD_Oksboel.060860_TMYx.zip</v>
      </c>
    </row>
    <row r="2707" spans="1:10" x14ac:dyDescent="0.25">
      <c r="A2707" t="s">
        <v>1705</v>
      </c>
      <c r="B2707" t="s">
        <v>1709</v>
      </c>
      <c r="C2707" t="s">
        <v>1810</v>
      </c>
      <c r="D2707" s="1" t="s">
        <v>1811</v>
      </c>
      <c r="E2707" t="s">
        <v>14</v>
      </c>
      <c r="F2707">
        <v>56.75</v>
      </c>
      <c r="G2707">
        <v>11.9</v>
      </c>
      <c r="H2707">
        <v>1</v>
      </c>
      <c r="I2707">
        <v>1</v>
      </c>
      <c r="J2707" t="str">
        <f>HYPERLINK("https://climate.onebuilding.org/WMO_Region_6_Europe/DNK_Denmark/MJ_Central_Jutland/DNK_MJ_Anholt.Knob.Lightship.060870_TMYx.zip")</f>
        <v>https://climate.onebuilding.org/WMO_Region_6_Europe/DNK_Denmark/MJ_Central_Jutland/DNK_MJ_Anholt.Knob.Lightship.060870_TMYx.zip</v>
      </c>
    </row>
    <row r="2708" spans="1:10" x14ac:dyDescent="0.25">
      <c r="A2708" t="s">
        <v>1705</v>
      </c>
      <c r="B2708" t="s">
        <v>44</v>
      </c>
      <c r="C2708" t="s">
        <v>1812</v>
      </c>
      <c r="D2708" s="1" t="s">
        <v>1813</v>
      </c>
      <c r="E2708" t="s">
        <v>14</v>
      </c>
      <c r="F2708">
        <v>55.5</v>
      </c>
      <c r="G2708">
        <v>8.4</v>
      </c>
      <c r="H2708">
        <v>1</v>
      </c>
      <c r="I2708">
        <v>11</v>
      </c>
      <c r="J2708" t="str">
        <f>HYPERLINK("https://climate.onebuilding.org/WMO_Region_6_Europe/DNK_Denmark/SD_South_Denmark/DNK_SD_Sadenstrand.060890_TMYx.zip")</f>
        <v>https://climate.onebuilding.org/WMO_Region_6_Europe/DNK_Denmark/SD_South_Denmark/DNK_SD_Sadenstrand.060890_TMYx.zip</v>
      </c>
    </row>
    <row r="2709" spans="1:10" x14ac:dyDescent="0.25">
      <c r="A2709" t="s">
        <v>1705</v>
      </c>
      <c r="B2709" t="s">
        <v>44</v>
      </c>
      <c r="C2709" t="s">
        <v>1814</v>
      </c>
      <c r="D2709" s="1" t="s">
        <v>1815</v>
      </c>
      <c r="E2709" t="s">
        <v>1816</v>
      </c>
      <c r="F2709">
        <v>55.2911</v>
      </c>
      <c r="G2709">
        <v>8.6549999999999994</v>
      </c>
      <c r="H2709">
        <v>1</v>
      </c>
      <c r="I2709">
        <v>4.7</v>
      </c>
      <c r="J2709" t="str">
        <f>HYPERLINK("https://climate.onebuilding.org/WMO_Region_6_Europe/DNK_Denmark/SD_South_Denmark/DNK_SD_Vester.Vedsted.060930_TMYx.2004-2018.zip")</f>
        <v>https://climate.onebuilding.org/WMO_Region_6_Europe/DNK_Denmark/SD_South_Denmark/DNK_SD_Vester.Vedsted.060930_TMYx.2004-2018.zip</v>
      </c>
    </row>
    <row r="2710" spans="1:10" x14ac:dyDescent="0.25">
      <c r="A2710" t="s">
        <v>1705</v>
      </c>
      <c r="B2710" t="s">
        <v>44</v>
      </c>
      <c r="C2710" t="s">
        <v>1814</v>
      </c>
      <c r="D2710" s="1" t="s">
        <v>1815</v>
      </c>
      <c r="E2710" t="s">
        <v>14</v>
      </c>
      <c r="F2710">
        <v>55.2911</v>
      </c>
      <c r="G2710">
        <v>8.6549999999999994</v>
      </c>
      <c r="H2710">
        <v>1</v>
      </c>
      <c r="I2710">
        <v>4.7</v>
      </c>
      <c r="J2710" t="str">
        <f>HYPERLINK("https://climate.onebuilding.org/WMO_Region_6_Europe/DNK_Denmark/SD_South_Denmark/DNK_SD_Vester.Vedsted.060930_TMYx.2007-2021.zip")</f>
        <v>https://climate.onebuilding.org/WMO_Region_6_Europe/DNK_Denmark/SD_South_Denmark/DNK_SD_Vester.Vedsted.060930_TMYx.2007-2021.zip</v>
      </c>
    </row>
    <row r="2711" spans="1:10" x14ac:dyDescent="0.25">
      <c r="A2711" t="s">
        <v>1705</v>
      </c>
      <c r="B2711" t="s">
        <v>44</v>
      </c>
      <c r="C2711" t="s">
        <v>1814</v>
      </c>
      <c r="D2711" s="1" t="s">
        <v>1815</v>
      </c>
      <c r="E2711" t="s">
        <v>14</v>
      </c>
      <c r="F2711">
        <v>55.2911</v>
      </c>
      <c r="G2711">
        <v>8.6549999999999994</v>
      </c>
      <c r="H2711">
        <v>1</v>
      </c>
      <c r="I2711">
        <v>4.7</v>
      </c>
      <c r="J2711" t="str">
        <f>HYPERLINK("https://climate.onebuilding.org/WMO_Region_6_Europe/DNK_Denmark/SD_South_Denmark/DNK_SD_Vester.Vedsted.060930_TMYx.2009-2023.zip")</f>
        <v>https://climate.onebuilding.org/WMO_Region_6_Europe/DNK_Denmark/SD_South_Denmark/DNK_SD_Vester.Vedsted.060930_TMYx.2009-2023.zip</v>
      </c>
    </row>
    <row r="2712" spans="1:10" x14ac:dyDescent="0.25">
      <c r="A2712" t="s">
        <v>1705</v>
      </c>
      <c r="B2712" t="s">
        <v>44</v>
      </c>
      <c r="C2712" t="s">
        <v>1814</v>
      </c>
      <c r="D2712" s="1" t="s">
        <v>1815</v>
      </c>
      <c r="E2712" t="s">
        <v>14</v>
      </c>
      <c r="F2712">
        <v>55.2911</v>
      </c>
      <c r="G2712">
        <v>8.6549999999999994</v>
      </c>
      <c r="H2712">
        <v>1</v>
      </c>
      <c r="I2712">
        <v>4.7</v>
      </c>
      <c r="J2712" t="str">
        <f>HYPERLINK("https://climate.onebuilding.org/WMO_Region_6_Europe/DNK_Denmark/SD_South_Denmark/DNK_SD_Vester.Vedsted.060930_TMYx.zip")</f>
        <v>https://climate.onebuilding.org/WMO_Region_6_Europe/DNK_Denmark/SD_South_Denmark/DNK_SD_Vester.Vedsted.060930_TMYx.zip</v>
      </c>
    </row>
    <row r="2713" spans="1:10" x14ac:dyDescent="0.25">
      <c r="A2713" t="s">
        <v>1705</v>
      </c>
      <c r="B2713" t="s">
        <v>44</v>
      </c>
      <c r="C2713" t="s">
        <v>1817</v>
      </c>
      <c r="D2713" s="1" t="s">
        <v>1818</v>
      </c>
      <c r="E2713" t="s">
        <v>1819</v>
      </c>
      <c r="F2713">
        <v>55.190600000000003</v>
      </c>
      <c r="G2713">
        <v>8.56</v>
      </c>
      <c r="H2713">
        <v>1</v>
      </c>
      <c r="I2713">
        <v>9</v>
      </c>
      <c r="J2713" t="str">
        <f>HYPERLINK("https://climate.onebuilding.org/WMO_Region_6_Europe/DNK_Denmark/SD_South_Denmark/DNK_SD_Romo.Juvre.060960_TMYx.2004-2018.zip")</f>
        <v>https://climate.onebuilding.org/WMO_Region_6_Europe/DNK_Denmark/SD_South_Denmark/DNK_SD_Romo.Juvre.060960_TMYx.2004-2018.zip</v>
      </c>
    </row>
    <row r="2714" spans="1:10" x14ac:dyDescent="0.25">
      <c r="A2714" t="s">
        <v>1705</v>
      </c>
      <c r="B2714" t="s">
        <v>44</v>
      </c>
      <c r="C2714" t="s">
        <v>1817</v>
      </c>
      <c r="D2714" s="1" t="s">
        <v>1818</v>
      </c>
      <c r="E2714" t="s">
        <v>14</v>
      </c>
      <c r="F2714">
        <v>55.190600000000003</v>
      </c>
      <c r="G2714">
        <v>8.56</v>
      </c>
      <c r="H2714">
        <v>1</v>
      </c>
      <c r="I2714">
        <v>9</v>
      </c>
      <c r="J2714" t="str">
        <f>HYPERLINK("https://climate.onebuilding.org/WMO_Region_6_Europe/DNK_Denmark/SD_South_Denmark/DNK_SD_Romo.Juvre.060960_TMYx.2007-2021.zip")</f>
        <v>https://climate.onebuilding.org/WMO_Region_6_Europe/DNK_Denmark/SD_South_Denmark/DNK_SD_Romo.Juvre.060960_TMYx.2007-2021.zip</v>
      </c>
    </row>
    <row r="2715" spans="1:10" x14ac:dyDescent="0.25">
      <c r="A2715" t="s">
        <v>1705</v>
      </c>
      <c r="B2715" t="s">
        <v>44</v>
      </c>
      <c r="C2715" t="s">
        <v>1817</v>
      </c>
      <c r="D2715" s="1" t="s">
        <v>1818</v>
      </c>
      <c r="E2715" t="s">
        <v>14</v>
      </c>
      <c r="F2715">
        <v>55.190600000000003</v>
      </c>
      <c r="G2715">
        <v>8.56</v>
      </c>
      <c r="H2715">
        <v>1</v>
      </c>
      <c r="I2715">
        <v>9</v>
      </c>
      <c r="J2715" t="str">
        <f>HYPERLINK("https://climate.onebuilding.org/WMO_Region_6_Europe/DNK_Denmark/SD_South_Denmark/DNK_SD_Romo.Juvre.060960_TMYx.2009-2023.zip")</f>
        <v>https://climate.onebuilding.org/WMO_Region_6_Europe/DNK_Denmark/SD_South_Denmark/DNK_SD_Romo.Juvre.060960_TMYx.2009-2023.zip</v>
      </c>
    </row>
    <row r="2716" spans="1:10" x14ac:dyDescent="0.25">
      <c r="A2716" t="s">
        <v>1705</v>
      </c>
      <c r="B2716" t="s">
        <v>44</v>
      </c>
      <c r="C2716" t="s">
        <v>1817</v>
      </c>
      <c r="D2716" s="1" t="s">
        <v>1818</v>
      </c>
      <c r="E2716" t="s">
        <v>14</v>
      </c>
      <c r="F2716">
        <v>55.190600000000003</v>
      </c>
      <c r="G2716">
        <v>8.56</v>
      </c>
      <c r="H2716">
        <v>1</v>
      </c>
      <c r="I2716">
        <v>9</v>
      </c>
      <c r="J2716" t="str">
        <f>HYPERLINK("https://climate.onebuilding.org/WMO_Region_6_Europe/DNK_Denmark/SD_South_Denmark/DNK_SD_Romo.Juvre.060960_TMYx.zip")</f>
        <v>https://climate.onebuilding.org/WMO_Region_6_Europe/DNK_Denmark/SD_South_Denmark/DNK_SD_Romo.Juvre.060960_TMYx.zip</v>
      </c>
    </row>
    <row r="2717" spans="1:10" x14ac:dyDescent="0.25">
      <c r="A2717" t="s">
        <v>1705</v>
      </c>
      <c r="B2717" t="s">
        <v>44</v>
      </c>
      <c r="C2717" t="s">
        <v>1820</v>
      </c>
      <c r="D2717" s="1" t="s">
        <v>1821</v>
      </c>
      <c r="E2717" t="s">
        <v>14</v>
      </c>
      <c r="F2717">
        <v>55.086100000000002</v>
      </c>
      <c r="G2717">
        <v>8.5645000000000007</v>
      </c>
      <c r="H2717">
        <v>1</v>
      </c>
      <c r="I2717">
        <v>3</v>
      </c>
      <c r="J2717" t="str">
        <f>HYPERLINK("https://climate.onebuilding.org/WMO_Region_6_Europe/DNK_Denmark/SD_South_Denmark/DNK_SD_Havneby.060990_TMYx.zip")</f>
        <v>https://climate.onebuilding.org/WMO_Region_6_Europe/DNK_Denmark/SD_South_Denmark/DNK_SD_Havneby.060990_TMYx.zip</v>
      </c>
    </row>
    <row r="2718" spans="1:10" x14ac:dyDescent="0.25">
      <c r="A2718" t="s">
        <v>1705</v>
      </c>
      <c r="B2718" t="s">
        <v>44</v>
      </c>
      <c r="C2718" t="s">
        <v>1822</v>
      </c>
      <c r="D2718" s="1" t="s">
        <v>1823</v>
      </c>
      <c r="E2718" t="s">
        <v>14</v>
      </c>
      <c r="F2718">
        <v>55.710099999999997</v>
      </c>
      <c r="G2718">
        <v>9.2186000000000003</v>
      </c>
      <c r="H2718">
        <v>1</v>
      </c>
      <c r="I2718">
        <v>79</v>
      </c>
      <c r="J2718" t="str">
        <f>HYPERLINK("https://climate.onebuilding.org/WMO_Region_6_Europe/DNK_Denmark/SD_South_Denmark/DNK_SD_Vandel.061000_TMYx.zip")</f>
        <v>https://climate.onebuilding.org/WMO_Region_6_Europe/DNK_Denmark/SD_South_Denmark/DNK_SD_Vandel.061000_TMYx.zip</v>
      </c>
    </row>
    <row r="2719" spans="1:10" x14ac:dyDescent="0.25">
      <c r="A2719" t="s">
        <v>1705</v>
      </c>
      <c r="B2719" t="s">
        <v>1709</v>
      </c>
      <c r="C2719" t="s">
        <v>1824</v>
      </c>
      <c r="D2719" s="1" t="s">
        <v>1825</v>
      </c>
      <c r="E2719" t="s">
        <v>1826</v>
      </c>
      <c r="F2719">
        <v>55.868000000000002</v>
      </c>
      <c r="G2719">
        <v>9.7870000000000008</v>
      </c>
      <c r="H2719">
        <v>1</v>
      </c>
      <c r="I2719">
        <v>24</v>
      </c>
      <c r="J2719" t="str">
        <f>HYPERLINK("https://climate.onebuilding.org/WMO_Region_6_Europe/DNK_Denmark/MJ_Central_Jutland/DNK_MJ_Horsens.Bygholm.061020_TMYx.2004-2018.zip")</f>
        <v>https://climate.onebuilding.org/WMO_Region_6_Europe/DNK_Denmark/MJ_Central_Jutland/DNK_MJ_Horsens.Bygholm.061020_TMYx.2004-2018.zip</v>
      </c>
    </row>
    <row r="2720" spans="1:10" x14ac:dyDescent="0.25">
      <c r="A2720" t="s">
        <v>1705</v>
      </c>
      <c r="B2720" t="s">
        <v>1709</v>
      </c>
      <c r="C2720" t="s">
        <v>1824</v>
      </c>
      <c r="D2720" s="1" t="s">
        <v>1825</v>
      </c>
      <c r="E2720" t="s">
        <v>14</v>
      </c>
      <c r="F2720">
        <v>55.868000000000002</v>
      </c>
      <c r="G2720">
        <v>9.7870000000000008</v>
      </c>
      <c r="H2720">
        <v>1</v>
      </c>
      <c r="I2720">
        <v>24</v>
      </c>
      <c r="J2720" t="str">
        <f>HYPERLINK("https://climate.onebuilding.org/WMO_Region_6_Europe/DNK_Denmark/MJ_Central_Jutland/DNK_MJ_Horsens.Bygholm.061020_TMYx.2007-2021.zip")</f>
        <v>https://climate.onebuilding.org/WMO_Region_6_Europe/DNK_Denmark/MJ_Central_Jutland/DNK_MJ_Horsens.Bygholm.061020_TMYx.2007-2021.zip</v>
      </c>
    </row>
    <row r="2721" spans="1:10" x14ac:dyDescent="0.25">
      <c r="A2721" t="s">
        <v>1705</v>
      </c>
      <c r="B2721" t="s">
        <v>1709</v>
      </c>
      <c r="C2721" t="s">
        <v>1824</v>
      </c>
      <c r="D2721" s="1" t="s">
        <v>1825</v>
      </c>
      <c r="E2721" t="s">
        <v>14</v>
      </c>
      <c r="F2721">
        <v>55.868000000000002</v>
      </c>
      <c r="G2721">
        <v>9.7870000000000008</v>
      </c>
      <c r="H2721">
        <v>1</v>
      </c>
      <c r="I2721">
        <v>24</v>
      </c>
      <c r="J2721" t="str">
        <f>HYPERLINK("https://climate.onebuilding.org/WMO_Region_6_Europe/DNK_Denmark/MJ_Central_Jutland/DNK_MJ_Horsens.Bygholm.061020_TMYx.2009-2023.zip")</f>
        <v>https://climate.onebuilding.org/WMO_Region_6_Europe/DNK_Denmark/MJ_Central_Jutland/DNK_MJ_Horsens.Bygholm.061020_TMYx.2009-2023.zip</v>
      </c>
    </row>
    <row r="2722" spans="1:10" x14ac:dyDescent="0.25">
      <c r="A2722" t="s">
        <v>1705</v>
      </c>
      <c r="B2722" t="s">
        <v>1709</v>
      </c>
      <c r="C2722" t="s">
        <v>1824</v>
      </c>
      <c r="D2722" s="1" t="s">
        <v>1825</v>
      </c>
      <c r="E2722" t="s">
        <v>14</v>
      </c>
      <c r="F2722">
        <v>55.868000000000002</v>
      </c>
      <c r="G2722">
        <v>9.7870000000000008</v>
      </c>
      <c r="H2722">
        <v>1</v>
      </c>
      <c r="I2722">
        <v>24</v>
      </c>
      <c r="J2722" t="str">
        <f>HYPERLINK("https://climate.onebuilding.org/WMO_Region_6_Europe/DNK_Denmark/MJ_Central_Jutland/DNK_MJ_Horsens.Bygholm.061020_TMYx.zip")</f>
        <v>https://climate.onebuilding.org/WMO_Region_6_Europe/DNK_Denmark/MJ_Central_Jutland/DNK_MJ_Horsens.Bygholm.061020_TMYx.zip</v>
      </c>
    </row>
    <row r="2723" spans="1:10" x14ac:dyDescent="0.25">
      <c r="A2723" t="s">
        <v>1705</v>
      </c>
      <c r="B2723" t="s">
        <v>44</v>
      </c>
      <c r="C2723" t="s">
        <v>1827</v>
      </c>
      <c r="D2723" s="1" t="s">
        <v>1828</v>
      </c>
      <c r="E2723" t="s">
        <v>1829</v>
      </c>
      <c r="F2723">
        <v>55.738100000000003</v>
      </c>
      <c r="G2723">
        <v>9.1675000000000004</v>
      </c>
      <c r="H2723">
        <v>1</v>
      </c>
      <c r="I2723">
        <v>80</v>
      </c>
      <c r="J2723" t="str">
        <f>HYPERLINK("https://climate.onebuilding.org/WMO_Region_6_Europe/DNK_Denmark/SD_South_Denmark/DNK_SD_Billund.AP.061040_TMYx.2004-2018.zip")</f>
        <v>https://climate.onebuilding.org/WMO_Region_6_Europe/DNK_Denmark/SD_South_Denmark/DNK_SD_Billund.AP.061040_TMYx.2004-2018.zip</v>
      </c>
    </row>
    <row r="2724" spans="1:10" x14ac:dyDescent="0.25">
      <c r="A2724" t="s">
        <v>1705</v>
      </c>
      <c r="B2724" t="s">
        <v>44</v>
      </c>
      <c r="C2724" t="s">
        <v>1827</v>
      </c>
      <c r="D2724" s="1" t="s">
        <v>1828</v>
      </c>
      <c r="E2724" t="s">
        <v>14</v>
      </c>
      <c r="F2724">
        <v>55.738100000000003</v>
      </c>
      <c r="G2724">
        <v>9.1675000000000004</v>
      </c>
      <c r="H2724">
        <v>1</v>
      </c>
      <c r="I2724">
        <v>80</v>
      </c>
      <c r="J2724" t="str">
        <f>HYPERLINK("https://climate.onebuilding.org/WMO_Region_6_Europe/DNK_Denmark/SD_South_Denmark/DNK_SD_Billund.AP.061040_TMYx.2007-2021.zip")</f>
        <v>https://climate.onebuilding.org/WMO_Region_6_Europe/DNK_Denmark/SD_South_Denmark/DNK_SD_Billund.AP.061040_TMYx.2007-2021.zip</v>
      </c>
    </row>
    <row r="2725" spans="1:10" x14ac:dyDescent="0.25">
      <c r="A2725" t="s">
        <v>1705</v>
      </c>
      <c r="B2725" t="s">
        <v>44</v>
      </c>
      <c r="C2725" t="s">
        <v>1827</v>
      </c>
      <c r="D2725" s="1" t="s">
        <v>1828</v>
      </c>
      <c r="E2725" t="s">
        <v>14</v>
      </c>
      <c r="F2725">
        <v>55.738100000000003</v>
      </c>
      <c r="G2725">
        <v>9.1675000000000004</v>
      </c>
      <c r="H2725">
        <v>1</v>
      </c>
      <c r="I2725">
        <v>80</v>
      </c>
      <c r="J2725" t="str">
        <f>HYPERLINK("https://climate.onebuilding.org/WMO_Region_6_Europe/DNK_Denmark/SD_South_Denmark/DNK_SD_Billund.AP.061040_TMYx.2009-2023.zip")</f>
        <v>https://climate.onebuilding.org/WMO_Region_6_Europe/DNK_Denmark/SD_South_Denmark/DNK_SD_Billund.AP.061040_TMYx.2009-2023.zip</v>
      </c>
    </row>
    <row r="2726" spans="1:10" x14ac:dyDescent="0.25">
      <c r="A2726" t="s">
        <v>1705</v>
      </c>
      <c r="B2726" t="s">
        <v>44</v>
      </c>
      <c r="C2726" t="s">
        <v>1827</v>
      </c>
      <c r="D2726" s="1" t="s">
        <v>1828</v>
      </c>
      <c r="E2726" t="s">
        <v>14</v>
      </c>
      <c r="F2726">
        <v>55.738100000000003</v>
      </c>
      <c r="G2726">
        <v>9.1675000000000004</v>
      </c>
      <c r="H2726">
        <v>1</v>
      </c>
      <c r="I2726">
        <v>80</v>
      </c>
      <c r="J2726" t="str">
        <f>HYPERLINK("https://climate.onebuilding.org/WMO_Region_6_Europe/DNK_Denmark/SD_South_Denmark/DNK_SD_Billund.AP.061040_TMYx.zip")</f>
        <v>https://climate.onebuilding.org/WMO_Region_6_Europe/DNK_Denmark/SD_South_Denmark/DNK_SD_Billund.AP.061040_TMYx.zip</v>
      </c>
    </row>
    <row r="2727" spans="1:10" x14ac:dyDescent="0.25">
      <c r="A2727" t="s">
        <v>1705</v>
      </c>
      <c r="B2727" t="s">
        <v>1709</v>
      </c>
      <c r="C2727" t="s">
        <v>1830</v>
      </c>
      <c r="D2727" s="1" t="s">
        <v>1831</v>
      </c>
      <c r="E2727" t="s">
        <v>14</v>
      </c>
      <c r="F2727">
        <v>55.912799999999997</v>
      </c>
      <c r="G2727">
        <v>9.9267000000000003</v>
      </c>
      <c r="H2727">
        <v>1</v>
      </c>
      <c r="I2727">
        <v>70</v>
      </c>
      <c r="J2727" t="str">
        <f>HYPERLINK("https://climate.onebuilding.org/WMO_Region_6_Europe/DNK_Denmark/MJ_Central_Jutland/DNK_MJ_Tvingstrup.061060_TMYx.zip")</f>
        <v>https://climate.onebuilding.org/WMO_Region_6_Europe/DNK_Denmark/MJ_Central_Jutland/DNK_MJ_Tvingstrup.061060_TMYx.zip</v>
      </c>
    </row>
    <row r="2728" spans="1:10" x14ac:dyDescent="0.25">
      <c r="A2728" t="s">
        <v>1705</v>
      </c>
      <c r="B2728" t="s">
        <v>44</v>
      </c>
      <c r="C2728" t="s">
        <v>1832</v>
      </c>
      <c r="D2728" s="1" t="s">
        <v>1833</v>
      </c>
      <c r="E2728" t="s">
        <v>1834</v>
      </c>
      <c r="F2728">
        <v>55.4375</v>
      </c>
      <c r="G2728">
        <v>9.3336000000000006</v>
      </c>
      <c r="H2728">
        <v>1</v>
      </c>
      <c r="I2728">
        <v>45</v>
      </c>
      <c r="J2728" t="str">
        <f>HYPERLINK("https://climate.onebuilding.org/WMO_Region_6_Europe/DNK_Denmark/SD_South_Denmark/DNK_SD_Vamdrup-Kolding.AP.061080_TMYx.2004-2018.zip")</f>
        <v>https://climate.onebuilding.org/WMO_Region_6_Europe/DNK_Denmark/SD_South_Denmark/DNK_SD_Vamdrup-Kolding.AP.061080_TMYx.2004-2018.zip</v>
      </c>
    </row>
    <row r="2729" spans="1:10" x14ac:dyDescent="0.25">
      <c r="A2729" t="s">
        <v>1705</v>
      </c>
      <c r="B2729" t="s">
        <v>44</v>
      </c>
      <c r="C2729" t="s">
        <v>1832</v>
      </c>
      <c r="D2729" s="1" t="s">
        <v>1833</v>
      </c>
      <c r="E2729" t="s">
        <v>14</v>
      </c>
      <c r="F2729">
        <v>55.4375</v>
      </c>
      <c r="G2729">
        <v>9.3336000000000006</v>
      </c>
      <c r="H2729">
        <v>1</v>
      </c>
      <c r="I2729">
        <v>45</v>
      </c>
      <c r="J2729" t="str">
        <f>HYPERLINK("https://climate.onebuilding.org/WMO_Region_6_Europe/DNK_Denmark/SD_South_Denmark/DNK_SD_Vamdrup-Kolding.AP.061080_TMYx.2007-2021.zip")</f>
        <v>https://climate.onebuilding.org/WMO_Region_6_Europe/DNK_Denmark/SD_South_Denmark/DNK_SD_Vamdrup-Kolding.AP.061080_TMYx.2007-2021.zip</v>
      </c>
    </row>
    <row r="2730" spans="1:10" x14ac:dyDescent="0.25">
      <c r="A2730" t="s">
        <v>1705</v>
      </c>
      <c r="B2730" t="s">
        <v>44</v>
      </c>
      <c r="C2730" t="s">
        <v>1832</v>
      </c>
      <c r="D2730" s="1" t="s">
        <v>1833</v>
      </c>
      <c r="E2730" t="s">
        <v>14</v>
      </c>
      <c r="F2730">
        <v>55.4375</v>
      </c>
      <c r="G2730">
        <v>9.3336000000000006</v>
      </c>
      <c r="H2730">
        <v>1</v>
      </c>
      <c r="I2730">
        <v>45</v>
      </c>
      <c r="J2730" t="str">
        <f>HYPERLINK("https://climate.onebuilding.org/WMO_Region_6_Europe/DNK_Denmark/SD_South_Denmark/DNK_SD_Vamdrup-Kolding.AP.061080_TMYx.2009-2023.zip")</f>
        <v>https://climate.onebuilding.org/WMO_Region_6_Europe/DNK_Denmark/SD_South_Denmark/DNK_SD_Vamdrup-Kolding.AP.061080_TMYx.2009-2023.zip</v>
      </c>
    </row>
    <row r="2731" spans="1:10" x14ac:dyDescent="0.25">
      <c r="A2731" t="s">
        <v>1705</v>
      </c>
      <c r="B2731" t="s">
        <v>44</v>
      </c>
      <c r="C2731" t="s">
        <v>1832</v>
      </c>
      <c r="D2731" s="1" t="s">
        <v>1833</v>
      </c>
      <c r="E2731" t="s">
        <v>14</v>
      </c>
      <c r="F2731">
        <v>55.4375</v>
      </c>
      <c r="G2731">
        <v>9.3336000000000006</v>
      </c>
      <c r="H2731">
        <v>1</v>
      </c>
      <c r="I2731">
        <v>45</v>
      </c>
      <c r="J2731" t="str">
        <f>HYPERLINK("https://climate.onebuilding.org/WMO_Region_6_Europe/DNK_Denmark/SD_South_Denmark/DNK_SD_Vamdrup-Kolding.AP.061080_TMYx.zip")</f>
        <v>https://climate.onebuilding.org/WMO_Region_6_Europe/DNK_Denmark/SD_South_Denmark/DNK_SD_Vamdrup-Kolding.AP.061080_TMYx.zip</v>
      </c>
    </row>
    <row r="2732" spans="1:10" x14ac:dyDescent="0.25">
      <c r="A2732" t="s">
        <v>1705</v>
      </c>
      <c r="B2732" t="s">
        <v>44</v>
      </c>
      <c r="C2732" t="s">
        <v>1835</v>
      </c>
      <c r="D2732" s="1" t="s">
        <v>1836</v>
      </c>
      <c r="E2732" t="s">
        <v>1837</v>
      </c>
      <c r="F2732">
        <v>55.471400000000003</v>
      </c>
      <c r="G2732">
        <v>9.1121999999999996</v>
      </c>
      <c r="H2732">
        <v>1</v>
      </c>
      <c r="I2732">
        <v>62</v>
      </c>
      <c r="J2732" t="str">
        <f>HYPERLINK("https://climate.onebuilding.org/WMO_Region_6_Europe/DNK_Denmark/SD_South_Denmark/DNK_SD_Askov.061090_TMYx.2004-2018.zip")</f>
        <v>https://climate.onebuilding.org/WMO_Region_6_Europe/DNK_Denmark/SD_South_Denmark/DNK_SD_Askov.061090_TMYx.2004-2018.zip</v>
      </c>
    </row>
    <row r="2733" spans="1:10" x14ac:dyDescent="0.25">
      <c r="A2733" t="s">
        <v>1705</v>
      </c>
      <c r="B2733" t="s">
        <v>44</v>
      </c>
      <c r="C2733" t="s">
        <v>1835</v>
      </c>
      <c r="D2733" s="1" t="s">
        <v>1836</v>
      </c>
      <c r="E2733" t="s">
        <v>14</v>
      </c>
      <c r="F2733">
        <v>55.471400000000003</v>
      </c>
      <c r="G2733">
        <v>9.1121999999999996</v>
      </c>
      <c r="H2733">
        <v>1</v>
      </c>
      <c r="I2733">
        <v>62</v>
      </c>
      <c r="J2733" t="str">
        <f>HYPERLINK("https://climate.onebuilding.org/WMO_Region_6_Europe/DNK_Denmark/SD_South_Denmark/DNK_SD_Askov.061090_TMYx.2007-2021.zip")</f>
        <v>https://climate.onebuilding.org/WMO_Region_6_Europe/DNK_Denmark/SD_South_Denmark/DNK_SD_Askov.061090_TMYx.2007-2021.zip</v>
      </c>
    </row>
    <row r="2734" spans="1:10" x14ac:dyDescent="0.25">
      <c r="A2734" t="s">
        <v>1705</v>
      </c>
      <c r="B2734" t="s">
        <v>44</v>
      </c>
      <c r="C2734" t="s">
        <v>1835</v>
      </c>
      <c r="D2734" s="1" t="s">
        <v>1836</v>
      </c>
      <c r="E2734" t="s">
        <v>14</v>
      </c>
      <c r="F2734">
        <v>55.471400000000003</v>
      </c>
      <c r="G2734">
        <v>9.1121999999999996</v>
      </c>
      <c r="H2734">
        <v>1</v>
      </c>
      <c r="I2734">
        <v>62</v>
      </c>
      <c r="J2734" t="str">
        <f>HYPERLINK("https://climate.onebuilding.org/WMO_Region_6_Europe/DNK_Denmark/SD_South_Denmark/DNK_SD_Askov.061090_TMYx.2009-2023.zip")</f>
        <v>https://climate.onebuilding.org/WMO_Region_6_Europe/DNK_Denmark/SD_South_Denmark/DNK_SD_Askov.061090_TMYx.2009-2023.zip</v>
      </c>
    </row>
    <row r="2735" spans="1:10" x14ac:dyDescent="0.25">
      <c r="A2735" t="s">
        <v>1705</v>
      </c>
      <c r="B2735" t="s">
        <v>44</v>
      </c>
      <c r="C2735" t="s">
        <v>1835</v>
      </c>
      <c r="D2735" s="1" t="s">
        <v>1836</v>
      </c>
      <c r="E2735" t="s">
        <v>14</v>
      </c>
      <c r="F2735">
        <v>55.471400000000003</v>
      </c>
      <c r="G2735">
        <v>9.1121999999999996</v>
      </c>
      <c r="H2735">
        <v>1</v>
      </c>
      <c r="I2735">
        <v>62</v>
      </c>
      <c r="J2735" t="str">
        <f>HYPERLINK("https://climate.onebuilding.org/WMO_Region_6_Europe/DNK_Denmark/SD_South_Denmark/DNK_SD_Askov.061090_TMYx.zip")</f>
        <v>https://climate.onebuilding.org/WMO_Region_6_Europe/DNK_Denmark/SD_South_Denmark/DNK_SD_Askov.061090_TMYx.zip</v>
      </c>
    </row>
    <row r="2736" spans="1:10" x14ac:dyDescent="0.25">
      <c r="A2736" t="s">
        <v>1705</v>
      </c>
      <c r="B2736" t="s">
        <v>44</v>
      </c>
      <c r="C2736" t="s">
        <v>1838</v>
      </c>
      <c r="D2736" s="1" t="s">
        <v>1839</v>
      </c>
      <c r="E2736" t="s">
        <v>1840</v>
      </c>
      <c r="F2736">
        <v>55.225299999999997</v>
      </c>
      <c r="G2736">
        <v>9.2632999999999992</v>
      </c>
      <c r="H2736">
        <v>1</v>
      </c>
      <c r="I2736">
        <v>47</v>
      </c>
      <c r="J2736" t="str">
        <f>HYPERLINK("https://climate.onebuilding.org/WMO_Region_6_Europe/DNK_Denmark/SD_South_Denmark/DNK_SD_Vojens.AP.061100_TMYx.2004-2018.zip")</f>
        <v>https://climate.onebuilding.org/WMO_Region_6_Europe/DNK_Denmark/SD_South_Denmark/DNK_SD_Vojens.AP.061100_TMYx.2004-2018.zip</v>
      </c>
    </row>
    <row r="2737" spans="1:10" x14ac:dyDescent="0.25">
      <c r="A2737" t="s">
        <v>1705</v>
      </c>
      <c r="B2737" t="s">
        <v>44</v>
      </c>
      <c r="C2737" t="s">
        <v>1838</v>
      </c>
      <c r="D2737" s="1" t="s">
        <v>1839</v>
      </c>
      <c r="E2737" t="s">
        <v>14</v>
      </c>
      <c r="F2737">
        <v>55.225299999999997</v>
      </c>
      <c r="G2737">
        <v>9.2632999999999992</v>
      </c>
      <c r="H2737">
        <v>1</v>
      </c>
      <c r="I2737">
        <v>47</v>
      </c>
      <c r="J2737" t="str">
        <f>HYPERLINK("https://climate.onebuilding.org/WMO_Region_6_Europe/DNK_Denmark/SD_South_Denmark/DNK_SD_Vojens.AP.061100_TMYx.2007-2021.zip")</f>
        <v>https://climate.onebuilding.org/WMO_Region_6_Europe/DNK_Denmark/SD_South_Denmark/DNK_SD_Vojens.AP.061100_TMYx.2007-2021.zip</v>
      </c>
    </row>
    <row r="2738" spans="1:10" x14ac:dyDescent="0.25">
      <c r="A2738" t="s">
        <v>1705</v>
      </c>
      <c r="B2738" t="s">
        <v>44</v>
      </c>
      <c r="C2738" t="s">
        <v>1838</v>
      </c>
      <c r="D2738" s="1" t="s">
        <v>1839</v>
      </c>
      <c r="E2738" t="s">
        <v>14</v>
      </c>
      <c r="F2738">
        <v>55.225299999999997</v>
      </c>
      <c r="G2738">
        <v>9.2632999999999992</v>
      </c>
      <c r="H2738">
        <v>1</v>
      </c>
      <c r="I2738">
        <v>47</v>
      </c>
      <c r="J2738" t="str">
        <f>HYPERLINK("https://climate.onebuilding.org/WMO_Region_6_Europe/DNK_Denmark/SD_South_Denmark/DNK_SD_Vojens.AP.061100_TMYx.2009-2023.zip")</f>
        <v>https://climate.onebuilding.org/WMO_Region_6_Europe/DNK_Denmark/SD_South_Denmark/DNK_SD_Vojens.AP.061100_TMYx.2009-2023.zip</v>
      </c>
    </row>
    <row r="2739" spans="1:10" x14ac:dyDescent="0.25">
      <c r="A2739" t="s">
        <v>1705</v>
      </c>
      <c r="B2739" t="s">
        <v>44</v>
      </c>
      <c r="C2739" t="s">
        <v>1838</v>
      </c>
      <c r="D2739" s="1" t="s">
        <v>1839</v>
      </c>
      <c r="E2739" t="s">
        <v>14</v>
      </c>
      <c r="F2739">
        <v>55.225299999999997</v>
      </c>
      <c r="G2739">
        <v>9.2632999999999992</v>
      </c>
      <c r="H2739">
        <v>1</v>
      </c>
      <c r="I2739">
        <v>47</v>
      </c>
      <c r="J2739" t="str">
        <f>HYPERLINK("https://climate.onebuilding.org/WMO_Region_6_Europe/DNK_Denmark/SD_South_Denmark/DNK_SD_Vojens.AP.061100_TMYx.zip")</f>
        <v>https://climate.onebuilding.org/WMO_Region_6_Europe/DNK_Denmark/SD_South_Denmark/DNK_SD_Vojens.AP.061100_TMYx.zip</v>
      </c>
    </row>
    <row r="2740" spans="1:10" x14ac:dyDescent="0.25">
      <c r="A2740" t="s">
        <v>1705</v>
      </c>
      <c r="B2740" t="s">
        <v>44</v>
      </c>
      <c r="C2740" t="s">
        <v>1841</v>
      </c>
      <c r="D2740" s="1" t="s">
        <v>1842</v>
      </c>
      <c r="E2740" t="s">
        <v>14</v>
      </c>
      <c r="F2740">
        <v>55.3</v>
      </c>
      <c r="G2740">
        <v>9.8000000000000007</v>
      </c>
      <c r="H2740">
        <v>1</v>
      </c>
      <c r="I2740">
        <v>2</v>
      </c>
      <c r="J2740" t="str">
        <f>HYPERLINK("https://climate.onebuilding.org/WMO_Region_6_Europe/DNK_Denmark/SD_South_Denmark/DNK_SD_Baagoe.061110_TMYx.zip")</f>
        <v>https://climate.onebuilding.org/WMO_Region_6_Europe/DNK_Denmark/SD_South_Denmark/DNK_SD_Baagoe.061110_TMYx.zip</v>
      </c>
    </row>
    <row r="2741" spans="1:10" x14ac:dyDescent="0.25">
      <c r="A2741" t="s">
        <v>1705</v>
      </c>
      <c r="B2741" t="s">
        <v>44</v>
      </c>
      <c r="C2741" t="s">
        <v>1843</v>
      </c>
      <c r="D2741" s="1" t="s">
        <v>1844</v>
      </c>
      <c r="E2741" t="s">
        <v>14</v>
      </c>
      <c r="F2741">
        <v>54.9</v>
      </c>
      <c r="G2741">
        <v>8.8330000000000002</v>
      </c>
      <c r="H2741">
        <v>1</v>
      </c>
      <c r="I2741">
        <v>1</v>
      </c>
      <c r="J2741" t="str">
        <f>HYPERLINK("https://climate.onebuilding.org/WMO_Region_6_Europe/DNK_Denmark/SD_South_Denmark/DNK_SD_Mollehus.061150_TMYx.zip")</f>
        <v>https://climate.onebuilding.org/WMO_Region_6_Europe/DNK_Denmark/SD_South_Denmark/DNK_SD_Mollehus.061150_TMYx.zip</v>
      </c>
    </row>
    <row r="2742" spans="1:10" x14ac:dyDescent="0.25">
      <c r="A2742" t="s">
        <v>1705</v>
      </c>
      <c r="B2742" t="s">
        <v>44</v>
      </c>
      <c r="C2742" t="s">
        <v>1845</v>
      </c>
      <c r="D2742" s="1" t="s">
        <v>1846</v>
      </c>
      <c r="E2742" t="s">
        <v>14</v>
      </c>
      <c r="F2742">
        <v>54.962200000000003</v>
      </c>
      <c r="G2742">
        <v>9.7874999999999996</v>
      </c>
      <c r="H2742">
        <v>1</v>
      </c>
      <c r="I2742">
        <v>7.3</v>
      </c>
      <c r="J2742" t="str">
        <f>HYPERLINK("https://climate.onebuilding.org/WMO_Region_6_Europe/DNK_Denmark/SD_South_Denmark/DNK_SD_Sonderborg.AP.061180_TMYx.2007-2021.zip")</f>
        <v>https://climate.onebuilding.org/WMO_Region_6_Europe/DNK_Denmark/SD_South_Denmark/DNK_SD_Sonderborg.AP.061180_TMYx.2007-2021.zip</v>
      </c>
    </row>
    <row r="2743" spans="1:10" x14ac:dyDescent="0.25">
      <c r="A2743" t="s">
        <v>1705</v>
      </c>
      <c r="B2743" t="s">
        <v>44</v>
      </c>
      <c r="C2743" t="s">
        <v>1845</v>
      </c>
      <c r="D2743" s="1" t="s">
        <v>1846</v>
      </c>
      <c r="E2743" t="s">
        <v>14</v>
      </c>
      <c r="F2743">
        <v>54.962200000000003</v>
      </c>
      <c r="G2743">
        <v>9.7874999999999996</v>
      </c>
      <c r="H2743">
        <v>1</v>
      </c>
      <c r="I2743">
        <v>7.3</v>
      </c>
      <c r="J2743" t="str">
        <f>HYPERLINK("https://climate.onebuilding.org/WMO_Region_6_Europe/DNK_Denmark/SD_South_Denmark/DNK_SD_Sonderborg.AP.061180_TMYx.2009-2023.zip")</f>
        <v>https://climate.onebuilding.org/WMO_Region_6_Europe/DNK_Denmark/SD_South_Denmark/DNK_SD_Sonderborg.AP.061180_TMYx.2009-2023.zip</v>
      </c>
    </row>
    <row r="2744" spans="1:10" x14ac:dyDescent="0.25">
      <c r="A2744" t="s">
        <v>1705</v>
      </c>
      <c r="B2744" t="s">
        <v>44</v>
      </c>
      <c r="C2744" t="s">
        <v>1845</v>
      </c>
      <c r="D2744" s="1" t="s">
        <v>1846</v>
      </c>
      <c r="E2744" t="s">
        <v>14</v>
      </c>
      <c r="F2744">
        <v>54.962200000000003</v>
      </c>
      <c r="G2744">
        <v>9.7874999999999996</v>
      </c>
      <c r="H2744">
        <v>1</v>
      </c>
      <c r="I2744">
        <v>7.3</v>
      </c>
      <c r="J2744" t="str">
        <f>HYPERLINK("https://climate.onebuilding.org/WMO_Region_6_Europe/DNK_Denmark/SD_South_Denmark/DNK_SD_Sonderborg.AP.061180_TMYx.zip")</f>
        <v>https://climate.onebuilding.org/WMO_Region_6_Europe/DNK_Denmark/SD_South_Denmark/DNK_SD_Sonderborg.AP.061180_TMYx.zip</v>
      </c>
    </row>
    <row r="2745" spans="1:10" x14ac:dyDescent="0.25">
      <c r="A2745" t="s">
        <v>1705</v>
      </c>
      <c r="B2745" t="s">
        <v>44</v>
      </c>
      <c r="C2745" t="s">
        <v>1847</v>
      </c>
      <c r="D2745" s="1" t="s">
        <v>1848</v>
      </c>
      <c r="E2745" t="s">
        <v>1849</v>
      </c>
      <c r="F2745">
        <v>54.852800000000002</v>
      </c>
      <c r="G2745">
        <v>9.9880999999999993</v>
      </c>
      <c r="H2745">
        <v>1</v>
      </c>
      <c r="I2745">
        <v>19</v>
      </c>
      <c r="J2745" t="str">
        <f>HYPERLINK("https://climate.onebuilding.org/WMO_Region_6_Europe/DNK_Denmark/SD_South_Denmark/DNK_SD_Kegnas.Lighthouse.061190_TMYx.2004-2018.zip")</f>
        <v>https://climate.onebuilding.org/WMO_Region_6_Europe/DNK_Denmark/SD_South_Denmark/DNK_SD_Kegnas.Lighthouse.061190_TMYx.2004-2018.zip</v>
      </c>
    </row>
    <row r="2746" spans="1:10" x14ac:dyDescent="0.25">
      <c r="A2746" t="s">
        <v>1705</v>
      </c>
      <c r="B2746" t="s">
        <v>44</v>
      </c>
      <c r="C2746" t="s">
        <v>1847</v>
      </c>
      <c r="D2746" s="1" t="s">
        <v>1848</v>
      </c>
      <c r="E2746" t="s">
        <v>14</v>
      </c>
      <c r="F2746">
        <v>54.852800000000002</v>
      </c>
      <c r="G2746">
        <v>9.9880999999999993</v>
      </c>
      <c r="H2746">
        <v>1</v>
      </c>
      <c r="I2746">
        <v>19</v>
      </c>
      <c r="J2746" t="str">
        <f>HYPERLINK("https://climate.onebuilding.org/WMO_Region_6_Europe/DNK_Denmark/SD_South_Denmark/DNK_SD_Kegnas.Lighthouse.061190_TMYx.2007-2021.zip")</f>
        <v>https://climate.onebuilding.org/WMO_Region_6_Europe/DNK_Denmark/SD_South_Denmark/DNK_SD_Kegnas.Lighthouse.061190_TMYx.2007-2021.zip</v>
      </c>
    </row>
    <row r="2747" spans="1:10" x14ac:dyDescent="0.25">
      <c r="A2747" t="s">
        <v>1705</v>
      </c>
      <c r="B2747" t="s">
        <v>44</v>
      </c>
      <c r="C2747" t="s">
        <v>1847</v>
      </c>
      <c r="D2747" s="1" t="s">
        <v>1848</v>
      </c>
      <c r="E2747" t="s">
        <v>14</v>
      </c>
      <c r="F2747">
        <v>54.852800000000002</v>
      </c>
      <c r="G2747">
        <v>9.9880999999999993</v>
      </c>
      <c r="H2747">
        <v>1</v>
      </c>
      <c r="I2747">
        <v>19</v>
      </c>
      <c r="J2747" t="str">
        <f>HYPERLINK("https://climate.onebuilding.org/WMO_Region_6_Europe/DNK_Denmark/SD_South_Denmark/DNK_SD_Kegnas.Lighthouse.061190_TMYx.2009-2023.zip")</f>
        <v>https://climate.onebuilding.org/WMO_Region_6_Europe/DNK_Denmark/SD_South_Denmark/DNK_SD_Kegnas.Lighthouse.061190_TMYx.2009-2023.zip</v>
      </c>
    </row>
    <row r="2748" spans="1:10" x14ac:dyDescent="0.25">
      <c r="A2748" t="s">
        <v>1705</v>
      </c>
      <c r="B2748" t="s">
        <v>44</v>
      </c>
      <c r="C2748" t="s">
        <v>1847</v>
      </c>
      <c r="D2748" s="1" t="s">
        <v>1848</v>
      </c>
      <c r="E2748" t="s">
        <v>14</v>
      </c>
      <c r="F2748">
        <v>54.852800000000002</v>
      </c>
      <c r="G2748">
        <v>9.9880999999999993</v>
      </c>
      <c r="H2748">
        <v>1</v>
      </c>
      <c r="I2748">
        <v>19</v>
      </c>
      <c r="J2748" t="str">
        <f>HYPERLINK("https://climate.onebuilding.org/WMO_Region_6_Europe/DNK_Denmark/SD_South_Denmark/DNK_SD_Kegnas.Lighthouse.061190_TMYx.zip")</f>
        <v>https://climate.onebuilding.org/WMO_Region_6_Europe/DNK_Denmark/SD_South_Denmark/DNK_SD_Kegnas.Lighthouse.061190_TMYx.zip</v>
      </c>
    </row>
    <row r="2749" spans="1:10" x14ac:dyDescent="0.25">
      <c r="A2749" t="s">
        <v>1705</v>
      </c>
      <c r="B2749" t="s">
        <v>44</v>
      </c>
      <c r="C2749" t="s">
        <v>1850</v>
      </c>
      <c r="D2749" s="1" t="s">
        <v>1851</v>
      </c>
      <c r="E2749" t="s">
        <v>1852</v>
      </c>
      <c r="F2749">
        <v>55.475000000000001</v>
      </c>
      <c r="G2749">
        <v>10.3306</v>
      </c>
      <c r="H2749">
        <v>1</v>
      </c>
      <c r="I2749">
        <v>21</v>
      </c>
      <c r="J2749" t="str">
        <f>HYPERLINK("https://climate.onebuilding.org/WMO_Region_6_Europe/DNK_Denmark/SD_South_Denmark/DNK_SD_Odense.AP.061200_TMYx.2004-2018.zip")</f>
        <v>https://climate.onebuilding.org/WMO_Region_6_Europe/DNK_Denmark/SD_South_Denmark/DNK_SD_Odense.AP.061200_TMYx.2004-2018.zip</v>
      </c>
    </row>
    <row r="2750" spans="1:10" x14ac:dyDescent="0.25">
      <c r="A2750" t="s">
        <v>1705</v>
      </c>
      <c r="B2750" t="s">
        <v>44</v>
      </c>
      <c r="C2750" t="s">
        <v>1850</v>
      </c>
      <c r="D2750" s="1" t="s">
        <v>1851</v>
      </c>
      <c r="E2750" t="s">
        <v>14</v>
      </c>
      <c r="F2750">
        <v>55.475000000000001</v>
      </c>
      <c r="G2750">
        <v>10.3306</v>
      </c>
      <c r="H2750">
        <v>1</v>
      </c>
      <c r="I2750">
        <v>21</v>
      </c>
      <c r="J2750" t="str">
        <f>HYPERLINK("https://climate.onebuilding.org/WMO_Region_6_Europe/DNK_Denmark/SD_South_Denmark/DNK_SD_Odense.AP.061200_TMYx.2007-2021.zip")</f>
        <v>https://climate.onebuilding.org/WMO_Region_6_Europe/DNK_Denmark/SD_South_Denmark/DNK_SD_Odense.AP.061200_TMYx.2007-2021.zip</v>
      </c>
    </row>
    <row r="2751" spans="1:10" x14ac:dyDescent="0.25">
      <c r="A2751" t="s">
        <v>1705</v>
      </c>
      <c r="B2751" t="s">
        <v>44</v>
      </c>
      <c r="C2751" t="s">
        <v>1850</v>
      </c>
      <c r="D2751" s="1" t="s">
        <v>1851</v>
      </c>
      <c r="E2751" t="s">
        <v>14</v>
      </c>
      <c r="F2751">
        <v>55.475000000000001</v>
      </c>
      <c r="G2751">
        <v>10.3306</v>
      </c>
      <c r="H2751">
        <v>1</v>
      </c>
      <c r="I2751">
        <v>21</v>
      </c>
      <c r="J2751" t="str">
        <f>HYPERLINK("https://climate.onebuilding.org/WMO_Region_6_Europe/DNK_Denmark/SD_South_Denmark/DNK_SD_Odense.AP.061200_TMYx.2009-2023.zip")</f>
        <v>https://climate.onebuilding.org/WMO_Region_6_Europe/DNK_Denmark/SD_South_Denmark/DNK_SD_Odense.AP.061200_TMYx.2009-2023.zip</v>
      </c>
    </row>
    <row r="2752" spans="1:10" x14ac:dyDescent="0.25">
      <c r="A2752" t="s">
        <v>1705</v>
      </c>
      <c r="B2752" t="s">
        <v>44</v>
      </c>
      <c r="C2752" t="s">
        <v>1850</v>
      </c>
      <c r="D2752" s="1" t="s">
        <v>1851</v>
      </c>
      <c r="E2752" t="s">
        <v>14</v>
      </c>
      <c r="F2752">
        <v>55.475000000000001</v>
      </c>
      <c r="G2752">
        <v>10.3306</v>
      </c>
      <c r="H2752">
        <v>1</v>
      </c>
      <c r="I2752">
        <v>21</v>
      </c>
      <c r="J2752" t="str">
        <f>HYPERLINK("https://climate.onebuilding.org/WMO_Region_6_Europe/DNK_Denmark/SD_South_Denmark/DNK_SD_Odense.AP.061200_TMYx.zip")</f>
        <v>https://climate.onebuilding.org/WMO_Region_6_Europe/DNK_Denmark/SD_South_Denmark/DNK_SD_Odense.AP.061200_TMYx.zip</v>
      </c>
    </row>
    <row r="2753" spans="1:10" x14ac:dyDescent="0.25">
      <c r="A2753" t="s">
        <v>1705</v>
      </c>
      <c r="B2753" t="s">
        <v>44</v>
      </c>
      <c r="C2753" t="s">
        <v>1853</v>
      </c>
      <c r="D2753" s="1" t="s">
        <v>1854</v>
      </c>
      <c r="E2753" t="s">
        <v>1855</v>
      </c>
      <c r="F2753">
        <v>55.244399999999999</v>
      </c>
      <c r="G2753">
        <v>9.8882999999999992</v>
      </c>
      <c r="H2753">
        <v>1</v>
      </c>
      <c r="I2753">
        <v>3</v>
      </c>
      <c r="J2753" t="str">
        <f>HYPERLINK("https://climate.onebuilding.org/WMO_Region_6_Europe/DNK_Denmark/SD_South_Denmark/DNK_SD_Assens.Toro.061230_TMYx.2004-2018.zip")</f>
        <v>https://climate.onebuilding.org/WMO_Region_6_Europe/DNK_Denmark/SD_South_Denmark/DNK_SD_Assens.Toro.061230_TMYx.2004-2018.zip</v>
      </c>
    </row>
    <row r="2754" spans="1:10" x14ac:dyDescent="0.25">
      <c r="A2754" t="s">
        <v>1705</v>
      </c>
      <c r="B2754" t="s">
        <v>44</v>
      </c>
      <c r="C2754" t="s">
        <v>1853</v>
      </c>
      <c r="D2754" s="1" t="s">
        <v>1854</v>
      </c>
      <c r="E2754" t="s">
        <v>14</v>
      </c>
      <c r="F2754">
        <v>55.244399999999999</v>
      </c>
      <c r="G2754">
        <v>9.8882999999999992</v>
      </c>
      <c r="H2754">
        <v>1</v>
      </c>
      <c r="I2754">
        <v>3</v>
      </c>
      <c r="J2754" t="str">
        <f>HYPERLINK("https://climate.onebuilding.org/WMO_Region_6_Europe/DNK_Denmark/SD_South_Denmark/DNK_SD_Assens.Toro.061230_TMYx.2007-2021.zip")</f>
        <v>https://climate.onebuilding.org/WMO_Region_6_Europe/DNK_Denmark/SD_South_Denmark/DNK_SD_Assens.Toro.061230_TMYx.2007-2021.zip</v>
      </c>
    </row>
    <row r="2755" spans="1:10" x14ac:dyDescent="0.25">
      <c r="A2755" t="s">
        <v>1705</v>
      </c>
      <c r="B2755" t="s">
        <v>44</v>
      </c>
      <c r="C2755" t="s">
        <v>1853</v>
      </c>
      <c r="D2755" s="1" t="s">
        <v>1854</v>
      </c>
      <c r="E2755" t="s">
        <v>14</v>
      </c>
      <c r="F2755">
        <v>55.244399999999999</v>
      </c>
      <c r="G2755">
        <v>9.8882999999999992</v>
      </c>
      <c r="H2755">
        <v>1</v>
      </c>
      <c r="I2755">
        <v>3</v>
      </c>
      <c r="J2755" t="str">
        <f>HYPERLINK("https://climate.onebuilding.org/WMO_Region_6_Europe/DNK_Denmark/SD_South_Denmark/DNK_SD_Assens.Toro.061230_TMYx.2009-2023.zip")</f>
        <v>https://climate.onebuilding.org/WMO_Region_6_Europe/DNK_Denmark/SD_South_Denmark/DNK_SD_Assens.Toro.061230_TMYx.2009-2023.zip</v>
      </c>
    </row>
    <row r="2756" spans="1:10" x14ac:dyDescent="0.25">
      <c r="A2756" t="s">
        <v>1705</v>
      </c>
      <c r="B2756" t="s">
        <v>44</v>
      </c>
      <c r="C2756" t="s">
        <v>1853</v>
      </c>
      <c r="D2756" s="1" t="s">
        <v>1854</v>
      </c>
      <c r="E2756" t="s">
        <v>14</v>
      </c>
      <c r="F2756">
        <v>55.244399999999999</v>
      </c>
      <c r="G2756">
        <v>9.8882999999999992</v>
      </c>
      <c r="H2756">
        <v>1</v>
      </c>
      <c r="I2756">
        <v>3</v>
      </c>
      <c r="J2756" t="str">
        <f>HYPERLINK("https://climate.onebuilding.org/WMO_Region_6_Europe/DNK_Denmark/SD_South_Denmark/DNK_SD_Assens.Toro.061230_TMYx.zip")</f>
        <v>https://climate.onebuilding.org/WMO_Region_6_Europe/DNK_Denmark/SD_South_Denmark/DNK_SD_Assens.Toro.061230_TMYx.zip</v>
      </c>
    </row>
    <row r="2757" spans="1:10" x14ac:dyDescent="0.25">
      <c r="A2757" t="s">
        <v>1705</v>
      </c>
      <c r="B2757" t="s">
        <v>44</v>
      </c>
      <c r="C2757" t="s">
        <v>1856</v>
      </c>
      <c r="D2757" s="1" t="s">
        <v>1857</v>
      </c>
      <c r="E2757" t="s">
        <v>1858</v>
      </c>
      <c r="F2757">
        <v>55.014499999999998</v>
      </c>
      <c r="G2757">
        <v>10.5694</v>
      </c>
      <c r="H2757">
        <v>1</v>
      </c>
      <c r="I2757">
        <v>7</v>
      </c>
      <c r="J2757" t="str">
        <f>HYPERLINK("https://climate.onebuilding.org/WMO_Region_6_Europe/DNK_Denmark/SD_South_Denmark/DNK_SD_Tasinge.AP.061240_TMYx.2004-2018.zip")</f>
        <v>https://climate.onebuilding.org/WMO_Region_6_Europe/DNK_Denmark/SD_South_Denmark/DNK_SD_Tasinge.AP.061240_TMYx.2004-2018.zip</v>
      </c>
    </row>
    <row r="2758" spans="1:10" x14ac:dyDescent="0.25">
      <c r="A2758" t="s">
        <v>1705</v>
      </c>
      <c r="B2758" t="s">
        <v>44</v>
      </c>
      <c r="C2758" t="s">
        <v>1856</v>
      </c>
      <c r="D2758" s="1" t="s">
        <v>1857</v>
      </c>
      <c r="E2758" t="s">
        <v>14</v>
      </c>
      <c r="F2758">
        <v>55.014499999999998</v>
      </c>
      <c r="G2758">
        <v>10.5694</v>
      </c>
      <c r="H2758">
        <v>1</v>
      </c>
      <c r="I2758">
        <v>7</v>
      </c>
      <c r="J2758" t="str">
        <f>HYPERLINK("https://climate.onebuilding.org/WMO_Region_6_Europe/DNK_Denmark/SD_South_Denmark/DNK_SD_Tasinge.AP.061240_TMYx.2007-2021.zip")</f>
        <v>https://climate.onebuilding.org/WMO_Region_6_Europe/DNK_Denmark/SD_South_Denmark/DNK_SD_Tasinge.AP.061240_TMYx.2007-2021.zip</v>
      </c>
    </row>
    <row r="2759" spans="1:10" x14ac:dyDescent="0.25">
      <c r="A2759" t="s">
        <v>1705</v>
      </c>
      <c r="B2759" t="s">
        <v>44</v>
      </c>
      <c r="C2759" t="s">
        <v>1856</v>
      </c>
      <c r="D2759" s="1" t="s">
        <v>1857</v>
      </c>
      <c r="E2759" t="s">
        <v>14</v>
      </c>
      <c r="F2759">
        <v>55.014499999999998</v>
      </c>
      <c r="G2759">
        <v>10.5694</v>
      </c>
      <c r="H2759">
        <v>1</v>
      </c>
      <c r="I2759">
        <v>7</v>
      </c>
      <c r="J2759" t="str">
        <f>HYPERLINK("https://climate.onebuilding.org/WMO_Region_6_Europe/DNK_Denmark/SD_South_Denmark/DNK_SD_Tasinge.AP.061240_TMYx.2009-2023.zip")</f>
        <v>https://climate.onebuilding.org/WMO_Region_6_Europe/DNK_Denmark/SD_South_Denmark/DNK_SD_Tasinge.AP.061240_TMYx.2009-2023.zip</v>
      </c>
    </row>
    <row r="2760" spans="1:10" x14ac:dyDescent="0.25">
      <c r="A2760" t="s">
        <v>1705</v>
      </c>
      <c r="B2760" t="s">
        <v>44</v>
      </c>
      <c r="C2760" t="s">
        <v>1856</v>
      </c>
      <c r="D2760" s="1" t="s">
        <v>1857</v>
      </c>
      <c r="E2760" t="s">
        <v>14</v>
      </c>
      <c r="F2760">
        <v>55.014499999999998</v>
      </c>
      <c r="G2760">
        <v>10.5694</v>
      </c>
      <c r="H2760">
        <v>1</v>
      </c>
      <c r="I2760">
        <v>7</v>
      </c>
      <c r="J2760" t="str">
        <f>HYPERLINK("https://climate.onebuilding.org/WMO_Region_6_Europe/DNK_Denmark/SD_South_Denmark/DNK_SD_Tasinge.AP.061240_TMYx.zip")</f>
        <v>https://climate.onebuilding.org/WMO_Region_6_Europe/DNK_Denmark/SD_South_Denmark/DNK_SD_Tasinge.AP.061240_TMYx.zip</v>
      </c>
    </row>
    <row r="2761" spans="1:10" x14ac:dyDescent="0.25">
      <c r="A2761" t="s">
        <v>1705</v>
      </c>
      <c r="B2761" t="s">
        <v>44</v>
      </c>
      <c r="C2761" t="s">
        <v>1859</v>
      </c>
      <c r="D2761" s="1" t="s">
        <v>1860</v>
      </c>
      <c r="E2761" t="s">
        <v>1861</v>
      </c>
      <c r="F2761">
        <v>55.308900000000001</v>
      </c>
      <c r="G2761">
        <v>10.4397</v>
      </c>
      <c r="H2761">
        <v>1</v>
      </c>
      <c r="I2761">
        <v>51</v>
      </c>
      <c r="J2761" t="str">
        <f>HYPERLINK("https://climate.onebuilding.org/WMO_Region_6_Europe/DNK_Denmark/SD_South_Denmark/DNK_SD_Arslev.061260_TMYx.2004-2018.zip")</f>
        <v>https://climate.onebuilding.org/WMO_Region_6_Europe/DNK_Denmark/SD_South_Denmark/DNK_SD_Arslev.061260_TMYx.2004-2018.zip</v>
      </c>
    </row>
    <row r="2762" spans="1:10" x14ac:dyDescent="0.25">
      <c r="A2762" t="s">
        <v>1705</v>
      </c>
      <c r="B2762" t="s">
        <v>44</v>
      </c>
      <c r="C2762" t="s">
        <v>1859</v>
      </c>
      <c r="D2762" s="1" t="s">
        <v>1860</v>
      </c>
      <c r="E2762" t="s">
        <v>14</v>
      </c>
      <c r="F2762">
        <v>55.308900000000001</v>
      </c>
      <c r="G2762">
        <v>10.4397</v>
      </c>
      <c r="H2762">
        <v>1</v>
      </c>
      <c r="I2762">
        <v>51</v>
      </c>
      <c r="J2762" t="str">
        <f>HYPERLINK("https://climate.onebuilding.org/WMO_Region_6_Europe/DNK_Denmark/SD_South_Denmark/DNK_SD_Arslev.061260_TMYx.2007-2021.zip")</f>
        <v>https://climate.onebuilding.org/WMO_Region_6_Europe/DNK_Denmark/SD_South_Denmark/DNK_SD_Arslev.061260_TMYx.2007-2021.zip</v>
      </c>
    </row>
    <row r="2763" spans="1:10" x14ac:dyDescent="0.25">
      <c r="A2763" t="s">
        <v>1705</v>
      </c>
      <c r="B2763" t="s">
        <v>44</v>
      </c>
      <c r="C2763" t="s">
        <v>1859</v>
      </c>
      <c r="D2763" s="1" t="s">
        <v>1860</v>
      </c>
      <c r="E2763" t="s">
        <v>14</v>
      </c>
      <c r="F2763">
        <v>55.308900000000001</v>
      </c>
      <c r="G2763">
        <v>10.4397</v>
      </c>
      <c r="H2763">
        <v>1</v>
      </c>
      <c r="I2763">
        <v>51</v>
      </c>
      <c r="J2763" t="str">
        <f>HYPERLINK("https://climate.onebuilding.org/WMO_Region_6_Europe/DNK_Denmark/SD_South_Denmark/DNK_SD_Arslev.061260_TMYx.2009-2023.zip")</f>
        <v>https://climate.onebuilding.org/WMO_Region_6_Europe/DNK_Denmark/SD_South_Denmark/DNK_SD_Arslev.061260_TMYx.2009-2023.zip</v>
      </c>
    </row>
    <row r="2764" spans="1:10" x14ac:dyDescent="0.25">
      <c r="A2764" t="s">
        <v>1705</v>
      </c>
      <c r="B2764" t="s">
        <v>44</v>
      </c>
      <c r="C2764" t="s">
        <v>1859</v>
      </c>
      <c r="D2764" s="1" t="s">
        <v>1860</v>
      </c>
      <c r="E2764" t="s">
        <v>14</v>
      </c>
      <c r="F2764">
        <v>55.308900000000001</v>
      </c>
      <c r="G2764">
        <v>10.4397</v>
      </c>
      <c r="H2764">
        <v>1</v>
      </c>
      <c r="I2764">
        <v>51</v>
      </c>
      <c r="J2764" t="str">
        <f>HYPERLINK("https://climate.onebuilding.org/WMO_Region_6_Europe/DNK_Denmark/SD_South_Denmark/DNK_SD_Arslev.061260_TMYx.zip")</f>
        <v>https://climate.onebuilding.org/WMO_Region_6_Europe/DNK_Denmark/SD_South_Denmark/DNK_SD_Arslev.061260_TMYx.zip</v>
      </c>
    </row>
    <row r="2765" spans="1:10" x14ac:dyDescent="0.25">
      <c r="A2765" t="s">
        <v>1705</v>
      </c>
      <c r="B2765" t="s">
        <v>475</v>
      </c>
      <c r="C2765" t="s">
        <v>1862</v>
      </c>
      <c r="D2765" s="1" t="s">
        <v>1863</v>
      </c>
      <c r="E2765" t="s">
        <v>1864</v>
      </c>
      <c r="F2765">
        <v>55.3217</v>
      </c>
      <c r="G2765">
        <v>11.3881</v>
      </c>
      <c r="H2765">
        <v>1</v>
      </c>
      <c r="I2765">
        <v>34.200000000000003</v>
      </c>
      <c r="J2765" t="str">
        <f>HYPERLINK("https://climate.onebuilding.org/WMO_Region_6_Europe/DNK_Denmark/SL_Zealand/DNK_SL_Flakkebjerg.061350_TMYx.2004-2018.zip")</f>
        <v>https://climate.onebuilding.org/WMO_Region_6_Europe/DNK_Denmark/SL_Zealand/DNK_SL_Flakkebjerg.061350_TMYx.2004-2018.zip</v>
      </c>
    </row>
    <row r="2766" spans="1:10" x14ac:dyDescent="0.25">
      <c r="A2766" t="s">
        <v>1705</v>
      </c>
      <c r="B2766" t="s">
        <v>475</v>
      </c>
      <c r="C2766" t="s">
        <v>1862</v>
      </c>
      <c r="D2766" s="1" t="s">
        <v>1863</v>
      </c>
      <c r="E2766" t="s">
        <v>14</v>
      </c>
      <c r="F2766">
        <v>55.3217</v>
      </c>
      <c r="G2766">
        <v>11.3881</v>
      </c>
      <c r="H2766">
        <v>1</v>
      </c>
      <c r="I2766">
        <v>34.200000000000003</v>
      </c>
      <c r="J2766" t="str">
        <f>HYPERLINK("https://climate.onebuilding.org/WMO_Region_6_Europe/DNK_Denmark/SL_Zealand/DNK_SL_Flakkebjerg.061350_TMYx.2007-2021.zip")</f>
        <v>https://climate.onebuilding.org/WMO_Region_6_Europe/DNK_Denmark/SL_Zealand/DNK_SL_Flakkebjerg.061350_TMYx.2007-2021.zip</v>
      </c>
    </row>
    <row r="2767" spans="1:10" x14ac:dyDescent="0.25">
      <c r="A2767" t="s">
        <v>1705</v>
      </c>
      <c r="B2767" t="s">
        <v>475</v>
      </c>
      <c r="C2767" t="s">
        <v>1862</v>
      </c>
      <c r="D2767" s="1" t="s">
        <v>1863</v>
      </c>
      <c r="E2767" t="s">
        <v>14</v>
      </c>
      <c r="F2767">
        <v>55.3217</v>
      </c>
      <c r="G2767">
        <v>11.3881</v>
      </c>
      <c r="H2767">
        <v>1</v>
      </c>
      <c r="I2767">
        <v>34.200000000000003</v>
      </c>
      <c r="J2767" t="str">
        <f>HYPERLINK("https://climate.onebuilding.org/WMO_Region_6_Europe/DNK_Denmark/SL_Zealand/DNK_SL_Flakkebjerg.061350_TMYx.2009-2023.zip")</f>
        <v>https://climate.onebuilding.org/WMO_Region_6_Europe/DNK_Denmark/SL_Zealand/DNK_SL_Flakkebjerg.061350_TMYx.2009-2023.zip</v>
      </c>
    </row>
    <row r="2768" spans="1:10" x14ac:dyDescent="0.25">
      <c r="A2768" t="s">
        <v>1705</v>
      </c>
      <c r="B2768" t="s">
        <v>475</v>
      </c>
      <c r="C2768" t="s">
        <v>1862</v>
      </c>
      <c r="D2768" s="1" t="s">
        <v>1863</v>
      </c>
      <c r="E2768" t="s">
        <v>14</v>
      </c>
      <c r="F2768">
        <v>55.3217</v>
      </c>
      <c r="G2768">
        <v>11.3881</v>
      </c>
      <c r="H2768">
        <v>1</v>
      </c>
      <c r="I2768">
        <v>34.200000000000003</v>
      </c>
      <c r="J2768" t="str">
        <f>HYPERLINK("https://climate.onebuilding.org/WMO_Region_6_Europe/DNK_Denmark/SL_Zealand/DNK_SL_Flakkebjerg.061350_TMYx.zip")</f>
        <v>https://climate.onebuilding.org/WMO_Region_6_Europe/DNK_Denmark/SL_Zealand/DNK_SL_Flakkebjerg.061350_TMYx.zip</v>
      </c>
    </row>
    <row r="2769" spans="1:10" x14ac:dyDescent="0.25">
      <c r="A2769" t="s">
        <v>1705</v>
      </c>
      <c r="B2769" t="s">
        <v>475</v>
      </c>
      <c r="C2769" t="s">
        <v>1865</v>
      </c>
      <c r="D2769" s="1" t="s">
        <v>1866</v>
      </c>
      <c r="E2769" t="s">
        <v>1867</v>
      </c>
      <c r="F2769">
        <v>55.246400000000001</v>
      </c>
      <c r="G2769">
        <v>11.3283</v>
      </c>
      <c r="H2769">
        <v>1</v>
      </c>
      <c r="I2769">
        <v>12</v>
      </c>
      <c r="J2769" t="str">
        <f>HYPERLINK("https://climate.onebuilding.org/WMO_Region_6_Europe/DNK_Denmark/SL_Zealand/DNK_SL_Tystofte.061360_TMYx.2004-2018.zip")</f>
        <v>https://climate.onebuilding.org/WMO_Region_6_Europe/DNK_Denmark/SL_Zealand/DNK_SL_Tystofte.061360_TMYx.2004-2018.zip</v>
      </c>
    </row>
    <row r="2770" spans="1:10" x14ac:dyDescent="0.25">
      <c r="A2770" t="s">
        <v>1705</v>
      </c>
      <c r="B2770" t="s">
        <v>475</v>
      </c>
      <c r="C2770" t="s">
        <v>1865</v>
      </c>
      <c r="D2770" s="1" t="s">
        <v>1866</v>
      </c>
      <c r="E2770" t="s">
        <v>14</v>
      </c>
      <c r="F2770">
        <v>55.246400000000001</v>
      </c>
      <c r="G2770">
        <v>11.3283</v>
      </c>
      <c r="H2770">
        <v>1</v>
      </c>
      <c r="I2770">
        <v>12</v>
      </c>
      <c r="J2770" t="str">
        <f>HYPERLINK("https://climate.onebuilding.org/WMO_Region_6_Europe/DNK_Denmark/SL_Zealand/DNK_SL_Tystofte.061360_TMYx.2007-2021.zip")</f>
        <v>https://climate.onebuilding.org/WMO_Region_6_Europe/DNK_Denmark/SL_Zealand/DNK_SL_Tystofte.061360_TMYx.2007-2021.zip</v>
      </c>
    </row>
    <row r="2771" spans="1:10" x14ac:dyDescent="0.25">
      <c r="A2771" t="s">
        <v>1705</v>
      </c>
      <c r="B2771" t="s">
        <v>475</v>
      </c>
      <c r="C2771" t="s">
        <v>1865</v>
      </c>
      <c r="D2771" s="1" t="s">
        <v>1866</v>
      </c>
      <c r="E2771" t="s">
        <v>14</v>
      </c>
      <c r="F2771">
        <v>55.246400000000001</v>
      </c>
      <c r="G2771">
        <v>11.3283</v>
      </c>
      <c r="H2771">
        <v>1</v>
      </c>
      <c r="I2771">
        <v>12</v>
      </c>
      <c r="J2771" t="str">
        <f>HYPERLINK("https://climate.onebuilding.org/WMO_Region_6_Europe/DNK_Denmark/SL_Zealand/DNK_SL_Tystofte.061360_TMYx.2009-2023.zip")</f>
        <v>https://climate.onebuilding.org/WMO_Region_6_Europe/DNK_Denmark/SL_Zealand/DNK_SL_Tystofte.061360_TMYx.2009-2023.zip</v>
      </c>
    </row>
    <row r="2772" spans="1:10" x14ac:dyDescent="0.25">
      <c r="A2772" t="s">
        <v>1705</v>
      </c>
      <c r="B2772" t="s">
        <v>475</v>
      </c>
      <c r="C2772" t="s">
        <v>1865</v>
      </c>
      <c r="D2772" s="1" t="s">
        <v>1866</v>
      </c>
      <c r="E2772" t="s">
        <v>14</v>
      </c>
      <c r="F2772">
        <v>55.246400000000001</v>
      </c>
      <c r="G2772">
        <v>11.3283</v>
      </c>
      <c r="H2772">
        <v>1</v>
      </c>
      <c r="I2772">
        <v>12</v>
      </c>
      <c r="J2772" t="str">
        <f>HYPERLINK("https://climate.onebuilding.org/WMO_Region_6_Europe/DNK_Denmark/SL_Zealand/DNK_SL_Tystofte.061360_TMYx.zip")</f>
        <v>https://climate.onebuilding.org/WMO_Region_6_Europe/DNK_Denmark/SL_Zealand/DNK_SL_Tystofte.061360_TMYx.zip</v>
      </c>
    </row>
    <row r="2773" spans="1:10" x14ac:dyDescent="0.25">
      <c r="A2773" t="s">
        <v>1705</v>
      </c>
      <c r="B2773" t="s">
        <v>475</v>
      </c>
      <c r="C2773" t="s">
        <v>1868</v>
      </c>
      <c r="D2773" s="1" t="s">
        <v>1869</v>
      </c>
      <c r="E2773" t="s">
        <v>1870</v>
      </c>
      <c r="F2773">
        <v>54.820500000000003</v>
      </c>
      <c r="G2773">
        <v>10.9939</v>
      </c>
      <c r="H2773">
        <v>1</v>
      </c>
      <c r="I2773">
        <v>4</v>
      </c>
      <c r="J2773" t="str">
        <f>HYPERLINK("https://climate.onebuilding.org/WMO_Region_6_Europe/DNK_Denmark/SL_Zealand/DNK_SL_Lango.061380_TMYx.2004-2018.zip")</f>
        <v>https://climate.onebuilding.org/WMO_Region_6_Europe/DNK_Denmark/SL_Zealand/DNK_SL_Lango.061380_TMYx.2004-2018.zip</v>
      </c>
    </row>
    <row r="2774" spans="1:10" x14ac:dyDescent="0.25">
      <c r="A2774" t="s">
        <v>1705</v>
      </c>
      <c r="B2774" t="s">
        <v>475</v>
      </c>
      <c r="C2774" t="s">
        <v>1868</v>
      </c>
      <c r="D2774" s="1" t="s">
        <v>1869</v>
      </c>
      <c r="E2774" t="s">
        <v>14</v>
      </c>
      <c r="F2774">
        <v>54.820500000000003</v>
      </c>
      <c r="G2774">
        <v>10.9939</v>
      </c>
      <c r="H2774">
        <v>1</v>
      </c>
      <c r="I2774">
        <v>4</v>
      </c>
      <c r="J2774" t="str">
        <f>HYPERLINK("https://climate.onebuilding.org/WMO_Region_6_Europe/DNK_Denmark/SL_Zealand/DNK_SL_Lango.061380_TMYx.2007-2021.zip")</f>
        <v>https://climate.onebuilding.org/WMO_Region_6_Europe/DNK_Denmark/SL_Zealand/DNK_SL_Lango.061380_TMYx.2007-2021.zip</v>
      </c>
    </row>
    <row r="2775" spans="1:10" x14ac:dyDescent="0.25">
      <c r="A2775" t="s">
        <v>1705</v>
      </c>
      <c r="B2775" t="s">
        <v>475</v>
      </c>
      <c r="C2775" t="s">
        <v>1868</v>
      </c>
      <c r="D2775" s="1" t="s">
        <v>1869</v>
      </c>
      <c r="E2775" t="s">
        <v>14</v>
      </c>
      <c r="F2775">
        <v>54.820500000000003</v>
      </c>
      <c r="G2775">
        <v>10.9939</v>
      </c>
      <c r="H2775">
        <v>1</v>
      </c>
      <c r="I2775">
        <v>4</v>
      </c>
      <c r="J2775" t="str">
        <f>HYPERLINK("https://climate.onebuilding.org/WMO_Region_6_Europe/DNK_Denmark/SL_Zealand/DNK_SL_Lango.061380_TMYx.2009-2023.zip")</f>
        <v>https://climate.onebuilding.org/WMO_Region_6_Europe/DNK_Denmark/SL_Zealand/DNK_SL_Lango.061380_TMYx.2009-2023.zip</v>
      </c>
    </row>
    <row r="2776" spans="1:10" x14ac:dyDescent="0.25">
      <c r="A2776" t="s">
        <v>1705</v>
      </c>
      <c r="B2776" t="s">
        <v>475</v>
      </c>
      <c r="C2776" t="s">
        <v>1868</v>
      </c>
      <c r="D2776" s="1" t="s">
        <v>1869</v>
      </c>
      <c r="E2776" t="s">
        <v>14</v>
      </c>
      <c r="F2776">
        <v>54.820500000000003</v>
      </c>
      <c r="G2776">
        <v>10.9939</v>
      </c>
      <c r="H2776">
        <v>1</v>
      </c>
      <c r="I2776">
        <v>4</v>
      </c>
      <c r="J2776" t="str">
        <f>HYPERLINK("https://climate.onebuilding.org/WMO_Region_6_Europe/DNK_Denmark/SL_Zealand/DNK_SL_Lango.061380_TMYx.zip")</f>
        <v>https://climate.onebuilding.org/WMO_Region_6_Europe/DNK_Denmark/SL_Zealand/DNK_SL_Lango.061380_TMYx.zip</v>
      </c>
    </row>
    <row r="2777" spans="1:10" x14ac:dyDescent="0.25">
      <c r="A2777" t="s">
        <v>1705</v>
      </c>
      <c r="B2777" t="s">
        <v>475</v>
      </c>
      <c r="C2777" t="s">
        <v>1871</v>
      </c>
      <c r="D2777" s="1" t="s">
        <v>1872</v>
      </c>
      <c r="E2777" t="s">
        <v>1873</v>
      </c>
      <c r="F2777">
        <v>54.827500000000001</v>
      </c>
      <c r="G2777">
        <v>11.328900000000001</v>
      </c>
      <c r="H2777">
        <v>1</v>
      </c>
      <c r="I2777">
        <v>9</v>
      </c>
      <c r="J2777" t="str">
        <f>HYPERLINK("https://climate.onebuilding.org/WMO_Region_6_Europe/DNK_Denmark/SL_Zealand/DNK_SL_Abed.061410_TMYx.2004-2018.zip")</f>
        <v>https://climate.onebuilding.org/WMO_Region_6_Europe/DNK_Denmark/SL_Zealand/DNK_SL_Abed.061410_TMYx.2004-2018.zip</v>
      </c>
    </row>
    <row r="2778" spans="1:10" x14ac:dyDescent="0.25">
      <c r="A2778" t="s">
        <v>1705</v>
      </c>
      <c r="B2778" t="s">
        <v>475</v>
      </c>
      <c r="C2778" t="s">
        <v>1871</v>
      </c>
      <c r="D2778" s="1" t="s">
        <v>1872</v>
      </c>
      <c r="E2778" t="s">
        <v>14</v>
      </c>
      <c r="F2778">
        <v>54.827500000000001</v>
      </c>
      <c r="G2778">
        <v>11.328900000000001</v>
      </c>
      <c r="H2778">
        <v>1</v>
      </c>
      <c r="I2778">
        <v>9</v>
      </c>
      <c r="J2778" t="str">
        <f>HYPERLINK("https://climate.onebuilding.org/WMO_Region_6_Europe/DNK_Denmark/SL_Zealand/DNK_SL_Abed.061410_TMYx.2007-2021.zip")</f>
        <v>https://climate.onebuilding.org/WMO_Region_6_Europe/DNK_Denmark/SL_Zealand/DNK_SL_Abed.061410_TMYx.2007-2021.zip</v>
      </c>
    </row>
    <row r="2779" spans="1:10" x14ac:dyDescent="0.25">
      <c r="A2779" t="s">
        <v>1705</v>
      </c>
      <c r="B2779" t="s">
        <v>475</v>
      </c>
      <c r="C2779" t="s">
        <v>1871</v>
      </c>
      <c r="D2779" s="1" t="s">
        <v>1872</v>
      </c>
      <c r="E2779" t="s">
        <v>14</v>
      </c>
      <c r="F2779">
        <v>54.827500000000001</v>
      </c>
      <c r="G2779">
        <v>11.328900000000001</v>
      </c>
      <c r="H2779">
        <v>1</v>
      </c>
      <c r="I2779">
        <v>9</v>
      </c>
      <c r="J2779" t="str">
        <f>HYPERLINK("https://climate.onebuilding.org/WMO_Region_6_Europe/DNK_Denmark/SL_Zealand/DNK_SL_Abed.061410_TMYx.2009-2023.zip")</f>
        <v>https://climate.onebuilding.org/WMO_Region_6_Europe/DNK_Denmark/SL_Zealand/DNK_SL_Abed.061410_TMYx.2009-2023.zip</v>
      </c>
    </row>
    <row r="2780" spans="1:10" x14ac:dyDescent="0.25">
      <c r="A2780" t="s">
        <v>1705</v>
      </c>
      <c r="B2780" t="s">
        <v>475</v>
      </c>
      <c r="C2780" t="s">
        <v>1871</v>
      </c>
      <c r="D2780" s="1" t="s">
        <v>1872</v>
      </c>
      <c r="E2780" t="s">
        <v>14</v>
      </c>
      <c r="F2780">
        <v>54.827500000000001</v>
      </c>
      <c r="G2780">
        <v>11.328900000000001</v>
      </c>
      <c r="H2780">
        <v>1</v>
      </c>
      <c r="I2780">
        <v>9</v>
      </c>
      <c r="J2780" t="str">
        <f>HYPERLINK("https://climate.onebuilding.org/WMO_Region_6_Europe/DNK_Denmark/SL_Zealand/DNK_SL_Abed.061410_TMYx.zip")</f>
        <v>https://climate.onebuilding.org/WMO_Region_6_Europe/DNK_Denmark/SL_Zealand/DNK_SL_Abed.061410_TMYx.zip</v>
      </c>
    </row>
    <row r="2781" spans="1:10" x14ac:dyDescent="0.25">
      <c r="A2781" t="s">
        <v>1705</v>
      </c>
      <c r="B2781" t="s">
        <v>475</v>
      </c>
      <c r="C2781" t="s">
        <v>1874</v>
      </c>
      <c r="D2781" s="1" t="s">
        <v>1875</v>
      </c>
      <c r="E2781" t="s">
        <v>14</v>
      </c>
      <c r="F2781">
        <v>54.698999999999998</v>
      </c>
      <c r="G2781">
        <v>11.44</v>
      </c>
      <c r="H2781">
        <v>1</v>
      </c>
      <c r="I2781">
        <v>4.9000000000000004</v>
      </c>
      <c r="J2781" t="str">
        <f>HYPERLINK("https://climate.onebuilding.org/WMO_Region_6_Europe/DNK_Denmark/SL_Zealand/DNK_SL_Lolland-Falster.AP.061430_TMYx.zip")</f>
        <v>https://climate.onebuilding.org/WMO_Region_6_Europe/DNK_Denmark/SL_Zealand/DNK_SL_Lolland-Falster.AP.061430_TMYx.zip</v>
      </c>
    </row>
    <row r="2782" spans="1:10" x14ac:dyDescent="0.25">
      <c r="A2782" t="s">
        <v>1705</v>
      </c>
      <c r="B2782" t="s">
        <v>475</v>
      </c>
      <c r="C2782" t="s">
        <v>1876</v>
      </c>
      <c r="D2782" s="1" t="s">
        <v>1877</v>
      </c>
      <c r="E2782" t="s">
        <v>1878</v>
      </c>
      <c r="F2782">
        <v>54.878900000000002</v>
      </c>
      <c r="G2782">
        <v>12.184200000000001</v>
      </c>
      <c r="H2782">
        <v>1</v>
      </c>
      <c r="I2782">
        <v>4.5999999999999996</v>
      </c>
      <c r="J2782" t="str">
        <f>HYPERLINK("https://climate.onebuilding.org/WMO_Region_6_Europe/DNK_Denmark/SL_Zealand/DNK_SL_Vindebaek.Kyst.061470_TMYx.2004-2018.zip")</f>
        <v>https://climate.onebuilding.org/WMO_Region_6_Europe/DNK_Denmark/SL_Zealand/DNK_SL_Vindebaek.Kyst.061470_TMYx.2004-2018.zip</v>
      </c>
    </row>
    <row r="2783" spans="1:10" x14ac:dyDescent="0.25">
      <c r="A2783" t="s">
        <v>1705</v>
      </c>
      <c r="B2783" t="s">
        <v>475</v>
      </c>
      <c r="C2783" t="s">
        <v>1876</v>
      </c>
      <c r="D2783" s="1" t="s">
        <v>1877</v>
      </c>
      <c r="E2783" t="s">
        <v>14</v>
      </c>
      <c r="F2783">
        <v>54.878900000000002</v>
      </c>
      <c r="G2783">
        <v>12.184200000000001</v>
      </c>
      <c r="H2783">
        <v>1</v>
      </c>
      <c r="I2783">
        <v>4.5999999999999996</v>
      </c>
      <c r="J2783" t="str">
        <f>HYPERLINK("https://climate.onebuilding.org/WMO_Region_6_Europe/DNK_Denmark/SL_Zealand/DNK_SL_Vindebaek.Kyst.061470_TMYx.2007-2021.zip")</f>
        <v>https://climate.onebuilding.org/WMO_Region_6_Europe/DNK_Denmark/SL_Zealand/DNK_SL_Vindebaek.Kyst.061470_TMYx.2007-2021.zip</v>
      </c>
    </row>
    <row r="2784" spans="1:10" x14ac:dyDescent="0.25">
      <c r="A2784" t="s">
        <v>1705</v>
      </c>
      <c r="B2784" t="s">
        <v>475</v>
      </c>
      <c r="C2784" t="s">
        <v>1876</v>
      </c>
      <c r="D2784" s="1" t="s">
        <v>1877</v>
      </c>
      <c r="E2784" t="s">
        <v>14</v>
      </c>
      <c r="F2784">
        <v>54.878900000000002</v>
      </c>
      <c r="G2784">
        <v>12.184200000000001</v>
      </c>
      <c r="H2784">
        <v>1</v>
      </c>
      <c r="I2784">
        <v>4.5999999999999996</v>
      </c>
      <c r="J2784" t="str">
        <f>HYPERLINK("https://climate.onebuilding.org/WMO_Region_6_Europe/DNK_Denmark/SL_Zealand/DNK_SL_Vindebaek.Kyst.061470_TMYx.2009-2023.zip")</f>
        <v>https://climate.onebuilding.org/WMO_Region_6_Europe/DNK_Denmark/SL_Zealand/DNK_SL_Vindebaek.Kyst.061470_TMYx.2009-2023.zip</v>
      </c>
    </row>
    <row r="2785" spans="1:10" x14ac:dyDescent="0.25">
      <c r="A2785" t="s">
        <v>1705</v>
      </c>
      <c r="B2785" t="s">
        <v>475</v>
      </c>
      <c r="C2785" t="s">
        <v>1876</v>
      </c>
      <c r="D2785" s="1" t="s">
        <v>1877</v>
      </c>
      <c r="E2785" t="s">
        <v>14</v>
      </c>
      <c r="F2785">
        <v>54.878900000000002</v>
      </c>
      <c r="G2785">
        <v>12.184200000000001</v>
      </c>
      <c r="H2785">
        <v>1</v>
      </c>
      <c r="I2785">
        <v>4.5999999999999996</v>
      </c>
      <c r="J2785" t="str">
        <f>HYPERLINK("https://climate.onebuilding.org/WMO_Region_6_Europe/DNK_Denmark/SL_Zealand/DNK_SL_Vindebaek.Kyst.061470_TMYx.zip")</f>
        <v>https://climate.onebuilding.org/WMO_Region_6_Europe/DNK_Denmark/SL_Zealand/DNK_SL_Vindebaek.Kyst.061470_TMYx.zip</v>
      </c>
    </row>
    <row r="2786" spans="1:10" x14ac:dyDescent="0.25">
      <c r="A2786" t="s">
        <v>1705</v>
      </c>
      <c r="B2786" t="s">
        <v>475</v>
      </c>
      <c r="C2786" t="s">
        <v>1879</v>
      </c>
      <c r="D2786" s="1" t="s">
        <v>1880</v>
      </c>
      <c r="E2786" t="s">
        <v>1881</v>
      </c>
      <c r="F2786">
        <v>54.568600000000004</v>
      </c>
      <c r="G2786">
        <v>11.9436</v>
      </c>
      <c r="H2786">
        <v>1</v>
      </c>
      <c r="I2786">
        <v>5</v>
      </c>
      <c r="J2786" t="str">
        <f>HYPERLINK("https://climate.onebuilding.org/WMO_Region_6_Europe/DNK_Denmark/SL_Zealand/DNK_SL_Gedser.061490_TMYx.2004-2018.zip")</f>
        <v>https://climate.onebuilding.org/WMO_Region_6_Europe/DNK_Denmark/SL_Zealand/DNK_SL_Gedser.061490_TMYx.2004-2018.zip</v>
      </c>
    </row>
    <row r="2787" spans="1:10" x14ac:dyDescent="0.25">
      <c r="A2787" t="s">
        <v>1705</v>
      </c>
      <c r="B2787" t="s">
        <v>475</v>
      </c>
      <c r="C2787" t="s">
        <v>1879</v>
      </c>
      <c r="D2787" s="1" t="s">
        <v>1880</v>
      </c>
      <c r="E2787" t="s">
        <v>14</v>
      </c>
      <c r="F2787">
        <v>54.568600000000004</v>
      </c>
      <c r="G2787">
        <v>11.9436</v>
      </c>
      <c r="H2787">
        <v>1</v>
      </c>
      <c r="I2787">
        <v>5</v>
      </c>
      <c r="J2787" t="str">
        <f>HYPERLINK("https://climate.onebuilding.org/WMO_Region_6_Europe/DNK_Denmark/SL_Zealand/DNK_SL_Gedser.061490_TMYx.2007-2021.zip")</f>
        <v>https://climate.onebuilding.org/WMO_Region_6_Europe/DNK_Denmark/SL_Zealand/DNK_SL_Gedser.061490_TMYx.2007-2021.zip</v>
      </c>
    </row>
    <row r="2788" spans="1:10" x14ac:dyDescent="0.25">
      <c r="A2788" t="s">
        <v>1705</v>
      </c>
      <c r="B2788" t="s">
        <v>475</v>
      </c>
      <c r="C2788" t="s">
        <v>1879</v>
      </c>
      <c r="D2788" s="1" t="s">
        <v>1880</v>
      </c>
      <c r="E2788" t="s">
        <v>14</v>
      </c>
      <c r="F2788">
        <v>54.568600000000004</v>
      </c>
      <c r="G2788">
        <v>11.9436</v>
      </c>
      <c r="H2788">
        <v>1</v>
      </c>
      <c r="I2788">
        <v>5</v>
      </c>
      <c r="J2788" t="str">
        <f>HYPERLINK("https://climate.onebuilding.org/WMO_Region_6_Europe/DNK_Denmark/SL_Zealand/DNK_SL_Gedser.061490_TMYx.2009-2023.zip")</f>
        <v>https://climate.onebuilding.org/WMO_Region_6_Europe/DNK_Denmark/SL_Zealand/DNK_SL_Gedser.061490_TMYx.2009-2023.zip</v>
      </c>
    </row>
    <row r="2789" spans="1:10" x14ac:dyDescent="0.25">
      <c r="A2789" t="s">
        <v>1705</v>
      </c>
      <c r="B2789" t="s">
        <v>475</v>
      </c>
      <c r="C2789" t="s">
        <v>1879</v>
      </c>
      <c r="D2789" s="1" t="s">
        <v>1880</v>
      </c>
      <c r="E2789" t="s">
        <v>14</v>
      </c>
      <c r="F2789">
        <v>54.568600000000004</v>
      </c>
      <c r="G2789">
        <v>11.9436</v>
      </c>
      <c r="H2789">
        <v>1</v>
      </c>
      <c r="I2789">
        <v>5</v>
      </c>
      <c r="J2789" t="str">
        <f>HYPERLINK("https://climate.onebuilding.org/WMO_Region_6_Europe/DNK_Denmark/SL_Zealand/DNK_SL_Gedser.061490_TMYx.zip")</f>
        <v>https://climate.onebuilding.org/WMO_Region_6_Europe/DNK_Denmark/SL_Zealand/DNK_SL_Gedser.061490_TMYx.zip</v>
      </c>
    </row>
    <row r="2790" spans="1:10" x14ac:dyDescent="0.25">
      <c r="A2790" t="s">
        <v>1705</v>
      </c>
      <c r="B2790" t="s">
        <v>475</v>
      </c>
      <c r="C2790" t="s">
        <v>1882</v>
      </c>
      <c r="D2790" s="1" t="s">
        <v>1883</v>
      </c>
      <c r="E2790" t="s">
        <v>14</v>
      </c>
      <c r="F2790">
        <v>55.082999999999998</v>
      </c>
      <c r="G2790">
        <v>11.782999999999999</v>
      </c>
      <c r="H2790">
        <v>1</v>
      </c>
      <c r="I2790">
        <v>4</v>
      </c>
      <c r="J2790" t="str">
        <f>HYPERLINK("https://climate.onebuilding.org/WMO_Region_6_Europe/DNK_Denmark/SL_Zealand/DNK_SL_Avno.Naturcenter.061500_TMYx.2007-2021.zip")</f>
        <v>https://climate.onebuilding.org/WMO_Region_6_Europe/DNK_Denmark/SL_Zealand/DNK_SL_Avno.Naturcenter.061500_TMYx.2007-2021.zip</v>
      </c>
    </row>
    <row r="2791" spans="1:10" x14ac:dyDescent="0.25">
      <c r="A2791" t="s">
        <v>1705</v>
      </c>
      <c r="B2791" t="s">
        <v>475</v>
      </c>
      <c r="C2791" t="s">
        <v>1882</v>
      </c>
      <c r="D2791" s="1" t="s">
        <v>1883</v>
      </c>
      <c r="E2791" t="s">
        <v>14</v>
      </c>
      <c r="F2791">
        <v>55.082999999999998</v>
      </c>
      <c r="G2791">
        <v>11.782999999999999</v>
      </c>
      <c r="H2791">
        <v>1</v>
      </c>
      <c r="I2791">
        <v>4</v>
      </c>
      <c r="J2791" t="str">
        <f>HYPERLINK("https://climate.onebuilding.org/WMO_Region_6_Europe/DNK_Denmark/SL_Zealand/DNK_SL_Avno.Naturcenter.061500_TMYx.2009-2023.zip")</f>
        <v>https://climate.onebuilding.org/WMO_Region_6_Europe/DNK_Denmark/SL_Zealand/DNK_SL_Avno.Naturcenter.061500_TMYx.2009-2023.zip</v>
      </c>
    </row>
    <row r="2792" spans="1:10" x14ac:dyDescent="0.25">
      <c r="A2792" t="s">
        <v>1705</v>
      </c>
      <c r="B2792" t="s">
        <v>475</v>
      </c>
      <c r="C2792" t="s">
        <v>1882</v>
      </c>
      <c r="D2792" s="1" t="s">
        <v>1883</v>
      </c>
      <c r="E2792" t="s">
        <v>14</v>
      </c>
      <c r="F2792">
        <v>55.082999999999998</v>
      </c>
      <c r="G2792">
        <v>11.782999999999999</v>
      </c>
      <c r="H2792">
        <v>1</v>
      </c>
      <c r="I2792">
        <v>4</v>
      </c>
      <c r="J2792" t="str">
        <f>HYPERLINK("https://climate.onebuilding.org/WMO_Region_6_Europe/DNK_Denmark/SL_Zealand/DNK_SL_Avno.Naturcenter.061500_TMYx.zip")</f>
        <v>https://climate.onebuilding.org/WMO_Region_6_Europe/DNK_Denmark/SL_Zealand/DNK_SL_Avno.Naturcenter.061500_TMYx.zip</v>
      </c>
    </row>
    <row r="2793" spans="1:10" x14ac:dyDescent="0.25">
      <c r="A2793" t="s">
        <v>1705</v>
      </c>
      <c r="B2793" t="s">
        <v>475</v>
      </c>
      <c r="C2793" t="s">
        <v>1884</v>
      </c>
      <c r="D2793" s="1" t="s">
        <v>1885</v>
      </c>
      <c r="E2793" t="s">
        <v>1886</v>
      </c>
      <c r="F2793">
        <v>55.159199999999998</v>
      </c>
      <c r="G2793">
        <v>11.1347</v>
      </c>
      <c r="H2793">
        <v>1</v>
      </c>
      <c r="I2793">
        <v>3</v>
      </c>
      <c r="J2793" t="str">
        <f>HYPERLINK("https://climate.onebuilding.org/WMO_Region_6_Europe/DNK_Denmark/SL_Zealand/DNK_SL_Omo.Lighthouse.061510_TMYx.2004-2018.zip")</f>
        <v>https://climate.onebuilding.org/WMO_Region_6_Europe/DNK_Denmark/SL_Zealand/DNK_SL_Omo.Lighthouse.061510_TMYx.2004-2018.zip</v>
      </c>
    </row>
    <row r="2794" spans="1:10" x14ac:dyDescent="0.25">
      <c r="A2794" t="s">
        <v>1705</v>
      </c>
      <c r="B2794" t="s">
        <v>475</v>
      </c>
      <c r="C2794" t="s">
        <v>1884</v>
      </c>
      <c r="D2794" s="1" t="s">
        <v>1885</v>
      </c>
      <c r="E2794" t="s">
        <v>14</v>
      </c>
      <c r="F2794">
        <v>55.159199999999998</v>
      </c>
      <c r="G2794">
        <v>11.1347</v>
      </c>
      <c r="H2794">
        <v>1</v>
      </c>
      <c r="I2794">
        <v>3</v>
      </c>
      <c r="J2794" t="str">
        <f>HYPERLINK("https://climate.onebuilding.org/WMO_Region_6_Europe/DNK_Denmark/SL_Zealand/DNK_SL_Omo.Lighthouse.061510_TMYx.2007-2021.zip")</f>
        <v>https://climate.onebuilding.org/WMO_Region_6_Europe/DNK_Denmark/SL_Zealand/DNK_SL_Omo.Lighthouse.061510_TMYx.2007-2021.zip</v>
      </c>
    </row>
    <row r="2795" spans="1:10" x14ac:dyDescent="0.25">
      <c r="A2795" t="s">
        <v>1705</v>
      </c>
      <c r="B2795" t="s">
        <v>475</v>
      </c>
      <c r="C2795" t="s">
        <v>1884</v>
      </c>
      <c r="D2795" s="1" t="s">
        <v>1885</v>
      </c>
      <c r="E2795" t="s">
        <v>14</v>
      </c>
      <c r="F2795">
        <v>55.159199999999998</v>
      </c>
      <c r="G2795">
        <v>11.1347</v>
      </c>
      <c r="H2795">
        <v>1</v>
      </c>
      <c r="I2795">
        <v>3</v>
      </c>
      <c r="J2795" t="str">
        <f>HYPERLINK("https://climate.onebuilding.org/WMO_Region_6_Europe/DNK_Denmark/SL_Zealand/DNK_SL_Omo.Lighthouse.061510_TMYx.2009-2023.zip")</f>
        <v>https://climate.onebuilding.org/WMO_Region_6_Europe/DNK_Denmark/SL_Zealand/DNK_SL_Omo.Lighthouse.061510_TMYx.2009-2023.zip</v>
      </c>
    </row>
    <row r="2796" spans="1:10" x14ac:dyDescent="0.25">
      <c r="A2796" t="s">
        <v>1705</v>
      </c>
      <c r="B2796" t="s">
        <v>475</v>
      </c>
      <c r="C2796" t="s">
        <v>1884</v>
      </c>
      <c r="D2796" s="1" t="s">
        <v>1885</v>
      </c>
      <c r="E2796" t="s">
        <v>14</v>
      </c>
      <c r="F2796">
        <v>55.159199999999998</v>
      </c>
      <c r="G2796">
        <v>11.1347</v>
      </c>
      <c r="H2796">
        <v>1</v>
      </c>
      <c r="I2796">
        <v>3</v>
      </c>
      <c r="J2796" t="str">
        <f>HYPERLINK("https://climate.onebuilding.org/WMO_Region_6_Europe/DNK_Denmark/SL_Zealand/DNK_SL_Omo.Lighthouse.061510_TMYx.zip")</f>
        <v>https://climate.onebuilding.org/WMO_Region_6_Europe/DNK_Denmark/SL_Zealand/DNK_SL_Omo.Lighthouse.061510_TMYx.zip</v>
      </c>
    </row>
    <row r="2797" spans="1:10" x14ac:dyDescent="0.25">
      <c r="A2797" t="s">
        <v>1705</v>
      </c>
      <c r="B2797" t="s">
        <v>475</v>
      </c>
      <c r="C2797" t="s">
        <v>1887</v>
      </c>
      <c r="D2797" s="1" t="s">
        <v>1888</v>
      </c>
      <c r="E2797" t="s">
        <v>14</v>
      </c>
      <c r="F2797">
        <v>55.35</v>
      </c>
      <c r="G2797">
        <v>11.683</v>
      </c>
      <c r="H2797">
        <v>1</v>
      </c>
      <c r="I2797">
        <v>25</v>
      </c>
      <c r="J2797" t="str">
        <f>HYPERLINK("https://climate.onebuilding.org/WMO_Region_6_Europe/DNK_Denmark/SL_Zealand/DNK_SL_Glumso.061520_TMYx.zip")</f>
        <v>https://climate.onebuilding.org/WMO_Region_6_Europe/DNK_Denmark/SL_Zealand/DNK_SL_Glumso.061520_TMYx.zip</v>
      </c>
    </row>
    <row r="2798" spans="1:10" x14ac:dyDescent="0.25">
      <c r="A2798" t="s">
        <v>1705</v>
      </c>
      <c r="B2798" t="s">
        <v>475</v>
      </c>
      <c r="C2798" t="s">
        <v>1889</v>
      </c>
      <c r="D2798" s="1" t="s">
        <v>1890</v>
      </c>
      <c r="E2798" t="s">
        <v>14</v>
      </c>
      <c r="F2798">
        <v>55.383600000000001</v>
      </c>
      <c r="G2798">
        <v>11.696999999999999</v>
      </c>
      <c r="H2798">
        <v>1</v>
      </c>
      <c r="I2798">
        <v>38</v>
      </c>
      <c r="J2798" t="str">
        <f>HYPERLINK("https://climate.onebuilding.org/WMO_Region_6_Europe/DNK_Denmark/SL_Zealand/DNK_SL_Tyvelse.061530_TMYx.zip")</f>
        <v>https://climate.onebuilding.org/WMO_Region_6_Europe/DNK_Denmark/SL_Zealand/DNK_SL_Tyvelse.061530_TMYx.zip</v>
      </c>
    </row>
    <row r="2799" spans="1:10" x14ac:dyDescent="0.25">
      <c r="A2799" t="s">
        <v>1705</v>
      </c>
      <c r="B2799" t="s">
        <v>475</v>
      </c>
      <c r="C2799" t="s">
        <v>1891</v>
      </c>
      <c r="D2799" s="1" t="s">
        <v>1892</v>
      </c>
      <c r="E2799" t="s">
        <v>1893</v>
      </c>
      <c r="F2799">
        <v>55.207500000000003</v>
      </c>
      <c r="G2799">
        <v>11.860300000000001</v>
      </c>
      <c r="H2799">
        <v>1</v>
      </c>
      <c r="I2799">
        <v>46.1</v>
      </c>
      <c r="J2799" t="str">
        <f>HYPERLINK("https://climate.onebuilding.org/WMO_Region_6_Europe/DNK_Denmark/SL_Zealand/DNK_SL_Brandelev.061540_TMYx.2004-2018.zip")</f>
        <v>https://climate.onebuilding.org/WMO_Region_6_Europe/DNK_Denmark/SL_Zealand/DNK_SL_Brandelev.061540_TMYx.2004-2018.zip</v>
      </c>
    </row>
    <row r="2800" spans="1:10" x14ac:dyDescent="0.25">
      <c r="A2800" t="s">
        <v>1705</v>
      </c>
      <c r="B2800" t="s">
        <v>475</v>
      </c>
      <c r="C2800" t="s">
        <v>1891</v>
      </c>
      <c r="D2800" s="1" t="s">
        <v>1892</v>
      </c>
      <c r="E2800" t="s">
        <v>14</v>
      </c>
      <c r="F2800">
        <v>55.207500000000003</v>
      </c>
      <c r="G2800">
        <v>11.860300000000001</v>
      </c>
      <c r="H2800">
        <v>1</v>
      </c>
      <c r="I2800">
        <v>46.1</v>
      </c>
      <c r="J2800" t="str">
        <f>HYPERLINK("https://climate.onebuilding.org/WMO_Region_6_Europe/DNK_Denmark/SL_Zealand/DNK_SL_Brandelev.061540_TMYx.2007-2021.zip")</f>
        <v>https://climate.onebuilding.org/WMO_Region_6_Europe/DNK_Denmark/SL_Zealand/DNK_SL_Brandelev.061540_TMYx.2007-2021.zip</v>
      </c>
    </row>
    <row r="2801" spans="1:10" x14ac:dyDescent="0.25">
      <c r="A2801" t="s">
        <v>1705</v>
      </c>
      <c r="B2801" t="s">
        <v>475</v>
      </c>
      <c r="C2801" t="s">
        <v>1891</v>
      </c>
      <c r="D2801" s="1" t="s">
        <v>1892</v>
      </c>
      <c r="E2801" t="s">
        <v>14</v>
      </c>
      <c r="F2801">
        <v>55.207500000000003</v>
      </c>
      <c r="G2801">
        <v>11.860300000000001</v>
      </c>
      <c r="H2801">
        <v>1</v>
      </c>
      <c r="I2801">
        <v>46.1</v>
      </c>
      <c r="J2801" t="str">
        <f>HYPERLINK("https://climate.onebuilding.org/WMO_Region_6_Europe/DNK_Denmark/SL_Zealand/DNK_SL_Brandelev.061540_TMYx.2009-2023.zip")</f>
        <v>https://climate.onebuilding.org/WMO_Region_6_Europe/DNK_Denmark/SL_Zealand/DNK_SL_Brandelev.061540_TMYx.2009-2023.zip</v>
      </c>
    </row>
    <row r="2802" spans="1:10" x14ac:dyDescent="0.25">
      <c r="A2802" t="s">
        <v>1705</v>
      </c>
      <c r="B2802" t="s">
        <v>475</v>
      </c>
      <c r="C2802" t="s">
        <v>1891</v>
      </c>
      <c r="D2802" s="1" t="s">
        <v>1892</v>
      </c>
      <c r="E2802" t="s">
        <v>14</v>
      </c>
      <c r="F2802">
        <v>55.207500000000003</v>
      </c>
      <c r="G2802">
        <v>11.860300000000001</v>
      </c>
      <c r="H2802">
        <v>1</v>
      </c>
      <c r="I2802">
        <v>46.1</v>
      </c>
      <c r="J2802" t="str">
        <f>HYPERLINK("https://climate.onebuilding.org/WMO_Region_6_Europe/DNK_Denmark/SL_Zealand/DNK_SL_Brandelev.061540_TMYx.zip")</f>
        <v>https://climate.onebuilding.org/WMO_Region_6_Europe/DNK_Denmark/SL_Zealand/DNK_SL_Brandelev.061540_TMYx.zip</v>
      </c>
    </row>
    <row r="2803" spans="1:10" x14ac:dyDescent="0.25">
      <c r="A2803" t="s">
        <v>1705</v>
      </c>
      <c r="B2803" t="s">
        <v>475</v>
      </c>
      <c r="C2803" t="s">
        <v>1894</v>
      </c>
      <c r="D2803" s="1" t="s">
        <v>1895</v>
      </c>
      <c r="E2803" t="s">
        <v>1896</v>
      </c>
      <c r="F2803">
        <v>55.735799999999998</v>
      </c>
      <c r="G2803">
        <v>11.603300000000001</v>
      </c>
      <c r="H2803">
        <v>1</v>
      </c>
      <c r="I2803">
        <v>13.3</v>
      </c>
      <c r="J2803" t="str">
        <f>HYPERLINK("https://climate.onebuilding.org/WMO_Region_6_Europe/DNK_Denmark/SL_Zealand/DNK_SL_Holbak.AP.061560_TMYx.2004-2018.zip")</f>
        <v>https://climate.onebuilding.org/WMO_Region_6_Europe/DNK_Denmark/SL_Zealand/DNK_SL_Holbak.AP.061560_TMYx.2004-2018.zip</v>
      </c>
    </row>
    <row r="2804" spans="1:10" x14ac:dyDescent="0.25">
      <c r="A2804" t="s">
        <v>1705</v>
      </c>
      <c r="B2804" t="s">
        <v>475</v>
      </c>
      <c r="C2804" t="s">
        <v>1894</v>
      </c>
      <c r="D2804" s="1" t="s">
        <v>1895</v>
      </c>
      <c r="E2804" t="s">
        <v>14</v>
      </c>
      <c r="F2804">
        <v>55.735799999999998</v>
      </c>
      <c r="G2804">
        <v>11.603300000000001</v>
      </c>
      <c r="H2804">
        <v>1</v>
      </c>
      <c r="I2804">
        <v>13.3</v>
      </c>
      <c r="J2804" t="str">
        <f>HYPERLINK("https://climate.onebuilding.org/WMO_Region_6_Europe/DNK_Denmark/SL_Zealand/DNK_SL_Holbak.AP.061560_TMYx.2007-2021.zip")</f>
        <v>https://climate.onebuilding.org/WMO_Region_6_Europe/DNK_Denmark/SL_Zealand/DNK_SL_Holbak.AP.061560_TMYx.2007-2021.zip</v>
      </c>
    </row>
    <row r="2805" spans="1:10" x14ac:dyDescent="0.25">
      <c r="A2805" t="s">
        <v>1705</v>
      </c>
      <c r="B2805" t="s">
        <v>475</v>
      </c>
      <c r="C2805" t="s">
        <v>1894</v>
      </c>
      <c r="D2805" s="1" t="s">
        <v>1895</v>
      </c>
      <c r="E2805" t="s">
        <v>14</v>
      </c>
      <c r="F2805">
        <v>55.735799999999998</v>
      </c>
      <c r="G2805">
        <v>11.603300000000001</v>
      </c>
      <c r="H2805">
        <v>1</v>
      </c>
      <c r="I2805">
        <v>13.3</v>
      </c>
      <c r="J2805" t="str">
        <f>HYPERLINK("https://climate.onebuilding.org/WMO_Region_6_Europe/DNK_Denmark/SL_Zealand/DNK_SL_Holbak.AP.061560_TMYx.2009-2023.zip")</f>
        <v>https://climate.onebuilding.org/WMO_Region_6_Europe/DNK_Denmark/SL_Zealand/DNK_SL_Holbak.AP.061560_TMYx.2009-2023.zip</v>
      </c>
    </row>
    <row r="2806" spans="1:10" x14ac:dyDescent="0.25">
      <c r="A2806" t="s">
        <v>1705</v>
      </c>
      <c r="B2806" t="s">
        <v>475</v>
      </c>
      <c r="C2806" t="s">
        <v>1894</v>
      </c>
      <c r="D2806" s="1" t="s">
        <v>1895</v>
      </c>
      <c r="E2806" t="s">
        <v>14</v>
      </c>
      <c r="F2806">
        <v>55.735799999999998</v>
      </c>
      <c r="G2806">
        <v>11.603300000000001</v>
      </c>
      <c r="H2806">
        <v>1</v>
      </c>
      <c r="I2806">
        <v>13.3</v>
      </c>
      <c r="J2806" t="str">
        <f>HYPERLINK("https://climate.onebuilding.org/WMO_Region_6_Europe/DNK_Denmark/SL_Zealand/DNK_SL_Holbak.AP.061560_TMYx.zip")</f>
        <v>https://climate.onebuilding.org/WMO_Region_6_Europe/DNK_Denmark/SL_Zealand/DNK_SL_Holbak.AP.061560_TMYx.zip</v>
      </c>
    </row>
    <row r="2807" spans="1:10" x14ac:dyDescent="0.25">
      <c r="A2807" t="s">
        <v>1705</v>
      </c>
      <c r="B2807" t="s">
        <v>475</v>
      </c>
      <c r="C2807" t="s">
        <v>1897</v>
      </c>
      <c r="D2807" s="1" t="s">
        <v>1898</v>
      </c>
      <c r="E2807" t="s">
        <v>14</v>
      </c>
      <c r="F2807">
        <v>55.6736</v>
      </c>
      <c r="G2807">
        <v>11.0975</v>
      </c>
      <c r="H2807">
        <v>1</v>
      </c>
      <c r="I2807">
        <v>2</v>
      </c>
      <c r="J2807" t="str">
        <f>HYPERLINK("https://climate.onebuilding.org/WMO_Region_6_Europe/DNK_Denmark/SL_Zealand/DNK_SL_Kalundborg.061580_TMYx.zip")</f>
        <v>https://climate.onebuilding.org/WMO_Region_6_Europe/DNK_Denmark/SL_Zealand/DNK_SL_Kalundborg.061580_TMYx.zip</v>
      </c>
    </row>
    <row r="2808" spans="1:10" x14ac:dyDescent="0.25">
      <c r="A2808" t="s">
        <v>1705</v>
      </c>
      <c r="B2808" t="s">
        <v>475</v>
      </c>
      <c r="C2808" t="s">
        <v>1899</v>
      </c>
      <c r="D2808" s="1" t="s">
        <v>1900</v>
      </c>
      <c r="E2808" t="s">
        <v>1901</v>
      </c>
      <c r="F2808">
        <v>55.743600000000001</v>
      </c>
      <c r="G2808">
        <v>10.869400000000001</v>
      </c>
      <c r="H2808">
        <v>1</v>
      </c>
      <c r="I2808">
        <v>15</v>
      </c>
      <c r="J2808" t="str">
        <f>HYPERLINK("https://climate.onebuilding.org/WMO_Region_6_Europe/DNK_Denmark/SL_Zealand/DNK_SL_Rosnas.Lighthouse.061590_TMYx.2004-2018.zip")</f>
        <v>https://climate.onebuilding.org/WMO_Region_6_Europe/DNK_Denmark/SL_Zealand/DNK_SL_Rosnas.Lighthouse.061590_TMYx.2004-2018.zip</v>
      </c>
    </row>
    <row r="2809" spans="1:10" x14ac:dyDescent="0.25">
      <c r="A2809" t="s">
        <v>1705</v>
      </c>
      <c r="B2809" t="s">
        <v>475</v>
      </c>
      <c r="C2809" t="s">
        <v>1899</v>
      </c>
      <c r="D2809" s="1" t="s">
        <v>1900</v>
      </c>
      <c r="E2809" t="s">
        <v>14</v>
      </c>
      <c r="F2809">
        <v>55.743600000000001</v>
      </c>
      <c r="G2809">
        <v>10.869400000000001</v>
      </c>
      <c r="H2809">
        <v>1</v>
      </c>
      <c r="I2809">
        <v>15</v>
      </c>
      <c r="J2809" t="str">
        <f>HYPERLINK("https://climate.onebuilding.org/WMO_Region_6_Europe/DNK_Denmark/SL_Zealand/DNK_SL_Rosnas.Lighthouse.061590_TMYx.2007-2021.zip")</f>
        <v>https://climate.onebuilding.org/WMO_Region_6_Europe/DNK_Denmark/SL_Zealand/DNK_SL_Rosnas.Lighthouse.061590_TMYx.2007-2021.zip</v>
      </c>
    </row>
    <row r="2810" spans="1:10" x14ac:dyDescent="0.25">
      <c r="A2810" t="s">
        <v>1705</v>
      </c>
      <c r="B2810" t="s">
        <v>475</v>
      </c>
      <c r="C2810" t="s">
        <v>1899</v>
      </c>
      <c r="D2810" s="1" t="s">
        <v>1900</v>
      </c>
      <c r="E2810" t="s">
        <v>14</v>
      </c>
      <c r="F2810">
        <v>55.743600000000001</v>
      </c>
      <c r="G2810">
        <v>10.869400000000001</v>
      </c>
      <c r="H2810">
        <v>1</v>
      </c>
      <c r="I2810">
        <v>15</v>
      </c>
      <c r="J2810" t="str">
        <f>HYPERLINK("https://climate.onebuilding.org/WMO_Region_6_Europe/DNK_Denmark/SL_Zealand/DNK_SL_Rosnas.Lighthouse.061590_TMYx.2009-2023.zip")</f>
        <v>https://climate.onebuilding.org/WMO_Region_6_Europe/DNK_Denmark/SL_Zealand/DNK_SL_Rosnas.Lighthouse.061590_TMYx.2009-2023.zip</v>
      </c>
    </row>
    <row r="2811" spans="1:10" x14ac:dyDescent="0.25">
      <c r="A2811" t="s">
        <v>1705</v>
      </c>
      <c r="B2811" t="s">
        <v>475</v>
      </c>
      <c r="C2811" t="s">
        <v>1899</v>
      </c>
      <c r="D2811" s="1" t="s">
        <v>1900</v>
      </c>
      <c r="E2811" t="s">
        <v>14</v>
      </c>
      <c r="F2811">
        <v>55.743600000000001</v>
      </c>
      <c r="G2811">
        <v>10.869400000000001</v>
      </c>
      <c r="H2811">
        <v>1</v>
      </c>
      <c r="I2811">
        <v>15</v>
      </c>
      <c r="J2811" t="str">
        <f>HYPERLINK("https://climate.onebuilding.org/WMO_Region_6_Europe/DNK_Denmark/SL_Zealand/DNK_SL_Rosnas.Lighthouse.061590_TMYx.zip")</f>
        <v>https://climate.onebuilding.org/WMO_Region_6_Europe/DNK_Denmark/SL_Zealand/DNK_SL_Rosnas.Lighthouse.061590_TMYx.zip</v>
      </c>
    </row>
    <row r="2812" spans="1:10" x14ac:dyDescent="0.25">
      <c r="A2812" t="s">
        <v>1705</v>
      </c>
      <c r="B2812" t="s">
        <v>1902</v>
      </c>
      <c r="C2812" t="s">
        <v>1903</v>
      </c>
      <c r="D2812" s="1" t="s">
        <v>1904</v>
      </c>
      <c r="E2812" t="s">
        <v>14</v>
      </c>
      <c r="F2812">
        <v>55.767000000000003</v>
      </c>
      <c r="G2812">
        <v>12.343</v>
      </c>
      <c r="H2812">
        <v>1</v>
      </c>
      <c r="I2812">
        <v>18</v>
      </c>
      <c r="J2812" t="str">
        <f>HYPERLINK("https://climate.onebuilding.org/WMO_Region_6_Europe/DNK_Denmark/HS_Capital/DNK_HS_Varlose.AP.061600_TMYx.zip")</f>
        <v>https://climate.onebuilding.org/WMO_Region_6_Europe/DNK_Denmark/HS_Capital/DNK_HS_Varlose.AP.061600_TMYx.zip</v>
      </c>
    </row>
    <row r="2813" spans="1:10" x14ac:dyDescent="0.25">
      <c r="A2813" t="s">
        <v>1705</v>
      </c>
      <c r="B2813" t="s">
        <v>1902</v>
      </c>
      <c r="C2813" t="s">
        <v>1905</v>
      </c>
      <c r="D2813" s="1" t="s">
        <v>1906</v>
      </c>
      <c r="E2813" t="s">
        <v>14</v>
      </c>
      <c r="F2813">
        <v>55.980600000000003</v>
      </c>
      <c r="G2813">
        <v>11.868600000000001</v>
      </c>
      <c r="H2813">
        <v>1</v>
      </c>
      <c r="I2813">
        <v>5</v>
      </c>
      <c r="J2813" t="str">
        <f>HYPERLINK("https://climate.onebuilding.org/WMO_Region_6_Europe/DNK_Denmark/HS_Capital/DNK_HS_Spodsbjerg.061610_TMYx.zip")</f>
        <v>https://climate.onebuilding.org/WMO_Region_6_Europe/DNK_Denmark/HS_Capital/DNK_HS_Spodsbjerg.061610_TMYx.zip</v>
      </c>
    </row>
    <row r="2814" spans="1:10" x14ac:dyDescent="0.25">
      <c r="A2814" t="s">
        <v>1705</v>
      </c>
      <c r="B2814" t="s">
        <v>1902</v>
      </c>
      <c r="C2814" t="s">
        <v>1907</v>
      </c>
      <c r="D2814" s="1" t="s">
        <v>1908</v>
      </c>
      <c r="E2814" t="s">
        <v>1909</v>
      </c>
      <c r="F2814">
        <v>56.196100000000001</v>
      </c>
      <c r="G2814">
        <v>11.71</v>
      </c>
      <c r="H2814">
        <v>1</v>
      </c>
      <c r="I2814">
        <v>18</v>
      </c>
      <c r="J2814" t="str">
        <f>HYPERLINK("https://climate.onebuilding.org/WMO_Region_6_Europe/DNK_Denmark/HS_Capital/DNK_HS_Hesseloe.061650_TMYx.2004-2018.zip")</f>
        <v>https://climate.onebuilding.org/WMO_Region_6_Europe/DNK_Denmark/HS_Capital/DNK_HS_Hesseloe.061650_TMYx.2004-2018.zip</v>
      </c>
    </row>
    <row r="2815" spans="1:10" x14ac:dyDescent="0.25">
      <c r="A2815" t="s">
        <v>1705</v>
      </c>
      <c r="B2815" t="s">
        <v>1902</v>
      </c>
      <c r="C2815" t="s">
        <v>1907</v>
      </c>
      <c r="D2815" s="1" t="s">
        <v>1908</v>
      </c>
      <c r="E2815" t="s">
        <v>14</v>
      </c>
      <c r="F2815">
        <v>56.196100000000001</v>
      </c>
      <c r="G2815">
        <v>11.71</v>
      </c>
      <c r="H2815">
        <v>1</v>
      </c>
      <c r="I2815">
        <v>18</v>
      </c>
      <c r="J2815" t="str">
        <f>HYPERLINK("https://climate.onebuilding.org/WMO_Region_6_Europe/DNK_Denmark/HS_Capital/DNK_HS_Hesseloe.061650_TMYx.2007-2021.zip")</f>
        <v>https://climate.onebuilding.org/WMO_Region_6_Europe/DNK_Denmark/HS_Capital/DNK_HS_Hesseloe.061650_TMYx.2007-2021.zip</v>
      </c>
    </row>
    <row r="2816" spans="1:10" x14ac:dyDescent="0.25">
      <c r="A2816" t="s">
        <v>1705</v>
      </c>
      <c r="B2816" t="s">
        <v>1902</v>
      </c>
      <c r="C2816" t="s">
        <v>1907</v>
      </c>
      <c r="D2816" s="1" t="s">
        <v>1908</v>
      </c>
      <c r="E2816" t="s">
        <v>14</v>
      </c>
      <c r="F2816">
        <v>56.196100000000001</v>
      </c>
      <c r="G2816">
        <v>11.71</v>
      </c>
      <c r="H2816">
        <v>1</v>
      </c>
      <c r="I2816">
        <v>18</v>
      </c>
      <c r="J2816" t="str">
        <f>HYPERLINK("https://climate.onebuilding.org/WMO_Region_6_Europe/DNK_Denmark/HS_Capital/DNK_HS_Hesseloe.061650_TMYx.2009-2023.zip")</f>
        <v>https://climate.onebuilding.org/WMO_Region_6_Europe/DNK_Denmark/HS_Capital/DNK_HS_Hesseloe.061650_TMYx.2009-2023.zip</v>
      </c>
    </row>
    <row r="2817" spans="1:10" x14ac:dyDescent="0.25">
      <c r="A2817" t="s">
        <v>1705</v>
      </c>
      <c r="B2817" t="s">
        <v>1902</v>
      </c>
      <c r="C2817" t="s">
        <v>1907</v>
      </c>
      <c r="D2817" s="1" t="s">
        <v>1908</v>
      </c>
      <c r="E2817" t="s">
        <v>14</v>
      </c>
      <c r="F2817">
        <v>56.196100000000001</v>
      </c>
      <c r="G2817">
        <v>11.71</v>
      </c>
      <c r="H2817">
        <v>1</v>
      </c>
      <c r="I2817">
        <v>18</v>
      </c>
      <c r="J2817" t="str">
        <f>HYPERLINK("https://climate.onebuilding.org/WMO_Region_6_Europe/DNK_Denmark/HS_Capital/DNK_HS_Hesseloe.061650_TMYx.zip")</f>
        <v>https://climate.onebuilding.org/WMO_Region_6_Europe/DNK_Denmark/HS_Capital/DNK_HS_Hesseloe.061650_TMYx.zip</v>
      </c>
    </row>
    <row r="2818" spans="1:10" x14ac:dyDescent="0.25">
      <c r="A2818" t="s">
        <v>1705</v>
      </c>
      <c r="B2818" t="s">
        <v>1902</v>
      </c>
      <c r="C2818" t="s">
        <v>1910</v>
      </c>
      <c r="D2818" s="1" t="s">
        <v>1911</v>
      </c>
      <c r="E2818" t="s">
        <v>1912</v>
      </c>
      <c r="F2818">
        <v>56.119199999999999</v>
      </c>
      <c r="G2818">
        <v>12.3422</v>
      </c>
      <c r="H2818">
        <v>1</v>
      </c>
      <c r="I2818">
        <v>43</v>
      </c>
      <c r="J2818" t="str">
        <f>HYPERLINK("https://climate.onebuilding.org/WMO_Region_6_Europe/DNK_Denmark/HS_Capital/DNK_HS_Nakkehoved.Lighthouse.061680_TMYx.2004-2018.zip")</f>
        <v>https://climate.onebuilding.org/WMO_Region_6_Europe/DNK_Denmark/HS_Capital/DNK_HS_Nakkehoved.Lighthouse.061680_TMYx.2004-2018.zip</v>
      </c>
    </row>
    <row r="2819" spans="1:10" x14ac:dyDescent="0.25">
      <c r="A2819" t="s">
        <v>1705</v>
      </c>
      <c r="B2819" t="s">
        <v>1902</v>
      </c>
      <c r="C2819" t="s">
        <v>1910</v>
      </c>
      <c r="D2819" s="1" t="s">
        <v>1911</v>
      </c>
      <c r="E2819" t="s">
        <v>14</v>
      </c>
      <c r="F2819">
        <v>56.119199999999999</v>
      </c>
      <c r="G2819">
        <v>12.3422</v>
      </c>
      <c r="H2819">
        <v>1</v>
      </c>
      <c r="I2819">
        <v>43</v>
      </c>
      <c r="J2819" t="str">
        <f>HYPERLINK("https://climate.onebuilding.org/WMO_Region_6_Europe/DNK_Denmark/HS_Capital/DNK_HS_Nakkehoved.Lighthouse.061680_TMYx.2007-2021.zip")</f>
        <v>https://climate.onebuilding.org/WMO_Region_6_Europe/DNK_Denmark/HS_Capital/DNK_HS_Nakkehoved.Lighthouse.061680_TMYx.2007-2021.zip</v>
      </c>
    </row>
    <row r="2820" spans="1:10" x14ac:dyDescent="0.25">
      <c r="A2820" t="s">
        <v>1705</v>
      </c>
      <c r="B2820" t="s">
        <v>1902</v>
      </c>
      <c r="C2820" t="s">
        <v>1910</v>
      </c>
      <c r="D2820" s="1" t="s">
        <v>1911</v>
      </c>
      <c r="E2820" t="s">
        <v>14</v>
      </c>
      <c r="F2820">
        <v>56.119199999999999</v>
      </c>
      <c r="G2820">
        <v>12.3422</v>
      </c>
      <c r="H2820">
        <v>1</v>
      </c>
      <c r="I2820">
        <v>43</v>
      </c>
      <c r="J2820" t="str">
        <f>HYPERLINK("https://climate.onebuilding.org/WMO_Region_6_Europe/DNK_Denmark/HS_Capital/DNK_HS_Nakkehoved.Lighthouse.061680_TMYx.2009-2023.zip")</f>
        <v>https://climate.onebuilding.org/WMO_Region_6_Europe/DNK_Denmark/HS_Capital/DNK_HS_Nakkehoved.Lighthouse.061680_TMYx.2009-2023.zip</v>
      </c>
    </row>
    <row r="2821" spans="1:10" x14ac:dyDescent="0.25">
      <c r="A2821" t="s">
        <v>1705</v>
      </c>
      <c r="B2821" t="s">
        <v>1902</v>
      </c>
      <c r="C2821" t="s">
        <v>1910</v>
      </c>
      <c r="D2821" s="1" t="s">
        <v>1911</v>
      </c>
      <c r="E2821" t="s">
        <v>14</v>
      </c>
      <c r="F2821">
        <v>56.119199999999999</v>
      </c>
      <c r="G2821">
        <v>12.3422</v>
      </c>
      <c r="H2821">
        <v>1</v>
      </c>
      <c r="I2821">
        <v>43</v>
      </c>
      <c r="J2821" t="str">
        <f>HYPERLINK("https://climate.onebuilding.org/WMO_Region_6_Europe/DNK_Denmark/HS_Capital/DNK_HS_Nakkehoved.Lighthouse.061680_TMYx.zip")</f>
        <v>https://climate.onebuilding.org/WMO_Region_6_Europe/DNK_Denmark/HS_Capital/DNK_HS_Nakkehoved.Lighthouse.061680_TMYx.zip</v>
      </c>
    </row>
    <row r="2822" spans="1:10" x14ac:dyDescent="0.25">
      <c r="A2822" t="s">
        <v>1705</v>
      </c>
      <c r="B2822" t="s">
        <v>475</v>
      </c>
      <c r="C2822" t="s">
        <v>1913</v>
      </c>
      <c r="D2822" s="1" t="s">
        <v>1914</v>
      </c>
      <c r="E2822" t="s">
        <v>1915</v>
      </c>
      <c r="F2822">
        <v>56.008299999999998</v>
      </c>
      <c r="G2822">
        <v>11.2783</v>
      </c>
      <c r="H2822">
        <v>1</v>
      </c>
      <c r="I2822">
        <v>16</v>
      </c>
      <c r="J2822" t="str">
        <f>HYPERLINK("https://climate.onebuilding.org/WMO_Region_6_Europe/DNK_Denmark/SL_Zealand/DNK_SL_Gniben.061690_TMYx.2004-2018.zip")</f>
        <v>https://climate.onebuilding.org/WMO_Region_6_Europe/DNK_Denmark/SL_Zealand/DNK_SL_Gniben.061690_TMYx.2004-2018.zip</v>
      </c>
    </row>
    <row r="2823" spans="1:10" x14ac:dyDescent="0.25">
      <c r="A2823" t="s">
        <v>1705</v>
      </c>
      <c r="B2823" t="s">
        <v>475</v>
      </c>
      <c r="C2823" t="s">
        <v>1913</v>
      </c>
      <c r="D2823" s="1" t="s">
        <v>1914</v>
      </c>
      <c r="E2823" t="s">
        <v>14</v>
      </c>
      <c r="F2823">
        <v>56.008299999999998</v>
      </c>
      <c r="G2823">
        <v>11.2783</v>
      </c>
      <c r="H2823">
        <v>1</v>
      </c>
      <c r="I2823">
        <v>16</v>
      </c>
      <c r="J2823" t="str">
        <f>HYPERLINK("https://climate.onebuilding.org/WMO_Region_6_Europe/DNK_Denmark/SL_Zealand/DNK_SL_Gniben.061690_TMYx.2007-2021.zip")</f>
        <v>https://climate.onebuilding.org/WMO_Region_6_Europe/DNK_Denmark/SL_Zealand/DNK_SL_Gniben.061690_TMYx.2007-2021.zip</v>
      </c>
    </row>
    <row r="2824" spans="1:10" x14ac:dyDescent="0.25">
      <c r="A2824" t="s">
        <v>1705</v>
      </c>
      <c r="B2824" t="s">
        <v>475</v>
      </c>
      <c r="C2824" t="s">
        <v>1913</v>
      </c>
      <c r="D2824" s="1" t="s">
        <v>1914</v>
      </c>
      <c r="E2824" t="s">
        <v>14</v>
      </c>
      <c r="F2824">
        <v>56.008299999999998</v>
      </c>
      <c r="G2824">
        <v>11.2783</v>
      </c>
      <c r="H2824">
        <v>1</v>
      </c>
      <c r="I2824">
        <v>16</v>
      </c>
      <c r="J2824" t="str">
        <f>HYPERLINK("https://climate.onebuilding.org/WMO_Region_6_Europe/DNK_Denmark/SL_Zealand/DNK_SL_Gniben.061690_TMYx.2009-2023.zip")</f>
        <v>https://climate.onebuilding.org/WMO_Region_6_Europe/DNK_Denmark/SL_Zealand/DNK_SL_Gniben.061690_TMYx.2009-2023.zip</v>
      </c>
    </row>
    <row r="2825" spans="1:10" x14ac:dyDescent="0.25">
      <c r="A2825" t="s">
        <v>1705</v>
      </c>
      <c r="B2825" t="s">
        <v>475</v>
      </c>
      <c r="C2825" t="s">
        <v>1913</v>
      </c>
      <c r="D2825" s="1" t="s">
        <v>1914</v>
      </c>
      <c r="E2825" t="s">
        <v>14</v>
      </c>
      <c r="F2825">
        <v>56.008299999999998</v>
      </c>
      <c r="G2825">
        <v>11.2783</v>
      </c>
      <c r="H2825">
        <v>1</v>
      </c>
      <c r="I2825">
        <v>16</v>
      </c>
      <c r="J2825" t="str">
        <f>HYPERLINK("https://climate.onebuilding.org/WMO_Region_6_Europe/DNK_Denmark/SL_Zealand/DNK_SL_Gniben.061690_TMYx.zip")</f>
        <v>https://climate.onebuilding.org/WMO_Region_6_Europe/DNK_Denmark/SL_Zealand/DNK_SL_Gniben.061690_TMYx.zip</v>
      </c>
    </row>
    <row r="2826" spans="1:10" x14ac:dyDescent="0.25">
      <c r="A2826" t="s">
        <v>1705</v>
      </c>
      <c r="B2826" t="s">
        <v>475</v>
      </c>
      <c r="C2826" t="s">
        <v>1916</v>
      </c>
      <c r="D2826" s="1" t="s">
        <v>1917</v>
      </c>
      <c r="E2826" t="s">
        <v>1918</v>
      </c>
      <c r="F2826">
        <v>55.5869</v>
      </c>
      <c r="G2826">
        <v>12.1364</v>
      </c>
      <c r="H2826">
        <v>1</v>
      </c>
      <c r="I2826">
        <v>44.5</v>
      </c>
      <c r="J2826" t="str">
        <f>HYPERLINK("https://climate.onebuilding.org/WMO_Region_6_Europe/DNK_Denmark/SL_Zealand/DNK_SL_Copenhagen-Roskilde.AP.061700_TMYx.2004-2018.zip")</f>
        <v>https://climate.onebuilding.org/WMO_Region_6_Europe/DNK_Denmark/SL_Zealand/DNK_SL_Copenhagen-Roskilde.AP.061700_TMYx.2004-2018.zip</v>
      </c>
    </row>
    <row r="2827" spans="1:10" x14ac:dyDescent="0.25">
      <c r="A2827" t="s">
        <v>1705</v>
      </c>
      <c r="B2827" t="s">
        <v>475</v>
      </c>
      <c r="C2827" t="s">
        <v>1916</v>
      </c>
      <c r="D2827" s="1" t="s">
        <v>1917</v>
      </c>
      <c r="E2827" t="s">
        <v>14</v>
      </c>
      <c r="F2827">
        <v>55.5869</v>
      </c>
      <c r="G2827">
        <v>12.1364</v>
      </c>
      <c r="H2827">
        <v>1</v>
      </c>
      <c r="I2827">
        <v>44.5</v>
      </c>
      <c r="J2827" t="str">
        <f>HYPERLINK("https://climate.onebuilding.org/WMO_Region_6_Europe/DNK_Denmark/SL_Zealand/DNK_SL_Copenhagen-Roskilde.AP.061700_TMYx.2007-2021.zip")</f>
        <v>https://climate.onebuilding.org/WMO_Region_6_Europe/DNK_Denmark/SL_Zealand/DNK_SL_Copenhagen-Roskilde.AP.061700_TMYx.2007-2021.zip</v>
      </c>
    </row>
    <row r="2828" spans="1:10" x14ac:dyDescent="0.25">
      <c r="A2828" t="s">
        <v>1705</v>
      </c>
      <c r="B2828" t="s">
        <v>475</v>
      </c>
      <c r="C2828" t="s">
        <v>1916</v>
      </c>
      <c r="D2828" s="1" t="s">
        <v>1917</v>
      </c>
      <c r="E2828" t="s">
        <v>14</v>
      </c>
      <c r="F2828">
        <v>55.5869</v>
      </c>
      <c r="G2828">
        <v>12.1364</v>
      </c>
      <c r="H2828">
        <v>1</v>
      </c>
      <c r="I2828">
        <v>44.5</v>
      </c>
      <c r="J2828" t="str">
        <f>HYPERLINK("https://climate.onebuilding.org/WMO_Region_6_Europe/DNK_Denmark/SL_Zealand/DNK_SL_Copenhagen-Roskilde.AP.061700_TMYx.2009-2023.zip")</f>
        <v>https://climate.onebuilding.org/WMO_Region_6_Europe/DNK_Denmark/SL_Zealand/DNK_SL_Copenhagen-Roskilde.AP.061700_TMYx.2009-2023.zip</v>
      </c>
    </row>
    <row r="2829" spans="1:10" x14ac:dyDescent="0.25">
      <c r="A2829" t="s">
        <v>1705</v>
      </c>
      <c r="B2829" t="s">
        <v>475</v>
      </c>
      <c r="C2829" t="s">
        <v>1916</v>
      </c>
      <c r="D2829" s="1" t="s">
        <v>1917</v>
      </c>
      <c r="E2829" t="s">
        <v>14</v>
      </c>
      <c r="F2829">
        <v>55.5869</v>
      </c>
      <c r="G2829">
        <v>12.1364</v>
      </c>
      <c r="H2829">
        <v>1</v>
      </c>
      <c r="I2829">
        <v>44.5</v>
      </c>
      <c r="J2829" t="str">
        <f>HYPERLINK("https://climate.onebuilding.org/WMO_Region_6_Europe/DNK_Denmark/SL_Zealand/DNK_SL_Copenhagen-Roskilde.AP.061700_TMYx.zip")</f>
        <v>https://climate.onebuilding.org/WMO_Region_6_Europe/DNK_Denmark/SL_Zealand/DNK_SL_Copenhagen-Roskilde.AP.061700_TMYx.zip</v>
      </c>
    </row>
    <row r="2830" spans="1:10" x14ac:dyDescent="0.25">
      <c r="A2830" t="s">
        <v>1705</v>
      </c>
      <c r="B2830" t="s">
        <v>475</v>
      </c>
      <c r="C2830" t="s">
        <v>1919</v>
      </c>
      <c r="D2830" s="1" t="s">
        <v>1920</v>
      </c>
      <c r="E2830" t="s">
        <v>1921</v>
      </c>
      <c r="F2830">
        <v>55.395600000000002</v>
      </c>
      <c r="G2830">
        <v>12.1492</v>
      </c>
      <c r="H2830">
        <v>1</v>
      </c>
      <c r="I2830">
        <v>22.3</v>
      </c>
      <c r="J2830" t="str">
        <f>HYPERLINK("https://climate.onebuilding.org/WMO_Region_6_Europe/DNK_Denmark/SL_Zealand/DNK_SL_Tesseboelle.061740_TMYx.2004-2018.zip")</f>
        <v>https://climate.onebuilding.org/WMO_Region_6_Europe/DNK_Denmark/SL_Zealand/DNK_SL_Tesseboelle.061740_TMYx.2004-2018.zip</v>
      </c>
    </row>
    <row r="2831" spans="1:10" x14ac:dyDescent="0.25">
      <c r="A2831" t="s">
        <v>1705</v>
      </c>
      <c r="B2831" t="s">
        <v>475</v>
      </c>
      <c r="C2831" t="s">
        <v>1919</v>
      </c>
      <c r="D2831" s="1" t="s">
        <v>1920</v>
      </c>
      <c r="E2831" t="s">
        <v>14</v>
      </c>
      <c r="F2831">
        <v>55.395600000000002</v>
      </c>
      <c r="G2831">
        <v>12.1492</v>
      </c>
      <c r="H2831">
        <v>1</v>
      </c>
      <c r="I2831">
        <v>22.3</v>
      </c>
      <c r="J2831" t="str">
        <f>HYPERLINK("https://climate.onebuilding.org/WMO_Region_6_Europe/DNK_Denmark/SL_Zealand/DNK_SL_Tesseboelle.061740_TMYx.2007-2021.zip")</f>
        <v>https://climate.onebuilding.org/WMO_Region_6_Europe/DNK_Denmark/SL_Zealand/DNK_SL_Tesseboelle.061740_TMYx.2007-2021.zip</v>
      </c>
    </row>
    <row r="2832" spans="1:10" x14ac:dyDescent="0.25">
      <c r="A2832" t="s">
        <v>1705</v>
      </c>
      <c r="B2832" t="s">
        <v>475</v>
      </c>
      <c r="C2832" t="s">
        <v>1919</v>
      </c>
      <c r="D2832" s="1" t="s">
        <v>1920</v>
      </c>
      <c r="E2832" t="s">
        <v>14</v>
      </c>
      <c r="F2832">
        <v>55.395600000000002</v>
      </c>
      <c r="G2832">
        <v>12.1492</v>
      </c>
      <c r="H2832">
        <v>1</v>
      </c>
      <c r="I2832">
        <v>22.3</v>
      </c>
      <c r="J2832" t="str">
        <f>HYPERLINK("https://climate.onebuilding.org/WMO_Region_6_Europe/DNK_Denmark/SL_Zealand/DNK_SL_Tesseboelle.061740_TMYx.2009-2023.zip")</f>
        <v>https://climate.onebuilding.org/WMO_Region_6_Europe/DNK_Denmark/SL_Zealand/DNK_SL_Tesseboelle.061740_TMYx.2009-2023.zip</v>
      </c>
    </row>
    <row r="2833" spans="1:10" x14ac:dyDescent="0.25">
      <c r="A2833" t="s">
        <v>1705</v>
      </c>
      <c r="B2833" t="s">
        <v>475</v>
      </c>
      <c r="C2833" t="s">
        <v>1919</v>
      </c>
      <c r="D2833" s="1" t="s">
        <v>1920</v>
      </c>
      <c r="E2833" t="s">
        <v>14</v>
      </c>
      <c r="F2833">
        <v>55.395600000000002</v>
      </c>
      <c r="G2833">
        <v>12.1492</v>
      </c>
      <c r="H2833">
        <v>1</v>
      </c>
      <c r="I2833">
        <v>22.3</v>
      </c>
      <c r="J2833" t="str">
        <f>HYPERLINK("https://climate.onebuilding.org/WMO_Region_6_Europe/DNK_Denmark/SL_Zealand/DNK_SL_Tesseboelle.061740_TMYx.zip")</f>
        <v>https://climate.onebuilding.org/WMO_Region_6_Europe/DNK_Denmark/SL_Zealand/DNK_SL_Tesseboelle.061740_TMYx.zip</v>
      </c>
    </row>
    <row r="2834" spans="1:10" x14ac:dyDescent="0.25">
      <c r="A2834" t="s">
        <v>1705</v>
      </c>
      <c r="B2834" t="s">
        <v>475</v>
      </c>
      <c r="C2834" t="s">
        <v>1922</v>
      </c>
      <c r="D2834" s="1" t="s">
        <v>1923</v>
      </c>
      <c r="E2834" t="s">
        <v>14</v>
      </c>
      <c r="F2834">
        <v>54.95</v>
      </c>
      <c r="G2834">
        <v>12.532999999999999</v>
      </c>
      <c r="H2834">
        <v>1</v>
      </c>
      <c r="I2834">
        <v>17</v>
      </c>
      <c r="J2834" t="str">
        <f>HYPERLINK("https://climate.onebuilding.org/WMO_Region_6_Europe/DNK_Denmark/SL_Zealand/DNK_SL_Moen.061790_TMYx.zip")</f>
        <v>https://climate.onebuilding.org/WMO_Region_6_Europe/DNK_Denmark/SL_Zealand/DNK_SL_Moen.061790_TMYx.zip</v>
      </c>
    </row>
    <row r="2835" spans="1:10" x14ac:dyDescent="0.25">
      <c r="A2835" t="s">
        <v>1705</v>
      </c>
      <c r="B2835" t="s">
        <v>1902</v>
      </c>
      <c r="C2835" t="s">
        <v>1924</v>
      </c>
      <c r="D2835" s="1" t="s">
        <v>1925</v>
      </c>
      <c r="E2835" t="s">
        <v>1926</v>
      </c>
      <c r="F2835">
        <v>55.614199999999997</v>
      </c>
      <c r="G2835">
        <v>12.645300000000001</v>
      </c>
      <c r="H2835">
        <v>1</v>
      </c>
      <c r="I2835">
        <v>5.2</v>
      </c>
      <c r="J2835" t="str">
        <f>HYPERLINK("https://climate.onebuilding.org/WMO_Region_6_Europe/DNK_Denmark/HS_Capital/DNK_HS_Copenhagen-Kastrup.AP.061800_TMYx.2004-2018.zip")</f>
        <v>https://climate.onebuilding.org/WMO_Region_6_Europe/DNK_Denmark/HS_Capital/DNK_HS_Copenhagen-Kastrup.AP.061800_TMYx.2004-2018.zip</v>
      </c>
    </row>
    <row r="2836" spans="1:10" x14ac:dyDescent="0.25">
      <c r="A2836" t="s">
        <v>1705</v>
      </c>
      <c r="B2836" t="s">
        <v>1902</v>
      </c>
      <c r="C2836" t="s">
        <v>1924</v>
      </c>
      <c r="D2836" s="1" t="s">
        <v>1925</v>
      </c>
      <c r="E2836" t="s">
        <v>14</v>
      </c>
      <c r="F2836">
        <v>55.614199999999997</v>
      </c>
      <c r="G2836">
        <v>12.645300000000001</v>
      </c>
      <c r="H2836">
        <v>1</v>
      </c>
      <c r="I2836">
        <v>5.2</v>
      </c>
      <c r="J2836" t="str">
        <f>HYPERLINK("https://climate.onebuilding.org/WMO_Region_6_Europe/DNK_Denmark/HS_Capital/DNK_HS_Copenhagen-Kastrup.AP.061800_TMYx.2007-2021.zip")</f>
        <v>https://climate.onebuilding.org/WMO_Region_6_Europe/DNK_Denmark/HS_Capital/DNK_HS_Copenhagen-Kastrup.AP.061800_TMYx.2007-2021.zip</v>
      </c>
    </row>
    <row r="2837" spans="1:10" x14ac:dyDescent="0.25">
      <c r="A2837" t="s">
        <v>1705</v>
      </c>
      <c r="B2837" t="s">
        <v>1902</v>
      </c>
      <c r="C2837" t="s">
        <v>1924</v>
      </c>
      <c r="D2837" s="1" t="s">
        <v>1925</v>
      </c>
      <c r="E2837" t="s">
        <v>14</v>
      </c>
      <c r="F2837">
        <v>55.614199999999997</v>
      </c>
      <c r="G2837">
        <v>12.645300000000001</v>
      </c>
      <c r="H2837">
        <v>1</v>
      </c>
      <c r="I2837">
        <v>5.2</v>
      </c>
      <c r="J2837" t="str">
        <f>HYPERLINK("https://climate.onebuilding.org/WMO_Region_6_Europe/DNK_Denmark/HS_Capital/DNK_HS_Copenhagen-Kastrup.AP.061800_TMYx.2009-2023.zip")</f>
        <v>https://climate.onebuilding.org/WMO_Region_6_Europe/DNK_Denmark/HS_Capital/DNK_HS_Copenhagen-Kastrup.AP.061800_TMYx.2009-2023.zip</v>
      </c>
    </row>
    <row r="2838" spans="1:10" x14ac:dyDescent="0.25">
      <c r="A2838" t="s">
        <v>1705</v>
      </c>
      <c r="B2838" t="s">
        <v>1902</v>
      </c>
      <c r="C2838" t="s">
        <v>1924</v>
      </c>
      <c r="D2838" s="1" t="s">
        <v>1925</v>
      </c>
      <c r="E2838" t="s">
        <v>14</v>
      </c>
      <c r="F2838">
        <v>55.614199999999997</v>
      </c>
      <c r="G2838">
        <v>12.645300000000001</v>
      </c>
      <c r="H2838">
        <v>1</v>
      </c>
      <c r="I2838">
        <v>5.2</v>
      </c>
      <c r="J2838" t="str">
        <f>HYPERLINK("https://climate.onebuilding.org/WMO_Region_6_Europe/DNK_Denmark/HS_Capital/DNK_HS_Copenhagen-Kastrup.AP.061800_TMYx.zip")</f>
        <v>https://climate.onebuilding.org/WMO_Region_6_Europe/DNK_Denmark/HS_Capital/DNK_HS_Copenhagen-Kastrup.AP.061800_TMYx.zip</v>
      </c>
    </row>
    <row r="2839" spans="1:10" x14ac:dyDescent="0.25">
      <c r="A2839" t="s">
        <v>1705</v>
      </c>
      <c r="B2839" t="s">
        <v>1902</v>
      </c>
      <c r="C2839" t="s">
        <v>1927</v>
      </c>
      <c r="D2839" s="1" t="s">
        <v>1928</v>
      </c>
      <c r="E2839" t="s">
        <v>1929</v>
      </c>
      <c r="F2839">
        <v>55.766399999999997</v>
      </c>
      <c r="G2839">
        <v>12.526400000000001</v>
      </c>
      <c r="H2839">
        <v>1</v>
      </c>
      <c r="I2839">
        <v>42</v>
      </c>
      <c r="J2839" t="str">
        <f>HYPERLINK("https://climate.onebuilding.org/WMO_Region_6_Europe/DNK_Denmark/HS_Capital/DNK_HS_Jagersborg.061810_TMYx.2004-2018.zip")</f>
        <v>https://climate.onebuilding.org/WMO_Region_6_Europe/DNK_Denmark/HS_Capital/DNK_HS_Jagersborg.061810_TMYx.2004-2018.zip</v>
      </c>
    </row>
    <row r="2840" spans="1:10" x14ac:dyDescent="0.25">
      <c r="A2840" t="s">
        <v>1705</v>
      </c>
      <c r="B2840" t="s">
        <v>1902</v>
      </c>
      <c r="C2840" t="s">
        <v>1927</v>
      </c>
      <c r="D2840" s="1" t="s">
        <v>1928</v>
      </c>
      <c r="E2840" t="s">
        <v>14</v>
      </c>
      <c r="F2840">
        <v>55.766399999999997</v>
      </c>
      <c r="G2840">
        <v>12.526400000000001</v>
      </c>
      <c r="H2840">
        <v>1</v>
      </c>
      <c r="I2840">
        <v>42</v>
      </c>
      <c r="J2840" t="str">
        <f>HYPERLINK("https://climate.onebuilding.org/WMO_Region_6_Europe/DNK_Denmark/HS_Capital/DNK_HS_Jagersborg.061810_TMYx.2007-2021.zip")</f>
        <v>https://climate.onebuilding.org/WMO_Region_6_Europe/DNK_Denmark/HS_Capital/DNK_HS_Jagersborg.061810_TMYx.2007-2021.zip</v>
      </c>
    </row>
    <row r="2841" spans="1:10" x14ac:dyDescent="0.25">
      <c r="A2841" t="s">
        <v>1705</v>
      </c>
      <c r="B2841" t="s">
        <v>1902</v>
      </c>
      <c r="C2841" t="s">
        <v>1927</v>
      </c>
      <c r="D2841" s="1" t="s">
        <v>1928</v>
      </c>
      <c r="E2841" t="s">
        <v>14</v>
      </c>
      <c r="F2841">
        <v>55.766399999999997</v>
      </c>
      <c r="G2841">
        <v>12.526400000000001</v>
      </c>
      <c r="H2841">
        <v>1</v>
      </c>
      <c r="I2841">
        <v>42</v>
      </c>
      <c r="J2841" t="str">
        <f>HYPERLINK("https://climate.onebuilding.org/WMO_Region_6_Europe/DNK_Denmark/HS_Capital/DNK_HS_Jagersborg.061810_TMYx.2009-2023.zip")</f>
        <v>https://climate.onebuilding.org/WMO_Region_6_Europe/DNK_Denmark/HS_Capital/DNK_HS_Jagersborg.061810_TMYx.2009-2023.zip</v>
      </c>
    </row>
    <row r="2842" spans="1:10" x14ac:dyDescent="0.25">
      <c r="A2842" t="s">
        <v>1705</v>
      </c>
      <c r="B2842" t="s">
        <v>1902</v>
      </c>
      <c r="C2842" t="s">
        <v>1927</v>
      </c>
      <c r="D2842" s="1" t="s">
        <v>1928</v>
      </c>
      <c r="E2842" t="s">
        <v>14</v>
      </c>
      <c r="F2842">
        <v>55.766399999999997</v>
      </c>
      <c r="G2842">
        <v>12.526400000000001</v>
      </c>
      <c r="H2842">
        <v>1</v>
      </c>
      <c r="I2842">
        <v>42</v>
      </c>
      <c r="J2842" t="str">
        <f>HYPERLINK("https://climate.onebuilding.org/WMO_Region_6_Europe/DNK_Denmark/HS_Capital/DNK_HS_Jagersborg.061810_TMYx.zip")</f>
        <v>https://climate.onebuilding.org/WMO_Region_6_Europe/DNK_Denmark/HS_Capital/DNK_HS_Jagersborg.061810_TMYx.zip</v>
      </c>
    </row>
    <row r="2843" spans="1:10" x14ac:dyDescent="0.25">
      <c r="A2843" t="s">
        <v>1705</v>
      </c>
      <c r="B2843" t="s">
        <v>1902</v>
      </c>
      <c r="C2843" t="s">
        <v>1930</v>
      </c>
      <c r="D2843" s="1" t="s">
        <v>1931</v>
      </c>
      <c r="E2843" t="s">
        <v>1932</v>
      </c>
      <c r="F2843">
        <v>55.5364</v>
      </c>
      <c r="G2843">
        <v>12.711399999999999</v>
      </c>
      <c r="H2843">
        <v>1</v>
      </c>
      <c r="I2843">
        <v>14.4</v>
      </c>
      <c r="J2843" t="str">
        <f>HYPERLINK("https://climate.onebuilding.org/WMO_Region_6_Europe/DNK_Denmark/HS_Capital/DNK_HS_Drogden.Lighthouse.061830_TMYx.2004-2018.zip")</f>
        <v>https://climate.onebuilding.org/WMO_Region_6_Europe/DNK_Denmark/HS_Capital/DNK_HS_Drogden.Lighthouse.061830_TMYx.2004-2018.zip</v>
      </c>
    </row>
    <row r="2844" spans="1:10" x14ac:dyDescent="0.25">
      <c r="A2844" t="s">
        <v>1705</v>
      </c>
      <c r="B2844" t="s">
        <v>1902</v>
      </c>
      <c r="C2844" t="s">
        <v>1930</v>
      </c>
      <c r="D2844" s="1" t="s">
        <v>1931</v>
      </c>
      <c r="E2844" t="s">
        <v>14</v>
      </c>
      <c r="F2844">
        <v>55.5364</v>
      </c>
      <c r="G2844">
        <v>12.711399999999999</v>
      </c>
      <c r="H2844">
        <v>1</v>
      </c>
      <c r="I2844">
        <v>14.4</v>
      </c>
      <c r="J2844" t="str">
        <f>HYPERLINK("https://climate.onebuilding.org/WMO_Region_6_Europe/DNK_Denmark/HS_Capital/DNK_HS_Drogden.Lighthouse.061830_TMYx.2007-2021.zip")</f>
        <v>https://climate.onebuilding.org/WMO_Region_6_Europe/DNK_Denmark/HS_Capital/DNK_HS_Drogden.Lighthouse.061830_TMYx.2007-2021.zip</v>
      </c>
    </row>
    <row r="2845" spans="1:10" x14ac:dyDescent="0.25">
      <c r="A2845" t="s">
        <v>1705</v>
      </c>
      <c r="B2845" t="s">
        <v>1902</v>
      </c>
      <c r="C2845" t="s">
        <v>1930</v>
      </c>
      <c r="D2845" s="1" t="s">
        <v>1931</v>
      </c>
      <c r="E2845" t="s">
        <v>14</v>
      </c>
      <c r="F2845">
        <v>55.5364</v>
      </c>
      <c r="G2845">
        <v>12.711399999999999</v>
      </c>
      <c r="H2845">
        <v>1</v>
      </c>
      <c r="I2845">
        <v>14.4</v>
      </c>
      <c r="J2845" t="str">
        <f>HYPERLINK("https://climate.onebuilding.org/WMO_Region_6_Europe/DNK_Denmark/HS_Capital/DNK_HS_Drogden.Lighthouse.061830_TMYx.2009-2023.zip")</f>
        <v>https://climate.onebuilding.org/WMO_Region_6_Europe/DNK_Denmark/HS_Capital/DNK_HS_Drogden.Lighthouse.061830_TMYx.2009-2023.zip</v>
      </c>
    </row>
    <row r="2846" spans="1:10" x14ac:dyDescent="0.25">
      <c r="A2846" t="s">
        <v>1705</v>
      </c>
      <c r="B2846" t="s">
        <v>1902</v>
      </c>
      <c r="C2846" t="s">
        <v>1930</v>
      </c>
      <c r="D2846" s="1" t="s">
        <v>1931</v>
      </c>
      <c r="E2846" t="s">
        <v>14</v>
      </c>
      <c r="F2846">
        <v>55.5364</v>
      </c>
      <c r="G2846">
        <v>12.711399999999999</v>
      </c>
      <c r="H2846">
        <v>1</v>
      </c>
      <c r="I2846">
        <v>14.4</v>
      </c>
      <c r="J2846" t="str">
        <f>HYPERLINK("https://climate.onebuilding.org/WMO_Region_6_Europe/DNK_Denmark/HS_Capital/DNK_HS_Drogden.Lighthouse.061830_TMYx.zip")</f>
        <v>https://climate.onebuilding.org/WMO_Region_6_Europe/DNK_Denmark/HS_Capital/DNK_HS_Drogden.Lighthouse.061830_TMYx.zip</v>
      </c>
    </row>
    <row r="2847" spans="1:10" x14ac:dyDescent="0.25">
      <c r="A2847" t="s">
        <v>1705</v>
      </c>
      <c r="B2847" t="s">
        <v>1902</v>
      </c>
      <c r="C2847" t="s">
        <v>1933</v>
      </c>
      <c r="D2847" s="1" t="s">
        <v>1934</v>
      </c>
      <c r="E2847" t="s">
        <v>1935</v>
      </c>
      <c r="F2847">
        <v>55.876399999999997</v>
      </c>
      <c r="G2847">
        <v>12.4122</v>
      </c>
      <c r="H2847">
        <v>1</v>
      </c>
      <c r="I2847">
        <v>41.3</v>
      </c>
      <c r="J2847" t="str">
        <f>HYPERLINK("https://climate.onebuilding.org/WMO_Region_6_Europe/DNK_Denmark/HS_Capital/DNK_HS_Sjalsmark.061880_TMYx.2004-2018.zip")</f>
        <v>https://climate.onebuilding.org/WMO_Region_6_Europe/DNK_Denmark/HS_Capital/DNK_HS_Sjalsmark.061880_TMYx.2004-2018.zip</v>
      </c>
    </row>
    <row r="2848" spans="1:10" x14ac:dyDescent="0.25">
      <c r="A2848" t="s">
        <v>1705</v>
      </c>
      <c r="B2848" t="s">
        <v>1902</v>
      </c>
      <c r="C2848" t="s">
        <v>1933</v>
      </c>
      <c r="D2848" s="1" t="s">
        <v>1934</v>
      </c>
      <c r="E2848" t="s">
        <v>14</v>
      </c>
      <c r="F2848">
        <v>55.876399999999997</v>
      </c>
      <c r="G2848">
        <v>12.4122</v>
      </c>
      <c r="H2848">
        <v>1</v>
      </c>
      <c r="I2848">
        <v>41.3</v>
      </c>
      <c r="J2848" t="str">
        <f>HYPERLINK("https://climate.onebuilding.org/WMO_Region_6_Europe/DNK_Denmark/HS_Capital/DNK_HS_Sjalsmark.061880_TMYx.2007-2021.zip")</f>
        <v>https://climate.onebuilding.org/WMO_Region_6_Europe/DNK_Denmark/HS_Capital/DNK_HS_Sjalsmark.061880_TMYx.2007-2021.zip</v>
      </c>
    </row>
    <row r="2849" spans="1:10" x14ac:dyDescent="0.25">
      <c r="A2849" t="s">
        <v>1705</v>
      </c>
      <c r="B2849" t="s">
        <v>1902</v>
      </c>
      <c r="C2849" t="s">
        <v>1933</v>
      </c>
      <c r="D2849" s="1" t="s">
        <v>1934</v>
      </c>
      <c r="E2849" t="s">
        <v>14</v>
      </c>
      <c r="F2849">
        <v>55.876399999999997</v>
      </c>
      <c r="G2849">
        <v>12.4122</v>
      </c>
      <c r="H2849">
        <v>1</v>
      </c>
      <c r="I2849">
        <v>41.3</v>
      </c>
      <c r="J2849" t="str">
        <f>HYPERLINK("https://climate.onebuilding.org/WMO_Region_6_Europe/DNK_Denmark/HS_Capital/DNK_HS_Sjalsmark.061880_TMYx.2009-2023.zip")</f>
        <v>https://climate.onebuilding.org/WMO_Region_6_Europe/DNK_Denmark/HS_Capital/DNK_HS_Sjalsmark.061880_TMYx.2009-2023.zip</v>
      </c>
    </row>
    <row r="2850" spans="1:10" x14ac:dyDescent="0.25">
      <c r="A2850" t="s">
        <v>1705</v>
      </c>
      <c r="B2850" t="s">
        <v>1902</v>
      </c>
      <c r="C2850" t="s">
        <v>1933</v>
      </c>
      <c r="D2850" s="1" t="s">
        <v>1934</v>
      </c>
      <c r="E2850" t="s">
        <v>14</v>
      </c>
      <c r="F2850">
        <v>55.876399999999997</v>
      </c>
      <c r="G2850">
        <v>12.4122</v>
      </c>
      <c r="H2850">
        <v>1</v>
      </c>
      <c r="I2850">
        <v>41.3</v>
      </c>
      <c r="J2850" t="str">
        <f>HYPERLINK("https://climate.onebuilding.org/WMO_Region_6_Europe/DNK_Denmark/HS_Capital/DNK_HS_Sjalsmark.061880_TMYx.zip")</f>
        <v>https://climate.onebuilding.org/WMO_Region_6_Europe/DNK_Denmark/HS_Capital/DNK_HS_Sjalsmark.061880_TMYx.zip</v>
      </c>
    </row>
    <row r="2851" spans="1:10" x14ac:dyDescent="0.25">
      <c r="A2851" t="s">
        <v>1705</v>
      </c>
      <c r="B2851" t="s">
        <v>1902</v>
      </c>
      <c r="C2851" t="s">
        <v>1936</v>
      </c>
      <c r="D2851" s="1" t="s">
        <v>1937</v>
      </c>
      <c r="E2851" t="s">
        <v>1938</v>
      </c>
      <c r="F2851">
        <v>55.067799999999998</v>
      </c>
      <c r="G2851">
        <v>14.7494</v>
      </c>
      <c r="H2851">
        <v>1</v>
      </c>
      <c r="I2851">
        <v>17</v>
      </c>
      <c r="J2851" t="str">
        <f>HYPERLINK("https://climate.onebuilding.org/WMO_Region_6_Europe/DNK_Denmark/HS_Capital/DNK_HS_Bornholm.AP.061900_TMYx.2004-2018.zip")</f>
        <v>https://climate.onebuilding.org/WMO_Region_6_Europe/DNK_Denmark/HS_Capital/DNK_HS_Bornholm.AP.061900_TMYx.2004-2018.zip</v>
      </c>
    </row>
    <row r="2852" spans="1:10" x14ac:dyDescent="0.25">
      <c r="A2852" t="s">
        <v>1705</v>
      </c>
      <c r="B2852" t="s">
        <v>1902</v>
      </c>
      <c r="C2852" t="s">
        <v>1936</v>
      </c>
      <c r="D2852" s="1" t="s">
        <v>1937</v>
      </c>
      <c r="E2852" t="s">
        <v>14</v>
      </c>
      <c r="F2852">
        <v>55.067799999999998</v>
      </c>
      <c r="G2852">
        <v>14.7494</v>
      </c>
      <c r="H2852">
        <v>1</v>
      </c>
      <c r="I2852">
        <v>17</v>
      </c>
      <c r="J2852" t="str">
        <f>HYPERLINK("https://climate.onebuilding.org/WMO_Region_6_Europe/DNK_Denmark/HS_Capital/DNK_HS_Bornholm.AP.061900_TMYx.2007-2021.zip")</f>
        <v>https://climate.onebuilding.org/WMO_Region_6_Europe/DNK_Denmark/HS_Capital/DNK_HS_Bornholm.AP.061900_TMYx.2007-2021.zip</v>
      </c>
    </row>
    <row r="2853" spans="1:10" x14ac:dyDescent="0.25">
      <c r="A2853" t="s">
        <v>1705</v>
      </c>
      <c r="B2853" t="s">
        <v>1902</v>
      </c>
      <c r="C2853" t="s">
        <v>1936</v>
      </c>
      <c r="D2853" s="1" t="s">
        <v>1937</v>
      </c>
      <c r="E2853" t="s">
        <v>14</v>
      </c>
      <c r="F2853">
        <v>55.067799999999998</v>
      </c>
      <c r="G2853">
        <v>14.7494</v>
      </c>
      <c r="H2853">
        <v>1</v>
      </c>
      <c r="I2853">
        <v>17</v>
      </c>
      <c r="J2853" t="str">
        <f>HYPERLINK("https://climate.onebuilding.org/WMO_Region_6_Europe/DNK_Denmark/HS_Capital/DNK_HS_Bornholm.AP.061900_TMYx.2009-2023.zip")</f>
        <v>https://climate.onebuilding.org/WMO_Region_6_Europe/DNK_Denmark/HS_Capital/DNK_HS_Bornholm.AP.061900_TMYx.2009-2023.zip</v>
      </c>
    </row>
    <row r="2854" spans="1:10" x14ac:dyDescent="0.25">
      <c r="A2854" t="s">
        <v>1705</v>
      </c>
      <c r="B2854" t="s">
        <v>1902</v>
      </c>
      <c r="C2854" t="s">
        <v>1936</v>
      </c>
      <c r="D2854" s="1" t="s">
        <v>1937</v>
      </c>
      <c r="E2854" t="s">
        <v>14</v>
      </c>
      <c r="F2854">
        <v>55.067799999999998</v>
      </c>
      <c r="G2854">
        <v>14.7494</v>
      </c>
      <c r="H2854">
        <v>1</v>
      </c>
      <c r="I2854">
        <v>17</v>
      </c>
      <c r="J2854" t="str">
        <f>HYPERLINK("https://climate.onebuilding.org/WMO_Region_6_Europe/DNK_Denmark/HS_Capital/DNK_HS_Bornholm.AP.061900_TMYx.zip")</f>
        <v>https://climate.onebuilding.org/WMO_Region_6_Europe/DNK_Denmark/HS_Capital/DNK_HS_Bornholm.AP.061900_TMYx.zip</v>
      </c>
    </row>
    <row r="2855" spans="1:10" x14ac:dyDescent="0.25">
      <c r="A2855" t="s">
        <v>1705</v>
      </c>
      <c r="B2855" t="s">
        <v>1902</v>
      </c>
      <c r="C2855" t="s">
        <v>1939</v>
      </c>
      <c r="D2855" s="1" t="s">
        <v>1940</v>
      </c>
      <c r="E2855" t="s">
        <v>14</v>
      </c>
      <c r="F2855">
        <v>55.320599999999999</v>
      </c>
      <c r="G2855">
        <v>15.1869</v>
      </c>
      <c r="H2855">
        <v>1</v>
      </c>
      <c r="I2855">
        <v>15</v>
      </c>
      <c r="J2855" t="str">
        <f>HYPERLINK("https://climate.onebuilding.org/WMO_Region_6_Europe/DNK_Denmark/HS_Capital/DNK_HS_Christianso.Lighthouse.061910_TMYx.zip")</f>
        <v>https://climate.onebuilding.org/WMO_Region_6_Europe/DNK_Denmark/HS_Capital/DNK_HS_Christianso.Lighthouse.061910_TMYx.zip</v>
      </c>
    </row>
    <row r="2856" spans="1:10" x14ac:dyDescent="0.25">
      <c r="A2856" t="s">
        <v>1705</v>
      </c>
      <c r="B2856" t="s">
        <v>1902</v>
      </c>
      <c r="C2856" t="s">
        <v>1941</v>
      </c>
      <c r="D2856" s="1" t="s">
        <v>1942</v>
      </c>
      <c r="E2856" t="s">
        <v>1943</v>
      </c>
      <c r="F2856">
        <v>55.298000000000002</v>
      </c>
      <c r="G2856">
        <v>14.7719</v>
      </c>
      <c r="H2856">
        <v>1</v>
      </c>
      <c r="I2856">
        <v>9.4</v>
      </c>
      <c r="J2856" t="str">
        <f>HYPERLINK("https://climate.onebuilding.org/WMO_Region_6_Europe/DNK_Denmark/HS_Capital/DNK_HS_Hammer.Odde.Lighthouse.061930_TMYx.2004-2018.zip")</f>
        <v>https://climate.onebuilding.org/WMO_Region_6_Europe/DNK_Denmark/HS_Capital/DNK_HS_Hammer.Odde.Lighthouse.061930_TMYx.2004-2018.zip</v>
      </c>
    </row>
    <row r="2857" spans="1:10" x14ac:dyDescent="0.25">
      <c r="A2857" t="s">
        <v>1705</v>
      </c>
      <c r="B2857" t="s">
        <v>1902</v>
      </c>
      <c r="C2857" t="s">
        <v>1941</v>
      </c>
      <c r="D2857" s="1" t="s">
        <v>1942</v>
      </c>
      <c r="E2857" t="s">
        <v>14</v>
      </c>
      <c r="F2857">
        <v>55.298000000000002</v>
      </c>
      <c r="G2857">
        <v>14.7719</v>
      </c>
      <c r="H2857">
        <v>1</v>
      </c>
      <c r="I2857">
        <v>9.4</v>
      </c>
      <c r="J2857" t="str">
        <f>HYPERLINK("https://climate.onebuilding.org/WMO_Region_6_Europe/DNK_Denmark/HS_Capital/DNK_HS_Hammer.Odde.Lighthouse.061930_TMYx.2007-2021.zip")</f>
        <v>https://climate.onebuilding.org/WMO_Region_6_Europe/DNK_Denmark/HS_Capital/DNK_HS_Hammer.Odde.Lighthouse.061930_TMYx.2007-2021.zip</v>
      </c>
    </row>
    <row r="2858" spans="1:10" x14ac:dyDescent="0.25">
      <c r="A2858" t="s">
        <v>1705</v>
      </c>
      <c r="B2858" t="s">
        <v>1902</v>
      </c>
      <c r="C2858" t="s">
        <v>1941</v>
      </c>
      <c r="D2858" s="1" t="s">
        <v>1942</v>
      </c>
      <c r="E2858" t="s">
        <v>14</v>
      </c>
      <c r="F2858">
        <v>55.298000000000002</v>
      </c>
      <c r="G2858">
        <v>14.7719</v>
      </c>
      <c r="H2858">
        <v>1</v>
      </c>
      <c r="I2858">
        <v>9.4</v>
      </c>
      <c r="J2858" t="str">
        <f>HYPERLINK("https://climate.onebuilding.org/WMO_Region_6_Europe/DNK_Denmark/HS_Capital/DNK_HS_Hammer.Odde.Lighthouse.061930_TMYx.2009-2023.zip")</f>
        <v>https://climate.onebuilding.org/WMO_Region_6_Europe/DNK_Denmark/HS_Capital/DNK_HS_Hammer.Odde.Lighthouse.061930_TMYx.2009-2023.zip</v>
      </c>
    </row>
    <row r="2859" spans="1:10" x14ac:dyDescent="0.25">
      <c r="A2859" t="s">
        <v>1705</v>
      </c>
      <c r="B2859" t="s">
        <v>1902</v>
      </c>
      <c r="C2859" t="s">
        <v>1941</v>
      </c>
      <c r="D2859" s="1" t="s">
        <v>1942</v>
      </c>
      <c r="E2859" t="s">
        <v>14</v>
      </c>
      <c r="F2859">
        <v>55.298000000000002</v>
      </c>
      <c r="G2859">
        <v>14.7719</v>
      </c>
      <c r="H2859">
        <v>1</v>
      </c>
      <c r="I2859">
        <v>9.4</v>
      </c>
      <c r="J2859" t="str">
        <f>HYPERLINK("https://climate.onebuilding.org/WMO_Region_6_Europe/DNK_Denmark/HS_Capital/DNK_HS_Hammer.Odde.Lighthouse.061930_TMYx.zip")</f>
        <v>https://climate.onebuilding.org/WMO_Region_6_Europe/DNK_Denmark/HS_Capital/DNK_HS_Hammer.Odde.Lighthouse.061930_TMYx.zip</v>
      </c>
    </row>
    <row r="2860" spans="1:10" x14ac:dyDescent="0.25">
      <c r="A2860" t="s">
        <v>1705</v>
      </c>
      <c r="B2860" t="s">
        <v>1902</v>
      </c>
      <c r="C2860" t="s">
        <v>1944</v>
      </c>
      <c r="D2860" s="1" t="s">
        <v>1945</v>
      </c>
      <c r="E2860" t="s">
        <v>1946</v>
      </c>
      <c r="F2860">
        <v>55.055799999999998</v>
      </c>
      <c r="G2860">
        <v>15.0953</v>
      </c>
      <c r="H2860">
        <v>1</v>
      </c>
      <c r="I2860">
        <v>25</v>
      </c>
      <c r="J2860" t="str">
        <f>HYPERLINK("https://climate.onebuilding.org/WMO_Region_6_Europe/DNK_Denmark/HS_Capital/DNK_HS_Nexo.Vest.061970_TMYx.2004-2018.zip")</f>
        <v>https://climate.onebuilding.org/WMO_Region_6_Europe/DNK_Denmark/HS_Capital/DNK_HS_Nexo.Vest.061970_TMYx.2004-2018.zip</v>
      </c>
    </row>
    <row r="2861" spans="1:10" x14ac:dyDescent="0.25">
      <c r="A2861" t="s">
        <v>1705</v>
      </c>
      <c r="B2861" t="s">
        <v>1902</v>
      </c>
      <c r="C2861" t="s">
        <v>1944</v>
      </c>
      <c r="D2861" s="1" t="s">
        <v>1945</v>
      </c>
      <c r="E2861" t="s">
        <v>14</v>
      </c>
      <c r="F2861">
        <v>55.055799999999998</v>
      </c>
      <c r="G2861">
        <v>15.0953</v>
      </c>
      <c r="H2861">
        <v>1</v>
      </c>
      <c r="I2861">
        <v>25</v>
      </c>
      <c r="J2861" t="str">
        <f>HYPERLINK("https://climate.onebuilding.org/WMO_Region_6_Europe/DNK_Denmark/HS_Capital/DNK_HS_Nexo.Vest.061970_TMYx.2007-2021.zip")</f>
        <v>https://climate.onebuilding.org/WMO_Region_6_Europe/DNK_Denmark/HS_Capital/DNK_HS_Nexo.Vest.061970_TMYx.2007-2021.zip</v>
      </c>
    </row>
    <row r="2862" spans="1:10" x14ac:dyDescent="0.25">
      <c r="A2862" t="s">
        <v>1705</v>
      </c>
      <c r="B2862" t="s">
        <v>1902</v>
      </c>
      <c r="C2862" t="s">
        <v>1944</v>
      </c>
      <c r="D2862" s="1" t="s">
        <v>1945</v>
      </c>
      <c r="E2862" t="s">
        <v>14</v>
      </c>
      <c r="F2862">
        <v>55.055799999999998</v>
      </c>
      <c r="G2862">
        <v>15.0953</v>
      </c>
      <c r="H2862">
        <v>1</v>
      </c>
      <c r="I2862">
        <v>25</v>
      </c>
      <c r="J2862" t="str">
        <f>HYPERLINK("https://climate.onebuilding.org/WMO_Region_6_Europe/DNK_Denmark/HS_Capital/DNK_HS_Nexo.Vest.061970_TMYx.2009-2023.zip")</f>
        <v>https://climate.onebuilding.org/WMO_Region_6_Europe/DNK_Denmark/HS_Capital/DNK_HS_Nexo.Vest.061970_TMYx.2009-2023.zip</v>
      </c>
    </row>
    <row r="2863" spans="1:10" x14ac:dyDescent="0.25">
      <c r="A2863" t="s">
        <v>1705</v>
      </c>
      <c r="B2863" t="s">
        <v>1902</v>
      </c>
      <c r="C2863" t="s">
        <v>1944</v>
      </c>
      <c r="D2863" s="1" t="s">
        <v>1945</v>
      </c>
      <c r="E2863" t="s">
        <v>14</v>
      </c>
      <c r="F2863">
        <v>55.055799999999998</v>
      </c>
      <c r="G2863">
        <v>15.0953</v>
      </c>
      <c r="H2863">
        <v>1</v>
      </c>
      <c r="I2863">
        <v>25</v>
      </c>
      <c r="J2863" t="str">
        <f>HYPERLINK("https://climate.onebuilding.org/WMO_Region_6_Europe/DNK_Denmark/HS_Capital/DNK_HS_Nexo.Vest.061970_TMYx.zip")</f>
        <v>https://climate.onebuilding.org/WMO_Region_6_Europe/DNK_Denmark/HS_Capital/DNK_HS_Nexo.Vest.061970_TMYx.zip</v>
      </c>
    </row>
    <row r="2864" spans="1:10" x14ac:dyDescent="0.25">
      <c r="A2864" t="s">
        <v>1705</v>
      </c>
      <c r="B2864" t="s">
        <v>1902</v>
      </c>
      <c r="C2864" t="s">
        <v>1947</v>
      </c>
      <c r="D2864" s="1" t="s">
        <v>1948</v>
      </c>
      <c r="E2864" t="s">
        <v>14</v>
      </c>
      <c r="F2864">
        <v>54.9923</v>
      </c>
      <c r="G2864">
        <v>15.080399999999999</v>
      </c>
      <c r="H2864">
        <v>1</v>
      </c>
      <c r="I2864">
        <v>6</v>
      </c>
      <c r="J2864" t="str">
        <f>HYPERLINK("https://climate.onebuilding.org/WMO_Region_6_Europe/DNK_Denmark/HS_Capital/DNK_HS_Cape.Dueodde.061990_TMYx.zip")</f>
        <v>https://climate.onebuilding.org/WMO_Region_6_Europe/DNK_Denmark/HS_Capital/DNK_HS_Cape.Dueodde.061990_TMYx.zip</v>
      </c>
    </row>
    <row r="2865" spans="1:10" x14ac:dyDescent="0.25">
      <c r="A2865" t="s">
        <v>1949</v>
      </c>
      <c r="B2865" t="s">
        <v>1950</v>
      </c>
      <c r="C2865" t="s">
        <v>1951</v>
      </c>
      <c r="D2865" s="1" t="s">
        <v>1952</v>
      </c>
      <c r="E2865" t="s">
        <v>1953</v>
      </c>
      <c r="F2865">
        <v>43.3658</v>
      </c>
      <c r="G2865">
        <v>-8.4214000000000002</v>
      </c>
      <c r="H2865">
        <v>1</v>
      </c>
      <c r="I2865">
        <v>67</v>
      </c>
      <c r="J2865" t="str">
        <f>HYPERLINK("https://climate.onebuilding.org/WMO_Region_6_Europe/ESP_Spain/GA_Galicia/ESP_GA_A.Coruna.080010_TMYx.2004-2018.zip")</f>
        <v>https://climate.onebuilding.org/WMO_Region_6_Europe/ESP_Spain/GA_Galicia/ESP_GA_A.Coruna.080010_TMYx.2004-2018.zip</v>
      </c>
    </row>
    <row r="2866" spans="1:10" x14ac:dyDescent="0.25">
      <c r="A2866" t="s">
        <v>1949</v>
      </c>
      <c r="B2866" t="s">
        <v>1950</v>
      </c>
      <c r="C2866" t="s">
        <v>1951</v>
      </c>
      <c r="D2866" s="1" t="s">
        <v>1952</v>
      </c>
      <c r="E2866" t="s">
        <v>14</v>
      </c>
      <c r="F2866">
        <v>43.3658</v>
      </c>
      <c r="G2866">
        <v>-8.4214000000000002</v>
      </c>
      <c r="H2866">
        <v>1</v>
      </c>
      <c r="I2866">
        <v>67</v>
      </c>
      <c r="J2866" t="str">
        <f>HYPERLINK("https://climate.onebuilding.org/WMO_Region_6_Europe/ESP_Spain/GA_Galicia/ESP_GA_A.Coruna.080010_TMYx.2007-2021.zip")</f>
        <v>https://climate.onebuilding.org/WMO_Region_6_Europe/ESP_Spain/GA_Galicia/ESP_GA_A.Coruna.080010_TMYx.2007-2021.zip</v>
      </c>
    </row>
    <row r="2867" spans="1:10" x14ac:dyDescent="0.25">
      <c r="A2867" t="s">
        <v>1949</v>
      </c>
      <c r="B2867" t="s">
        <v>1950</v>
      </c>
      <c r="C2867" t="s">
        <v>1951</v>
      </c>
      <c r="D2867" s="1" t="s">
        <v>1952</v>
      </c>
      <c r="E2867" t="s">
        <v>14</v>
      </c>
      <c r="F2867">
        <v>43.3658</v>
      </c>
      <c r="G2867">
        <v>-8.4214000000000002</v>
      </c>
      <c r="H2867">
        <v>1</v>
      </c>
      <c r="I2867">
        <v>67</v>
      </c>
      <c r="J2867" t="str">
        <f>HYPERLINK("https://climate.onebuilding.org/WMO_Region_6_Europe/ESP_Spain/GA_Galicia/ESP_GA_A.Coruna.080010_TMYx.2009-2023.zip")</f>
        <v>https://climate.onebuilding.org/WMO_Region_6_Europe/ESP_Spain/GA_Galicia/ESP_GA_A.Coruna.080010_TMYx.2009-2023.zip</v>
      </c>
    </row>
    <row r="2868" spans="1:10" x14ac:dyDescent="0.25">
      <c r="A2868" t="s">
        <v>1949</v>
      </c>
      <c r="B2868" t="s">
        <v>1950</v>
      </c>
      <c r="C2868" t="s">
        <v>1951</v>
      </c>
      <c r="D2868" s="1" t="s">
        <v>1952</v>
      </c>
      <c r="E2868" t="s">
        <v>14</v>
      </c>
      <c r="F2868">
        <v>43.3658</v>
      </c>
      <c r="G2868">
        <v>-8.4214000000000002</v>
      </c>
      <c r="H2868">
        <v>1</v>
      </c>
      <c r="I2868">
        <v>67</v>
      </c>
      <c r="J2868" t="str">
        <f>HYPERLINK("https://climate.onebuilding.org/WMO_Region_6_Europe/ESP_Spain/GA_Galicia/ESP_GA_A.Coruna.080010_TMYx.zip")</f>
        <v>https://climate.onebuilding.org/WMO_Region_6_Europe/ESP_Spain/GA_Galicia/ESP_GA_A.Coruna.080010_TMYx.zip</v>
      </c>
    </row>
    <row r="2869" spans="1:10" x14ac:dyDescent="0.25">
      <c r="A2869" t="s">
        <v>1949</v>
      </c>
      <c r="B2869" t="s">
        <v>1950</v>
      </c>
      <c r="C2869" t="s">
        <v>1954</v>
      </c>
      <c r="D2869" s="1" t="s">
        <v>1955</v>
      </c>
      <c r="E2869" t="s">
        <v>1956</v>
      </c>
      <c r="F2869">
        <v>43.306899999999999</v>
      </c>
      <c r="G2869">
        <v>-8.3719000000000001</v>
      </c>
      <c r="H2869">
        <v>1</v>
      </c>
      <c r="I2869">
        <v>103</v>
      </c>
      <c r="J2869" t="str">
        <f>HYPERLINK("https://climate.onebuilding.org/WMO_Region_6_Europe/ESP_Spain/GA_Galicia/ESP_GA_A.Coruna.AP.080020_TMYx.2004-2018.zip")</f>
        <v>https://climate.onebuilding.org/WMO_Region_6_Europe/ESP_Spain/GA_Galicia/ESP_GA_A.Coruna.AP.080020_TMYx.2004-2018.zip</v>
      </c>
    </row>
    <row r="2870" spans="1:10" x14ac:dyDescent="0.25">
      <c r="A2870" t="s">
        <v>1949</v>
      </c>
      <c r="B2870" t="s">
        <v>1950</v>
      </c>
      <c r="C2870" t="s">
        <v>1954</v>
      </c>
      <c r="D2870" s="1" t="s">
        <v>1955</v>
      </c>
      <c r="E2870" t="s">
        <v>14</v>
      </c>
      <c r="F2870">
        <v>43.306899999999999</v>
      </c>
      <c r="G2870">
        <v>-8.3719000000000001</v>
      </c>
      <c r="H2870">
        <v>1</v>
      </c>
      <c r="I2870">
        <v>103</v>
      </c>
      <c r="J2870" t="str">
        <f>HYPERLINK("https://climate.onebuilding.org/WMO_Region_6_Europe/ESP_Spain/GA_Galicia/ESP_GA_A.Coruna.AP.080020_TMYx.2007-2021.zip")</f>
        <v>https://climate.onebuilding.org/WMO_Region_6_Europe/ESP_Spain/GA_Galicia/ESP_GA_A.Coruna.AP.080020_TMYx.2007-2021.zip</v>
      </c>
    </row>
    <row r="2871" spans="1:10" x14ac:dyDescent="0.25">
      <c r="A2871" t="s">
        <v>1949</v>
      </c>
      <c r="B2871" t="s">
        <v>1950</v>
      </c>
      <c r="C2871" t="s">
        <v>1954</v>
      </c>
      <c r="D2871" s="1" t="s">
        <v>1955</v>
      </c>
      <c r="E2871" t="s">
        <v>14</v>
      </c>
      <c r="F2871">
        <v>43.306899999999999</v>
      </c>
      <c r="G2871">
        <v>-8.3719000000000001</v>
      </c>
      <c r="H2871">
        <v>1</v>
      </c>
      <c r="I2871">
        <v>103</v>
      </c>
      <c r="J2871" t="str">
        <f>HYPERLINK("https://climate.onebuilding.org/WMO_Region_6_Europe/ESP_Spain/GA_Galicia/ESP_GA_A.Coruna.AP.080020_TMYx.2009-2023.zip")</f>
        <v>https://climate.onebuilding.org/WMO_Region_6_Europe/ESP_Spain/GA_Galicia/ESP_GA_A.Coruna.AP.080020_TMYx.2009-2023.zip</v>
      </c>
    </row>
    <row r="2872" spans="1:10" x14ac:dyDescent="0.25">
      <c r="A2872" t="s">
        <v>1949</v>
      </c>
      <c r="B2872" t="s">
        <v>1950</v>
      </c>
      <c r="C2872" t="s">
        <v>1954</v>
      </c>
      <c r="D2872" s="1" t="s">
        <v>1955</v>
      </c>
      <c r="E2872" t="s">
        <v>14</v>
      </c>
      <c r="F2872">
        <v>43.306899999999999</v>
      </c>
      <c r="G2872">
        <v>-8.3719000000000001</v>
      </c>
      <c r="H2872">
        <v>1</v>
      </c>
      <c r="I2872">
        <v>103</v>
      </c>
      <c r="J2872" t="str">
        <f>HYPERLINK("https://climate.onebuilding.org/WMO_Region_6_Europe/ESP_Spain/GA_Galicia/ESP_GA_A.Coruna.AP.080020_TMYx.zip")</f>
        <v>https://climate.onebuilding.org/WMO_Region_6_Europe/ESP_Spain/GA_Galicia/ESP_GA_A.Coruna.AP.080020_TMYx.zip</v>
      </c>
    </row>
    <row r="2873" spans="1:10" x14ac:dyDescent="0.25">
      <c r="A2873" t="s">
        <v>1949</v>
      </c>
      <c r="B2873" t="s">
        <v>1950</v>
      </c>
      <c r="C2873" t="s">
        <v>1957</v>
      </c>
      <c r="D2873" s="1" t="s">
        <v>1958</v>
      </c>
      <c r="E2873" t="s">
        <v>14</v>
      </c>
      <c r="F2873">
        <v>43.482999999999997</v>
      </c>
      <c r="G2873">
        <v>-8.3170000000000002</v>
      </c>
      <c r="H2873">
        <v>1</v>
      </c>
      <c r="I2873">
        <v>240</v>
      </c>
      <c r="J2873" t="str">
        <f>HYPERLINK("https://climate.onebuilding.org/WMO_Region_6_Europe/ESP_Spain/GA_Galicia/ESP_GA_Monteventoso.080030_TMYx.zip")</f>
        <v>https://climate.onebuilding.org/WMO_Region_6_Europe/ESP_Spain/GA_Galicia/ESP_GA_Monteventoso.080030_TMYx.zip</v>
      </c>
    </row>
    <row r="2874" spans="1:10" x14ac:dyDescent="0.25">
      <c r="A2874" t="s">
        <v>1949</v>
      </c>
      <c r="B2874" t="s">
        <v>1950</v>
      </c>
      <c r="C2874" t="s">
        <v>1959</v>
      </c>
      <c r="D2874" s="1" t="s">
        <v>1960</v>
      </c>
      <c r="E2874" t="s">
        <v>14</v>
      </c>
      <c r="F2874">
        <v>43.482999999999997</v>
      </c>
      <c r="G2874">
        <v>-8.2330000000000005</v>
      </c>
      <c r="H2874">
        <v>1</v>
      </c>
      <c r="I2874">
        <v>9</v>
      </c>
      <c r="J2874" t="str">
        <f>HYPERLINK("https://climate.onebuilding.org/WMO_Region_6_Europe/ESP_Spain/GA_Galicia/ESP_GA_El.Ferrol.080050_TMYx.zip")</f>
        <v>https://climate.onebuilding.org/WMO_Region_6_Europe/ESP_Spain/GA_Galicia/ESP_GA_El.Ferrol.080050_TMYx.zip</v>
      </c>
    </row>
    <row r="2875" spans="1:10" x14ac:dyDescent="0.25">
      <c r="A2875" t="s">
        <v>1949</v>
      </c>
      <c r="B2875" t="s">
        <v>1950</v>
      </c>
      <c r="C2875" t="s">
        <v>1961</v>
      </c>
      <c r="D2875" s="1" t="s">
        <v>1962</v>
      </c>
      <c r="E2875" t="s">
        <v>14</v>
      </c>
      <c r="F2875">
        <v>43.111400000000003</v>
      </c>
      <c r="G2875">
        <v>-7.4574999999999996</v>
      </c>
      <c r="H2875">
        <v>1</v>
      </c>
      <c r="I2875">
        <v>446</v>
      </c>
      <c r="J2875" t="str">
        <f>HYPERLINK("https://climate.onebuilding.org/WMO_Region_6_Europe/ESP_Spain/GA_Galicia/ESP_GA_Lugo-Rozas.AP.080080_TMYx.2007-2021.zip")</f>
        <v>https://climate.onebuilding.org/WMO_Region_6_Europe/ESP_Spain/GA_Galicia/ESP_GA_Lugo-Rozas.AP.080080_TMYx.2007-2021.zip</v>
      </c>
    </row>
    <row r="2876" spans="1:10" x14ac:dyDescent="0.25">
      <c r="A2876" t="s">
        <v>1949</v>
      </c>
      <c r="B2876" t="s">
        <v>1950</v>
      </c>
      <c r="C2876" t="s">
        <v>1961</v>
      </c>
      <c r="D2876" s="1" t="s">
        <v>1962</v>
      </c>
      <c r="E2876" t="s">
        <v>14</v>
      </c>
      <c r="F2876">
        <v>43.111400000000003</v>
      </c>
      <c r="G2876">
        <v>-7.4574999999999996</v>
      </c>
      <c r="H2876">
        <v>1</v>
      </c>
      <c r="I2876">
        <v>446</v>
      </c>
      <c r="J2876" t="str">
        <f>HYPERLINK("https://climate.onebuilding.org/WMO_Region_6_Europe/ESP_Spain/GA_Galicia/ESP_GA_Lugo-Rozas.AP.080080_TMYx.2009-2023.zip")</f>
        <v>https://climate.onebuilding.org/WMO_Region_6_Europe/ESP_Spain/GA_Galicia/ESP_GA_Lugo-Rozas.AP.080080_TMYx.2009-2023.zip</v>
      </c>
    </row>
    <row r="2877" spans="1:10" x14ac:dyDescent="0.25">
      <c r="A2877" t="s">
        <v>1949</v>
      </c>
      <c r="B2877" t="s">
        <v>1950</v>
      </c>
      <c r="C2877" t="s">
        <v>1961</v>
      </c>
      <c r="D2877" s="1" t="s">
        <v>1962</v>
      </c>
      <c r="E2877" t="s">
        <v>14</v>
      </c>
      <c r="F2877">
        <v>43.111400000000003</v>
      </c>
      <c r="G2877">
        <v>-7.4574999999999996</v>
      </c>
      <c r="H2877">
        <v>1</v>
      </c>
      <c r="I2877">
        <v>446</v>
      </c>
      <c r="J2877" t="str">
        <f>HYPERLINK("https://climate.onebuilding.org/WMO_Region_6_Europe/ESP_Spain/GA_Galicia/ESP_GA_Lugo-Rozas.AP.080080_TMYx.zip")</f>
        <v>https://climate.onebuilding.org/WMO_Region_6_Europe/ESP_Spain/GA_Galicia/ESP_GA_Lugo-Rozas.AP.080080_TMYx.zip</v>
      </c>
    </row>
    <row r="2878" spans="1:10" x14ac:dyDescent="0.25">
      <c r="A2878" t="s">
        <v>1949</v>
      </c>
      <c r="B2878" t="s">
        <v>1963</v>
      </c>
      <c r="C2878" t="s">
        <v>1964</v>
      </c>
      <c r="D2878" s="1" t="s">
        <v>1965</v>
      </c>
      <c r="E2878" t="s">
        <v>1966</v>
      </c>
      <c r="F2878">
        <v>43.566899999999997</v>
      </c>
      <c r="G2878">
        <v>-6.0442</v>
      </c>
      <c r="H2878">
        <v>1</v>
      </c>
      <c r="I2878">
        <v>130</v>
      </c>
      <c r="J2878" t="str">
        <f>HYPERLINK("https://climate.onebuilding.org/WMO_Region_6_Europe/ESP_Spain/AS_Asturias/ESP_AS_Asturias.AP.080110_TMYx.2004-2018.zip")</f>
        <v>https://climate.onebuilding.org/WMO_Region_6_Europe/ESP_Spain/AS_Asturias/ESP_AS_Asturias.AP.080110_TMYx.2004-2018.zip</v>
      </c>
    </row>
    <row r="2879" spans="1:10" x14ac:dyDescent="0.25">
      <c r="A2879" t="s">
        <v>1949</v>
      </c>
      <c r="B2879" t="s">
        <v>1963</v>
      </c>
      <c r="C2879" t="s">
        <v>1964</v>
      </c>
      <c r="D2879" s="1" t="s">
        <v>1965</v>
      </c>
      <c r="E2879" t="s">
        <v>14</v>
      </c>
      <c r="F2879">
        <v>43.566899999999997</v>
      </c>
      <c r="G2879">
        <v>-6.0442</v>
      </c>
      <c r="H2879">
        <v>1</v>
      </c>
      <c r="I2879">
        <v>130</v>
      </c>
      <c r="J2879" t="str">
        <f>HYPERLINK("https://climate.onebuilding.org/WMO_Region_6_Europe/ESP_Spain/AS_Asturias/ESP_AS_Asturias.AP.080110_TMYx.2007-2021.zip")</f>
        <v>https://climate.onebuilding.org/WMO_Region_6_Europe/ESP_Spain/AS_Asturias/ESP_AS_Asturias.AP.080110_TMYx.2007-2021.zip</v>
      </c>
    </row>
    <row r="2880" spans="1:10" x14ac:dyDescent="0.25">
      <c r="A2880" t="s">
        <v>1949</v>
      </c>
      <c r="B2880" t="s">
        <v>1963</v>
      </c>
      <c r="C2880" t="s">
        <v>1964</v>
      </c>
      <c r="D2880" s="1" t="s">
        <v>1965</v>
      </c>
      <c r="E2880" t="s">
        <v>14</v>
      </c>
      <c r="F2880">
        <v>43.566899999999997</v>
      </c>
      <c r="G2880">
        <v>-6.0442</v>
      </c>
      <c r="H2880">
        <v>1</v>
      </c>
      <c r="I2880">
        <v>130</v>
      </c>
      <c r="J2880" t="str">
        <f>HYPERLINK("https://climate.onebuilding.org/WMO_Region_6_Europe/ESP_Spain/AS_Asturias/ESP_AS_Asturias.AP.080110_TMYx.2009-2023.zip")</f>
        <v>https://climate.onebuilding.org/WMO_Region_6_Europe/ESP_Spain/AS_Asturias/ESP_AS_Asturias.AP.080110_TMYx.2009-2023.zip</v>
      </c>
    </row>
    <row r="2881" spans="1:10" x14ac:dyDescent="0.25">
      <c r="A2881" t="s">
        <v>1949</v>
      </c>
      <c r="B2881" t="s">
        <v>1963</v>
      </c>
      <c r="C2881" t="s">
        <v>1964</v>
      </c>
      <c r="D2881" s="1" t="s">
        <v>1965</v>
      </c>
      <c r="E2881" t="s">
        <v>14</v>
      </c>
      <c r="F2881">
        <v>43.566899999999997</v>
      </c>
      <c r="G2881">
        <v>-6.0442</v>
      </c>
      <c r="H2881">
        <v>1</v>
      </c>
      <c r="I2881">
        <v>130</v>
      </c>
      <c r="J2881" t="str">
        <f>HYPERLINK("https://climate.onebuilding.org/WMO_Region_6_Europe/ESP_Spain/AS_Asturias/ESP_AS_Asturias.AP.080110_TMYx.zip")</f>
        <v>https://climate.onebuilding.org/WMO_Region_6_Europe/ESP_Spain/AS_Asturias/ESP_AS_Asturias.AP.080110_TMYx.zip</v>
      </c>
    </row>
    <row r="2882" spans="1:10" x14ac:dyDescent="0.25">
      <c r="A2882" t="s">
        <v>1949</v>
      </c>
      <c r="B2882" t="s">
        <v>1963</v>
      </c>
      <c r="C2882" t="s">
        <v>1967</v>
      </c>
      <c r="D2882" s="1" t="s">
        <v>1968</v>
      </c>
      <c r="E2882" t="s">
        <v>1969</v>
      </c>
      <c r="F2882">
        <v>43.56</v>
      </c>
      <c r="G2882">
        <v>-5.7005999999999997</v>
      </c>
      <c r="H2882">
        <v>1</v>
      </c>
      <c r="I2882">
        <v>6</v>
      </c>
      <c r="J2882" t="str">
        <f>HYPERLINK("https://climate.onebuilding.org/WMO_Region_6_Europe/ESP_Spain/AS_Asturias/ESP_AS_Gijon.Musel.080140_TMYx.2004-2018.zip")</f>
        <v>https://climate.onebuilding.org/WMO_Region_6_Europe/ESP_Spain/AS_Asturias/ESP_AS_Gijon.Musel.080140_TMYx.2004-2018.zip</v>
      </c>
    </row>
    <row r="2883" spans="1:10" x14ac:dyDescent="0.25">
      <c r="A2883" t="s">
        <v>1949</v>
      </c>
      <c r="B2883" t="s">
        <v>1963</v>
      </c>
      <c r="C2883" t="s">
        <v>1967</v>
      </c>
      <c r="D2883" s="1" t="s">
        <v>1968</v>
      </c>
      <c r="E2883" t="s">
        <v>14</v>
      </c>
      <c r="F2883">
        <v>43.56</v>
      </c>
      <c r="G2883">
        <v>-5.7005999999999997</v>
      </c>
      <c r="H2883">
        <v>1</v>
      </c>
      <c r="I2883">
        <v>6</v>
      </c>
      <c r="J2883" t="str">
        <f>HYPERLINK("https://climate.onebuilding.org/WMO_Region_6_Europe/ESP_Spain/AS_Asturias/ESP_AS_Gijon.Musel.080140_TMYx.2007-2021.zip")</f>
        <v>https://climate.onebuilding.org/WMO_Region_6_Europe/ESP_Spain/AS_Asturias/ESP_AS_Gijon.Musel.080140_TMYx.2007-2021.zip</v>
      </c>
    </row>
    <row r="2884" spans="1:10" x14ac:dyDescent="0.25">
      <c r="A2884" t="s">
        <v>1949</v>
      </c>
      <c r="B2884" t="s">
        <v>1963</v>
      </c>
      <c r="C2884" t="s">
        <v>1967</v>
      </c>
      <c r="D2884" s="1" t="s">
        <v>1968</v>
      </c>
      <c r="E2884" t="s">
        <v>14</v>
      </c>
      <c r="F2884">
        <v>43.56</v>
      </c>
      <c r="G2884">
        <v>-5.7005999999999997</v>
      </c>
      <c r="H2884">
        <v>1</v>
      </c>
      <c r="I2884">
        <v>6</v>
      </c>
      <c r="J2884" t="str">
        <f>HYPERLINK("https://climate.onebuilding.org/WMO_Region_6_Europe/ESP_Spain/AS_Asturias/ESP_AS_Gijon.Musel.080140_TMYx.2009-2023.zip")</f>
        <v>https://climate.onebuilding.org/WMO_Region_6_Europe/ESP_Spain/AS_Asturias/ESP_AS_Gijon.Musel.080140_TMYx.2009-2023.zip</v>
      </c>
    </row>
    <row r="2885" spans="1:10" x14ac:dyDescent="0.25">
      <c r="A2885" t="s">
        <v>1949</v>
      </c>
      <c r="B2885" t="s">
        <v>1963</v>
      </c>
      <c r="C2885" t="s">
        <v>1967</v>
      </c>
      <c r="D2885" s="1" t="s">
        <v>1968</v>
      </c>
      <c r="E2885" t="s">
        <v>14</v>
      </c>
      <c r="F2885">
        <v>43.56</v>
      </c>
      <c r="G2885">
        <v>-5.7005999999999997</v>
      </c>
      <c r="H2885">
        <v>1</v>
      </c>
      <c r="I2885">
        <v>6</v>
      </c>
      <c r="J2885" t="str">
        <f>HYPERLINK("https://climate.onebuilding.org/WMO_Region_6_Europe/ESP_Spain/AS_Asturias/ESP_AS_Gijon.Musel.080140_TMYx.zip")</f>
        <v>https://climate.onebuilding.org/WMO_Region_6_Europe/ESP_Spain/AS_Asturias/ESP_AS_Gijon.Musel.080140_TMYx.zip</v>
      </c>
    </row>
    <row r="2886" spans="1:10" x14ac:dyDescent="0.25">
      <c r="A2886" t="s">
        <v>1949</v>
      </c>
      <c r="B2886" t="s">
        <v>1970</v>
      </c>
      <c r="C2886" t="s">
        <v>1971</v>
      </c>
      <c r="D2886" s="1" t="s">
        <v>1972</v>
      </c>
      <c r="E2886" t="s">
        <v>1973</v>
      </c>
      <c r="F2886">
        <v>37.133000000000003</v>
      </c>
      <c r="G2886">
        <v>-3.6360000000000001</v>
      </c>
      <c r="H2886">
        <v>1</v>
      </c>
      <c r="I2886">
        <v>700.1</v>
      </c>
      <c r="J2886" t="str">
        <f>HYPERLINK("https://climate.onebuilding.org/WMO_Region_6_Europe/ESP_Spain/AN_Andalusia/ESP_AN_Granada-Armilla.AFB.080144_TMYx.2004-2018.zip")</f>
        <v>https://climate.onebuilding.org/WMO_Region_6_Europe/ESP_Spain/AN_Andalusia/ESP_AN_Granada-Armilla.AFB.080144_TMYx.2004-2018.zip</v>
      </c>
    </row>
    <row r="2887" spans="1:10" x14ac:dyDescent="0.25">
      <c r="A2887" t="s">
        <v>1949</v>
      </c>
      <c r="B2887" t="s">
        <v>1970</v>
      </c>
      <c r="C2887" t="s">
        <v>1971</v>
      </c>
      <c r="D2887" s="1" t="s">
        <v>1972</v>
      </c>
      <c r="E2887" t="s">
        <v>14</v>
      </c>
      <c r="F2887">
        <v>37.133000000000003</v>
      </c>
      <c r="G2887">
        <v>-3.6360000000000001</v>
      </c>
      <c r="H2887">
        <v>1</v>
      </c>
      <c r="I2887">
        <v>700.1</v>
      </c>
      <c r="J2887" t="str">
        <f>HYPERLINK("https://climate.onebuilding.org/WMO_Region_6_Europe/ESP_Spain/AN_Andalusia/ESP_AN_Granada-Armilla.AFB.080144_TMYx.2007-2021.zip")</f>
        <v>https://climate.onebuilding.org/WMO_Region_6_Europe/ESP_Spain/AN_Andalusia/ESP_AN_Granada-Armilla.AFB.080144_TMYx.2007-2021.zip</v>
      </c>
    </row>
    <row r="2888" spans="1:10" x14ac:dyDescent="0.25">
      <c r="A2888" t="s">
        <v>1949</v>
      </c>
      <c r="B2888" t="s">
        <v>1970</v>
      </c>
      <c r="C2888" t="s">
        <v>1971</v>
      </c>
      <c r="D2888" s="1" t="s">
        <v>1972</v>
      </c>
      <c r="E2888" t="s">
        <v>14</v>
      </c>
      <c r="F2888">
        <v>37.133000000000003</v>
      </c>
      <c r="G2888">
        <v>-3.6360000000000001</v>
      </c>
      <c r="H2888">
        <v>1</v>
      </c>
      <c r="I2888">
        <v>700.1</v>
      </c>
      <c r="J2888" t="str">
        <f>HYPERLINK("https://climate.onebuilding.org/WMO_Region_6_Europe/ESP_Spain/AN_Andalusia/ESP_AN_Granada-Armilla.AFB.080144_TMYx.2009-2023.zip")</f>
        <v>https://climate.onebuilding.org/WMO_Region_6_Europe/ESP_Spain/AN_Andalusia/ESP_AN_Granada-Armilla.AFB.080144_TMYx.2009-2023.zip</v>
      </c>
    </row>
    <row r="2889" spans="1:10" x14ac:dyDescent="0.25">
      <c r="A2889" t="s">
        <v>1949</v>
      </c>
      <c r="B2889" t="s">
        <v>1970</v>
      </c>
      <c r="C2889" t="s">
        <v>1971</v>
      </c>
      <c r="D2889" s="1" t="s">
        <v>1972</v>
      </c>
      <c r="E2889" t="s">
        <v>14</v>
      </c>
      <c r="F2889">
        <v>37.133000000000003</v>
      </c>
      <c r="G2889">
        <v>-3.6360000000000001</v>
      </c>
      <c r="H2889">
        <v>1</v>
      </c>
      <c r="I2889">
        <v>700.1</v>
      </c>
      <c r="J2889" t="str">
        <f>HYPERLINK("https://climate.onebuilding.org/WMO_Region_6_Europe/ESP_Spain/AN_Andalusia/ESP_AN_Granada-Armilla.AFB.080144_TMYx.zip")</f>
        <v>https://climate.onebuilding.org/WMO_Region_6_Europe/ESP_Spain/AN_Andalusia/ESP_AN_Granada-Armilla.AFB.080144_TMYx.zip</v>
      </c>
    </row>
    <row r="2890" spans="1:10" x14ac:dyDescent="0.25">
      <c r="A2890" t="s">
        <v>1949</v>
      </c>
      <c r="B2890" t="s">
        <v>1963</v>
      </c>
      <c r="C2890" t="s">
        <v>1974</v>
      </c>
      <c r="D2890" s="1" t="s">
        <v>1975</v>
      </c>
      <c r="E2890" t="s">
        <v>1976</v>
      </c>
      <c r="F2890">
        <v>43.353299999999997</v>
      </c>
      <c r="G2890">
        <v>-5.8742000000000001</v>
      </c>
      <c r="H2890">
        <v>1</v>
      </c>
      <c r="I2890">
        <v>339</v>
      </c>
      <c r="J2890" t="str">
        <f>HYPERLINK("https://climate.onebuilding.org/WMO_Region_6_Europe/ESP_Spain/AS_Asturias/ESP_AS_Oviedo.080150_TMYx.2004-2018.zip")</f>
        <v>https://climate.onebuilding.org/WMO_Region_6_Europe/ESP_Spain/AS_Asturias/ESP_AS_Oviedo.080150_TMYx.2004-2018.zip</v>
      </c>
    </row>
    <row r="2891" spans="1:10" x14ac:dyDescent="0.25">
      <c r="A2891" t="s">
        <v>1949</v>
      </c>
      <c r="B2891" t="s">
        <v>1963</v>
      </c>
      <c r="C2891" t="s">
        <v>1974</v>
      </c>
      <c r="D2891" s="1" t="s">
        <v>1975</v>
      </c>
      <c r="E2891" t="s">
        <v>14</v>
      </c>
      <c r="F2891">
        <v>43.353299999999997</v>
      </c>
      <c r="G2891">
        <v>-5.8742000000000001</v>
      </c>
      <c r="H2891">
        <v>1</v>
      </c>
      <c r="I2891">
        <v>339</v>
      </c>
      <c r="J2891" t="str">
        <f>HYPERLINK("https://climate.onebuilding.org/WMO_Region_6_Europe/ESP_Spain/AS_Asturias/ESP_AS_Oviedo.080150_TMYx.2007-2021.zip")</f>
        <v>https://climate.onebuilding.org/WMO_Region_6_Europe/ESP_Spain/AS_Asturias/ESP_AS_Oviedo.080150_TMYx.2007-2021.zip</v>
      </c>
    </row>
    <row r="2892" spans="1:10" x14ac:dyDescent="0.25">
      <c r="A2892" t="s">
        <v>1949</v>
      </c>
      <c r="B2892" t="s">
        <v>1963</v>
      </c>
      <c r="C2892" t="s">
        <v>1974</v>
      </c>
      <c r="D2892" s="1" t="s">
        <v>1975</v>
      </c>
      <c r="E2892" t="s">
        <v>14</v>
      </c>
      <c r="F2892">
        <v>43.353299999999997</v>
      </c>
      <c r="G2892">
        <v>-5.8742000000000001</v>
      </c>
      <c r="H2892">
        <v>1</v>
      </c>
      <c r="I2892">
        <v>339</v>
      </c>
      <c r="J2892" t="str">
        <f>HYPERLINK("https://climate.onebuilding.org/WMO_Region_6_Europe/ESP_Spain/AS_Asturias/ESP_AS_Oviedo.080150_TMYx.2009-2023.zip")</f>
        <v>https://climate.onebuilding.org/WMO_Region_6_Europe/ESP_Spain/AS_Asturias/ESP_AS_Oviedo.080150_TMYx.2009-2023.zip</v>
      </c>
    </row>
    <row r="2893" spans="1:10" x14ac:dyDescent="0.25">
      <c r="A2893" t="s">
        <v>1949</v>
      </c>
      <c r="B2893" t="s">
        <v>1963</v>
      </c>
      <c r="C2893" t="s">
        <v>1974</v>
      </c>
      <c r="D2893" s="1" t="s">
        <v>1975</v>
      </c>
      <c r="E2893" t="s">
        <v>14</v>
      </c>
      <c r="F2893">
        <v>43.353299999999997</v>
      </c>
      <c r="G2893">
        <v>-5.8742000000000001</v>
      </c>
      <c r="H2893">
        <v>1</v>
      </c>
      <c r="I2893">
        <v>339</v>
      </c>
      <c r="J2893" t="str">
        <f>HYPERLINK("https://climate.onebuilding.org/WMO_Region_6_Europe/ESP_Spain/AS_Asturias/ESP_AS_Oviedo.080150_TMYx.zip")</f>
        <v>https://climate.onebuilding.org/WMO_Region_6_Europe/ESP_Spain/AS_Asturias/ESP_AS_Oviedo.080150_TMYx.zip</v>
      </c>
    </row>
    <row r="2894" spans="1:10" x14ac:dyDescent="0.25">
      <c r="A2894" t="s">
        <v>1949</v>
      </c>
      <c r="B2894" t="s">
        <v>1977</v>
      </c>
      <c r="C2894" t="s">
        <v>1978</v>
      </c>
      <c r="D2894" s="1" t="s">
        <v>1979</v>
      </c>
      <c r="E2894" t="s">
        <v>1980</v>
      </c>
      <c r="F2894">
        <v>43.429200000000002</v>
      </c>
      <c r="G2894">
        <v>-3.8313999999999999</v>
      </c>
      <c r="H2894">
        <v>1</v>
      </c>
      <c r="I2894">
        <v>1</v>
      </c>
      <c r="J2894" t="str">
        <f>HYPERLINK("https://climate.onebuilding.org/WMO_Region_6_Europe/ESP_Spain/CB_Cantabria/ESP_CB_Ballesteros-Santander.AP.080210_TMYx.2004-2018.zip")</f>
        <v>https://climate.onebuilding.org/WMO_Region_6_Europe/ESP_Spain/CB_Cantabria/ESP_CB_Ballesteros-Santander.AP.080210_TMYx.2004-2018.zip</v>
      </c>
    </row>
    <row r="2895" spans="1:10" x14ac:dyDescent="0.25">
      <c r="A2895" t="s">
        <v>1949</v>
      </c>
      <c r="B2895" t="s">
        <v>1977</v>
      </c>
      <c r="C2895" t="s">
        <v>1978</v>
      </c>
      <c r="D2895" s="1" t="s">
        <v>1979</v>
      </c>
      <c r="E2895" t="s">
        <v>14</v>
      </c>
      <c r="F2895">
        <v>43.429200000000002</v>
      </c>
      <c r="G2895">
        <v>-3.8313999999999999</v>
      </c>
      <c r="H2895">
        <v>1</v>
      </c>
      <c r="I2895">
        <v>1</v>
      </c>
      <c r="J2895" t="str">
        <f>HYPERLINK("https://climate.onebuilding.org/WMO_Region_6_Europe/ESP_Spain/CB_Cantabria/ESP_CB_Ballesteros-Santander.AP.080210_TMYx.2007-2021.zip")</f>
        <v>https://climate.onebuilding.org/WMO_Region_6_Europe/ESP_Spain/CB_Cantabria/ESP_CB_Ballesteros-Santander.AP.080210_TMYx.2007-2021.zip</v>
      </c>
    </row>
    <row r="2896" spans="1:10" x14ac:dyDescent="0.25">
      <c r="A2896" t="s">
        <v>1949</v>
      </c>
      <c r="B2896" t="s">
        <v>1977</v>
      </c>
      <c r="C2896" t="s">
        <v>1978</v>
      </c>
      <c r="D2896" s="1" t="s">
        <v>1979</v>
      </c>
      <c r="E2896" t="s">
        <v>14</v>
      </c>
      <c r="F2896">
        <v>43.429200000000002</v>
      </c>
      <c r="G2896">
        <v>-3.8313999999999999</v>
      </c>
      <c r="H2896">
        <v>1</v>
      </c>
      <c r="I2896">
        <v>1</v>
      </c>
      <c r="J2896" t="str">
        <f>HYPERLINK("https://climate.onebuilding.org/WMO_Region_6_Europe/ESP_Spain/CB_Cantabria/ESP_CB_Ballesteros-Santander.AP.080210_TMYx.2009-2023.zip")</f>
        <v>https://climate.onebuilding.org/WMO_Region_6_Europe/ESP_Spain/CB_Cantabria/ESP_CB_Ballesteros-Santander.AP.080210_TMYx.2009-2023.zip</v>
      </c>
    </row>
    <row r="2897" spans="1:10" x14ac:dyDescent="0.25">
      <c r="A2897" t="s">
        <v>1949</v>
      </c>
      <c r="B2897" t="s">
        <v>1977</v>
      </c>
      <c r="C2897" t="s">
        <v>1978</v>
      </c>
      <c r="D2897" s="1" t="s">
        <v>1979</v>
      </c>
      <c r="E2897" t="s">
        <v>14</v>
      </c>
      <c r="F2897">
        <v>43.429200000000002</v>
      </c>
      <c r="G2897">
        <v>-3.8313999999999999</v>
      </c>
      <c r="H2897">
        <v>1</v>
      </c>
      <c r="I2897">
        <v>1</v>
      </c>
      <c r="J2897" t="str">
        <f>HYPERLINK("https://climate.onebuilding.org/WMO_Region_6_Europe/ESP_Spain/CB_Cantabria/ESP_CB_Ballesteros-Santander.AP.080210_TMYx.zip")</f>
        <v>https://climate.onebuilding.org/WMO_Region_6_Europe/ESP_Spain/CB_Cantabria/ESP_CB_Ballesteros-Santander.AP.080210_TMYx.zip</v>
      </c>
    </row>
    <row r="2898" spans="1:10" x14ac:dyDescent="0.25">
      <c r="A2898" t="s">
        <v>1949</v>
      </c>
      <c r="B2898" t="s">
        <v>1977</v>
      </c>
      <c r="C2898" t="s">
        <v>1981</v>
      </c>
      <c r="D2898" s="1" t="s">
        <v>1982</v>
      </c>
      <c r="E2898" t="s">
        <v>1983</v>
      </c>
      <c r="F2898">
        <v>43.491100000000003</v>
      </c>
      <c r="G2898">
        <v>-3.8006000000000002</v>
      </c>
      <c r="H2898">
        <v>1</v>
      </c>
      <c r="I2898">
        <v>59</v>
      </c>
      <c r="J2898" t="str">
        <f>HYPERLINK("https://climate.onebuilding.org/WMO_Region_6_Europe/ESP_Spain/CB_Cantabria/ESP_CB_Santander.080230_TMYx.2004-2018.zip")</f>
        <v>https://climate.onebuilding.org/WMO_Region_6_Europe/ESP_Spain/CB_Cantabria/ESP_CB_Santander.080230_TMYx.2004-2018.zip</v>
      </c>
    </row>
    <row r="2899" spans="1:10" x14ac:dyDescent="0.25">
      <c r="A2899" t="s">
        <v>1949</v>
      </c>
      <c r="B2899" t="s">
        <v>1977</v>
      </c>
      <c r="C2899" t="s">
        <v>1981</v>
      </c>
      <c r="D2899" s="1" t="s">
        <v>1982</v>
      </c>
      <c r="E2899" t="s">
        <v>14</v>
      </c>
      <c r="F2899">
        <v>43.491100000000003</v>
      </c>
      <c r="G2899">
        <v>-3.8006000000000002</v>
      </c>
      <c r="H2899">
        <v>1</v>
      </c>
      <c r="I2899">
        <v>59</v>
      </c>
      <c r="J2899" t="str">
        <f>HYPERLINK("https://climate.onebuilding.org/WMO_Region_6_Europe/ESP_Spain/CB_Cantabria/ESP_CB_Santander.080230_TMYx.2007-2021.zip")</f>
        <v>https://climate.onebuilding.org/WMO_Region_6_Europe/ESP_Spain/CB_Cantabria/ESP_CB_Santander.080230_TMYx.2007-2021.zip</v>
      </c>
    </row>
    <row r="2900" spans="1:10" x14ac:dyDescent="0.25">
      <c r="A2900" t="s">
        <v>1949</v>
      </c>
      <c r="B2900" t="s">
        <v>1977</v>
      </c>
      <c r="C2900" t="s">
        <v>1981</v>
      </c>
      <c r="D2900" s="1" t="s">
        <v>1982</v>
      </c>
      <c r="E2900" t="s">
        <v>14</v>
      </c>
      <c r="F2900">
        <v>43.491100000000003</v>
      </c>
      <c r="G2900">
        <v>-3.8006000000000002</v>
      </c>
      <c r="H2900">
        <v>1</v>
      </c>
      <c r="I2900">
        <v>59</v>
      </c>
      <c r="J2900" t="str">
        <f>HYPERLINK("https://climate.onebuilding.org/WMO_Region_6_Europe/ESP_Spain/CB_Cantabria/ESP_CB_Santander.080230_TMYx.2009-2023.zip")</f>
        <v>https://climate.onebuilding.org/WMO_Region_6_Europe/ESP_Spain/CB_Cantabria/ESP_CB_Santander.080230_TMYx.2009-2023.zip</v>
      </c>
    </row>
    <row r="2901" spans="1:10" x14ac:dyDescent="0.25">
      <c r="A2901" t="s">
        <v>1949</v>
      </c>
      <c r="B2901" t="s">
        <v>1977</v>
      </c>
      <c r="C2901" t="s">
        <v>1981</v>
      </c>
      <c r="D2901" s="1" t="s">
        <v>1982</v>
      </c>
      <c r="E2901" t="s">
        <v>14</v>
      </c>
      <c r="F2901">
        <v>43.491100000000003</v>
      </c>
      <c r="G2901">
        <v>-3.8006000000000002</v>
      </c>
      <c r="H2901">
        <v>1</v>
      </c>
      <c r="I2901">
        <v>59</v>
      </c>
      <c r="J2901" t="str">
        <f>HYPERLINK("https://climate.onebuilding.org/WMO_Region_6_Europe/ESP_Spain/CB_Cantabria/ESP_CB_Santander.080230_TMYx.zip")</f>
        <v>https://climate.onebuilding.org/WMO_Region_6_Europe/ESP_Spain/CB_Cantabria/ESP_CB_Santander.080230_TMYx.zip</v>
      </c>
    </row>
    <row r="2902" spans="1:10" x14ac:dyDescent="0.25">
      <c r="A2902" t="s">
        <v>1949</v>
      </c>
      <c r="B2902" t="s">
        <v>498</v>
      </c>
      <c r="C2902" t="s">
        <v>1984</v>
      </c>
      <c r="D2902" s="1" t="s">
        <v>1985</v>
      </c>
      <c r="E2902" t="s">
        <v>1986</v>
      </c>
      <c r="F2902">
        <v>43.298000000000002</v>
      </c>
      <c r="G2902">
        <v>-2.9058000000000002</v>
      </c>
      <c r="H2902">
        <v>1</v>
      </c>
      <c r="I2902">
        <v>39</v>
      </c>
      <c r="J2902" t="str">
        <f>HYPERLINK("https://climate.onebuilding.org/WMO_Region_6_Europe/ESP_Spain/PV_Basque_Country/ESP_PV_Bilbao.AP.080250_TMYx.2004-2018.zip")</f>
        <v>https://climate.onebuilding.org/WMO_Region_6_Europe/ESP_Spain/PV_Basque_Country/ESP_PV_Bilbao.AP.080250_TMYx.2004-2018.zip</v>
      </c>
    </row>
    <row r="2903" spans="1:10" x14ac:dyDescent="0.25">
      <c r="A2903" t="s">
        <v>1949</v>
      </c>
      <c r="B2903" t="s">
        <v>498</v>
      </c>
      <c r="C2903" t="s">
        <v>1984</v>
      </c>
      <c r="D2903" s="1" t="s">
        <v>1985</v>
      </c>
      <c r="E2903" t="s">
        <v>14</v>
      </c>
      <c r="F2903">
        <v>43.298000000000002</v>
      </c>
      <c r="G2903">
        <v>-2.9058000000000002</v>
      </c>
      <c r="H2903">
        <v>1</v>
      </c>
      <c r="I2903">
        <v>39</v>
      </c>
      <c r="J2903" t="str">
        <f>HYPERLINK("https://climate.onebuilding.org/WMO_Region_6_Europe/ESP_Spain/PV_Basque_Country/ESP_PV_Bilbao.AP.080250_TMYx.2007-2021.zip")</f>
        <v>https://climate.onebuilding.org/WMO_Region_6_Europe/ESP_Spain/PV_Basque_Country/ESP_PV_Bilbao.AP.080250_TMYx.2007-2021.zip</v>
      </c>
    </row>
    <row r="2904" spans="1:10" x14ac:dyDescent="0.25">
      <c r="A2904" t="s">
        <v>1949</v>
      </c>
      <c r="B2904" t="s">
        <v>498</v>
      </c>
      <c r="C2904" t="s">
        <v>1984</v>
      </c>
      <c r="D2904" s="1" t="s">
        <v>1985</v>
      </c>
      <c r="E2904" t="s">
        <v>14</v>
      </c>
      <c r="F2904">
        <v>43.298000000000002</v>
      </c>
      <c r="G2904">
        <v>-2.9058000000000002</v>
      </c>
      <c r="H2904">
        <v>1</v>
      </c>
      <c r="I2904">
        <v>39</v>
      </c>
      <c r="J2904" t="str">
        <f>HYPERLINK("https://climate.onebuilding.org/WMO_Region_6_Europe/ESP_Spain/PV_Basque_Country/ESP_PV_Bilbao.AP.080250_TMYx.2009-2023.zip")</f>
        <v>https://climate.onebuilding.org/WMO_Region_6_Europe/ESP_Spain/PV_Basque_Country/ESP_PV_Bilbao.AP.080250_TMYx.2009-2023.zip</v>
      </c>
    </row>
    <row r="2905" spans="1:10" x14ac:dyDescent="0.25">
      <c r="A2905" t="s">
        <v>1949</v>
      </c>
      <c r="B2905" t="s">
        <v>498</v>
      </c>
      <c r="C2905" t="s">
        <v>1984</v>
      </c>
      <c r="D2905" s="1" t="s">
        <v>1985</v>
      </c>
      <c r="E2905" t="s">
        <v>14</v>
      </c>
      <c r="F2905">
        <v>43.298000000000002</v>
      </c>
      <c r="G2905">
        <v>-2.9058000000000002</v>
      </c>
      <c r="H2905">
        <v>1</v>
      </c>
      <c r="I2905">
        <v>39</v>
      </c>
      <c r="J2905" t="str">
        <f>HYPERLINK("https://climate.onebuilding.org/WMO_Region_6_Europe/ESP_Spain/PV_Basque_Country/ESP_PV_Bilbao.AP.080250_TMYx.zip")</f>
        <v>https://climate.onebuilding.org/WMO_Region_6_Europe/ESP_Spain/PV_Basque_Country/ESP_PV_Bilbao.AP.080250_TMYx.zip</v>
      </c>
    </row>
    <row r="2906" spans="1:10" x14ac:dyDescent="0.25">
      <c r="A2906" t="s">
        <v>1949</v>
      </c>
      <c r="B2906" t="s">
        <v>498</v>
      </c>
      <c r="C2906" t="s">
        <v>1987</v>
      </c>
      <c r="D2906" s="1" t="s">
        <v>1988</v>
      </c>
      <c r="E2906" t="s">
        <v>1989</v>
      </c>
      <c r="F2906">
        <v>43.306399999999996</v>
      </c>
      <c r="G2906">
        <v>-2.0411000000000001</v>
      </c>
      <c r="H2906">
        <v>1</v>
      </c>
      <c r="I2906">
        <v>259</v>
      </c>
      <c r="J2906" t="str">
        <f>HYPERLINK("https://climate.onebuilding.org/WMO_Region_6_Europe/ESP_Spain/PV_Basque_Country/ESP_PV_San.Sebastian-Igueldo.080270_TMYx.2004-2018.zip")</f>
        <v>https://climate.onebuilding.org/WMO_Region_6_Europe/ESP_Spain/PV_Basque_Country/ESP_PV_San.Sebastian-Igueldo.080270_TMYx.2004-2018.zip</v>
      </c>
    </row>
    <row r="2907" spans="1:10" x14ac:dyDescent="0.25">
      <c r="A2907" t="s">
        <v>1949</v>
      </c>
      <c r="B2907" t="s">
        <v>498</v>
      </c>
      <c r="C2907" t="s">
        <v>1987</v>
      </c>
      <c r="D2907" s="1" t="s">
        <v>1988</v>
      </c>
      <c r="E2907" t="s">
        <v>14</v>
      </c>
      <c r="F2907">
        <v>43.306399999999996</v>
      </c>
      <c r="G2907">
        <v>-2.0411000000000001</v>
      </c>
      <c r="H2907">
        <v>1</v>
      </c>
      <c r="I2907">
        <v>259</v>
      </c>
      <c r="J2907" t="str">
        <f>HYPERLINK("https://climate.onebuilding.org/WMO_Region_6_Europe/ESP_Spain/PV_Basque_Country/ESP_PV_San.Sebastian-Igueldo.080270_TMYx.2007-2021.zip")</f>
        <v>https://climate.onebuilding.org/WMO_Region_6_Europe/ESP_Spain/PV_Basque_Country/ESP_PV_San.Sebastian-Igueldo.080270_TMYx.2007-2021.zip</v>
      </c>
    </row>
    <row r="2908" spans="1:10" x14ac:dyDescent="0.25">
      <c r="A2908" t="s">
        <v>1949</v>
      </c>
      <c r="B2908" t="s">
        <v>498</v>
      </c>
      <c r="C2908" t="s">
        <v>1987</v>
      </c>
      <c r="D2908" s="1" t="s">
        <v>1988</v>
      </c>
      <c r="E2908" t="s">
        <v>14</v>
      </c>
      <c r="F2908">
        <v>43.306399999999996</v>
      </c>
      <c r="G2908">
        <v>-2.0411000000000001</v>
      </c>
      <c r="H2908">
        <v>1</v>
      </c>
      <c r="I2908">
        <v>259</v>
      </c>
      <c r="J2908" t="str">
        <f>HYPERLINK("https://climate.onebuilding.org/WMO_Region_6_Europe/ESP_Spain/PV_Basque_Country/ESP_PV_San.Sebastian-Igueldo.080270_TMYx.2009-2023.zip")</f>
        <v>https://climate.onebuilding.org/WMO_Region_6_Europe/ESP_Spain/PV_Basque_Country/ESP_PV_San.Sebastian-Igueldo.080270_TMYx.2009-2023.zip</v>
      </c>
    </row>
    <row r="2909" spans="1:10" x14ac:dyDescent="0.25">
      <c r="A2909" t="s">
        <v>1949</v>
      </c>
      <c r="B2909" t="s">
        <v>498</v>
      </c>
      <c r="C2909" t="s">
        <v>1987</v>
      </c>
      <c r="D2909" s="1" t="s">
        <v>1988</v>
      </c>
      <c r="E2909" t="s">
        <v>14</v>
      </c>
      <c r="F2909">
        <v>43.306399999999996</v>
      </c>
      <c r="G2909">
        <v>-2.0411000000000001</v>
      </c>
      <c r="H2909">
        <v>1</v>
      </c>
      <c r="I2909">
        <v>259</v>
      </c>
      <c r="J2909" t="str">
        <f>HYPERLINK("https://climate.onebuilding.org/WMO_Region_6_Europe/ESP_Spain/PV_Basque_Country/ESP_PV_San.Sebastian-Igueldo.080270_TMYx.zip")</f>
        <v>https://climate.onebuilding.org/WMO_Region_6_Europe/ESP_Spain/PV_Basque_Country/ESP_PV_San.Sebastian-Igueldo.080270_TMYx.zip</v>
      </c>
    </row>
    <row r="2910" spans="1:10" x14ac:dyDescent="0.25">
      <c r="A2910" t="s">
        <v>1949</v>
      </c>
      <c r="B2910" t="s">
        <v>498</v>
      </c>
      <c r="C2910" t="s">
        <v>1990</v>
      </c>
      <c r="D2910" s="1" t="s">
        <v>1991</v>
      </c>
      <c r="E2910" t="s">
        <v>1992</v>
      </c>
      <c r="F2910">
        <v>43.360500000000002</v>
      </c>
      <c r="G2910">
        <v>-1.7871999999999999</v>
      </c>
      <c r="H2910">
        <v>1</v>
      </c>
      <c r="I2910">
        <v>8</v>
      </c>
      <c r="J2910" t="str">
        <f>HYPERLINK("https://climate.onebuilding.org/WMO_Region_6_Europe/ESP_Spain/PV_Basque_Country/ESP_PV_San.Sebastian.AP.080290_TMYx.2004-2018.zip")</f>
        <v>https://climate.onebuilding.org/WMO_Region_6_Europe/ESP_Spain/PV_Basque_Country/ESP_PV_San.Sebastian.AP.080290_TMYx.2004-2018.zip</v>
      </c>
    </row>
    <row r="2911" spans="1:10" x14ac:dyDescent="0.25">
      <c r="A2911" t="s">
        <v>1949</v>
      </c>
      <c r="B2911" t="s">
        <v>498</v>
      </c>
      <c r="C2911" t="s">
        <v>1990</v>
      </c>
      <c r="D2911" s="1" t="s">
        <v>1991</v>
      </c>
      <c r="E2911" t="s">
        <v>14</v>
      </c>
      <c r="F2911">
        <v>43.360500000000002</v>
      </c>
      <c r="G2911">
        <v>-1.7871999999999999</v>
      </c>
      <c r="H2911">
        <v>1</v>
      </c>
      <c r="I2911">
        <v>8</v>
      </c>
      <c r="J2911" t="str">
        <f>HYPERLINK("https://climate.onebuilding.org/WMO_Region_6_Europe/ESP_Spain/PV_Basque_Country/ESP_PV_San.Sebastian.AP.080290_TMYx.2007-2021.zip")</f>
        <v>https://climate.onebuilding.org/WMO_Region_6_Europe/ESP_Spain/PV_Basque_Country/ESP_PV_San.Sebastian.AP.080290_TMYx.2007-2021.zip</v>
      </c>
    </row>
    <row r="2912" spans="1:10" x14ac:dyDescent="0.25">
      <c r="A2912" t="s">
        <v>1949</v>
      </c>
      <c r="B2912" t="s">
        <v>498</v>
      </c>
      <c r="C2912" t="s">
        <v>1990</v>
      </c>
      <c r="D2912" s="1" t="s">
        <v>1991</v>
      </c>
      <c r="E2912" t="s">
        <v>14</v>
      </c>
      <c r="F2912">
        <v>43.360500000000002</v>
      </c>
      <c r="G2912">
        <v>-1.7871999999999999</v>
      </c>
      <c r="H2912">
        <v>1</v>
      </c>
      <c r="I2912">
        <v>8</v>
      </c>
      <c r="J2912" t="str">
        <f>HYPERLINK("https://climate.onebuilding.org/WMO_Region_6_Europe/ESP_Spain/PV_Basque_Country/ESP_PV_San.Sebastian.AP.080290_TMYx.2009-2023.zip")</f>
        <v>https://climate.onebuilding.org/WMO_Region_6_Europe/ESP_Spain/PV_Basque_Country/ESP_PV_San.Sebastian.AP.080290_TMYx.2009-2023.zip</v>
      </c>
    </row>
    <row r="2913" spans="1:10" x14ac:dyDescent="0.25">
      <c r="A2913" t="s">
        <v>1949</v>
      </c>
      <c r="B2913" t="s">
        <v>498</v>
      </c>
      <c r="C2913" t="s">
        <v>1990</v>
      </c>
      <c r="D2913" s="1" t="s">
        <v>1991</v>
      </c>
      <c r="E2913" t="s">
        <v>14</v>
      </c>
      <c r="F2913">
        <v>43.360500000000002</v>
      </c>
      <c r="G2913">
        <v>-1.7871999999999999</v>
      </c>
      <c r="H2913">
        <v>1</v>
      </c>
      <c r="I2913">
        <v>8</v>
      </c>
      <c r="J2913" t="str">
        <f>HYPERLINK("https://climate.onebuilding.org/WMO_Region_6_Europe/ESP_Spain/PV_Basque_Country/ESP_PV_San.Sebastian.AP.080290_TMYx.zip")</f>
        <v>https://climate.onebuilding.org/WMO_Region_6_Europe/ESP_Spain/PV_Basque_Country/ESP_PV_San.Sebastian.AP.080290_TMYx.zip</v>
      </c>
    </row>
    <row r="2914" spans="1:10" x14ac:dyDescent="0.25">
      <c r="A2914" t="s">
        <v>1949</v>
      </c>
      <c r="B2914" t="s">
        <v>1950</v>
      </c>
      <c r="C2914" t="s">
        <v>1993</v>
      </c>
      <c r="D2914" s="1" t="s">
        <v>1994</v>
      </c>
      <c r="E2914" t="s">
        <v>1995</v>
      </c>
      <c r="F2914">
        <v>42.888100000000001</v>
      </c>
      <c r="G2914">
        <v>-8.4106000000000005</v>
      </c>
      <c r="H2914">
        <v>1</v>
      </c>
      <c r="I2914">
        <v>367</v>
      </c>
      <c r="J2914" t="str">
        <f>HYPERLINK("https://climate.onebuilding.org/WMO_Region_6_Europe/ESP_Spain/GA_Galicia/ESP_GA_Santiago.de.Compostela.AP.080420_TMYx.2004-2018.zip")</f>
        <v>https://climate.onebuilding.org/WMO_Region_6_Europe/ESP_Spain/GA_Galicia/ESP_GA_Santiago.de.Compostela.AP.080420_TMYx.2004-2018.zip</v>
      </c>
    </row>
    <row r="2915" spans="1:10" x14ac:dyDescent="0.25">
      <c r="A2915" t="s">
        <v>1949</v>
      </c>
      <c r="B2915" t="s">
        <v>1950</v>
      </c>
      <c r="C2915" t="s">
        <v>1993</v>
      </c>
      <c r="D2915" s="1" t="s">
        <v>1994</v>
      </c>
      <c r="E2915" t="s">
        <v>14</v>
      </c>
      <c r="F2915">
        <v>42.888100000000001</v>
      </c>
      <c r="G2915">
        <v>-8.4106000000000005</v>
      </c>
      <c r="H2915">
        <v>1</v>
      </c>
      <c r="I2915">
        <v>367</v>
      </c>
      <c r="J2915" t="str">
        <f>HYPERLINK("https://climate.onebuilding.org/WMO_Region_6_Europe/ESP_Spain/GA_Galicia/ESP_GA_Santiago.de.Compostela.AP.080420_TMYx.2007-2021.zip")</f>
        <v>https://climate.onebuilding.org/WMO_Region_6_Europe/ESP_Spain/GA_Galicia/ESP_GA_Santiago.de.Compostela.AP.080420_TMYx.2007-2021.zip</v>
      </c>
    </row>
    <row r="2916" spans="1:10" x14ac:dyDescent="0.25">
      <c r="A2916" t="s">
        <v>1949</v>
      </c>
      <c r="B2916" t="s">
        <v>1950</v>
      </c>
      <c r="C2916" t="s">
        <v>1993</v>
      </c>
      <c r="D2916" s="1" t="s">
        <v>1994</v>
      </c>
      <c r="E2916" t="s">
        <v>14</v>
      </c>
      <c r="F2916">
        <v>42.888100000000001</v>
      </c>
      <c r="G2916">
        <v>-8.4106000000000005</v>
      </c>
      <c r="H2916">
        <v>1</v>
      </c>
      <c r="I2916">
        <v>367</v>
      </c>
      <c r="J2916" t="str">
        <f>HYPERLINK("https://climate.onebuilding.org/WMO_Region_6_Europe/ESP_Spain/GA_Galicia/ESP_GA_Santiago.de.Compostela.AP.080420_TMYx.2009-2023.zip")</f>
        <v>https://climate.onebuilding.org/WMO_Region_6_Europe/ESP_Spain/GA_Galicia/ESP_GA_Santiago.de.Compostela.AP.080420_TMYx.2009-2023.zip</v>
      </c>
    </row>
    <row r="2917" spans="1:10" x14ac:dyDescent="0.25">
      <c r="A2917" t="s">
        <v>1949</v>
      </c>
      <c r="B2917" t="s">
        <v>1950</v>
      </c>
      <c r="C2917" t="s">
        <v>1993</v>
      </c>
      <c r="D2917" s="1" t="s">
        <v>1994</v>
      </c>
      <c r="E2917" t="s">
        <v>14</v>
      </c>
      <c r="F2917">
        <v>42.888100000000001</v>
      </c>
      <c r="G2917">
        <v>-8.4106000000000005</v>
      </c>
      <c r="H2917">
        <v>1</v>
      </c>
      <c r="I2917">
        <v>367</v>
      </c>
      <c r="J2917" t="str">
        <f>HYPERLINK("https://climate.onebuilding.org/WMO_Region_6_Europe/ESP_Spain/GA_Galicia/ESP_GA_Santiago.de.Compostela.AP.080420_TMYx.zip")</f>
        <v>https://climate.onebuilding.org/WMO_Region_6_Europe/ESP_Spain/GA_Galicia/ESP_GA_Santiago.de.Compostela.AP.080420_TMYx.zip</v>
      </c>
    </row>
    <row r="2918" spans="1:10" x14ac:dyDescent="0.25">
      <c r="A2918" t="s">
        <v>1949</v>
      </c>
      <c r="B2918" t="s">
        <v>1950</v>
      </c>
      <c r="C2918" t="s">
        <v>1996</v>
      </c>
      <c r="D2918" s="1" t="s">
        <v>1997</v>
      </c>
      <c r="E2918" t="s">
        <v>14</v>
      </c>
      <c r="F2918">
        <v>42.396999999999998</v>
      </c>
      <c r="G2918">
        <v>-8.6912000000000003</v>
      </c>
      <c r="H2918">
        <v>1</v>
      </c>
      <c r="I2918">
        <v>18</v>
      </c>
      <c r="J2918" t="str">
        <f>HYPERLINK("https://climate.onebuilding.org/WMO_Region_6_Europe/ESP_Spain/GA_Galicia/ESP_GA_Marin.080430_TMYx.zip")</f>
        <v>https://climate.onebuilding.org/WMO_Region_6_Europe/ESP_Spain/GA_Galicia/ESP_GA_Marin.080430_TMYx.zip</v>
      </c>
    </row>
    <row r="2919" spans="1:10" x14ac:dyDescent="0.25">
      <c r="A2919" t="s">
        <v>1949</v>
      </c>
      <c r="B2919" t="s">
        <v>1950</v>
      </c>
      <c r="C2919" t="s">
        <v>1998</v>
      </c>
      <c r="D2919" s="1" t="s">
        <v>1999</v>
      </c>
      <c r="E2919" t="s">
        <v>2000</v>
      </c>
      <c r="F2919">
        <v>42.438299999999998</v>
      </c>
      <c r="G2919">
        <v>-8.6158000000000001</v>
      </c>
      <c r="H2919">
        <v>1</v>
      </c>
      <c r="I2919">
        <v>108</v>
      </c>
      <c r="J2919" t="str">
        <f>HYPERLINK("https://climate.onebuilding.org/WMO_Region_6_Europe/ESP_Spain/GA_Galicia/ESP_GA_Pontevedra.080440_TMYx.2004-2018.zip")</f>
        <v>https://climate.onebuilding.org/WMO_Region_6_Europe/ESP_Spain/GA_Galicia/ESP_GA_Pontevedra.080440_TMYx.2004-2018.zip</v>
      </c>
    </row>
    <row r="2920" spans="1:10" x14ac:dyDescent="0.25">
      <c r="A2920" t="s">
        <v>1949</v>
      </c>
      <c r="B2920" t="s">
        <v>1950</v>
      </c>
      <c r="C2920" t="s">
        <v>1998</v>
      </c>
      <c r="D2920" s="1" t="s">
        <v>1999</v>
      </c>
      <c r="E2920" t="s">
        <v>14</v>
      </c>
      <c r="F2920">
        <v>42.438299999999998</v>
      </c>
      <c r="G2920">
        <v>-8.6158000000000001</v>
      </c>
      <c r="H2920">
        <v>1</v>
      </c>
      <c r="I2920">
        <v>108</v>
      </c>
      <c r="J2920" t="str">
        <f>HYPERLINK("https://climate.onebuilding.org/WMO_Region_6_Europe/ESP_Spain/GA_Galicia/ESP_GA_Pontevedra.080440_TMYx.2007-2021.zip")</f>
        <v>https://climate.onebuilding.org/WMO_Region_6_Europe/ESP_Spain/GA_Galicia/ESP_GA_Pontevedra.080440_TMYx.2007-2021.zip</v>
      </c>
    </row>
    <row r="2921" spans="1:10" x14ac:dyDescent="0.25">
      <c r="A2921" t="s">
        <v>1949</v>
      </c>
      <c r="B2921" t="s">
        <v>1950</v>
      </c>
      <c r="C2921" t="s">
        <v>1998</v>
      </c>
      <c r="D2921" s="1" t="s">
        <v>1999</v>
      </c>
      <c r="E2921" t="s">
        <v>14</v>
      </c>
      <c r="F2921">
        <v>42.438299999999998</v>
      </c>
      <c r="G2921">
        <v>-8.6158000000000001</v>
      </c>
      <c r="H2921">
        <v>1</v>
      </c>
      <c r="I2921">
        <v>108</v>
      </c>
      <c r="J2921" t="str">
        <f>HYPERLINK("https://climate.onebuilding.org/WMO_Region_6_Europe/ESP_Spain/GA_Galicia/ESP_GA_Pontevedra.080440_TMYx.2009-2023.zip")</f>
        <v>https://climate.onebuilding.org/WMO_Region_6_Europe/ESP_Spain/GA_Galicia/ESP_GA_Pontevedra.080440_TMYx.2009-2023.zip</v>
      </c>
    </row>
    <row r="2922" spans="1:10" x14ac:dyDescent="0.25">
      <c r="A2922" t="s">
        <v>1949</v>
      </c>
      <c r="B2922" t="s">
        <v>1950</v>
      </c>
      <c r="C2922" t="s">
        <v>1998</v>
      </c>
      <c r="D2922" s="1" t="s">
        <v>1999</v>
      </c>
      <c r="E2922" t="s">
        <v>14</v>
      </c>
      <c r="F2922">
        <v>42.438299999999998</v>
      </c>
      <c r="G2922">
        <v>-8.6158000000000001</v>
      </c>
      <c r="H2922">
        <v>1</v>
      </c>
      <c r="I2922">
        <v>108</v>
      </c>
      <c r="J2922" t="str">
        <f>HYPERLINK("https://climate.onebuilding.org/WMO_Region_6_Europe/ESP_Spain/GA_Galicia/ESP_GA_Pontevedra.080440_TMYx.zip")</f>
        <v>https://climate.onebuilding.org/WMO_Region_6_Europe/ESP_Spain/GA_Galicia/ESP_GA_Pontevedra.080440_TMYx.zip</v>
      </c>
    </row>
    <row r="2923" spans="1:10" x14ac:dyDescent="0.25">
      <c r="A2923" t="s">
        <v>1949</v>
      </c>
      <c r="B2923" t="s">
        <v>1950</v>
      </c>
      <c r="C2923" t="s">
        <v>2001</v>
      </c>
      <c r="D2923" s="1" t="s">
        <v>2002</v>
      </c>
      <c r="E2923" t="s">
        <v>2003</v>
      </c>
      <c r="F2923">
        <v>42.238599999999998</v>
      </c>
      <c r="G2923">
        <v>-8.6239000000000008</v>
      </c>
      <c r="H2923">
        <v>1</v>
      </c>
      <c r="I2923">
        <v>258</v>
      </c>
      <c r="J2923" t="str">
        <f>HYPERLINK("https://climate.onebuilding.org/WMO_Region_6_Europe/ESP_Spain/GA_Galicia/ESP_GA_Vigo.AP.080450_TMYx.2004-2018.zip")</f>
        <v>https://climate.onebuilding.org/WMO_Region_6_Europe/ESP_Spain/GA_Galicia/ESP_GA_Vigo.AP.080450_TMYx.2004-2018.zip</v>
      </c>
    </row>
    <row r="2924" spans="1:10" x14ac:dyDescent="0.25">
      <c r="A2924" t="s">
        <v>1949</v>
      </c>
      <c r="B2924" t="s">
        <v>1950</v>
      </c>
      <c r="C2924" t="s">
        <v>2001</v>
      </c>
      <c r="D2924" s="1" t="s">
        <v>2002</v>
      </c>
      <c r="E2924" t="s">
        <v>14</v>
      </c>
      <c r="F2924">
        <v>42.238599999999998</v>
      </c>
      <c r="G2924">
        <v>-8.6239000000000008</v>
      </c>
      <c r="H2924">
        <v>1</v>
      </c>
      <c r="I2924">
        <v>258</v>
      </c>
      <c r="J2924" t="str">
        <f>HYPERLINK("https://climate.onebuilding.org/WMO_Region_6_Europe/ESP_Spain/GA_Galicia/ESP_GA_Vigo.AP.080450_TMYx.2007-2021.zip")</f>
        <v>https://climate.onebuilding.org/WMO_Region_6_Europe/ESP_Spain/GA_Galicia/ESP_GA_Vigo.AP.080450_TMYx.2007-2021.zip</v>
      </c>
    </row>
    <row r="2925" spans="1:10" x14ac:dyDescent="0.25">
      <c r="A2925" t="s">
        <v>1949</v>
      </c>
      <c r="B2925" t="s">
        <v>1950</v>
      </c>
      <c r="C2925" t="s">
        <v>2001</v>
      </c>
      <c r="D2925" s="1" t="s">
        <v>2002</v>
      </c>
      <c r="E2925" t="s">
        <v>14</v>
      </c>
      <c r="F2925">
        <v>42.238599999999998</v>
      </c>
      <c r="G2925">
        <v>-8.6239000000000008</v>
      </c>
      <c r="H2925">
        <v>1</v>
      </c>
      <c r="I2925">
        <v>258</v>
      </c>
      <c r="J2925" t="str">
        <f>HYPERLINK("https://climate.onebuilding.org/WMO_Region_6_Europe/ESP_Spain/GA_Galicia/ESP_GA_Vigo.AP.080450_TMYx.2009-2023.zip")</f>
        <v>https://climate.onebuilding.org/WMO_Region_6_Europe/ESP_Spain/GA_Galicia/ESP_GA_Vigo.AP.080450_TMYx.2009-2023.zip</v>
      </c>
    </row>
    <row r="2926" spans="1:10" x14ac:dyDescent="0.25">
      <c r="A2926" t="s">
        <v>1949</v>
      </c>
      <c r="B2926" t="s">
        <v>1950</v>
      </c>
      <c r="C2926" t="s">
        <v>2001</v>
      </c>
      <c r="D2926" s="1" t="s">
        <v>2002</v>
      </c>
      <c r="E2926" t="s">
        <v>14</v>
      </c>
      <c r="F2926">
        <v>42.238599999999998</v>
      </c>
      <c r="G2926">
        <v>-8.6239000000000008</v>
      </c>
      <c r="H2926">
        <v>1</v>
      </c>
      <c r="I2926">
        <v>258</v>
      </c>
      <c r="J2926" t="str">
        <f>HYPERLINK("https://climate.onebuilding.org/WMO_Region_6_Europe/ESP_Spain/GA_Galicia/ESP_GA_Vigo.AP.080450_TMYx.zip")</f>
        <v>https://climate.onebuilding.org/WMO_Region_6_Europe/ESP_Spain/GA_Galicia/ESP_GA_Vigo.AP.080450_TMYx.zip</v>
      </c>
    </row>
    <row r="2927" spans="1:10" x14ac:dyDescent="0.25">
      <c r="A2927" t="s">
        <v>1949</v>
      </c>
      <c r="B2927" t="s">
        <v>1950</v>
      </c>
      <c r="C2927" t="s">
        <v>2004</v>
      </c>
      <c r="D2927" s="1" t="s">
        <v>2005</v>
      </c>
      <c r="E2927" t="s">
        <v>14</v>
      </c>
      <c r="F2927">
        <v>42.234099999999998</v>
      </c>
      <c r="G2927">
        <v>-8.7268000000000008</v>
      </c>
      <c r="H2927">
        <v>1</v>
      </c>
      <c r="I2927">
        <v>85</v>
      </c>
      <c r="J2927" t="str">
        <f>HYPERLINK("https://climate.onebuilding.org/WMO_Region_6_Europe/ESP_Spain/GA_Galicia/ESP_GA_Vigo.080460_TMYx.zip")</f>
        <v>https://climate.onebuilding.org/WMO_Region_6_Europe/ESP_Spain/GA_Galicia/ESP_GA_Vigo.080460_TMYx.zip</v>
      </c>
    </row>
    <row r="2928" spans="1:10" x14ac:dyDescent="0.25">
      <c r="A2928" t="s">
        <v>1949</v>
      </c>
      <c r="B2928" t="s">
        <v>1950</v>
      </c>
      <c r="C2928" t="s">
        <v>2006</v>
      </c>
      <c r="D2928" s="1" t="s">
        <v>2007</v>
      </c>
      <c r="E2928" t="s">
        <v>14</v>
      </c>
      <c r="F2928">
        <v>42.325299999999999</v>
      </c>
      <c r="G2928">
        <v>-7.8597000000000001</v>
      </c>
      <c r="H2928">
        <v>1</v>
      </c>
      <c r="I2928">
        <v>147</v>
      </c>
      <c r="J2928" t="str">
        <f>HYPERLINK("https://climate.onebuilding.org/WMO_Region_6_Europe/ESP_Spain/GA_Galicia/ESP_GA_Orense.080480_TMYx.2007-2021.zip")</f>
        <v>https://climate.onebuilding.org/WMO_Region_6_Europe/ESP_Spain/GA_Galicia/ESP_GA_Orense.080480_TMYx.2007-2021.zip</v>
      </c>
    </row>
    <row r="2929" spans="1:10" x14ac:dyDescent="0.25">
      <c r="A2929" t="s">
        <v>1949</v>
      </c>
      <c r="B2929" t="s">
        <v>1950</v>
      </c>
      <c r="C2929" t="s">
        <v>2006</v>
      </c>
      <c r="D2929" s="1" t="s">
        <v>2007</v>
      </c>
      <c r="E2929" t="s">
        <v>14</v>
      </c>
      <c r="F2929">
        <v>42.325299999999999</v>
      </c>
      <c r="G2929">
        <v>-7.8597000000000001</v>
      </c>
      <c r="H2929">
        <v>1</v>
      </c>
      <c r="I2929">
        <v>147</v>
      </c>
      <c r="J2929" t="str">
        <f>HYPERLINK("https://climate.onebuilding.org/WMO_Region_6_Europe/ESP_Spain/GA_Galicia/ESP_GA_Orense.080480_TMYx.2009-2023.zip")</f>
        <v>https://climate.onebuilding.org/WMO_Region_6_Europe/ESP_Spain/GA_Galicia/ESP_GA_Orense.080480_TMYx.2009-2023.zip</v>
      </c>
    </row>
    <row r="2930" spans="1:10" x14ac:dyDescent="0.25">
      <c r="A2930" t="s">
        <v>1949</v>
      </c>
      <c r="B2930" t="s">
        <v>1950</v>
      </c>
      <c r="C2930" t="s">
        <v>2006</v>
      </c>
      <c r="D2930" s="1" t="s">
        <v>2007</v>
      </c>
      <c r="E2930" t="s">
        <v>14</v>
      </c>
      <c r="F2930">
        <v>42.325299999999999</v>
      </c>
      <c r="G2930">
        <v>-7.8597000000000001</v>
      </c>
      <c r="H2930">
        <v>1</v>
      </c>
      <c r="I2930">
        <v>147</v>
      </c>
      <c r="J2930" t="str">
        <f>HYPERLINK("https://climate.onebuilding.org/WMO_Region_6_Europe/ESP_Spain/GA_Galicia/ESP_GA_Orense.080480_TMYx.zip")</f>
        <v>https://climate.onebuilding.org/WMO_Region_6_Europe/ESP_Spain/GA_Galicia/ESP_GA_Orense.080480_TMYx.zip</v>
      </c>
    </row>
    <row r="2931" spans="1:10" x14ac:dyDescent="0.25">
      <c r="A2931" t="s">
        <v>1949</v>
      </c>
      <c r="B2931" t="s">
        <v>2008</v>
      </c>
      <c r="C2931" t="s">
        <v>2009</v>
      </c>
      <c r="D2931" s="1" t="s">
        <v>2010</v>
      </c>
      <c r="E2931" t="s">
        <v>14</v>
      </c>
      <c r="F2931">
        <v>42.563899999999997</v>
      </c>
      <c r="G2931">
        <v>-6.6</v>
      </c>
      <c r="H2931">
        <v>1</v>
      </c>
      <c r="I2931">
        <v>550</v>
      </c>
      <c r="J2931" t="str">
        <f>HYPERLINK("https://climate.onebuilding.org/WMO_Region_6_Europe/ESP_Spain/CL_Castile_and_Leon/ESP_CL_Ponferrada.080530_TMYx.2007-2021.zip")</f>
        <v>https://climate.onebuilding.org/WMO_Region_6_Europe/ESP_Spain/CL_Castile_and_Leon/ESP_CL_Ponferrada.080530_TMYx.2007-2021.zip</v>
      </c>
    </row>
    <row r="2932" spans="1:10" x14ac:dyDescent="0.25">
      <c r="A2932" t="s">
        <v>1949</v>
      </c>
      <c r="B2932" t="s">
        <v>2008</v>
      </c>
      <c r="C2932" t="s">
        <v>2009</v>
      </c>
      <c r="D2932" s="1" t="s">
        <v>2010</v>
      </c>
      <c r="E2932" t="s">
        <v>14</v>
      </c>
      <c r="F2932">
        <v>42.563899999999997</v>
      </c>
      <c r="G2932">
        <v>-6.6</v>
      </c>
      <c r="H2932">
        <v>1</v>
      </c>
      <c r="I2932">
        <v>550</v>
      </c>
      <c r="J2932" t="str">
        <f>HYPERLINK("https://climate.onebuilding.org/WMO_Region_6_Europe/ESP_Spain/CL_Castile_and_Leon/ESP_CL_Ponferrada.080530_TMYx.2009-2023.zip")</f>
        <v>https://climate.onebuilding.org/WMO_Region_6_Europe/ESP_Spain/CL_Castile_and_Leon/ESP_CL_Ponferrada.080530_TMYx.2009-2023.zip</v>
      </c>
    </row>
    <row r="2933" spans="1:10" x14ac:dyDescent="0.25">
      <c r="A2933" t="s">
        <v>1949</v>
      </c>
      <c r="B2933" t="s">
        <v>2008</v>
      </c>
      <c r="C2933" t="s">
        <v>2009</v>
      </c>
      <c r="D2933" s="1" t="s">
        <v>2010</v>
      </c>
      <c r="E2933" t="s">
        <v>14</v>
      </c>
      <c r="F2933">
        <v>42.563899999999997</v>
      </c>
      <c r="G2933">
        <v>-6.6</v>
      </c>
      <c r="H2933">
        <v>1</v>
      </c>
      <c r="I2933">
        <v>550</v>
      </c>
      <c r="J2933" t="str">
        <f>HYPERLINK("https://climate.onebuilding.org/WMO_Region_6_Europe/ESP_Spain/CL_Castile_and_Leon/ESP_CL_Ponferrada.080530_TMYx.zip")</f>
        <v>https://climate.onebuilding.org/WMO_Region_6_Europe/ESP_Spain/CL_Castile_and_Leon/ESP_CL_Ponferrada.080530_TMYx.zip</v>
      </c>
    </row>
    <row r="2934" spans="1:10" x14ac:dyDescent="0.25">
      <c r="A2934" t="s">
        <v>1949</v>
      </c>
      <c r="B2934" t="s">
        <v>2008</v>
      </c>
      <c r="C2934" t="s">
        <v>2011</v>
      </c>
      <c r="D2934" s="1" t="s">
        <v>2012</v>
      </c>
      <c r="E2934" t="s">
        <v>2013</v>
      </c>
      <c r="F2934">
        <v>42.588299999999997</v>
      </c>
      <c r="G2934">
        <v>-5.6510999999999996</v>
      </c>
      <c r="H2934">
        <v>1</v>
      </c>
      <c r="I2934">
        <v>914</v>
      </c>
      <c r="J2934" t="str">
        <f>HYPERLINK("https://climate.onebuilding.org/WMO_Region_6_Europe/ESP_Spain/CL_Castile_and_Leon/ESP_CL_Leon.AP.080550_TMYx.2004-2018.zip")</f>
        <v>https://climate.onebuilding.org/WMO_Region_6_Europe/ESP_Spain/CL_Castile_and_Leon/ESP_CL_Leon.AP.080550_TMYx.2004-2018.zip</v>
      </c>
    </row>
    <row r="2935" spans="1:10" x14ac:dyDescent="0.25">
      <c r="A2935" t="s">
        <v>1949</v>
      </c>
      <c r="B2935" t="s">
        <v>2008</v>
      </c>
      <c r="C2935" t="s">
        <v>2011</v>
      </c>
      <c r="D2935" s="1" t="s">
        <v>2012</v>
      </c>
      <c r="E2935" t="s">
        <v>14</v>
      </c>
      <c r="F2935">
        <v>42.588299999999997</v>
      </c>
      <c r="G2935">
        <v>-5.6510999999999996</v>
      </c>
      <c r="H2935">
        <v>1</v>
      </c>
      <c r="I2935">
        <v>914</v>
      </c>
      <c r="J2935" t="str">
        <f>HYPERLINK("https://climate.onebuilding.org/WMO_Region_6_Europe/ESP_Spain/CL_Castile_and_Leon/ESP_CL_Leon.AP.080550_TMYx.2007-2021.zip")</f>
        <v>https://climate.onebuilding.org/WMO_Region_6_Europe/ESP_Spain/CL_Castile_and_Leon/ESP_CL_Leon.AP.080550_TMYx.2007-2021.zip</v>
      </c>
    </row>
    <row r="2936" spans="1:10" x14ac:dyDescent="0.25">
      <c r="A2936" t="s">
        <v>1949</v>
      </c>
      <c r="B2936" t="s">
        <v>2008</v>
      </c>
      <c r="C2936" t="s">
        <v>2011</v>
      </c>
      <c r="D2936" s="1" t="s">
        <v>2012</v>
      </c>
      <c r="E2936" t="s">
        <v>14</v>
      </c>
      <c r="F2936">
        <v>42.588299999999997</v>
      </c>
      <c r="G2936">
        <v>-5.6510999999999996</v>
      </c>
      <c r="H2936">
        <v>1</v>
      </c>
      <c r="I2936">
        <v>914</v>
      </c>
      <c r="J2936" t="str">
        <f>HYPERLINK("https://climate.onebuilding.org/WMO_Region_6_Europe/ESP_Spain/CL_Castile_and_Leon/ESP_CL_Leon.AP.080550_TMYx.2009-2023.zip")</f>
        <v>https://climate.onebuilding.org/WMO_Region_6_Europe/ESP_Spain/CL_Castile_and_Leon/ESP_CL_Leon.AP.080550_TMYx.2009-2023.zip</v>
      </c>
    </row>
    <row r="2937" spans="1:10" x14ac:dyDescent="0.25">
      <c r="A2937" t="s">
        <v>1949</v>
      </c>
      <c r="B2937" t="s">
        <v>2008</v>
      </c>
      <c r="C2937" t="s">
        <v>2011</v>
      </c>
      <c r="D2937" s="1" t="s">
        <v>2012</v>
      </c>
      <c r="E2937" t="s">
        <v>14</v>
      </c>
      <c r="F2937">
        <v>42.588299999999997</v>
      </c>
      <c r="G2937">
        <v>-5.6510999999999996</v>
      </c>
      <c r="H2937">
        <v>1</v>
      </c>
      <c r="I2937">
        <v>914</v>
      </c>
      <c r="J2937" t="str">
        <f>HYPERLINK("https://climate.onebuilding.org/WMO_Region_6_Europe/ESP_Spain/CL_Castile_and_Leon/ESP_CL_Leon.AP.080550_TMYx.zip")</f>
        <v>https://climate.onebuilding.org/WMO_Region_6_Europe/ESP_Spain/CL_Castile_and_Leon/ESP_CL_Leon.AP.080550_TMYx.zip</v>
      </c>
    </row>
    <row r="2938" spans="1:10" x14ac:dyDescent="0.25">
      <c r="A2938" t="s">
        <v>1949</v>
      </c>
      <c r="B2938" t="s">
        <v>2008</v>
      </c>
      <c r="C2938" t="s">
        <v>2014</v>
      </c>
      <c r="D2938" s="1" t="s">
        <v>2015</v>
      </c>
      <c r="E2938" t="s">
        <v>14</v>
      </c>
      <c r="F2938">
        <v>42.017000000000003</v>
      </c>
      <c r="G2938">
        <v>-4.5330000000000004</v>
      </c>
      <c r="H2938">
        <v>1</v>
      </c>
      <c r="I2938">
        <v>750</v>
      </c>
      <c r="J2938" t="str">
        <f>HYPERLINK("https://climate.onebuilding.org/WMO_Region_6_Europe/ESP_Spain/CL_Castile_and_Leon/ESP_CL_Palencia.080710_TMYx.zip")</f>
        <v>https://climate.onebuilding.org/WMO_Region_6_Europe/ESP_Spain/CL_Castile_and_Leon/ESP_CL_Palencia.080710_TMYx.zip</v>
      </c>
    </row>
    <row r="2939" spans="1:10" x14ac:dyDescent="0.25">
      <c r="A2939" t="s">
        <v>1949</v>
      </c>
      <c r="B2939" t="s">
        <v>2008</v>
      </c>
      <c r="C2939" t="s">
        <v>2016</v>
      </c>
      <c r="D2939" s="1" t="s">
        <v>2017</v>
      </c>
      <c r="E2939" t="s">
        <v>2018</v>
      </c>
      <c r="F2939">
        <v>42.356099999999998</v>
      </c>
      <c r="G2939">
        <v>-3.6214</v>
      </c>
      <c r="H2939">
        <v>1</v>
      </c>
      <c r="I2939">
        <v>892</v>
      </c>
      <c r="J2939" t="str">
        <f>HYPERLINK("https://climate.onebuilding.org/WMO_Region_6_Europe/ESP_Spain/CL_Castile_and_Leon/ESP_CL_Burgos.AP.080750_TMYx.2004-2018.zip")</f>
        <v>https://climate.onebuilding.org/WMO_Region_6_Europe/ESP_Spain/CL_Castile_and_Leon/ESP_CL_Burgos.AP.080750_TMYx.2004-2018.zip</v>
      </c>
    </row>
    <row r="2940" spans="1:10" x14ac:dyDescent="0.25">
      <c r="A2940" t="s">
        <v>1949</v>
      </c>
      <c r="B2940" t="s">
        <v>2008</v>
      </c>
      <c r="C2940" t="s">
        <v>2016</v>
      </c>
      <c r="D2940" s="1" t="s">
        <v>2017</v>
      </c>
      <c r="E2940" t="s">
        <v>14</v>
      </c>
      <c r="F2940">
        <v>42.356099999999998</v>
      </c>
      <c r="G2940">
        <v>-3.6214</v>
      </c>
      <c r="H2940">
        <v>1</v>
      </c>
      <c r="I2940">
        <v>892</v>
      </c>
      <c r="J2940" t="str">
        <f>HYPERLINK("https://climate.onebuilding.org/WMO_Region_6_Europe/ESP_Spain/CL_Castile_and_Leon/ESP_CL_Burgos.AP.080750_TMYx.2007-2021.zip")</f>
        <v>https://climate.onebuilding.org/WMO_Region_6_Europe/ESP_Spain/CL_Castile_and_Leon/ESP_CL_Burgos.AP.080750_TMYx.2007-2021.zip</v>
      </c>
    </row>
    <row r="2941" spans="1:10" x14ac:dyDescent="0.25">
      <c r="A2941" t="s">
        <v>1949</v>
      </c>
      <c r="B2941" t="s">
        <v>2008</v>
      </c>
      <c r="C2941" t="s">
        <v>2016</v>
      </c>
      <c r="D2941" s="1" t="s">
        <v>2017</v>
      </c>
      <c r="E2941" t="s">
        <v>14</v>
      </c>
      <c r="F2941">
        <v>42.356099999999998</v>
      </c>
      <c r="G2941">
        <v>-3.6214</v>
      </c>
      <c r="H2941">
        <v>1</v>
      </c>
      <c r="I2941">
        <v>892</v>
      </c>
      <c r="J2941" t="str">
        <f>HYPERLINK("https://climate.onebuilding.org/WMO_Region_6_Europe/ESP_Spain/CL_Castile_and_Leon/ESP_CL_Burgos.AP.080750_TMYx.2009-2023.zip")</f>
        <v>https://climate.onebuilding.org/WMO_Region_6_Europe/ESP_Spain/CL_Castile_and_Leon/ESP_CL_Burgos.AP.080750_TMYx.2009-2023.zip</v>
      </c>
    </row>
    <row r="2942" spans="1:10" x14ac:dyDescent="0.25">
      <c r="A2942" t="s">
        <v>1949</v>
      </c>
      <c r="B2942" t="s">
        <v>2008</v>
      </c>
      <c r="C2942" t="s">
        <v>2016</v>
      </c>
      <c r="D2942" s="1" t="s">
        <v>2017</v>
      </c>
      <c r="E2942" t="s">
        <v>14</v>
      </c>
      <c r="F2942">
        <v>42.356099999999998</v>
      </c>
      <c r="G2942">
        <v>-3.6214</v>
      </c>
      <c r="H2942">
        <v>1</v>
      </c>
      <c r="I2942">
        <v>892</v>
      </c>
      <c r="J2942" t="str">
        <f>HYPERLINK("https://climate.onebuilding.org/WMO_Region_6_Europe/ESP_Spain/CL_Castile_and_Leon/ESP_CL_Burgos.AP.080750_TMYx.zip")</f>
        <v>https://climate.onebuilding.org/WMO_Region_6_Europe/ESP_Spain/CL_Castile_and_Leon/ESP_CL_Burgos.AP.080750_TMYx.zip</v>
      </c>
    </row>
    <row r="2943" spans="1:10" x14ac:dyDescent="0.25">
      <c r="A2943" t="s">
        <v>1949</v>
      </c>
      <c r="B2943" t="s">
        <v>2008</v>
      </c>
      <c r="C2943" t="s">
        <v>2019</v>
      </c>
      <c r="D2943" s="1" t="s">
        <v>2020</v>
      </c>
      <c r="E2943" t="s">
        <v>14</v>
      </c>
      <c r="F2943">
        <v>42.332999999999998</v>
      </c>
      <c r="G2943">
        <v>-3.7</v>
      </c>
      <c r="H2943">
        <v>1</v>
      </c>
      <c r="I2943">
        <v>860</v>
      </c>
      <c r="J2943" t="str">
        <f>HYPERLINK("https://climate.onebuilding.org/WMO_Region_6_Europe/ESP_Spain/CL_Castile_and_Leon/ESP_CL_Burgos.080760_TMYx.zip")</f>
        <v>https://climate.onebuilding.org/WMO_Region_6_Europe/ESP_Spain/CL_Castile_and_Leon/ESP_CL_Burgos.080760_TMYx.zip</v>
      </c>
    </row>
    <row r="2944" spans="1:10" x14ac:dyDescent="0.25">
      <c r="A2944" t="s">
        <v>1949</v>
      </c>
      <c r="B2944" t="s">
        <v>498</v>
      </c>
      <c r="C2944" t="s">
        <v>2021</v>
      </c>
      <c r="D2944" s="1" t="s">
        <v>2022</v>
      </c>
      <c r="E2944" t="s">
        <v>2023</v>
      </c>
      <c r="F2944">
        <v>42.871899999999997</v>
      </c>
      <c r="G2944">
        <v>-2.7332999999999998</v>
      </c>
      <c r="H2944">
        <v>1</v>
      </c>
      <c r="I2944">
        <v>512.70000000000005</v>
      </c>
      <c r="J2944" t="str">
        <f>HYPERLINK("https://climate.onebuilding.org/WMO_Region_6_Europe/ESP_Spain/PV_Basque_Country/ESP_PV_Vitoria.AP.080800_TMYx.2004-2018.zip")</f>
        <v>https://climate.onebuilding.org/WMO_Region_6_Europe/ESP_Spain/PV_Basque_Country/ESP_PV_Vitoria.AP.080800_TMYx.2004-2018.zip</v>
      </c>
    </row>
    <row r="2945" spans="1:10" x14ac:dyDescent="0.25">
      <c r="A2945" t="s">
        <v>1949</v>
      </c>
      <c r="B2945" t="s">
        <v>498</v>
      </c>
      <c r="C2945" t="s">
        <v>2021</v>
      </c>
      <c r="D2945" s="1" t="s">
        <v>2022</v>
      </c>
      <c r="E2945" t="s">
        <v>14</v>
      </c>
      <c r="F2945">
        <v>42.871899999999997</v>
      </c>
      <c r="G2945">
        <v>-2.7332999999999998</v>
      </c>
      <c r="H2945">
        <v>1</v>
      </c>
      <c r="I2945">
        <v>512.70000000000005</v>
      </c>
      <c r="J2945" t="str">
        <f>HYPERLINK("https://climate.onebuilding.org/WMO_Region_6_Europe/ESP_Spain/PV_Basque_Country/ESP_PV_Vitoria.AP.080800_TMYx.2007-2021.zip")</f>
        <v>https://climate.onebuilding.org/WMO_Region_6_Europe/ESP_Spain/PV_Basque_Country/ESP_PV_Vitoria.AP.080800_TMYx.2007-2021.zip</v>
      </c>
    </row>
    <row r="2946" spans="1:10" x14ac:dyDescent="0.25">
      <c r="A2946" t="s">
        <v>1949</v>
      </c>
      <c r="B2946" t="s">
        <v>498</v>
      </c>
      <c r="C2946" t="s">
        <v>2021</v>
      </c>
      <c r="D2946" s="1" t="s">
        <v>2022</v>
      </c>
      <c r="E2946" t="s">
        <v>14</v>
      </c>
      <c r="F2946">
        <v>42.871899999999997</v>
      </c>
      <c r="G2946">
        <v>-2.7332999999999998</v>
      </c>
      <c r="H2946">
        <v>1</v>
      </c>
      <c r="I2946">
        <v>512.70000000000005</v>
      </c>
      <c r="J2946" t="str">
        <f>HYPERLINK("https://climate.onebuilding.org/WMO_Region_6_Europe/ESP_Spain/PV_Basque_Country/ESP_PV_Vitoria.AP.080800_TMYx.2009-2023.zip")</f>
        <v>https://climate.onebuilding.org/WMO_Region_6_Europe/ESP_Spain/PV_Basque_Country/ESP_PV_Vitoria.AP.080800_TMYx.2009-2023.zip</v>
      </c>
    </row>
    <row r="2947" spans="1:10" x14ac:dyDescent="0.25">
      <c r="A2947" t="s">
        <v>1949</v>
      </c>
      <c r="B2947" t="s">
        <v>498</v>
      </c>
      <c r="C2947" t="s">
        <v>2021</v>
      </c>
      <c r="D2947" s="1" t="s">
        <v>2022</v>
      </c>
      <c r="E2947" t="s">
        <v>14</v>
      </c>
      <c r="F2947">
        <v>42.871899999999997</v>
      </c>
      <c r="G2947">
        <v>-2.7332999999999998</v>
      </c>
      <c r="H2947">
        <v>1</v>
      </c>
      <c r="I2947">
        <v>512.70000000000005</v>
      </c>
      <c r="J2947" t="str">
        <f>HYPERLINK("https://climate.onebuilding.org/WMO_Region_6_Europe/ESP_Spain/PV_Basque_Country/ESP_PV_Vitoria.AP.080800_TMYx.zip")</f>
        <v>https://climate.onebuilding.org/WMO_Region_6_Europe/ESP_Spain/PV_Basque_Country/ESP_PV_Vitoria.AP.080800_TMYx.zip</v>
      </c>
    </row>
    <row r="2948" spans="1:10" x14ac:dyDescent="0.25">
      <c r="A2948" t="s">
        <v>1949</v>
      </c>
      <c r="B2948" t="s">
        <v>2024</v>
      </c>
      <c r="C2948" t="s">
        <v>2025</v>
      </c>
      <c r="D2948" s="1" t="s">
        <v>2026</v>
      </c>
      <c r="E2948" t="s">
        <v>2027</v>
      </c>
      <c r="F2948">
        <v>42.452199999999998</v>
      </c>
      <c r="G2948">
        <v>-2.3311000000000002</v>
      </c>
      <c r="H2948">
        <v>1</v>
      </c>
      <c r="I2948">
        <v>363</v>
      </c>
      <c r="J2948" t="str">
        <f>HYPERLINK("https://climate.onebuilding.org/WMO_Region_6_Europe/ESP_Spain/RI_La_Rioja/ESP_RI_Logrono-Agoncillo.AP.080840_TMYx.2004-2018.zip")</f>
        <v>https://climate.onebuilding.org/WMO_Region_6_Europe/ESP_Spain/RI_La_Rioja/ESP_RI_Logrono-Agoncillo.AP.080840_TMYx.2004-2018.zip</v>
      </c>
    </row>
    <row r="2949" spans="1:10" x14ac:dyDescent="0.25">
      <c r="A2949" t="s">
        <v>1949</v>
      </c>
      <c r="B2949" t="s">
        <v>2024</v>
      </c>
      <c r="C2949" t="s">
        <v>2025</v>
      </c>
      <c r="D2949" s="1" t="s">
        <v>2026</v>
      </c>
      <c r="E2949" t="s">
        <v>14</v>
      </c>
      <c r="F2949">
        <v>42.452199999999998</v>
      </c>
      <c r="G2949">
        <v>-2.3311000000000002</v>
      </c>
      <c r="H2949">
        <v>1</v>
      </c>
      <c r="I2949">
        <v>363</v>
      </c>
      <c r="J2949" t="str">
        <f>HYPERLINK("https://climate.onebuilding.org/WMO_Region_6_Europe/ESP_Spain/RI_La_Rioja/ESP_RI_Logrono-Agoncillo.AP.080840_TMYx.2007-2021.zip")</f>
        <v>https://climate.onebuilding.org/WMO_Region_6_Europe/ESP_Spain/RI_La_Rioja/ESP_RI_Logrono-Agoncillo.AP.080840_TMYx.2007-2021.zip</v>
      </c>
    </row>
    <row r="2950" spans="1:10" x14ac:dyDescent="0.25">
      <c r="A2950" t="s">
        <v>1949</v>
      </c>
      <c r="B2950" t="s">
        <v>2024</v>
      </c>
      <c r="C2950" t="s">
        <v>2025</v>
      </c>
      <c r="D2950" s="1" t="s">
        <v>2026</v>
      </c>
      <c r="E2950" t="s">
        <v>14</v>
      </c>
      <c r="F2950">
        <v>42.452199999999998</v>
      </c>
      <c r="G2950">
        <v>-2.3311000000000002</v>
      </c>
      <c r="H2950">
        <v>1</v>
      </c>
      <c r="I2950">
        <v>363</v>
      </c>
      <c r="J2950" t="str">
        <f>HYPERLINK("https://climate.onebuilding.org/WMO_Region_6_Europe/ESP_Spain/RI_La_Rioja/ESP_RI_Logrono-Agoncillo.AP.080840_TMYx.2009-2023.zip")</f>
        <v>https://climate.onebuilding.org/WMO_Region_6_Europe/ESP_Spain/RI_La_Rioja/ESP_RI_Logrono-Agoncillo.AP.080840_TMYx.2009-2023.zip</v>
      </c>
    </row>
    <row r="2951" spans="1:10" x14ac:dyDescent="0.25">
      <c r="A2951" t="s">
        <v>1949</v>
      </c>
      <c r="B2951" t="s">
        <v>2024</v>
      </c>
      <c r="C2951" t="s">
        <v>2025</v>
      </c>
      <c r="D2951" s="1" t="s">
        <v>2026</v>
      </c>
      <c r="E2951" t="s">
        <v>14</v>
      </c>
      <c r="F2951">
        <v>42.452199999999998</v>
      </c>
      <c r="G2951">
        <v>-2.3311000000000002</v>
      </c>
      <c r="H2951">
        <v>1</v>
      </c>
      <c r="I2951">
        <v>363</v>
      </c>
      <c r="J2951" t="str">
        <f>HYPERLINK("https://climate.onebuilding.org/WMO_Region_6_Europe/ESP_Spain/RI_La_Rioja/ESP_RI_Logrono-Agoncillo.AP.080840_TMYx.zip")</f>
        <v>https://climate.onebuilding.org/WMO_Region_6_Europe/ESP_Spain/RI_La_Rioja/ESP_RI_Logrono-Agoncillo.AP.080840_TMYx.zip</v>
      </c>
    </row>
    <row r="2952" spans="1:10" x14ac:dyDescent="0.25">
      <c r="A2952" t="s">
        <v>1949</v>
      </c>
      <c r="B2952" t="s">
        <v>2028</v>
      </c>
      <c r="C2952" t="s">
        <v>2029</v>
      </c>
      <c r="D2952" s="1" t="s">
        <v>2030</v>
      </c>
      <c r="E2952" t="s">
        <v>2031</v>
      </c>
      <c r="F2952">
        <v>42.776899999999998</v>
      </c>
      <c r="G2952">
        <v>-1.65</v>
      </c>
      <c r="H2952">
        <v>1</v>
      </c>
      <c r="I2952">
        <v>453</v>
      </c>
      <c r="J2952" t="str">
        <f>HYPERLINK("https://climate.onebuilding.org/WMO_Region_6_Europe/ESP_Spain/NC_Navarra/ESP_NC_Pamplona.AP.080850_TMYx.2004-2018.zip")</f>
        <v>https://climate.onebuilding.org/WMO_Region_6_Europe/ESP_Spain/NC_Navarra/ESP_NC_Pamplona.AP.080850_TMYx.2004-2018.zip</v>
      </c>
    </row>
    <row r="2953" spans="1:10" x14ac:dyDescent="0.25">
      <c r="A2953" t="s">
        <v>1949</v>
      </c>
      <c r="B2953" t="s">
        <v>2028</v>
      </c>
      <c r="C2953" t="s">
        <v>2029</v>
      </c>
      <c r="D2953" s="1" t="s">
        <v>2030</v>
      </c>
      <c r="E2953" t="s">
        <v>14</v>
      </c>
      <c r="F2953">
        <v>42.776899999999998</v>
      </c>
      <c r="G2953">
        <v>-1.65</v>
      </c>
      <c r="H2953">
        <v>1</v>
      </c>
      <c r="I2953">
        <v>453</v>
      </c>
      <c r="J2953" t="str">
        <f>HYPERLINK("https://climate.onebuilding.org/WMO_Region_6_Europe/ESP_Spain/NC_Navarra/ESP_NC_Pamplona.AP.080850_TMYx.2007-2021.zip")</f>
        <v>https://climate.onebuilding.org/WMO_Region_6_Europe/ESP_Spain/NC_Navarra/ESP_NC_Pamplona.AP.080850_TMYx.2007-2021.zip</v>
      </c>
    </row>
    <row r="2954" spans="1:10" x14ac:dyDescent="0.25">
      <c r="A2954" t="s">
        <v>1949</v>
      </c>
      <c r="B2954" t="s">
        <v>2028</v>
      </c>
      <c r="C2954" t="s">
        <v>2029</v>
      </c>
      <c r="D2954" s="1" t="s">
        <v>2030</v>
      </c>
      <c r="E2954" t="s">
        <v>14</v>
      </c>
      <c r="F2954">
        <v>42.776899999999998</v>
      </c>
      <c r="G2954">
        <v>-1.65</v>
      </c>
      <c r="H2954">
        <v>1</v>
      </c>
      <c r="I2954">
        <v>453</v>
      </c>
      <c r="J2954" t="str">
        <f>HYPERLINK("https://climate.onebuilding.org/WMO_Region_6_Europe/ESP_Spain/NC_Navarra/ESP_NC_Pamplona.AP.080850_TMYx.2009-2023.zip")</f>
        <v>https://climate.onebuilding.org/WMO_Region_6_Europe/ESP_Spain/NC_Navarra/ESP_NC_Pamplona.AP.080850_TMYx.2009-2023.zip</v>
      </c>
    </row>
    <row r="2955" spans="1:10" x14ac:dyDescent="0.25">
      <c r="A2955" t="s">
        <v>1949</v>
      </c>
      <c r="B2955" t="s">
        <v>2028</v>
      </c>
      <c r="C2955" t="s">
        <v>2029</v>
      </c>
      <c r="D2955" s="1" t="s">
        <v>2030</v>
      </c>
      <c r="E2955" t="s">
        <v>14</v>
      </c>
      <c r="F2955">
        <v>42.776899999999998</v>
      </c>
      <c r="G2955">
        <v>-1.65</v>
      </c>
      <c r="H2955">
        <v>1</v>
      </c>
      <c r="I2955">
        <v>453</v>
      </c>
      <c r="J2955" t="str">
        <f>HYPERLINK("https://climate.onebuilding.org/WMO_Region_6_Europe/ESP_Spain/NC_Navarra/ESP_NC_Pamplona.AP.080850_TMYx.zip")</f>
        <v>https://climate.onebuilding.org/WMO_Region_6_Europe/ESP_Spain/NC_Navarra/ESP_NC_Pamplona.AP.080850_TMYx.zip</v>
      </c>
    </row>
    <row r="2956" spans="1:10" x14ac:dyDescent="0.25">
      <c r="A2956" t="s">
        <v>1949</v>
      </c>
      <c r="B2956" t="s">
        <v>2028</v>
      </c>
      <c r="C2956" t="s">
        <v>2032</v>
      </c>
      <c r="D2956" s="1" t="s">
        <v>2033</v>
      </c>
      <c r="E2956" t="s">
        <v>14</v>
      </c>
      <c r="F2956">
        <v>42.817</v>
      </c>
      <c r="G2956">
        <v>-1.667</v>
      </c>
      <c r="H2956">
        <v>1</v>
      </c>
      <c r="I2956">
        <v>461</v>
      </c>
      <c r="J2956" t="str">
        <f>HYPERLINK("https://climate.onebuilding.org/WMO_Region_6_Europe/ESP_Spain/NC_Navarra/ESP_NC_Pamplona.080860_TMYx.zip")</f>
        <v>https://climate.onebuilding.org/WMO_Region_6_Europe/ESP_Spain/NC_Navarra/ESP_NC_Pamplona.080860_TMYx.zip</v>
      </c>
    </row>
    <row r="2957" spans="1:10" x14ac:dyDescent="0.25">
      <c r="A2957" t="s">
        <v>1949</v>
      </c>
      <c r="B2957" t="s">
        <v>2028</v>
      </c>
      <c r="C2957" t="s">
        <v>2034</v>
      </c>
      <c r="D2957" s="1" t="s">
        <v>2035</v>
      </c>
      <c r="E2957" t="s">
        <v>14</v>
      </c>
      <c r="F2957">
        <v>42.2</v>
      </c>
      <c r="G2957">
        <v>-1.45</v>
      </c>
      <c r="H2957">
        <v>1</v>
      </c>
      <c r="I2957">
        <v>295</v>
      </c>
      <c r="J2957" t="str">
        <f>HYPERLINK("https://climate.onebuilding.org/WMO_Region_6_Europe/ESP_Spain/NC_Navarra/ESP_NC_Bardenas.Reales.080870_TMYx.2007-2021.zip")</f>
        <v>https://climate.onebuilding.org/WMO_Region_6_Europe/ESP_Spain/NC_Navarra/ESP_NC_Bardenas.Reales.080870_TMYx.2007-2021.zip</v>
      </c>
    </row>
    <row r="2958" spans="1:10" x14ac:dyDescent="0.25">
      <c r="A2958" t="s">
        <v>1949</v>
      </c>
      <c r="B2958" t="s">
        <v>2028</v>
      </c>
      <c r="C2958" t="s">
        <v>2034</v>
      </c>
      <c r="D2958" s="1" t="s">
        <v>2035</v>
      </c>
      <c r="E2958" t="s">
        <v>14</v>
      </c>
      <c r="F2958">
        <v>42.2</v>
      </c>
      <c r="G2958">
        <v>-1.45</v>
      </c>
      <c r="H2958">
        <v>1</v>
      </c>
      <c r="I2958">
        <v>295</v>
      </c>
      <c r="J2958" t="str">
        <f>HYPERLINK("https://climate.onebuilding.org/WMO_Region_6_Europe/ESP_Spain/NC_Navarra/ESP_NC_Bardenas.Reales.080870_TMYx.2009-2023.zip")</f>
        <v>https://climate.onebuilding.org/WMO_Region_6_Europe/ESP_Spain/NC_Navarra/ESP_NC_Bardenas.Reales.080870_TMYx.2009-2023.zip</v>
      </c>
    </row>
    <row r="2959" spans="1:10" x14ac:dyDescent="0.25">
      <c r="A2959" t="s">
        <v>1949</v>
      </c>
      <c r="B2959" t="s">
        <v>2028</v>
      </c>
      <c r="C2959" t="s">
        <v>2034</v>
      </c>
      <c r="D2959" s="1" t="s">
        <v>2035</v>
      </c>
      <c r="E2959" t="s">
        <v>14</v>
      </c>
      <c r="F2959">
        <v>42.2</v>
      </c>
      <c r="G2959">
        <v>-1.45</v>
      </c>
      <c r="H2959">
        <v>1</v>
      </c>
      <c r="I2959">
        <v>295</v>
      </c>
      <c r="J2959" t="str">
        <f>HYPERLINK("https://climate.onebuilding.org/WMO_Region_6_Europe/ESP_Spain/NC_Navarra/ESP_NC_Bardenas.Reales.080870_TMYx.zip")</f>
        <v>https://climate.onebuilding.org/WMO_Region_6_Europe/ESP_Spain/NC_Navarra/ESP_NC_Bardenas.Reales.080870_TMYx.zip</v>
      </c>
    </row>
    <row r="2960" spans="1:10" x14ac:dyDescent="0.25">
      <c r="A2960" t="s">
        <v>1949</v>
      </c>
      <c r="B2960" t="s">
        <v>2008</v>
      </c>
      <c r="C2960" t="s">
        <v>2036</v>
      </c>
      <c r="D2960" s="1" t="s">
        <v>2037</v>
      </c>
      <c r="E2960" t="s">
        <v>14</v>
      </c>
      <c r="F2960">
        <v>42.567</v>
      </c>
      <c r="G2960">
        <v>-3.133</v>
      </c>
      <c r="H2960">
        <v>1</v>
      </c>
      <c r="I2960">
        <v>828</v>
      </c>
      <c r="J2960" t="str">
        <f>HYPERLINK("https://climate.onebuilding.org/WMO_Region_6_Europe/ESP_Spain/CL_Castile_and_Leon/ESP_CL_Jaca.080910_TMYx.2007-2021.zip")</f>
        <v>https://climate.onebuilding.org/WMO_Region_6_Europe/ESP_Spain/CL_Castile_and_Leon/ESP_CL_Jaca.080910_TMYx.2007-2021.zip</v>
      </c>
    </row>
    <row r="2961" spans="1:10" x14ac:dyDescent="0.25">
      <c r="A2961" t="s">
        <v>1949</v>
      </c>
      <c r="B2961" t="s">
        <v>2008</v>
      </c>
      <c r="C2961" t="s">
        <v>2036</v>
      </c>
      <c r="D2961" s="1" t="s">
        <v>2037</v>
      </c>
      <c r="E2961" t="s">
        <v>14</v>
      </c>
      <c r="F2961">
        <v>42.567</v>
      </c>
      <c r="G2961">
        <v>-3.133</v>
      </c>
      <c r="H2961">
        <v>1</v>
      </c>
      <c r="I2961">
        <v>828</v>
      </c>
      <c r="J2961" t="str">
        <f>HYPERLINK("https://climate.onebuilding.org/WMO_Region_6_Europe/ESP_Spain/CL_Castile_and_Leon/ESP_CL_Jaca.080910_TMYx.2009-2023.zip")</f>
        <v>https://climate.onebuilding.org/WMO_Region_6_Europe/ESP_Spain/CL_Castile_and_Leon/ESP_CL_Jaca.080910_TMYx.2009-2023.zip</v>
      </c>
    </row>
    <row r="2962" spans="1:10" x14ac:dyDescent="0.25">
      <c r="A2962" t="s">
        <v>1949</v>
      </c>
      <c r="B2962" t="s">
        <v>2008</v>
      </c>
      <c r="C2962" t="s">
        <v>2036</v>
      </c>
      <c r="D2962" s="1" t="s">
        <v>2037</v>
      </c>
      <c r="E2962" t="s">
        <v>14</v>
      </c>
      <c r="F2962">
        <v>42.567</v>
      </c>
      <c r="G2962">
        <v>-3.133</v>
      </c>
      <c r="H2962">
        <v>1</v>
      </c>
      <c r="I2962">
        <v>828</v>
      </c>
      <c r="J2962" t="str">
        <f>HYPERLINK("https://climate.onebuilding.org/WMO_Region_6_Europe/ESP_Spain/CL_Castile_and_Leon/ESP_CL_Jaca.080910_TMYx.zip")</f>
        <v>https://climate.onebuilding.org/WMO_Region_6_Europe/ESP_Spain/CL_Castile_and_Leon/ESP_CL_Jaca.080910_TMYx.zip</v>
      </c>
    </row>
    <row r="2963" spans="1:10" x14ac:dyDescent="0.25">
      <c r="A2963" t="s">
        <v>1949</v>
      </c>
      <c r="B2963" t="s">
        <v>2038</v>
      </c>
      <c r="C2963" t="s">
        <v>2039</v>
      </c>
      <c r="D2963" s="1" t="s">
        <v>2040</v>
      </c>
      <c r="E2963" t="s">
        <v>2041</v>
      </c>
      <c r="F2963">
        <v>42.083300000000001</v>
      </c>
      <c r="G2963">
        <v>-0.32640000000000002</v>
      </c>
      <c r="H2963">
        <v>1</v>
      </c>
      <c r="I2963">
        <v>554</v>
      </c>
      <c r="J2963" t="str">
        <f>HYPERLINK("https://climate.onebuilding.org/WMO_Region_6_Europe/ESP_Spain/AR_Aragon/ESP_AR_Huesca-Pirineos.AP.080940_TMYx.2004-2018.zip")</f>
        <v>https://climate.onebuilding.org/WMO_Region_6_Europe/ESP_Spain/AR_Aragon/ESP_AR_Huesca-Pirineos.AP.080940_TMYx.2004-2018.zip</v>
      </c>
    </row>
    <row r="2964" spans="1:10" x14ac:dyDescent="0.25">
      <c r="A2964" t="s">
        <v>1949</v>
      </c>
      <c r="B2964" t="s">
        <v>2038</v>
      </c>
      <c r="C2964" t="s">
        <v>2039</v>
      </c>
      <c r="D2964" s="1" t="s">
        <v>2040</v>
      </c>
      <c r="E2964" t="s">
        <v>14</v>
      </c>
      <c r="F2964">
        <v>42.083300000000001</v>
      </c>
      <c r="G2964">
        <v>-0.32640000000000002</v>
      </c>
      <c r="H2964">
        <v>1</v>
      </c>
      <c r="I2964">
        <v>554</v>
      </c>
      <c r="J2964" t="str">
        <f>HYPERLINK("https://climate.onebuilding.org/WMO_Region_6_Europe/ESP_Spain/AR_Aragon/ESP_AR_Huesca-Pirineos.AP.080940_TMYx.2007-2021.zip")</f>
        <v>https://climate.onebuilding.org/WMO_Region_6_Europe/ESP_Spain/AR_Aragon/ESP_AR_Huesca-Pirineos.AP.080940_TMYx.2007-2021.zip</v>
      </c>
    </row>
    <row r="2965" spans="1:10" x14ac:dyDescent="0.25">
      <c r="A2965" t="s">
        <v>1949</v>
      </c>
      <c r="B2965" t="s">
        <v>2038</v>
      </c>
      <c r="C2965" t="s">
        <v>2039</v>
      </c>
      <c r="D2965" s="1" t="s">
        <v>2040</v>
      </c>
      <c r="E2965" t="s">
        <v>14</v>
      </c>
      <c r="F2965">
        <v>42.083300000000001</v>
      </c>
      <c r="G2965">
        <v>-0.32640000000000002</v>
      </c>
      <c r="H2965">
        <v>1</v>
      </c>
      <c r="I2965">
        <v>554</v>
      </c>
      <c r="J2965" t="str">
        <f>HYPERLINK("https://climate.onebuilding.org/WMO_Region_6_Europe/ESP_Spain/AR_Aragon/ESP_AR_Huesca-Pirineos.AP.080940_TMYx.2009-2023.zip")</f>
        <v>https://climate.onebuilding.org/WMO_Region_6_Europe/ESP_Spain/AR_Aragon/ESP_AR_Huesca-Pirineos.AP.080940_TMYx.2009-2023.zip</v>
      </c>
    </row>
    <row r="2966" spans="1:10" x14ac:dyDescent="0.25">
      <c r="A2966" t="s">
        <v>1949</v>
      </c>
      <c r="B2966" t="s">
        <v>2038</v>
      </c>
      <c r="C2966" t="s">
        <v>2039</v>
      </c>
      <c r="D2966" s="1" t="s">
        <v>2040</v>
      </c>
      <c r="E2966" t="s">
        <v>14</v>
      </c>
      <c r="F2966">
        <v>42.083300000000001</v>
      </c>
      <c r="G2966">
        <v>-0.32640000000000002</v>
      </c>
      <c r="H2966">
        <v>1</v>
      </c>
      <c r="I2966">
        <v>554</v>
      </c>
      <c r="J2966" t="str">
        <f>HYPERLINK("https://climate.onebuilding.org/WMO_Region_6_Europe/ESP_Spain/AR_Aragon/ESP_AR_Huesca-Pirineos.AP.080940_TMYx.zip")</f>
        <v>https://climate.onebuilding.org/WMO_Region_6_Europe/ESP_Spain/AR_Aragon/ESP_AR_Huesca-Pirineos.AP.080940_TMYx.zip</v>
      </c>
    </row>
    <row r="2967" spans="1:10" x14ac:dyDescent="0.25">
      <c r="A2967" t="s">
        <v>1949</v>
      </c>
      <c r="B2967" t="s">
        <v>2042</v>
      </c>
      <c r="C2967" t="s">
        <v>2043</v>
      </c>
      <c r="D2967" s="1" t="s">
        <v>2044</v>
      </c>
      <c r="E2967" t="s">
        <v>14</v>
      </c>
      <c r="F2967">
        <v>42.2</v>
      </c>
      <c r="G2967">
        <v>0.86699999999999999</v>
      </c>
      <c r="H2967">
        <v>1</v>
      </c>
      <c r="I2967">
        <v>800</v>
      </c>
      <c r="J2967" t="str">
        <f>HYPERLINK("https://climate.onebuilding.org/WMO_Region_6_Europe/ESP_Spain/CT_Catalonia/ESP_CT_Talar.081120_TMYx.2007-2021.zip")</f>
        <v>https://climate.onebuilding.org/WMO_Region_6_Europe/ESP_Spain/CT_Catalonia/ESP_CT_Talar.081120_TMYx.2007-2021.zip</v>
      </c>
    </row>
    <row r="2968" spans="1:10" x14ac:dyDescent="0.25">
      <c r="A2968" t="s">
        <v>1949</v>
      </c>
      <c r="B2968" t="s">
        <v>2042</v>
      </c>
      <c r="C2968" t="s">
        <v>2043</v>
      </c>
      <c r="D2968" s="1" t="s">
        <v>2044</v>
      </c>
      <c r="E2968" t="s">
        <v>14</v>
      </c>
      <c r="F2968">
        <v>42.2</v>
      </c>
      <c r="G2968">
        <v>0.86699999999999999</v>
      </c>
      <c r="H2968">
        <v>1</v>
      </c>
      <c r="I2968">
        <v>800</v>
      </c>
      <c r="J2968" t="str">
        <f>HYPERLINK("https://climate.onebuilding.org/WMO_Region_6_Europe/ESP_Spain/CT_Catalonia/ESP_CT_Talar.081120_TMYx.2009-2023.zip")</f>
        <v>https://climate.onebuilding.org/WMO_Region_6_Europe/ESP_Spain/CT_Catalonia/ESP_CT_Talar.081120_TMYx.2009-2023.zip</v>
      </c>
    </row>
    <row r="2969" spans="1:10" x14ac:dyDescent="0.25">
      <c r="A2969" t="s">
        <v>1949</v>
      </c>
      <c r="B2969" t="s">
        <v>2042</v>
      </c>
      <c r="C2969" t="s">
        <v>2043</v>
      </c>
      <c r="D2969" s="1" t="s">
        <v>2044</v>
      </c>
      <c r="E2969" t="s">
        <v>14</v>
      </c>
      <c r="F2969">
        <v>42.2</v>
      </c>
      <c r="G2969">
        <v>0.86699999999999999</v>
      </c>
      <c r="H2969">
        <v>1</v>
      </c>
      <c r="I2969">
        <v>800</v>
      </c>
      <c r="J2969" t="str">
        <f>HYPERLINK("https://climate.onebuilding.org/WMO_Region_6_Europe/ESP_Spain/CT_Catalonia/ESP_CT_Talar.081120_TMYx.zip")</f>
        <v>https://climate.onebuilding.org/WMO_Region_6_Europe/ESP_Spain/CT_Catalonia/ESP_CT_Talar.081120_TMYx.zip</v>
      </c>
    </row>
    <row r="2970" spans="1:10" x14ac:dyDescent="0.25">
      <c r="A2970" t="s">
        <v>1949</v>
      </c>
      <c r="B2970" t="s">
        <v>2042</v>
      </c>
      <c r="C2970" t="s">
        <v>2045</v>
      </c>
      <c r="D2970" s="1" t="s">
        <v>2046</v>
      </c>
      <c r="E2970" t="s">
        <v>14</v>
      </c>
      <c r="F2970">
        <v>42.332999999999998</v>
      </c>
      <c r="G2970">
        <v>1.9330000000000001</v>
      </c>
      <c r="H2970">
        <v>1</v>
      </c>
      <c r="I2970">
        <v>1702</v>
      </c>
      <c r="J2970" t="str">
        <f>HYPERLINK("https://climate.onebuilding.org/WMO_Region_6_Europe/ESP_Spain/CT_Catalonia/ESP_CT_La.Molina.081170_TMYx.2007-2021.zip")</f>
        <v>https://climate.onebuilding.org/WMO_Region_6_Europe/ESP_Spain/CT_Catalonia/ESP_CT_La.Molina.081170_TMYx.2007-2021.zip</v>
      </c>
    </row>
    <row r="2971" spans="1:10" x14ac:dyDescent="0.25">
      <c r="A2971" t="s">
        <v>1949</v>
      </c>
      <c r="B2971" t="s">
        <v>2042</v>
      </c>
      <c r="C2971" t="s">
        <v>2045</v>
      </c>
      <c r="D2971" s="1" t="s">
        <v>2046</v>
      </c>
      <c r="E2971" t="s">
        <v>14</v>
      </c>
      <c r="F2971">
        <v>42.332999999999998</v>
      </c>
      <c r="G2971">
        <v>1.9330000000000001</v>
      </c>
      <c r="H2971">
        <v>1</v>
      </c>
      <c r="I2971">
        <v>1702</v>
      </c>
      <c r="J2971" t="str">
        <f>HYPERLINK("https://climate.onebuilding.org/WMO_Region_6_Europe/ESP_Spain/CT_Catalonia/ESP_CT_La.Molina.081170_TMYx.2009-2023.zip")</f>
        <v>https://climate.onebuilding.org/WMO_Region_6_Europe/ESP_Spain/CT_Catalonia/ESP_CT_La.Molina.081170_TMYx.2009-2023.zip</v>
      </c>
    </row>
    <row r="2972" spans="1:10" x14ac:dyDescent="0.25">
      <c r="A2972" t="s">
        <v>1949</v>
      </c>
      <c r="B2972" t="s">
        <v>2042</v>
      </c>
      <c r="C2972" t="s">
        <v>2045</v>
      </c>
      <c r="D2972" s="1" t="s">
        <v>2046</v>
      </c>
      <c r="E2972" t="s">
        <v>14</v>
      </c>
      <c r="F2972">
        <v>42.332999999999998</v>
      </c>
      <c r="G2972">
        <v>1.9330000000000001</v>
      </c>
      <c r="H2972">
        <v>1</v>
      </c>
      <c r="I2972">
        <v>1702</v>
      </c>
      <c r="J2972" t="str">
        <f>HYPERLINK("https://climate.onebuilding.org/WMO_Region_6_Europe/ESP_Spain/CT_Catalonia/ESP_CT_La.Molina.081170_TMYx.zip")</f>
        <v>https://climate.onebuilding.org/WMO_Region_6_Europe/ESP_Spain/CT_Catalonia/ESP_CT_La.Molina.081170_TMYx.zip</v>
      </c>
    </row>
    <row r="2973" spans="1:10" x14ac:dyDescent="0.25">
      <c r="A2973" t="s">
        <v>1949</v>
      </c>
      <c r="B2973" t="s">
        <v>2008</v>
      </c>
      <c r="C2973" t="s">
        <v>2047</v>
      </c>
      <c r="D2973" s="1" t="s">
        <v>2048</v>
      </c>
      <c r="E2973" t="s">
        <v>2049</v>
      </c>
      <c r="F2973">
        <v>41.515599999999999</v>
      </c>
      <c r="G2973">
        <v>-5.7352999999999996</v>
      </c>
      <c r="H2973">
        <v>1</v>
      </c>
      <c r="I2973">
        <v>667</v>
      </c>
      <c r="J2973" t="str">
        <f>HYPERLINK("https://climate.onebuilding.org/WMO_Region_6_Europe/ESP_Spain/CL_Castile_and_Leon/ESP_CL_Zamora.081300_TMYx.2004-2018.zip")</f>
        <v>https://climate.onebuilding.org/WMO_Region_6_Europe/ESP_Spain/CL_Castile_and_Leon/ESP_CL_Zamora.081300_TMYx.2004-2018.zip</v>
      </c>
    </row>
    <row r="2974" spans="1:10" x14ac:dyDescent="0.25">
      <c r="A2974" t="s">
        <v>1949</v>
      </c>
      <c r="B2974" t="s">
        <v>2008</v>
      </c>
      <c r="C2974" t="s">
        <v>2047</v>
      </c>
      <c r="D2974" s="1" t="s">
        <v>2048</v>
      </c>
      <c r="E2974" t="s">
        <v>14</v>
      </c>
      <c r="F2974">
        <v>41.515599999999999</v>
      </c>
      <c r="G2974">
        <v>-5.7352999999999996</v>
      </c>
      <c r="H2974">
        <v>1</v>
      </c>
      <c r="I2974">
        <v>667</v>
      </c>
      <c r="J2974" t="str">
        <f>HYPERLINK("https://climate.onebuilding.org/WMO_Region_6_Europe/ESP_Spain/CL_Castile_and_Leon/ESP_CL_Zamora.081300_TMYx.2007-2021.zip")</f>
        <v>https://climate.onebuilding.org/WMO_Region_6_Europe/ESP_Spain/CL_Castile_and_Leon/ESP_CL_Zamora.081300_TMYx.2007-2021.zip</v>
      </c>
    </row>
    <row r="2975" spans="1:10" x14ac:dyDescent="0.25">
      <c r="A2975" t="s">
        <v>1949</v>
      </c>
      <c r="B2975" t="s">
        <v>2008</v>
      </c>
      <c r="C2975" t="s">
        <v>2047</v>
      </c>
      <c r="D2975" s="1" t="s">
        <v>2048</v>
      </c>
      <c r="E2975" t="s">
        <v>14</v>
      </c>
      <c r="F2975">
        <v>41.515599999999999</v>
      </c>
      <c r="G2975">
        <v>-5.7352999999999996</v>
      </c>
      <c r="H2975">
        <v>1</v>
      </c>
      <c r="I2975">
        <v>667</v>
      </c>
      <c r="J2975" t="str">
        <f>HYPERLINK("https://climate.onebuilding.org/WMO_Region_6_Europe/ESP_Spain/CL_Castile_and_Leon/ESP_CL_Zamora.081300_TMYx.2009-2023.zip")</f>
        <v>https://climate.onebuilding.org/WMO_Region_6_Europe/ESP_Spain/CL_Castile_and_Leon/ESP_CL_Zamora.081300_TMYx.2009-2023.zip</v>
      </c>
    </row>
    <row r="2976" spans="1:10" x14ac:dyDescent="0.25">
      <c r="A2976" t="s">
        <v>1949</v>
      </c>
      <c r="B2976" t="s">
        <v>2008</v>
      </c>
      <c r="C2976" t="s">
        <v>2047</v>
      </c>
      <c r="D2976" s="1" t="s">
        <v>2048</v>
      </c>
      <c r="E2976" t="s">
        <v>14</v>
      </c>
      <c r="F2976">
        <v>41.515599999999999</v>
      </c>
      <c r="G2976">
        <v>-5.7352999999999996</v>
      </c>
      <c r="H2976">
        <v>1</v>
      </c>
      <c r="I2976">
        <v>667</v>
      </c>
      <c r="J2976" t="str">
        <f>HYPERLINK("https://climate.onebuilding.org/WMO_Region_6_Europe/ESP_Spain/CL_Castile_and_Leon/ESP_CL_Zamora.081300_TMYx.zip")</f>
        <v>https://climate.onebuilding.org/WMO_Region_6_Europe/ESP_Spain/CL_Castile_and_Leon/ESP_CL_Zamora.081300_TMYx.zip</v>
      </c>
    </row>
    <row r="2977" spans="1:10" x14ac:dyDescent="0.25">
      <c r="A2977" t="s">
        <v>1949</v>
      </c>
      <c r="B2977" t="s">
        <v>2008</v>
      </c>
      <c r="C2977" t="s">
        <v>2050</v>
      </c>
      <c r="D2977" s="1" t="s">
        <v>2051</v>
      </c>
      <c r="E2977" t="s">
        <v>2052</v>
      </c>
      <c r="F2977">
        <v>41.7119</v>
      </c>
      <c r="G2977">
        <v>-4.8555999999999999</v>
      </c>
      <c r="H2977">
        <v>1</v>
      </c>
      <c r="I2977">
        <v>846</v>
      </c>
      <c r="J2977" t="str">
        <f>HYPERLINK("https://climate.onebuilding.org/WMO_Region_6_Europe/ESP_Spain/CL_Castile_and_Leon/ESP_CL_Valladolid.AP.081400_TMYx.2004-2018.zip")</f>
        <v>https://climate.onebuilding.org/WMO_Region_6_Europe/ESP_Spain/CL_Castile_and_Leon/ESP_CL_Valladolid.AP.081400_TMYx.2004-2018.zip</v>
      </c>
    </row>
    <row r="2978" spans="1:10" x14ac:dyDescent="0.25">
      <c r="A2978" t="s">
        <v>1949</v>
      </c>
      <c r="B2978" t="s">
        <v>2008</v>
      </c>
      <c r="C2978" t="s">
        <v>2050</v>
      </c>
      <c r="D2978" s="1" t="s">
        <v>2051</v>
      </c>
      <c r="E2978" t="s">
        <v>14</v>
      </c>
      <c r="F2978">
        <v>41.7119</v>
      </c>
      <c r="G2978">
        <v>-4.8555999999999999</v>
      </c>
      <c r="H2978">
        <v>1</v>
      </c>
      <c r="I2978">
        <v>846</v>
      </c>
      <c r="J2978" t="str">
        <f>HYPERLINK("https://climate.onebuilding.org/WMO_Region_6_Europe/ESP_Spain/CL_Castile_and_Leon/ESP_CL_Valladolid.AP.081400_TMYx.2007-2021.zip")</f>
        <v>https://climate.onebuilding.org/WMO_Region_6_Europe/ESP_Spain/CL_Castile_and_Leon/ESP_CL_Valladolid.AP.081400_TMYx.2007-2021.zip</v>
      </c>
    </row>
    <row r="2979" spans="1:10" x14ac:dyDescent="0.25">
      <c r="A2979" t="s">
        <v>1949</v>
      </c>
      <c r="B2979" t="s">
        <v>2008</v>
      </c>
      <c r="C2979" t="s">
        <v>2050</v>
      </c>
      <c r="D2979" s="1" t="s">
        <v>2051</v>
      </c>
      <c r="E2979" t="s">
        <v>14</v>
      </c>
      <c r="F2979">
        <v>41.7119</v>
      </c>
      <c r="G2979">
        <v>-4.8555999999999999</v>
      </c>
      <c r="H2979">
        <v>1</v>
      </c>
      <c r="I2979">
        <v>846</v>
      </c>
      <c r="J2979" t="str">
        <f>HYPERLINK("https://climate.onebuilding.org/WMO_Region_6_Europe/ESP_Spain/CL_Castile_and_Leon/ESP_CL_Valladolid.AP.081400_TMYx.2009-2023.zip")</f>
        <v>https://climate.onebuilding.org/WMO_Region_6_Europe/ESP_Spain/CL_Castile_and_Leon/ESP_CL_Valladolid.AP.081400_TMYx.2009-2023.zip</v>
      </c>
    </row>
    <row r="2980" spans="1:10" x14ac:dyDescent="0.25">
      <c r="A2980" t="s">
        <v>1949</v>
      </c>
      <c r="B2980" t="s">
        <v>2008</v>
      </c>
      <c r="C2980" t="s">
        <v>2050</v>
      </c>
      <c r="D2980" s="1" t="s">
        <v>2051</v>
      </c>
      <c r="E2980" t="s">
        <v>14</v>
      </c>
      <c r="F2980">
        <v>41.7119</v>
      </c>
      <c r="G2980">
        <v>-4.8555999999999999</v>
      </c>
      <c r="H2980">
        <v>1</v>
      </c>
      <c r="I2980">
        <v>846</v>
      </c>
      <c r="J2980" t="str">
        <f>HYPERLINK("https://climate.onebuilding.org/WMO_Region_6_Europe/ESP_Spain/CL_Castile_and_Leon/ESP_CL_Valladolid.AP.081400_TMYx.zip")</f>
        <v>https://climate.onebuilding.org/WMO_Region_6_Europe/ESP_Spain/CL_Castile_and_Leon/ESP_CL_Valladolid.AP.081400_TMYx.zip</v>
      </c>
    </row>
    <row r="2981" spans="1:10" x14ac:dyDescent="0.25">
      <c r="A2981" t="s">
        <v>1949</v>
      </c>
      <c r="B2981" t="s">
        <v>2008</v>
      </c>
      <c r="C2981" t="s">
        <v>2053</v>
      </c>
      <c r="D2981" s="1" t="s">
        <v>2054</v>
      </c>
      <c r="E2981" t="s">
        <v>2055</v>
      </c>
      <c r="F2981">
        <v>41.640799999999999</v>
      </c>
      <c r="G2981">
        <v>-4.7544000000000004</v>
      </c>
      <c r="H2981">
        <v>1</v>
      </c>
      <c r="I2981">
        <v>735</v>
      </c>
      <c r="J2981" t="str">
        <f>HYPERLINK("https://climate.onebuilding.org/WMO_Region_6_Europe/ESP_Spain/CL_Castile_and_Leon/ESP_CL_Valladolid.081410_TMYx.2004-2018.zip")</f>
        <v>https://climate.onebuilding.org/WMO_Region_6_Europe/ESP_Spain/CL_Castile_and_Leon/ESP_CL_Valladolid.081410_TMYx.2004-2018.zip</v>
      </c>
    </row>
    <row r="2982" spans="1:10" x14ac:dyDescent="0.25">
      <c r="A2982" t="s">
        <v>1949</v>
      </c>
      <c r="B2982" t="s">
        <v>2008</v>
      </c>
      <c r="C2982" t="s">
        <v>2053</v>
      </c>
      <c r="D2982" s="1" t="s">
        <v>2054</v>
      </c>
      <c r="E2982" t="s">
        <v>14</v>
      </c>
      <c r="F2982">
        <v>41.640799999999999</v>
      </c>
      <c r="G2982">
        <v>-4.7544000000000004</v>
      </c>
      <c r="H2982">
        <v>1</v>
      </c>
      <c r="I2982">
        <v>735</v>
      </c>
      <c r="J2982" t="str">
        <f>HYPERLINK("https://climate.onebuilding.org/WMO_Region_6_Europe/ESP_Spain/CL_Castile_and_Leon/ESP_CL_Valladolid.081410_TMYx.2007-2021.zip")</f>
        <v>https://climate.onebuilding.org/WMO_Region_6_Europe/ESP_Spain/CL_Castile_and_Leon/ESP_CL_Valladolid.081410_TMYx.2007-2021.zip</v>
      </c>
    </row>
    <row r="2983" spans="1:10" x14ac:dyDescent="0.25">
      <c r="A2983" t="s">
        <v>1949</v>
      </c>
      <c r="B2983" t="s">
        <v>2008</v>
      </c>
      <c r="C2983" t="s">
        <v>2053</v>
      </c>
      <c r="D2983" s="1" t="s">
        <v>2054</v>
      </c>
      <c r="E2983" t="s">
        <v>14</v>
      </c>
      <c r="F2983">
        <v>41.640799999999999</v>
      </c>
      <c r="G2983">
        <v>-4.7544000000000004</v>
      </c>
      <c r="H2983">
        <v>1</v>
      </c>
      <c r="I2983">
        <v>735</v>
      </c>
      <c r="J2983" t="str">
        <f>HYPERLINK("https://climate.onebuilding.org/WMO_Region_6_Europe/ESP_Spain/CL_Castile_and_Leon/ESP_CL_Valladolid.081410_TMYx.2009-2023.zip")</f>
        <v>https://climate.onebuilding.org/WMO_Region_6_Europe/ESP_Spain/CL_Castile_and_Leon/ESP_CL_Valladolid.081410_TMYx.2009-2023.zip</v>
      </c>
    </row>
    <row r="2984" spans="1:10" x14ac:dyDescent="0.25">
      <c r="A2984" t="s">
        <v>1949</v>
      </c>
      <c r="B2984" t="s">
        <v>2008</v>
      </c>
      <c r="C2984" t="s">
        <v>2053</v>
      </c>
      <c r="D2984" s="1" t="s">
        <v>2054</v>
      </c>
      <c r="E2984" t="s">
        <v>14</v>
      </c>
      <c r="F2984">
        <v>41.640799999999999</v>
      </c>
      <c r="G2984">
        <v>-4.7544000000000004</v>
      </c>
      <c r="H2984">
        <v>1</v>
      </c>
      <c r="I2984">
        <v>735</v>
      </c>
      <c r="J2984" t="str">
        <f>HYPERLINK("https://climate.onebuilding.org/WMO_Region_6_Europe/ESP_Spain/CL_Castile_and_Leon/ESP_CL_Valladolid.081410_TMYx.zip")</f>
        <v>https://climate.onebuilding.org/WMO_Region_6_Europe/ESP_Spain/CL_Castile_and_Leon/ESP_CL_Valladolid.081410_TMYx.zip</v>
      </c>
    </row>
    <row r="2985" spans="1:10" x14ac:dyDescent="0.25">
      <c r="A2985" t="s">
        <v>1949</v>
      </c>
      <c r="B2985" t="s">
        <v>2008</v>
      </c>
      <c r="C2985" t="s">
        <v>2056</v>
      </c>
      <c r="D2985" s="1" t="s">
        <v>2057</v>
      </c>
      <c r="E2985" t="s">
        <v>2058</v>
      </c>
      <c r="F2985">
        <v>41.774999999999999</v>
      </c>
      <c r="G2985">
        <v>-2.4830999999999999</v>
      </c>
      <c r="H2985">
        <v>1</v>
      </c>
      <c r="I2985">
        <v>1082</v>
      </c>
      <c r="J2985" t="str">
        <f>HYPERLINK("https://climate.onebuilding.org/WMO_Region_6_Europe/ESP_Spain/CL_Castile_and_Leon/ESP_CL_Soria.081480_TMYx.2004-2018.zip")</f>
        <v>https://climate.onebuilding.org/WMO_Region_6_Europe/ESP_Spain/CL_Castile_and_Leon/ESP_CL_Soria.081480_TMYx.2004-2018.zip</v>
      </c>
    </row>
    <row r="2986" spans="1:10" x14ac:dyDescent="0.25">
      <c r="A2986" t="s">
        <v>1949</v>
      </c>
      <c r="B2986" t="s">
        <v>2008</v>
      </c>
      <c r="C2986" t="s">
        <v>2056</v>
      </c>
      <c r="D2986" s="1" t="s">
        <v>2057</v>
      </c>
      <c r="E2986" t="s">
        <v>14</v>
      </c>
      <c r="F2986">
        <v>41.774999999999999</v>
      </c>
      <c r="G2986">
        <v>-2.4830999999999999</v>
      </c>
      <c r="H2986">
        <v>1</v>
      </c>
      <c r="I2986">
        <v>1082</v>
      </c>
      <c r="J2986" t="str">
        <f>HYPERLINK("https://climate.onebuilding.org/WMO_Region_6_Europe/ESP_Spain/CL_Castile_and_Leon/ESP_CL_Soria.081480_TMYx.2007-2021.zip")</f>
        <v>https://climate.onebuilding.org/WMO_Region_6_Europe/ESP_Spain/CL_Castile_and_Leon/ESP_CL_Soria.081480_TMYx.2007-2021.zip</v>
      </c>
    </row>
    <row r="2987" spans="1:10" x14ac:dyDescent="0.25">
      <c r="A2987" t="s">
        <v>1949</v>
      </c>
      <c r="B2987" t="s">
        <v>2008</v>
      </c>
      <c r="C2987" t="s">
        <v>2056</v>
      </c>
      <c r="D2987" s="1" t="s">
        <v>2057</v>
      </c>
      <c r="E2987" t="s">
        <v>14</v>
      </c>
      <c r="F2987">
        <v>41.774999999999999</v>
      </c>
      <c r="G2987">
        <v>-2.4830999999999999</v>
      </c>
      <c r="H2987">
        <v>1</v>
      </c>
      <c r="I2987">
        <v>1082</v>
      </c>
      <c r="J2987" t="str">
        <f>HYPERLINK("https://climate.onebuilding.org/WMO_Region_6_Europe/ESP_Spain/CL_Castile_and_Leon/ESP_CL_Soria.081480_TMYx.2009-2023.zip")</f>
        <v>https://climate.onebuilding.org/WMO_Region_6_Europe/ESP_Spain/CL_Castile_and_Leon/ESP_CL_Soria.081480_TMYx.2009-2023.zip</v>
      </c>
    </row>
    <row r="2988" spans="1:10" x14ac:dyDescent="0.25">
      <c r="A2988" t="s">
        <v>1949</v>
      </c>
      <c r="B2988" t="s">
        <v>2008</v>
      </c>
      <c r="C2988" t="s">
        <v>2056</v>
      </c>
      <c r="D2988" s="1" t="s">
        <v>2057</v>
      </c>
      <c r="E2988" t="s">
        <v>14</v>
      </c>
      <c r="F2988">
        <v>41.774999999999999</v>
      </c>
      <c r="G2988">
        <v>-2.4830999999999999</v>
      </c>
      <c r="H2988">
        <v>1</v>
      </c>
      <c r="I2988">
        <v>1082</v>
      </c>
      <c r="J2988" t="str">
        <f>HYPERLINK("https://climate.onebuilding.org/WMO_Region_6_Europe/ESP_Spain/CL_Castile_and_Leon/ESP_CL_Soria.081480_TMYx.zip")</f>
        <v>https://climate.onebuilding.org/WMO_Region_6_Europe/ESP_Spain/CL_Castile_and_Leon/ESP_CL_Soria.081480_TMYx.zip</v>
      </c>
    </row>
    <row r="2989" spans="1:10" x14ac:dyDescent="0.25">
      <c r="A2989" t="s">
        <v>1949</v>
      </c>
      <c r="B2989" t="s">
        <v>2038</v>
      </c>
      <c r="C2989" t="s">
        <v>2059</v>
      </c>
      <c r="D2989" s="1" t="s">
        <v>2060</v>
      </c>
      <c r="E2989" t="s">
        <v>14</v>
      </c>
      <c r="F2989">
        <v>41.114400000000003</v>
      </c>
      <c r="G2989">
        <v>-1.41</v>
      </c>
      <c r="H2989">
        <v>1</v>
      </c>
      <c r="I2989">
        <v>779</v>
      </c>
      <c r="J2989" t="str">
        <f>HYPERLINK("https://climate.onebuilding.org/WMO_Region_6_Europe/ESP_Spain/AR_Aragon/ESP_AR_Daroca.081570_TMYx.2007-2021.zip")</f>
        <v>https://climate.onebuilding.org/WMO_Region_6_Europe/ESP_Spain/AR_Aragon/ESP_AR_Daroca.081570_TMYx.2007-2021.zip</v>
      </c>
    </row>
    <row r="2990" spans="1:10" x14ac:dyDescent="0.25">
      <c r="A2990" t="s">
        <v>1949</v>
      </c>
      <c r="B2990" t="s">
        <v>2038</v>
      </c>
      <c r="C2990" t="s">
        <v>2059</v>
      </c>
      <c r="D2990" s="1" t="s">
        <v>2060</v>
      </c>
      <c r="E2990" t="s">
        <v>14</v>
      </c>
      <c r="F2990">
        <v>41.114400000000003</v>
      </c>
      <c r="G2990">
        <v>-1.41</v>
      </c>
      <c r="H2990">
        <v>1</v>
      </c>
      <c r="I2990">
        <v>779</v>
      </c>
      <c r="J2990" t="str">
        <f>HYPERLINK("https://climate.onebuilding.org/WMO_Region_6_Europe/ESP_Spain/AR_Aragon/ESP_AR_Daroca.081570_TMYx.2009-2023.zip")</f>
        <v>https://climate.onebuilding.org/WMO_Region_6_Europe/ESP_Spain/AR_Aragon/ESP_AR_Daroca.081570_TMYx.2009-2023.zip</v>
      </c>
    </row>
    <row r="2991" spans="1:10" x14ac:dyDescent="0.25">
      <c r="A2991" t="s">
        <v>1949</v>
      </c>
      <c r="B2991" t="s">
        <v>2038</v>
      </c>
      <c r="C2991" t="s">
        <v>2059</v>
      </c>
      <c r="D2991" s="1" t="s">
        <v>2060</v>
      </c>
      <c r="E2991" t="s">
        <v>14</v>
      </c>
      <c r="F2991">
        <v>41.114400000000003</v>
      </c>
      <c r="G2991">
        <v>-1.41</v>
      </c>
      <c r="H2991">
        <v>1</v>
      </c>
      <c r="I2991">
        <v>779</v>
      </c>
      <c r="J2991" t="str">
        <f>HYPERLINK("https://climate.onebuilding.org/WMO_Region_6_Europe/ESP_Spain/AR_Aragon/ESP_AR_Daroca.081570_TMYx.zip")</f>
        <v>https://climate.onebuilding.org/WMO_Region_6_Europe/ESP_Spain/AR_Aragon/ESP_AR_Daroca.081570_TMYx.zip</v>
      </c>
    </row>
    <row r="2992" spans="1:10" x14ac:dyDescent="0.25">
      <c r="A2992" t="s">
        <v>1949</v>
      </c>
      <c r="B2992" t="s">
        <v>2038</v>
      </c>
      <c r="C2992" t="s">
        <v>2061</v>
      </c>
      <c r="D2992" s="1" t="s">
        <v>2062</v>
      </c>
      <c r="E2992" t="s">
        <v>2063</v>
      </c>
      <c r="F2992">
        <v>41.665999999999997</v>
      </c>
      <c r="G2992">
        <v>-1.042</v>
      </c>
      <c r="H2992">
        <v>1</v>
      </c>
      <c r="I2992">
        <v>263</v>
      </c>
      <c r="J2992" t="str">
        <f>HYPERLINK("https://climate.onebuilding.org/WMO_Region_6_Europe/ESP_Spain/AR_Aragon/ESP_AR_Zaragoza.AP.081600_TMYx.2004-2018.zip")</f>
        <v>https://climate.onebuilding.org/WMO_Region_6_Europe/ESP_Spain/AR_Aragon/ESP_AR_Zaragoza.AP.081600_TMYx.2004-2018.zip</v>
      </c>
    </row>
    <row r="2993" spans="1:10" x14ac:dyDescent="0.25">
      <c r="A2993" t="s">
        <v>1949</v>
      </c>
      <c r="B2993" t="s">
        <v>2038</v>
      </c>
      <c r="C2993" t="s">
        <v>2061</v>
      </c>
      <c r="D2993" s="1" t="s">
        <v>2062</v>
      </c>
      <c r="E2993" t="s">
        <v>14</v>
      </c>
      <c r="F2993">
        <v>41.660600000000002</v>
      </c>
      <c r="G2993">
        <v>-1.0042</v>
      </c>
      <c r="H2993">
        <v>1</v>
      </c>
      <c r="I2993">
        <v>263</v>
      </c>
      <c r="J2993" t="str">
        <f>HYPERLINK("https://climate.onebuilding.org/WMO_Region_6_Europe/ESP_Spain/AR_Aragon/ESP_AR_Zaragoza.AP.081600_TMYx.2007-2021.zip")</f>
        <v>https://climate.onebuilding.org/WMO_Region_6_Europe/ESP_Spain/AR_Aragon/ESP_AR_Zaragoza.AP.081600_TMYx.2007-2021.zip</v>
      </c>
    </row>
    <row r="2994" spans="1:10" x14ac:dyDescent="0.25">
      <c r="A2994" t="s">
        <v>1949</v>
      </c>
      <c r="B2994" t="s">
        <v>2038</v>
      </c>
      <c r="C2994" t="s">
        <v>2061</v>
      </c>
      <c r="D2994" s="1" t="s">
        <v>2062</v>
      </c>
      <c r="E2994" t="s">
        <v>14</v>
      </c>
      <c r="F2994">
        <v>41.660600000000002</v>
      </c>
      <c r="G2994">
        <v>-1.0042</v>
      </c>
      <c r="H2994">
        <v>1</v>
      </c>
      <c r="I2994">
        <v>263</v>
      </c>
      <c r="J2994" t="str">
        <f>HYPERLINK("https://climate.onebuilding.org/WMO_Region_6_Europe/ESP_Spain/AR_Aragon/ESP_AR_Zaragoza.AP.081600_TMYx.2009-2023.zip")</f>
        <v>https://climate.onebuilding.org/WMO_Region_6_Europe/ESP_Spain/AR_Aragon/ESP_AR_Zaragoza.AP.081600_TMYx.2009-2023.zip</v>
      </c>
    </row>
    <row r="2995" spans="1:10" x14ac:dyDescent="0.25">
      <c r="A2995" t="s">
        <v>1949</v>
      </c>
      <c r="B2995" t="s">
        <v>2038</v>
      </c>
      <c r="C2995" t="s">
        <v>2061</v>
      </c>
      <c r="D2995" s="1" t="s">
        <v>2062</v>
      </c>
      <c r="E2995" t="s">
        <v>14</v>
      </c>
      <c r="F2995">
        <v>41.660600000000002</v>
      </c>
      <c r="G2995">
        <v>-1.0042</v>
      </c>
      <c r="H2995">
        <v>1</v>
      </c>
      <c r="I2995">
        <v>263</v>
      </c>
      <c r="J2995" t="str">
        <f>HYPERLINK("https://climate.onebuilding.org/WMO_Region_6_Europe/ESP_Spain/AR_Aragon/ESP_AR_Zaragoza.AP.081600_TMYx.zip")</f>
        <v>https://climate.onebuilding.org/WMO_Region_6_Europe/ESP_Spain/AR_Aragon/ESP_AR_Zaragoza.AP.081600_TMYx.zip</v>
      </c>
    </row>
    <row r="2996" spans="1:10" x14ac:dyDescent="0.25">
      <c r="A2996" t="s">
        <v>1949</v>
      </c>
      <c r="B2996" t="s">
        <v>2038</v>
      </c>
      <c r="C2996" t="s">
        <v>2064</v>
      </c>
      <c r="D2996" s="1" t="s">
        <v>2065</v>
      </c>
      <c r="E2996" t="s">
        <v>14</v>
      </c>
      <c r="F2996">
        <v>41.633000000000003</v>
      </c>
      <c r="G2996">
        <v>-0.9</v>
      </c>
      <c r="H2996">
        <v>1</v>
      </c>
      <c r="I2996">
        <v>222</v>
      </c>
      <c r="J2996" t="str">
        <f>HYPERLINK("https://climate.onebuilding.org/WMO_Region_6_Europe/ESP_Spain/AR_Aragon/ESP_AR_Zaragoza.081610_TMYx.zip")</f>
        <v>https://climate.onebuilding.org/WMO_Region_6_Europe/ESP_Spain/AR_Aragon/ESP_AR_Zaragoza.081610_TMYx.zip</v>
      </c>
    </row>
    <row r="2997" spans="1:10" x14ac:dyDescent="0.25">
      <c r="A2997" t="s">
        <v>1949</v>
      </c>
      <c r="B2997" t="s">
        <v>2042</v>
      </c>
      <c r="C2997" t="s">
        <v>2066</v>
      </c>
      <c r="D2997" s="1" t="s">
        <v>2067</v>
      </c>
      <c r="E2997" t="s">
        <v>2068</v>
      </c>
      <c r="F2997">
        <v>41.626100000000001</v>
      </c>
      <c r="G2997">
        <v>0.59809999999999997</v>
      </c>
      <c r="H2997">
        <v>1</v>
      </c>
      <c r="I2997">
        <v>199</v>
      </c>
      <c r="J2997" t="str">
        <f>HYPERLINK("https://climate.onebuilding.org/WMO_Region_6_Europe/ESP_Spain/CT_Catalonia/ESP_CT_Lleida.081710_TMYx.2004-2018.zip")</f>
        <v>https://climate.onebuilding.org/WMO_Region_6_Europe/ESP_Spain/CT_Catalonia/ESP_CT_Lleida.081710_TMYx.2004-2018.zip</v>
      </c>
    </row>
    <row r="2998" spans="1:10" x14ac:dyDescent="0.25">
      <c r="A2998" t="s">
        <v>1949</v>
      </c>
      <c r="B2998" t="s">
        <v>2042</v>
      </c>
      <c r="C2998" t="s">
        <v>2066</v>
      </c>
      <c r="D2998" s="1" t="s">
        <v>2067</v>
      </c>
      <c r="E2998" t="s">
        <v>14</v>
      </c>
      <c r="F2998">
        <v>41.626100000000001</v>
      </c>
      <c r="G2998">
        <v>0.59809999999999997</v>
      </c>
      <c r="H2998">
        <v>1</v>
      </c>
      <c r="I2998">
        <v>199</v>
      </c>
      <c r="J2998" t="str">
        <f>HYPERLINK("https://climate.onebuilding.org/WMO_Region_6_Europe/ESP_Spain/CT_Catalonia/ESP_CT_Lleida.081710_TMYx.2007-2021.zip")</f>
        <v>https://climate.onebuilding.org/WMO_Region_6_Europe/ESP_Spain/CT_Catalonia/ESP_CT_Lleida.081710_TMYx.2007-2021.zip</v>
      </c>
    </row>
    <row r="2999" spans="1:10" x14ac:dyDescent="0.25">
      <c r="A2999" t="s">
        <v>1949</v>
      </c>
      <c r="B2999" t="s">
        <v>2042</v>
      </c>
      <c r="C2999" t="s">
        <v>2066</v>
      </c>
      <c r="D2999" s="1" t="s">
        <v>2067</v>
      </c>
      <c r="E2999" t="s">
        <v>14</v>
      </c>
      <c r="F2999">
        <v>41.626100000000001</v>
      </c>
      <c r="G2999">
        <v>0.59809999999999997</v>
      </c>
      <c r="H2999">
        <v>1</v>
      </c>
      <c r="I2999">
        <v>199</v>
      </c>
      <c r="J2999" t="str">
        <f>HYPERLINK("https://climate.onebuilding.org/WMO_Region_6_Europe/ESP_Spain/CT_Catalonia/ESP_CT_Lleida.081710_TMYx.2009-2023.zip")</f>
        <v>https://climate.onebuilding.org/WMO_Region_6_Europe/ESP_Spain/CT_Catalonia/ESP_CT_Lleida.081710_TMYx.2009-2023.zip</v>
      </c>
    </row>
    <row r="3000" spans="1:10" x14ac:dyDescent="0.25">
      <c r="A3000" t="s">
        <v>1949</v>
      </c>
      <c r="B3000" t="s">
        <v>2042</v>
      </c>
      <c r="C3000" t="s">
        <v>2066</v>
      </c>
      <c r="D3000" s="1" t="s">
        <v>2067</v>
      </c>
      <c r="E3000" t="s">
        <v>14</v>
      </c>
      <c r="F3000">
        <v>41.626100000000001</v>
      </c>
      <c r="G3000">
        <v>0.59809999999999997</v>
      </c>
      <c r="H3000">
        <v>1</v>
      </c>
      <c r="I3000">
        <v>199</v>
      </c>
      <c r="J3000" t="str">
        <f>HYPERLINK("https://climate.onebuilding.org/WMO_Region_6_Europe/ESP_Spain/CT_Catalonia/ESP_CT_Lleida.081710_TMYx.zip")</f>
        <v>https://climate.onebuilding.org/WMO_Region_6_Europe/ESP_Spain/CT_Catalonia/ESP_CT_Lleida.081710_TMYx.zip</v>
      </c>
    </row>
    <row r="3001" spans="1:10" x14ac:dyDescent="0.25">
      <c r="A3001" t="s">
        <v>1949</v>
      </c>
      <c r="B3001" t="s">
        <v>2042</v>
      </c>
      <c r="C3001" t="s">
        <v>2069</v>
      </c>
      <c r="D3001" s="1" t="s">
        <v>2070</v>
      </c>
      <c r="E3001" t="s">
        <v>2071</v>
      </c>
      <c r="F3001">
        <v>41.149700000000003</v>
      </c>
      <c r="G3001">
        <v>1.1789000000000001</v>
      </c>
      <c r="H3001">
        <v>1</v>
      </c>
      <c r="I3001">
        <v>76</v>
      </c>
      <c r="J3001" t="str">
        <f>HYPERLINK("https://climate.onebuilding.org/WMO_Region_6_Europe/ESP_Spain/CT_Catalonia/ESP_CT_Reus.AP.081750_TMYx.2004-2018.zip")</f>
        <v>https://climate.onebuilding.org/WMO_Region_6_Europe/ESP_Spain/CT_Catalonia/ESP_CT_Reus.AP.081750_TMYx.2004-2018.zip</v>
      </c>
    </row>
    <row r="3002" spans="1:10" x14ac:dyDescent="0.25">
      <c r="A3002" t="s">
        <v>1949</v>
      </c>
      <c r="B3002" t="s">
        <v>2042</v>
      </c>
      <c r="C3002" t="s">
        <v>2069</v>
      </c>
      <c r="D3002" s="1" t="s">
        <v>2070</v>
      </c>
      <c r="E3002" t="s">
        <v>14</v>
      </c>
      <c r="F3002">
        <v>41.149700000000003</v>
      </c>
      <c r="G3002">
        <v>1.1789000000000001</v>
      </c>
      <c r="H3002">
        <v>1</v>
      </c>
      <c r="I3002">
        <v>76</v>
      </c>
      <c r="J3002" t="str">
        <f>HYPERLINK("https://climate.onebuilding.org/WMO_Region_6_Europe/ESP_Spain/CT_Catalonia/ESP_CT_Reus.AP.081750_TMYx.2007-2021.zip")</f>
        <v>https://climate.onebuilding.org/WMO_Region_6_Europe/ESP_Spain/CT_Catalonia/ESP_CT_Reus.AP.081750_TMYx.2007-2021.zip</v>
      </c>
    </row>
    <row r="3003" spans="1:10" x14ac:dyDescent="0.25">
      <c r="A3003" t="s">
        <v>1949</v>
      </c>
      <c r="B3003" t="s">
        <v>2042</v>
      </c>
      <c r="C3003" t="s">
        <v>2069</v>
      </c>
      <c r="D3003" s="1" t="s">
        <v>2070</v>
      </c>
      <c r="E3003" t="s">
        <v>14</v>
      </c>
      <c r="F3003">
        <v>41.149700000000003</v>
      </c>
      <c r="G3003">
        <v>1.1789000000000001</v>
      </c>
      <c r="H3003">
        <v>1</v>
      </c>
      <c r="I3003">
        <v>76</v>
      </c>
      <c r="J3003" t="str">
        <f>HYPERLINK("https://climate.onebuilding.org/WMO_Region_6_Europe/ESP_Spain/CT_Catalonia/ESP_CT_Reus.AP.081750_TMYx.2009-2023.zip")</f>
        <v>https://climate.onebuilding.org/WMO_Region_6_Europe/ESP_Spain/CT_Catalonia/ESP_CT_Reus.AP.081750_TMYx.2009-2023.zip</v>
      </c>
    </row>
    <row r="3004" spans="1:10" x14ac:dyDescent="0.25">
      <c r="A3004" t="s">
        <v>1949</v>
      </c>
      <c r="B3004" t="s">
        <v>2042</v>
      </c>
      <c r="C3004" t="s">
        <v>2069</v>
      </c>
      <c r="D3004" s="1" t="s">
        <v>2070</v>
      </c>
      <c r="E3004" t="s">
        <v>14</v>
      </c>
      <c r="F3004">
        <v>41.149700000000003</v>
      </c>
      <c r="G3004">
        <v>1.1789000000000001</v>
      </c>
      <c r="H3004">
        <v>1</v>
      </c>
      <c r="I3004">
        <v>76</v>
      </c>
      <c r="J3004" t="str">
        <f>HYPERLINK("https://climate.onebuilding.org/WMO_Region_6_Europe/ESP_Spain/CT_Catalonia/ESP_CT_Reus.AP.081750_TMYx.zip")</f>
        <v>https://climate.onebuilding.org/WMO_Region_6_Europe/ESP_Spain/CT_Catalonia/ESP_CT_Reus.AP.081750_TMYx.zip</v>
      </c>
    </row>
    <row r="3005" spans="1:10" x14ac:dyDescent="0.25">
      <c r="A3005" t="s">
        <v>1949</v>
      </c>
      <c r="B3005" t="s">
        <v>2042</v>
      </c>
      <c r="C3005" t="s">
        <v>2072</v>
      </c>
      <c r="D3005" s="1" t="s">
        <v>2073</v>
      </c>
      <c r="E3005" t="s">
        <v>14</v>
      </c>
      <c r="F3005">
        <v>41.116999999999997</v>
      </c>
      <c r="G3005">
        <v>1.25</v>
      </c>
      <c r="H3005">
        <v>1</v>
      </c>
      <c r="I3005">
        <v>64</v>
      </c>
      <c r="J3005" t="str">
        <f>HYPERLINK("https://climate.onebuilding.org/WMO_Region_6_Europe/ESP_Spain/CT_Catalonia/ESP_CT_Tarragona.081760_TMYx.zip")</f>
        <v>https://climate.onebuilding.org/WMO_Region_6_Europe/ESP_Spain/CT_Catalonia/ESP_CT_Tarragona.081760_TMYx.zip</v>
      </c>
    </row>
    <row r="3006" spans="1:10" x14ac:dyDescent="0.25">
      <c r="A3006" t="s">
        <v>1949</v>
      </c>
      <c r="B3006" t="s">
        <v>2042</v>
      </c>
      <c r="C3006" t="s">
        <v>2074</v>
      </c>
      <c r="D3006" s="1" t="s">
        <v>2075</v>
      </c>
      <c r="E3006" t="s">
        <v>2076</v>
      </c>
      <c r="F3006">
        <v>41.517000000000003</v>
      </c>
      <c r="G3006">
        <v>2.1</v>
      </c>
      <c r="H3006">
        <v>1</v>
      </c>
      <c r="I3006">
        <v>250</v>
      </c>
      <c r="J3006" t="str">
        <f>HYPERLINK("https://climate.onebuilding.org/WMO_Region_6_Europe/ESP_Spain/CT_Catalonia/ESP_CT_Sabadell.AP.081763_TMYx.2004-2018.zip")</f>
        <v>https://climate.onebuilding.org/WMO_Region_6_Europe/ESP_Spain/CT_Catalonia/ESP_CT_Sabadell.AP.081763_TMYx.2004-2018.zip</v>
      </c>
    </row>
    <row r="3007" spans="1:10" x14ac:dyDescent="0.25">
      <c r="A3007" t="s">
        <v>1949</v>
      </c>
      <c r="B3007" t="s">
        <v>2042</v>
      </c>
      <c r="C3007" t="s">
        <v>2074</v>
      </c>
      <c r="D3007" s="1" t="s">
        <v>2075</v>
      </c>
      <c r="E3007" t="s">
        <v>14</v>
      </c>
      <c r="F3007">
        <v>41.517000000000003</v>
      </c>
      <c r="G3007">
        <v>2.1</v>
      </c>
      <c r="H3007">
        <v>1</v>
      </c>
      <c r="I3007">
        <v>250</v>
      </c>
      <c r="J3007" t="str">
        <f>HYPERLINK("https://climate.onebuilding.org/WMO_Region_6_Europe/ESP_Spain/CT_Catalonia/ESP_CT_Sabadell.AP.081763_TMYx.2007-2021.zip")</f>
        <v>https://climate.onebuilding.org/WMO_Region_6_Europe/ESP_Spain/CT_Catalonia/ESP_CT_Sabadell.AP.081763_TMYx.2007-2021.zip</v>
      </c>
    </row>
    <row r="3008" spans="1:10" x14ac:dyDescent="0.25">
      <c r="A3008" t="s">
        <v>1949</v>
      </c>
      <c r="B3008" t="s">
        <v>2042</v>
      </c>
      <c r="C3008" t="s">
        <v>2074</v>
      </c>
      <c r="D3008" s="1" t="s">
        <v>2075</v>
      </c>
      <c r="E3008" t="s">
        <v>14</v>
      </c>
      <c r="F3008">
        <v>41.517000000000003</v>
      </c>
      <c r="G3008">
        <v>2.1</v>
      </c>
      <c r="H3008">
        <v>1</v>
      </c>
      <c r="I3008">
        <v>250</v>
      </c>
      <c r="J3008" t="str">
        <f>HYPERLINK("https://climate.onebuilding.org/WMO_Region_6_Europe/ESP_Spain/CT_Catalonia/ESP_CT_Sabadell.AP.081763_TMYx.2009-2023.zip")</f>
        <v>https://climate.onebuilding.org/WMO_Region_6_Europe/ESP_Spain/CT_Catalonia/ESP_CT_Sabadell.AP.081763_TMYx.2009-2023.zip</v>
      </c>
    </row>
    <row r="3009" spans="1:10" x14ac:dyDescent="0.25">
      <c r="A3009" t="s">
        <v>1949</v>
      </c>
      <c r="B3009" t="s">
        <v>2042</v>
      </c>
      <c r="C3009" t="s">
        <v>2074</v>
      </c>
      <c r="D3009" s="1" t="s">
        <v>2075</v>
      </c>
      <c r="E3009" t="s">
        <v>14</v>
      </c>
      <c r="F3009">
        <v>41.517000000000003</v>
      </c>
      <c r="G3009">
        <v>2.1</v>
      </c>
      <c r="H3009">
        <v>1</v>
      </c>
      <c r="I3009">
        <v>250</v>
      </c>
      <c r="J3009" t="str">
        <f>HYPERLINK("https://climate.onebuilding.org/WMO_Region_6_Europe/ESP_Spain/CT_Catalonia/ESP_CT_Sabadell.AP.081763_TMYx.zip")</f>
        <v>https://climate.onebuilding.org/WMO_Region_6_Europe/ESP_Spain/CT_Catalonia/ESP_CT_Sabadell.AP.081763_TMYx.zip</v>
      </c>
    </row>
    <row r="3010" spans="1:10" x14ac:dyDescent="0.25">
      <c r="A3010" t="s">
        <v>1949</v>
      </c>
      <c r="B3010" t="s">
        <v>2042</v>
      </c>
      <c r="C3010" t="s">
        <v>2077</v>
      </c>
      <c r="D3010" s="1" t="s">
        <v>2078</v>
      </c>
      <c r="E3010" t="s">
        <v>14</v>
      </c>
      <c r="F3010">
        <v>41.417000000000002</v>
      </c>
      <c r="G3010">
        <v>2.133</v>
      </c>
      <c r="H3010">
        <v>1</v>
      </c>
      <c r="I3010">
        <v>176</v>
      </c>
      <c r="J3010" t="str">
        <f>HYPERLINK("https://climate.onebuilding.org/WMO_Region_6_Europe/ESP_Spain/CT_Catalonia/ESP_CT_Barcelona.081800_TMYx.2007-2021.zip")</f>
        <v>https://climate.onebuilding.org/WMO_Region_6_Europe/ESP_Spain/CT_Catalonia/ESP_CT_Barcelona.081800_TMYx.2007-2021.zip</v>
      </c>
    </row>
    <row r="3011" spans="1:10" x14ac:dyDescent="0.25">
      <c r="A3011" t="s">
        <v>1949</v>
      </c>
      <c r="B3011" t="s">
        <v>2042</v>
      </c>
      <c r="C3011" t="s">
        <v>2077</v>
      </c>
      <c r="D3011" s="1" t="s">
        <v>2078</v>
      </c>
      <c r="E3011" t="s">
        <v>14</v>
      </c>
      <c r="F3011">
        <v>41.417000000000002</v>
      </c>
      <c r="G3011">
        <v>2.133</v>
      </c>
      <c r="H3011">
        <v>1</v>
      </c>
      <c r="I3011">
        <v>176</v>
      </c>
      <c r="J3011" t="str">
        <f>HYPERLINK("https://climate.onebuilding.org/WMO_Region_6_Europe/ESP_Spain/CT_Catalonia/ESP_CT_Barcelona.081800_TMYx.2009-2023.zip")</f>
        <v>https://climate.onebuilding.org/WMO_Region_6_Europe/ESP_Spain/CT_Catalonia/ESP_CT_Barcelona.081800_TMYx.2009-2023.zip</v>
      </c>
    </row>
    <row r="3012" spans="1:10" x14ac:dyDescent="0.25">
      <c r="A3012" t="s">
        <v>1949</v>
      </c>
      <c r="B3012" t="s">
        <v>2042</v>
      </c>
      <c r="C3012" t="s">
        <v>2077</v>
      </c>
      <c r="D3012" s="1" t="s">
        <v>2078</v>
      </c>
      <c r="E3012" t="s">
        <v>14</v>
      </c>
      <c r="F3012">
        <v>41.417000000000002</v>
      </c>
      <c r="G3012">
        <v>2.133</v>
      </c>
      <c r="H3012">
        <v>1</v>
      </c>
      <c r="I3012">
        <v>176</v>
      </c>
      <c r="J3012" t="str">
        <f>HYPERLINK("https://climate.onebuilding.org/WMO_Region_6_Europe/ESP_Spain/CT_Catalonia/ESP_CT_Barcelona.081800_TMYx.zip")</f>
        <v>https://climate.onebuilding.org/WMO_Region_6_Europe/ESP_Spain/CT_Catalonia/ESP_CT_Barcelona.081800_TMYx.zip</v>
      </c>
    </row>
    <row r="3013" spans="1:10" x14ac:dyDescent="0.25">
      <c r="A3013" t="s">
        <v>1949</v>
      </c>
      <c r="B3013" t="s">
        <v>2042</v>
      </c>
      <c r="C3013" t="s">
        <v>2079</v>
      </c>
      <c r="D3013" s="1" t="s">
        <v>2080</v>
      </c>
      <c r="E3013" t="s">
        <v>2081</v>
      </c>
      <c r="F3013">
        <v>41.2928</v>
      </c>
      <c r="G3013">
        <v>2.0699999999999998</v>
      </c>
      <c r="H3013">
        <v>1</v>
      </c>
      <c r="I3013">
        <v>5</v>
      </c>
      <c r="J3013" t="str">
        <f>HYPERLINK("https://climate.onebuilding.org/WMO_Region_6_Europe/ESP_Spain/CT_Catalonia/ESP_CT_Barcelona-El.Prat.AP.081810_TMYx.2004-2018.zip")</f>
        <v>https://climate.onebuilding.org/WMO_Region_6_Europe/ESP_Spain/CT_Catalonia/ESP_CT_Barcelona-El.Prat.AP.081810_TMYx.2004-2018.zip</v>
      </c>
    </row>
    <row r="3014" spans="1:10" x14ac:dyDescent="0.25">
      <c r="A3014" t="s">
        <v>1949</v>
      </c>
      <c r="B3014" t="s">
        <v>2042</v>
      </c>
      <c r="C3014" t="s">
        <v>2079</v>
      </c>
      <c r="D3014" s="1" t="s">
        <v>2080</v>
      </c>
      <c r="E3014" t="s">
        <v>14</v>
      </c>
      <c r="F3014">
        <v>41.2928</v>
      </c>
      <c r="G3014">
        <v>2.0699999999999998</v>
      </c>
      <c r="H3014">
        <v>1</v>
      </c>
      <c r="I3014">
        <v>5</v>
      </c>
      <c r="J3014" t="str">
        <f>HYPERLINK("https://climate.onebuilding.org/WMO_Region_6_Europe/ESP_Spain/CT_Catalonia/ESP_CT_Barcelona-El.Prat.AP.081810_TMYx.2007-2021.zip")</f>
        <v>https://climate.onebuilding.org/WMO_Region_6_Europe/ESP_Spain/CT_Catalonia/ESP_CT_Barcelona-El.Prat.AP.081810_TMYx.2007-2021.zip</v>
      </c>
    </row>
    <row r="3015" spans="1:10" x14ac:dyDescent="0.25">
      <c r="A3015" t="s">
        <v>1949</v>
      </c>
      <c r="B3015" t="s">
        <v>2042</v>
      </c>
      <c r="C3015" t="s">
        <v>2079</v>
      </c>
      <c r="D3015" s="1" t="s">
        <v>2080</v>
      </c>
      <c r="E3015" t="s">
        <v>14</v>
      </c>
      <c r="F3015">
        <v>41.2928</v>
      </c>
      <c r="G3015">
        <v>2.0699999999999998</v>
      </c>
      <c r="H3015">
        <v>1</v>
      </c>
      <c r="I3015">
        <v>5</v>
      </c>
      <c r="J3015" t="str">
        <f>HYPERLINK("https://climate.onebuilding.org/WMO_Region_6_Europe/ESP_Spain/CT_Catalonia/ESP_CT_Barcelona-El.Prat.AP.081810_TMYx.2009-2023.zip")</f>
        <v>https://climate.onebuilding.org/WMO_Region_6_Europe/ESP_Spain/CT_Catalonia/ESP_CT_Barcelona-El.Prat.AP.081810_TMYx.2009-2023.zip</v>
      </c>
    </row>
    <row r="3016" spans="1:10" x14ac:dyDescent="0.25">
      <c r="A3016" t="s">
        <v>1949</v>
      </c>
      <c r="B3016" t="s">
        <v>2042</v>
      </c>
      <c r="C3016" t="s">
        <v>2079</v>
      </c>
      <c r="D3016" s="1" t="s">
        <v>2080</v>
      </c>
      <c r="E3016" t="s">
        <v>14</v>
      </c>
      <c r="F3016">
        <v>41.2928</v>
      </c>
      <c r="G3016">
        <v>2.0699999999999998</v>
      </c>
      <c r="H3016">
        <v>1</v>
      </c>
      <c r="I3016">
        <v>5</v>
      </c>
      <c r="J3016" t="str">
        <f>HYPERLINK("https://climate.onebuilding.org/WMO_Region_6_Europe/ESP_Spain/CT_Catalonia/ESP_CT_Barcelona-El.Prat.AP.081810_TMYx.zip")</f>
        <v>https://climate.onebuilding.org/WMO_Region_6_Europe/ESP_Spain/CT_Catalonia/ESP_CT_Barcelona-El.Prat.AP.081810_TMYx.zip</v>
      </c>
    </row>
    <row r="3017" spans="1:10" x14ac:dyDescent="0.25">
      <c r="A3017" t="s">
        <v>1949</v>
      </c>
      <c r="B3017" t="s">
        <v>2042</v>
      </c>
      <c r="C3017" t="s">
        <v>2082</v>
      </c>
      <c r="D3017" s="1" t="s">
        <v>2083</v>
      </c>
      <c r="E3017" t="s">
        <v>14</v>
      </c>
      <c r="F3017">
        <v>41.783000000000001</v>
      </c>
      <c r="G3017">
        <v>2.4329999999999998</v>
      </c>
      <c r="H3017">
        <v>1</v>
      </c>
      <c r="I3017">
        <v>1708</v>
      </c>
      <c r="J3017" t="str">
        <f>HYPERLINK("https://climate.onebuilding.org/WMO_Region_6_Europe/ESP_Spain/CT_Catalonia/ESP_CT_Parc.Natural.del.Montseny.081820_TMYx.zip")</f>
        <v>https://climate.onebuilding.org/WMO_Region_6_Europe/ESP_Spain/CT_Catalonia/ESP_CT_Parc.Natural.del.Montseny.081820_TMYx.zip</v>
      </c>
    </row>
    <row r="3018" spans="1:10" x14ac:dyDescent="0.25">
      <c r="A3018" t="s">
        <v>1949</v>
      </c>
      <c r="B3018" t="s">
        <v>2042</v>
      </c>
      <c r="C3018" t="s">
        <v>2084</v>
      </c>
      <c r="D3018" s="1" t="s">
        <v>2085</v>
      </c>
      <c r="E3018" t="s">
        <v>2086</v>
      </c>
      <c r="F3018">
        <v>41.911700000000003</v>
      </c>
      <c r="G3018">
        <v>2.7633000000000001</v>
      </c>
      <c r="H3018">
        <v>1</v>
      </c>
      <c r="I3018">
        <v>129</v>
      </c>
      <c r="J3018" t="str">
        <f>HYPERLINK("https://climate.onebuilding.org/WMO_Region_6_Europe/ESP_Spain/CT_Catalonia/ESP_CT_Girona-Costa.Brava.AP.081840_TMYx.2004-2018.zip")</f>
        <v>https://climate.onebuilding.org/WMO_Region_6_Europe/ESP_Spain/CT_Catalonia/ESP_CT_Girona-Costa.Brava.AP.081840_TMYx.2004-2018.zip</v>
      </c>
    </row>
    <row r="3019" spans="1:10" x14ac:dyDescent="0.25">
      <c r="A3019" t="s">
        <v>1949</v>
      </c>
      <c r="B3019" t="s">
        <v>2042</v>
      </c>
      <c r="C3019" t="s">
        <v>2084</v>
      </c>
      <c r="D3019" s="1" t="s">
        <v>2085</v>
      </c>
      <c r="E3019" t="s">
        <v>14</v>
      </c>
      <c r="F3019">
        <v>41.911700000000003</v>
      </c>
      <c r="G3019">
        <v>2.7633000000000001</v>
      </c>
      <c r="H3019">
        <v>1</v>
      </c>
      <c r="I3019">
        <v>129</v>
      </c>
      <c r="J3019" t="str">
        <f>HYPERLINK("https://climate.onebuilding.org/WMO_Region_6_Europe/ESP_Spain/CT_Catalonia/ESP_CT_Girona-Costa.Brava.AP.081840_TMYx.2007-2021.zip")</f>
        <v>https://climate.onebuilding.org/WMO_Region_6_Europe/ESP_Spain/CT_Catalonia/ESP_CT_Girona-Costa.Brava.AP.081840_TMYx.2007-2021.zip</v>
      </c>
    </row>
    <row r="3020" spans="1:10" x14ac:dyDescent="0.25">
      <c r="A3020" t="s">
        <v>1949</v>
      </c>
      <c r="B3020" t="s">
        <v>2042</v>
      </c>
      <c r="C3020" t="s">
        <v>2084</v>
      </c>
      <c r="D3020" s="1" t="s">
        <v>2085</v>
      </c>
      <c r="E3020" t="s">
        <v>14</v>
      </c>
      <c r="F3020">
        <v>41.911700000000003</v>
      </c>
      <c r="G3020">
        <v>2.7633000000000001</v>
      </c>
      <c r="H3020">
        <v>1</v>
      </c>
      <c r="I3020">
        <v>129</v>
      </c>
      <c r="J3020" t="str">
        <f>HYPERLINK("https://climate.onebuilding.org/WMO_Region_6_Europe/ESP_Spain/CT_Catalonia/ESP_CT_Girona-Costa.Brava.AP.081840_TMYx.2009-2023.zip")</f>
        <v>https://climate.onebuilding.org/WMO_Region_6_Europe/ESP_Spain/CT_Catalonia/ESP_CT_Girona-Costa.Brava.AP.081840_TMYx.2009-2023.zip</v>
      </c>
    </row>
    <row r="3021" spans="1:10" x14ac:dyDescent="0.25">
      <c r="A3021" t="s">
        <v>1949</v>
      </c>
      <c r="B3021" t="s">
        <v>2042</v>
      </c>
      <c r="C3021" t="s">
        <v>2084</v>
      </c>
      <c r="D3021" s="1" t="s">
        <v>2085</v>
      </c>
      <c r="E3021" t="s">
        <v>14</v>
      </c>
      <c r="F3021">
        <v>41.911700000000003</v>
      </c>
      <c r="G3021">
        <v>2.7633000000000001</v>
      </c>
      <c r="H3021">
        <v>1</v>
      </c>
      <c r="I3021">
        <v>129</v>
      </c>
      <c r="J3021" t="str">
        <f>HYPERLINK("https://climate.onebuilding.org/WMO_Region_6_Europe/ESP_Spain/CT_Catalonia/ESP_CT_Girona-Costa.Brava.AP.081840_TMYx.zip")</f>
        <v>https://climate.onebuilding.org/WMO_Region_6_Europe/ESP_Spain/CT_Catalonia/ESP_CT_Girona-Costa.Brava.AP.081840_TMYx.zip</v>
      </c>
    </row>
    <row r="3022" spans="1:10" x14ac:dyDescent="0.25">
      <c r="A3022" t="s">
        <v>1949</v>
      </c>
      <c r="B3022" t="s">
        <v>2042</v>
      </c>
      <c r="C3022" t="s">
        <v>2087</v>
      </c>
      <c r="D3022" s="1" t="s">
        <v>2088</v>
      </c>
      <c r="E3022" t="s">
        <v>14</v>
      </c>
      <c r="F3022">
        <v>41.633000000000003</v>
      </c>
      <c r="G3022">
        <v>2.0169999999999999</v>
      </c>
      <c r="H3022">
        <v>1</v>
      </c>
      <c r="I3022">
        <v>1092</v>
      </c>
      <c r="J3022" t="str">
        <f>HYPERLINK("https://climate.onebuilding.org/WMO_Region_6_Europe/ESP_Spain/CT_Catalonia/ESP_CT_San.Lorenzo.081860_TMYx.2007-2021.zip")</f>
        <v>https://climate.onebuilding.org/WMO_Region_6_Europe/ESP_Spain/CT_Catalonia/ESP_CT_San.Lorenzo.081860_TMYx.2007-2021.zip</v>
      </c>
    </row>
    <row r="3023" spans="1:10" x14ac:dyDescent="0.25">
      <c r="A3023" t="s">
        <v>1949</v>
      </c>
      <c r="B3023" t="s">
        <v>2042</v>
      </c>
      <c r="C3023" t="s">
        <v>2087</v>
      </c>
      <c r="D3023" s="1" t="s">
        <v>2088</v>
      </c>
      <c r="E3023" t="s">
        <v>14</v>
      </c>
      <c r="F3023">
        <v>41.633000000000003</v>
      </c>
      <c r="G3023">
        <v>2.0169999999999999</v>
      </c>
      <c r="H3023">
        <v>1</v>
      </c>
      <c r="I3023">
        <v>1092</v>
      </c>
      <c r="J3023" t="str">
        <f>HYPERLINK("https://climate.onebuilding.org/WMO_Region_6_Europe/ESP_Spain/CT_Catalonia/ESP_CT_San.Lorenzo.081860_TMYx.2009-2023.zip")</f>
        <v>https://climate.onebuilding.org/WMO_Region_6_Europe/ESP_Spain/CT_Catalonia/ESP_CT_San.Lorenzo.081860_TMYx.2009-2023.zip</v>
      </c>
    </row>
    <row r="3024" spans="1:10" x14ac:dyDescent="0.25">
      <c r="A3024" t="s">
        <v>1949</v>
      </c>
      <c r="B3024" t="s">
        <v>2042</v>
      </c>
      <c r="C3024" t="s">
        <v>2087</v>
      </c>
      <c r="D3024" s="1" t="s">
        <v>2088</v>
      </c>
      <c r="E3024" t="s">
        <v>14</v>
      </c>
      <c r="F3024">
        <v>41.633000000000003</v>
      </c>
      <c r="G3024">
        <v>2.0169999999999999</v>
      </c>
      <c r="H3024">
        <v>1</v>
      </c>
      <c r="I3024">
        <v>1092</v>
      </c>
      <c r="J3024" t="str">
        <f>HYPERLINK("https://climate.onebuilding.org/WMO_Region_6_Europe/ESP_Spain/CT_Catalonia/ESP_CT_San.Lorenzo.081860_TMYx.zip")</f>
        <v>https://climate.onebuilding.org/WMO_Region_6_Europe/ESP_Spain/CT_Catalonia/ESP_CT_San.Lorenzo.081860_TMYx.zip</v>
      </c>
    </row>
    <row r="3025" spans="1:10" x14ac:dyDescent="0.25">
      <c r="A3025" t="s">
        <v>1949</v>
      </c>
      <c r="B3025" t="s">
        <v>2008</v>
      </c>
      <c r="C3025" t="s">
        <v>2089</v>
      </c>
      <c r="D3025" s="1" t="s">
        <v>2090</v>
      </c>
      <c r="E3025" t="s">
        <v>14</v>
      </c>
      <c r="F3025">
        <v>40.950000000000003</v>
      </c>
      <c r="G3025">
        <v>-5.65</v>
      </c>
      <c r="H3025">
        <v>1</v>
      </c>
      <c r="I3025">
        <v>787</v>
      </c>
      <c r="J3025" t="str">
        <f>HYPERLINK("https://climate.onebuilding.org/WMO_Region_6_Europe/ESP_Spain/CL_Castile_and_Leon/ESP_CL_Salamanca.082010_TMYx.2007-2021.zip")</f>
        <v>https://climate.onebuilding.org/WMO_Region_6_Europe/ESP_Spain/CL_Castile_and_Leon/ESP_CL_Salamanca.082010_TMYx.2007-2021.zip</v>
      </c>
    </row>
    <row r="3026" spans="1:10" x14ac:dyDescent="0.25">
      <c r="A3026" t="s">
        <v>1949</v>
      </c>
      <c r="B3026" t="s">
        <v>2008</v>
      </c>
      <c r="C3026" t="s">
        <v>2089</v>
      </c>
      <c r="D3026" s="1" t="s">
        <v>2090</v>
      </c>
      <c r="E3026" t="s">
        <v>14</v>
      </c>
      <c r="F3026">
        <v>40.950000000000003</v>
      </c>
      <c r="G3026">
        <v>-5.65</v>
      </c>
      <c r="H3026">
        <v>1</v>
      </c>
      <c r="I3026">
        <v>787</v>
      </c>
      <c r="J3026" t="str">
        <f>HYPERLINK("https://climate.onebuilding.org/WMO_Region_6_Europe/ESP_Spain/CL_Castile_and_Leon/ESP_CL_Salamanca.082010_TMYx.2009-2023.zip")</f>
        <v>https://climate.onebuilding.org/WMO_Region_6_Europe/ESP_Spain/CL_Castile_and_Leon/ESP_CL_Salamanca.082010_TMYx.2009-2023.zip</v>
      </c>
    </row>
    <row r="3027" spans="1:10" x14ac:dyDescent="0.25">
      <c r="A3027" t="s">
        <v>1949</v>
      </c>
      <c r="B3027" t="s">
        <v>2008</v>
      </c>
      <c r="C3027" t="s">
        <v>2089</v>
      </c>
      <c r="D3027" s="1" t="s">
        <v>2090</v>
      </c>
      <c r="E3027" t="s">
        <v>14</v>
      </c>
      <c r="F3027">
        <v>40.950000000000003</v>
      </c>
      <c r="G3027">
        <v>-5.65</v>
      </c>
      <c r="H3027">
        <v>1</v>
      </c>
      <c r="I3027">
        <v>787</v>
      </c>
      <c r="J3027" t="str">
        <f>HYPERLINK("https://climate.onebuilding.org/WMO_Region_6_Europe/ESP_Spain/CL_Castile_and_Leon/ESP_CL_Salamanca.082010_TMYx.zip")</f>
        <v>https://climate.onebuilding.org/WMO_Region_6_Europe/ESP_Spain/CL_Castile_and_Leon/ESP_CL_Salamanca.082010_TMYx.zip</v>
      </c>
    </row>
    <row r="3028" spans="1:10" x14ac:dyDescent="0.25">
      <c r="A3028" t="s">
        <v>1949</v>
      </c>
      <c r="B3028" t="s">
        <v>2008</v>
      </c>
      <c r="C3028" t="s">
        <v>2091</v>
      </c>
      <c r="D3028" s="1" t="s">
        <v>2092</v>
      </c>
      <c r="E3028" t="s">
        <v>2093</v>
      </c>
      <c r="F3028">
        <v>40.959400000000002</v>
      </c>
      <c r="G3028">
        <v>-5.4983000000000004</v>
      </c>
      <c r="H3028">
        <v>1</v>
      </c>
      <c r="I3028">
        <v>794</v>
      </c>
      <c r="J3028" t="str">
        <f>HYPERLINK("https://climate.onebuilding.org/WMO_Region_6_Europe/ESP_Spain/CL_Castile_and_Leon/ESP_CL_Salamanca.AP.082020_TMYx.2004-2018.zip")</f>
        <v>https://climate.onebuilding.org/WMO_Region_6_Europe/ESP_Spain/CL_Castile_and_Leon/ESP_CL_Salamanca.AP.082020_TMYx.2004-2018.zip</v>
      </c>
    </row>
    <row r="3029" spans="1:10" x14ac:dyDescent="0.25">
      <c r="A3029" t="s">
        <v>1949</v>
      </c>
      <c r="B3029" t="s">
        <v>2008</v>
      </c>
      <c r="C3029" t="s">
        <v>2091</v>
      </c>
      <c r="D3029" s="1" t="s">
        <v>2092</v>
      </c>
      <c r="E3029" t="s">
        <v>14</v>
      </c>
      <c r="F3029">
        <v>40.959400000000002</v>
      </c>
      <c r="G3029">
        <v>-5.4983000000000004</v>
      </c>
      <c r="H3029">
        <v>1</v>
      </c>
      <c r="I3029">
        <v>794</v>
      </c>
      <c r="J3029" t="str">
        <f>HYPERLINK("https://climate.onebuilding.org/WMO_Region_6_Europe/ESP_Spain/CL_Castile_and_Leon/ESP_CL_Salamanca.AP.082020_TMYx.2007-2021.zip")</f>
        <v>https://climate.onebuilding.org/WMO_Region_6_Europe/ESP_Spain/CL_Castile_and_Leon/ESP_CL_Salamanca.AP.082020_TMYx.2007-2021.zip</v>
      </c>
    </row>
    <row r="3030" spans="1:10" x14ac:dyDescent="0.25">
      <c r="A3030" t="s">
        <v>1949</v>
      </c>
      <c r="B3030" t="s">
        <v>2008</v>
      </c>
      <c r="C3030" t="s">
        <v>2091</v>
      </c>
      <c r="D3030" s="1" t="s">
        <v>2092</v>
      </c>
      <c r="E3030" t="s">
        <v>14</v>
      </c>
      <c r="F3030">
        <v>40.959400000000002</v>
      </c>
      <c r="G3030">
        <v>-5.4983000000000004</v>
      </c>
      <c r="H3030">
        <v>1</v>
      </c>
      <c r="I3030">
        <v>794</v>
      </c>
      <c r="J3030" t="str">
        <f>HYPERLINK("https://climate.onebuilding.org/WMO_Region_6_Europe/ESP_Spain/CL_Castile_and_Leon/ESP_CL_Salamanca.AP.082020_TMYx.2009-2023.zip")</f>
        <v>https://climate.onebuilding.org/WMO_Region_6_Europe/ESP_Spain/CL_Castile_and_Leon/ESP_CL_Salamanca.AP.082020_TMYx.2009-2023.zip</v>
      </c>
    </row>
    <row r="3031" spans="1:10" x14ac:dyDescent="0.25">
      <c r="A3031" t="s">
        <v>1949</v>
      </c>
      <c r="B3031" t="s">
        <v>2008</v>
      </c>
      <c r="C3031" t="s">
        <v>2091</v>
      </c>
      <c r="D3031" s="1" t="s">
        <v>2092</v>
      </c>
      <c r="E3031" t="s">
        <v>14</v>
      </c>
      <c r="F3031">
        <v>40.959400000000002</v>
      </c>
      <c r="G3031">
        <v>-5.4983000000000004</v>
      </c>
      <c r="H3031">
        <v>1</v>
      </c>
      <c r="I3031">
        <v>794</v>
      </c>
      <c r="J3031" t="str">
        <f>HYPERLINK("https://climate.onebuilding.org/WMO_Region_6_Europe/ESP_Spain/CL_Castile_and_Leon/ESP_CL_Salamanca.AP.082020_TMYx.zip")</f>
        <v>https://climate.onebuilding.org/WMO_Region_6_Europe/ESP_Spain/CL_Castile_and_Leon/ESP_CL_Salamanca.AP.082020_TMYx.zip</v>
      </c>
    </row>
    <row r="3032" spans="1:10" x14ac:dyDescent="0.25">
      <c r="A3032" t="s">
        <v>1949</v>
      </c>
      <c r="B3032" t="s">
        <v>2008</v>
      </c>
      <c r="C3032" t="s">
        <v>2094</v>
      </c>
      <c r="D3032" s="1" t="s">
        <v>2095</v>
      </c>
      <c r="E3032" t="s">
        <v>14</v>
      </c>
      <c r="F3032">
        <v>40.659199999999998</v>
      </c>
      <c r="G3032">
        <v>-4.68</v>
      </c>
      <c r="H3032">
        <v>1</v>
      </c>
      <c r="I3032">
        <v>1132</v>
      </c>
      <c r="J3032" t="str">
        <f>HYPERLINK("https://climate.onebuilding.org/WMO_Region_6_Europe/ESP_Spain/CL_Castile_and_Leon/ESP_CL_Avila.082100_TMYx.2007-2021.zip")</f>
        <v>https://climate.onebuilding.org/WMO_Region_6_Europe/ESP_Spain/CL_Castile_and_Leon/ESP_CL_Avila.082100_TMYx.2007-2021.zip</v>
      </c>
    </row>
    <row r="3033" spans="1:10" x14ac:dyDescent="0.25">
      <c r="A3033" t="s">
        <v>1949</v>
      </c>
      <c r="B3033" t="s">
        <v>2008</v>
      </c>
      <c r="C3033" t="s">
        <v>2094</v>
      </c>
      <c r="D3033" s="1" t="s">
        <v>2095</v>
      </c>
      <c r="E3033" t="s">
        <v>14</v>
      </c>
      <c r="F3033">
        <v>40.659199999999998</v>
      </c>
      <c r="G3033">
        <v>-4.68</v>
      </c>
      <c r="H3033">
        <v>1</v>
      </c>
      <c r="I3033">
        <v>1132</v>
      </c>
      <c r="J3033" t="str">
        <f>HYPERLINK("https://climate.onebuilding.org/WMO_Region_6_Europe/ESP_Spain/CL_Castile_and_Leon/ESP_CL_Avila.082100_TMYx.2009-2023.zip")</f>
        <v>https://climate.onebuilding.org/WMO_Region_6_Europe/ESP_Spain/CL_Castile_and_Leon/ESP_CL_Avila.082100_TMYx.2009-2023.zip</v>
      </c>
    </row>
    <row r="3034" spans="1:10" x14ac:dyDescent="0.25">
      <c r="A3034" t="s">
        <v>1949</v>
      </c>
      <c r="B3034" t="s">
        <v>2008</v>
      </c>
      <c r="C3034" t="s">
        <v>2094</v>
      </c>
      <c r="D3034" s="1" t="s">
        <v>2095</v>
      </c>
      <c r="E3034" t="s">
        <v>14</v>
      </c>
      <c r="F3034">
        <v>40.659199999999998</v>
      </c>
      <c r="G3034">
        <v>-4.68</v>
      </c>
      <c r="H3034">
        <v>1</v>
      </c>
      <c r="I3034">
        <v>1132</v>
      </c>
      <c r="J3034" t="str">
        <f>HYPERLINK("https://climate.onebuilding.org/WMO_Region_6_Europe/ESP_Spain/CL_Castile_and_Leon/ESP_CL_Avila.082100_TMYx.zip")</f>
        <v>https://climate.onebuilding.org/WMO_Region_6_Europe/ESP_Spain/CL_Castile_and_Leon/ESP_CL_Avila.082100_TMYx.zip</v>
      </c>
    </row>
    <row r="3035" spans="1:10" x14ac:dyDescent="0.25">
      <c r="A3035" t="s">
        <v>1949</v>
      </c>
      <c r="B3035" t="s">
        <v>2008</v>
      </c>
      <c r="C3035" t="s">
        <v>2096</v>
      </c>
      <c r="D3035" s="1" t="s">
        <v>2097</v>
      </c>
      <c r="E3035" t="s">
        <v>2098</v>
      </c>
      <c r="F3035">
        <v>40.945300000000003</v>
      </c>
      <c r="G3035">
        <v>-4.1264000000000003</v>
      </c>
      <c r="H3035">
        <v>1</v>
      </c>
      <c r="I3035">
        <v>1005</v>
      </c>
      <c r="J3035" t="str">
        <f>HYPERLINK("https://climate.onebuilding.org/WMO_Region_6_Europe/ESP_Spain/CL_Castile_and_Leon/ESP_CL_Segovia.082130_TMYx.2004-2018.zip")</f>
        <v>https://climate.onebuilding.org/WMO_Region_6_Europe/ESP_Spain/CL_Castile_and_Leon/ESP_CL_Segovia.082130_TMYx.2004-2018.zip</v>
      </c>
    </row>
    <row r="3036" spans="1:10" x14ac:dyDescent="0.25">
      <c r="A3036" t="s">
        <v>1949</v>
      </c>
      <c r="B3036" t="s">
        <v>2008</v>
      </c>
      <c r="C3036" t="s">
        <v>2096</v>
      </c>
      <c r="D3036" s="1" t="s">
        <v>2097</v>
      </c>
      <c r="E3036" t="s">
        <v>14</v>
      </c>
      <c r="F3036">
        <v>40.945300000000003</v>
      </c>
      <c r="G3036">
        <v>-4.1264000000000003</v>
      </c>
      <c r="H3036">
        <v>1</v>
      </c>
      <c r="I3036">
        <v>1005</v>
      </c>
      <c r="J3036" t="str">
        <f>HYPERLINK("https://climate.onebuilding.org/WMO_Region_6_Europe/ESP_Spain/CL_Castile_and_Leon/ESP_CL_Segovia.082130_TMYx.2007-2021.zip")</f>
        <v>https://climate.onebuilding.org/WMO_Region_6_Europe/ESP_Spain/CL_Castile_and_Leon/ESP_CL_Segovia.082130_TMYx.2007-2021.zip</v>
      </c>
    </row>
    <row r="3037" spans="1:10" x14ac:dyDescent="0.25">
      <c r="A3037" t="s">
        <v>1949</v>
      </c>
      <c r="B3037" t="s">
        <v>2008</v>
      </c>
      <c r="C3037" t="s">
        <v>2096</v>
      </c>
      <c r="D3037" s="1" t="s">
        <v>2097</v>
      </c>
      <c r="E3037" t="s">
        <v>14</v>
      </c>
      <c r="F3037">
        <v>40.945300000000003</v>
      </c>
      <c r="G3037">
        <v>-4.1264000000000003</v>
      </c>
      <c r="H3037">
        <v>1</v>
      </c>
      <c r="I3037">
        <v>1005</v>
      </c>
      <c r="J3037" t="str">
        <f>HYPERLINK("https://climate.onebuilding.org/WMO_Region_6_Europe/ESP_Spain/CL_Castile_and_Leon/ESP_CL_Segovia.082130_TMYx.2009-2023.zip")</f>
        <v>https://climate.onebuilding.org/WMO_Region_6_Europe/ESP_Spain/CL_Castile_and_Leon/ESP_CL_Segovia.082130_TMYx.2009-2023.zip</v>
      </c>
    </row>
    <row r="3038" spans="1:10" x14ac:dyDescent="0.25">
      <c r="A3038" t="s">
        <v>1949</v>
      </c>
      <c r="B3038" t="s">
        <v>2008</v>
      </c>
      <c r="C3038" t="s">
        <v>2096</v>
      </c>
      <c r="D3038" s="1" t="s">
        <v>2097</v>
      </c>
      <c r="E3038" t="s">
        <v>14</v>
      </c>
      <c r="F3038">
        <v>40.945300000000003</v>
      </c>
      <c r="G3038">
        <v>-4.1264000000000003</v>
      </c>
      <c r="H3038">
        <v>1</v>
      </c>
      <c r="I3038">
        <v>1005</v>
      </c>
      <c r="J3038" t="str">
        <f>HYPERLINK("https://climate.onebuilding.org/WMO_Region_6_Europe/ESP_Spain/CL_Castile_and_Leon/ESP_CL_Segovia.082130_TMYx.zip")</f>
        <v>https://climate.onebuilding.org/WMO_Region_6_Europe/ESP_Spain/CL_Castile_and_Leon/ESP_CL_Segovia.082130_TMYx.zip</v>
      </c>
    </row>
    <row r="3039" spans="1:10" x14ac:dyDescent="0.25">
      <c r="A3039" t="s">
        <v>1949</v>
      </c>
      <c r="B3039" t="s">
        <v>2008</v>
      </c>
      <c r="C3039" t="s">
        <v>2099</v>
      </c>
      <c r="D3039" s="1" t="s">
        <v>2100</v>
      </c>
      <c r="E3039" t="s">
        <v>2101</v>
      </c>
      <c r="F3039">
        <v>40.793100000000003</v>
      </c>
      <c r="G3039">
        <v>-4.0106000000000002</v>
      </c>
      <c r="H3039">
        <v>1</v>
      </c>
      <c r="I3039">
        <v>1888</v>
      </c>
      <c r="J3039" t="str">
        <f>HYPERLINK("https://climate.onebuilding.org/WMO_Region_6_Europe/ESP_Spain/CL_Castile_and_Leon/ESP_CL_Puerto.Navacerrada.082150_TMYx.2004-2018.zip")</f>
        <v>https://climate.onebuilding.org/WMO_Region_6_Europe/ESP_Spain/CL_Castile_and_Leon/ESP_CL_Puerto.Navacerrada.082150_TMYx.2004-2018.zip</v>
      </c>
    </row>
    <row r="3040" spans="1:10" x14ac:dyDescent="0.25">
      <c r="A3040" t="s">
        <v>1949</v>
      </c>
      <c r="B3040" t="s">
        <v>2008</v>
      </c>
      <c r="C3040" t="s">
        <v>2099</v>
      </c>
      <c r="D3040" s="1" t="s">
        <v>2100</v>
      </c>
      <c r="E3040" t="s">
        <v>14</v>
      </c>
      <c r="F3040">
        <v>40.793100000000003</v>
      </c>
      <c r="G3040">
        <v>-4.0106000000000002</v>
      </c>
      <c r="H3040">
        <v>1</v>
      </c>
      <c r="I3040">
        <v>1888</v>
      </c>
      <c r="J3040" t="str">
        <f>HYPERLINK("https://climate.onebuilding.org/WMO_Region_6_Europe/ESP_Spain/CL_Castile_and_Leon/ESP_CL_Puerto.Navacerrada.082150_TMYx.2007-2021.zip")</f>
        <v>https://climate.onebuilding.org/WMO_Region_6_Europe/ESP_Spain/CL_Castile_and_Leon/ESP_CL_Puerto.Navacerrada.082150_TMYx.2007-2021.zip</v>
      </c>
    </row>
    <row r="3041" spans="1:10" x14ac:dyDescent="0.25">
      <c r="A3041" t="s">
        <v>1949</v>
      </c>
      <c r="B3041" t="s">
        <v>2008</v>
      </c>
      <c r="C3041" t="s">
        <v>2099</v>
      </c>
      <c r="D3041" s="1" t="s">
        <v>2100</v>
      </c>
      <c r="E3041" t="s">
        <v>14</v>
      </c>
      <c r="F3041">
        <v>40.793100000000003</v>
      </c>
      <c r="G3041">
        <v>-4.0106000000000002</v>
      </c>
      <c r="H3041">
        <v>1</v>
      </c>
      <c r="I3041">
        <v>1888</v>
      </c>
      <c r="J3041" t="str">
        <f>HYPERLINK("https://climate.onebuilding.org/WMO_Region_6_Europe/ESP_Spain/CL_Castile_and_Leon/ESP_CL_Puerto.Navacerrada.082150_TMYx.2009-2023.zip")</f>
        <v>https://climate.onebuilding.org/WMO_Region_6_Europe/ESP_Spain/CL_Castile_and_Leon/ESP_CL_Puerto.Navacerrada.082150_TMYx.2009-2023.zip</v>
      </c>
    </row>
    <row r="3042" spans="1:10" x14ac:dyDescent="0.25">
      <c r="A3042" t="s">
        <v>1949</v>
      </c>
      <c r="B3042" t="s">
        <v>2008</v>
      </c>
      <c r="C3042" t="s">
        <v>2099</v>
      </c>
      <c r="D3042" s="1" t="s">
        <v>2100</v>
      </c>
      <c r="E3042" t="s">
        <v>14</v>
      </c>
      <c r="F3042">
        <v>40.793100000000003</v>
      </c>
      <c r="G3042">
        <v>-4.0106000000000002</v>
      </c>
      <c r="H3042">
        <v>1</v>
      </c>
      <c r="I3042">
        <v>1888</v>
      </c>
      <c r="J3042" t="str">
        <f>HYPERLINK("https://climate.onebuilding.org/WMO_Region_6_Europe/ESP_Spain/CL_Castile_and_Leon/ESP_CL_Puerto.Navacerrada.082150_TMYx.zip")</f>
        <v>https://climate.onebuilding.org/WMO_Region_6_Europe/ESP_Spain/CL_Castile_and_Leon/ESP_CL_Puerto.Navacerrada.082150_TMYx.zip</v>
      </c>
    </row>
    <row r="3043" spans="1:10" x14ac:dyDescent="0.25">
      <c r="A3043" t="s">
        <v>1949</v>
      </c>
      <c r="B3043" t="s">
        <v>2102</v>
      </c>
      <c r="C3043" t="s">
        <v>2103</v>
      </c>
      <c r="D3043" s="1" t="s">
        <v>2104</v>
      </c>
      <c r="E3043" t="s">
        <v>2105</v>
      </c>
      <c r="F3043">
        <v>40.696100000000001</v>
      </c>
      <c r="G3043">
        <v>-3.7650000000000001</v>
      </c>
      <c r="H3043">
        <v>1</v>
      </c>
      <c r="I3043">
        <v>-999.9</v>
      </c>
      <c r="J3043" t="str">
        <f>HYPERLINK("https://climate.onebuilding.org/WMO_Region_6_Europe/ESP_Spain/MD_Madrid/ESP_MD_Colmenar.Viejo.082190_TMYx.2004-2018.zip")</f>
        <v>https://climate.onebuilding.org/WMO_Region_6_Europe/ESP_Spain/MD_Madrid/ESP_MD_Colmenar.Viejo.082190_TMYx.2004-2018.zip</v>
      </c>
    </row>
    <row r="3044" spans="1:10" x14ac:dyDescent="0.25">
      <c r="A3044" t="s">
        <v>1949</v>
      </c>
      <c r="B3044" t="s">
        <v>2102</v>
      </c>
      <c r="C3044" t="s">
        <v>2103</v>
      </c>
      <c r="D3044" s="1" t="s">
        <v>2104</v>
      </c>
      <c r="E3044" t="s">
        <v>14</v>
      </c>
      <c r="F3044">
        <v>40.696100000000001</v>
      </c>
      <c r="G3044">
        <v>-3.7650000000000001</v>
      </c>
      <c r="H3044">
        <v>1</v>
      </c>
      <c r="I3044">
        <v>-999.9</v>
      </c>
      <c r="J3044" t="str">
        <f>HYPERLINK("https://climate.onebuilding.org/WMO_Region_6_Europe/ESP_Spain/MD_Madrid/ESP_MD_Colmenar.Viejo.082190_TMYx.2007-2021.zip")</f>
        <v>https://climate.onebuilding.org/WMO_Region_6_Europe/ESP_Spain/MD_Madrid/ESP_MD_Colmenar.Viejo.082190_TMYx.2007-2021.zip</v>
      </c>
    </row>
    <row r="3045" spans="1:10" x14ac:dyDescent="0.25">
      <c r="A3045" t="s">
        <v>1949</v>
      </c>
      <c r="B3045" t="s">
        <v>2102</v>
      </c>
      <c r="C3045" t="s">
        <v>2103</v>
      </c>
      <c r="D3045" s="1" t="s">
        <v>2104</v>
      </c>
      <c r="E3045" t="s">
        <v>14</v>
      </c>
      <c r="F3045">
        <v>40.696100000000001</v>
      </c>
      <c r="G3045">
        <v>-3.7650000000000001</v>
      </c>
      <c r="H3045">
        <v>1</v>
      </c>
      <c r="I3045">
        <v>-999.9</v>
      </c>
      <c r="J3045" t="str">
        <f>HYPERLINK("https://climate.onebuilding.org/WMO_Region_6_Europe/ESP_Spain/MD_Madrid/ESP_MD_Colmenar.Viejo.082190_TMYx.2009-2023.zip")</f>
        <v>https://climate.onebuilding.org/WMO_Region_6_Europe/ESP_Spain/MD_Madrid/ESP_MD_Colmenar.Viejo.082190_TMYx.2009-2023.zip</v>
      </c>
    </row>
    <row r="3046" spans="1:10" x14ac:dyDescent="0.25">
      <c r="A3046" t="s">
        <v>1949</v>
      </c>
      <c r="B3046" t="s">
        <v>2102</v>
      </c>
      <c r="C3046" t="s">
        <v>2103</v>
      </c>
      <c r="D3046" s="1" t="s">
        <v>2104</v>
      </c>
      <c r="E3046" t="s">
        <v>14</v>
      </c>
      <c r="F3046">
        <v>40.696100000000001</v>
      </c>
      <c r="G3046">
        <v>-3.7650000000000001</v>
      </c>
      <c r="H3046">
        <v>1</v>
      </c>
      <c r="I3046">
        <v>-999.9</v>
      </c>
      <c r="J3046" t="str">
        <f>HYPERLINK("https://climate.onebuilding.org/WMO_Region_6_Europe/ESP_Spain/MD_Madrid/ESP_MD_Colmenar.Viejo.082190_TMYx.zip")</f>
        <v>https://climate.onebuilding.org/WMO_Region_6_Europe/ESP_Spain/MD_Madrid/ESP_MD_Colmenar.Viejo.082190_TMYx.zip</v>
      </c>
    </row>
    <row r="3047" spans="1:10" x14ac:dyDescent="0.25">
      <c r="A3047" t="s">
        <v>1949</v>
      </c>
      <c r="B3047" t="s">
        <v>2102</v>
      </c>
      <c r="C3047" t="s">
        <v>2106</v>
      </c>
      <c r="D3047" s="1" t="s">
        <v>2107</v>
      </c>
      <c r="E3047" t="s">
        <v>14</v>
      </c>
      <c r="F3047">
        <v>40.451700000000002</v>
      </c>
      <c r="G3047">
        <v>-3.7242000000000002</v>
      </c>
      <c r="H3047">
        <v>1</v>
      </c>
      <c r="I3047">
        <v>669</v>
      </c>
      <c r="J3047" t="str">
        <f>HYPERLINK("https://climate.onebuilding.org/WMO_Region_6_Europe/ESP_Spain/MD_Madrid/ESP_MD_Madrid.WS.082200_TMYx.2007-2021.zip")</f>
        <v>https://climate.onebuilding.org/WMO_Region_6_Europe/ESP_Spain/MD_Madrid/ESP_MD_Madrid.WS.082200_TMYx.2007-2021.zip</v>
      </c>
    </row>
    <row r="3048" spans="1:10" x14ac:dyDescent="0.25">
      <c r="A3048" t="s">
        <v>1949</v>
      </c>
      <c r="B3048" t="s">
        <v>2102</v>
      </c>
      <c r="C3048" t="s">
        <v>2106</v>
      </c>
      <c r="D3048" s="1" t="s">
        <v>2107</v>
      </c>
      <c r="E3048" t="s">
        <v>14</v>
      </c>
      <c r="F3048">
        <v>40.451700000000002</v>
      </c>
      <c r="G3048">
        <v>-3.7242000000000002</v>
      </c>
      <c r="H3048">
        <v>1</v>
      </c>
      <c r="I3048">
        <v>669</v>
      </c>
      <c r="J3048" t="str">
        <f>HYPERLINK("https://climate.onebuilding.org/WMO_Region_6_Europe/ESP_Spain/MD_Madrid/ESP_MD_Madrid.WS.082200_TMYx.2009-2023.zip")</f>
        <v>https://climate.onebuilding.org/WMO_Region_6_Europe/ESP_Spain/MD_Madrid/ESP_MD_Madrid.WS.082200_TMYx.2009-2023.zip</v>
      </c>
    </row>
    <row r="3049" spans="1:10" x14ac:dyDescent="0.25">
      <c r="A3049" t="s">
        <v>1949</v>
      </c>
      <c r="B3049" t="s">
        <v>2102</v>
      </c>
      <c r="C3049" t="s">
        <v>2106</v>
      </c>
      <c r="D3049" s="1" t="s">
        <v>2107</v>
      </c>
      <c r="E3049" t="s">
        <v>14</v>
      </c>
      <c r="F3049">
        <v>40.451700000000002</v>
      </c>
      <c r="G3049">
        <v>-3.7242000000000002</v>
      </c>
      <c r="H3049">
        <v>1</v>
      </c>
      <c r="I3049">
        <v>669</v>
      </c>
      <c r="J3049" t="str">
        <f>HYPERLINK("https://climate.onebuilding.org/WMO_Region_6_Europe/ESP_Spain/MD_Madrid/ESP_MD_Madrid.WS.082200_TMYx.zip")</f>
        <v>https://climate.onebuilding.org/WMO_Region_6_Europe/ESP_Spain/MD_Madrid/ESP_MD_Madrid.WS.082200_TMYx.zip</v>
      </c>
    </row>
    <row r="3050" spans="1:10" x14ac:dyDescent="0.25">
      <c r="A3050" t="s">
        <v>1949</v>
      </c>
      <c r="B3050" t="s">
        <v>2102</v>
      </c>
      <c r="C3050" t="s">
        <v>2108</v>
      </c>
      <c r="D3050" s="1" t="s">
        <v>2109</v>
      </c>
      <c r="E3050" t="s">
        <v>2110</v>
      </c>
      <c r="F3050">
        <v>40.494</v>
      </c>
      <c r="G3050">
        <v>-3.5670000000000002</v>
      </c>
      <c r="H3050">
        <v>1</v>
      </c>
      <c r="I3050">
        <v>609.6</v>
      </c>
      <c r="J3050" t="str">
        <f>HYPERLINK("https://climate.onebuilding.org/WMO_Region_6_Europe/ESP_Spain/MD_Madrid/ESP_MD_Madrid-Barajas-Suarez.AP.082210_TMYx.2004-2018.zip")</f>
        <v>https://climate.onebuilding.org/WMO_Region_6_Europe/ESP_Spain/MD_Madrid/ESP_MD_Madrid-Barajas-Suarez.AP.082210_TMYx.2004-2018.zip</v>
      </c>
    </row>
    <row r="3051" spans="1:10" x14ac:dyDescent="0.25">
      <c r="A3051" t="s">
        <v>1949</v>
      </c>
      <c r="B3051" t="s">
        <v>2102</v>
      </c>
      <c r="C3051" t="s">
        <v>2108</v>
      </c>
      <c r="D3051" s="1" t="s">
        <v>2109</v>
      </c>
      <c r="E3051" t="s">
        <v>14</v>
      </c>
      <c r="F3051">
        <v>40.466999999999999</v>
      </c>
      <c r="G3051">
        <v>-3.556</v>
      </c>
      <c r="H3051">
        <v>1</v>
      </c>
      <c r="I3051">
        <v>609.6</v>
      </c>
      <c r="J3051" t="str">
        <f>HYPERLINK("https://climate.onebuilding.org/WMO_Region_6_Europe/ESP_Spain/MD_Madrid/ESP_MD_Madrid-Barajas-Suarez.AP.082210_TMYx.2007-2021.zip")</f>
        <v>https://climate.onebuilding.org/WMO_Region_6_Europe/ESP_Spain/MD_Madrid/ESP_MD_Madrid-Barajas-Suarez.AP.082210_TMYx.2007-2021.zip</v>
      </c>
    </row>
    <row r="3052" spans="1:10" x14ac:dyDescent="0.25">
      <c r="A3052" t="s">
        <v>1949</v>
      </c>
      <c r="B3052" t="s">
        <v>2102</v>
      </c>
      <c r="C3052" t="s">
        <v>2108</v>
      </c>
      <c r="D3052" s="1" t="s">
        <v>2109</v>
      </c>
      <c r="E3052" t="s">
        <v>14</v>
      </c>
      <c r="F3052">
        <v>40.466999999999999</v>
      </c>
      <c r="G3052">
        <v>-3.556</v>
      </c>
      <c r="H3052">
        <v>1</v>
      </c>
      <c r="I3052">
        <v>609.6</v>
      </c>
      <c r="J3052" t="str">
        <f>HYPERLINK("https://climate.onebuilding.org/WMO_Region_6_Europe/ESP_Spain/MD_Madrid/ESP_MD_Madrid-Barajas-Suarez.AP.082210_TMYx.2009-2023.zip")</f>
        <v>https://climate.onebuilding.org/WMO_Region_6_Europe/ESP_Spain/MD_Madrid/ESP_MD_Madrid-Barajas-Suarez.AP.082210_TMYx.2009-2023.zip</v>
      </c>
    </row>
    <row r="3053" spans="1:10" x14ac:dyDescent="0.25">
      <c r="A3053" t="s">
        <v>1949</v>
      </c>
      <c r="B3053" t="s">
        <v>2102</v>
      </c>
      <c r="C3053" t="s">
        <v>2108</v>
      </c>
      <c r="D3053" s="1" t="s">
        <v>2109</v>
      </c>
      <c r="E3053" t="s">
        <v>14</v>
      </c>
      <c r="F3053">
        <v>40.466999999999999</v>
      </c>
      <c r="G3053">
        <v>-3.556</v>
      </c>
      <c r="H3053">
        <v>1</v>
      </c>
      <c r="I3053">
        <v>609.6</v>
      </c>
      <c r="J3053" t="str">
        <f>HYPERLINK("https://climate.onebuilding.org/WMO_Region_6_Europe/ESP_Spain/MD_Madrid/ESP_MD_Madrid-Barajas-Suarez.AP.082210_TMYx.zip")</f>
        <v>https://climate.onebuilding.org/WMO_Region_6_Europe/ESP_Spain/MD_Madrid/ESP_MD_Madrid-Barajas-Suarez.AP.082210_TMYx.zip</v>
      </c>
    </row>
    <row r="3054" spans="1:10" x14ac:dyDescent="0.25">
      <c r="A3054" t="s">
        <v>1949</v>
      </c>
      <c r="B3054" t="s">
        <v>2102</v>
      </c>
      <c r="C3054" t="s">
        <v>2111</v>
      </c>
      <c r="D3054" s="1" t="s">
        <v>2112</v>
      </c>
      <c r="E3054" t="s">
        <v>2113</v>
      </c>
      <c r="F3054">
        <v>40.375500000000002</v>
      </c>
      <c r="G3054">
        <v>-3.7860999999999998</v>
      </c>
      <c r="H3054">
        <v>1</v>
      </c>
      <c r="I3054">
        <v>687</v>
      </c>
      <c r="J3054" t="str">
        <f>HYPERLINK("https://climate.onebuilding.org/WMO_Region_6_Europe/ESP_Spain/MD_Madrid/ESP_MD_Madrid-Cuatro.Vientos.AP.082230_TMYx.2004-2018.zip")</f>
        <v>https://climate.onebuilding.org/WMO_Region_6_Europe/ESP_Spain/MD_Madrid/ESP_MD_Madrid-Cuatro.Vientos.AP.082230_TMYx.2004-2018.zip</v>
      </c>
    </row>
    <row r="3055" spans="1:10" x14ac:dyDescent="0.25">
      <c r="A3055" t="s">
        <v>1949</v>
      </c>
      <c r="B3055" t="s">
        <v>2102</v>
      </c>
      <c r="C3055" t="s">
        <v>2111</v>
      </c>
      <c r="D3055" s="1" t="s">
        <v>2112</v>
      </c>
      <c r="E3055" t="s">
        <v>14</v>
      </c>
      <c r="F3055">
        <v>40.375500000000002</v>
      </c>
      <c r="G3055">
        <v>-3.7860999999999998</v>
      </c>
      <c r="H3055">
        <v>1</v>
      </c>
      <c r="I3055">
        <v>687</v>
      </c>
      <c r="J3055" t="str">
        <f>HYPERLINK("https://climate.onebuilding.org/WMO_Region_6_Europe/ESP_Spain/MD_Madrid/ESP_MD_Madrid-Cuatro.Vientos.AP.082230_TMYx.2007-2021.zip")</f>
        <v>https://climate.onebuilding.org/WMO_Region_6_Europe/ESP_Spain/MD_Madrid/ESP_MD_Madrid-Cuatro.Vientos.AP.082230_TMYx.2007-2021.zip</v>
      </c>
    </row>
    <row r="3056" spans="1:10" x14ac:dyDescent="0.25">
      <c r="A3056" t="s">
        <v>1949</v>
      </c>
      <c r="B3056" t="s">
        <v>2102</v>
      </c>
      <c r="C3056" t="s">
        <v>2111</v>
      </c>
      <c r="D3056" s="1" t="s">
        <v>2112</v>
      </c>
      <c r="E3056" t="s">
        <v>14</v>
      </c>
      <c r="F3056">
        <v>40.375500000000002</v>
      </c>
      <c r="G3056">
        <v>-3.7860999999999998</v>
      </c>
      <c r="H3056">
        <v>1</v>
      </c>
      <c r="I3056">
        <v>687</v>
      </c>
      <c r="J3056" t="str">
        <f>HYPERLINK("https://climate.onebuilding.org/WMO_Region_6_Europe/ESP_Spain/MD_Madrid/ESP_MD_Madrid-Cuatro.Vientos.AP.082230_TMYx.2009-2023.zip")</f>
        <v>https://climate.onebuilding.org/WMO_Region_6_Europe/ESP_Spain/MD_Madrid/ESP_MD_Madrid-Cuatro.Vientos.AP.082230_TMYx.2009-2023.zip</v>
      </c>
    </row>
    <row r="3057" spans="1:10" x14ac:dyDescent="0.25">
      <c r="A3057" t="s">
        <v>1949</v>
      </c>
      <c r="B3057" t="s">
        <v>2102</v>
      </c>
      <c r="C3057" t="s">
        <v>2111</v>
      </c>
      <c r="D3057" s="1" t="s">
        <v>2112</v>
      </c>
      <c r="E3057" t="s">
        <v>14</v>
      </c>
      <c r="F3057">
        <v>40.375500000000002</v>
      </c>
      <c r="G3057">
        <v>-3.7860999999999998</v>
      </c>
      <c r="H3057">
        <v>1</v>
      </c>
      <c r="I3057">
        <v>687</v>
      </c>
      <c r="J3057" t="str">
        <f>HYPERLINK("https://climate.onebuilding.org/WMO_Region_6_Europe/ESP_Spain/MD_Madrid/ESP_MD_Madrid-Cuatro.Vientos.AP.082230_TMYx.zip")</f>
        <v>https://climate.onebuilding.org/WMO_Region_6_Europe/ESP_Spain/MD_Madrid/ESP_MD_Madrid-Cuatro.Vientos.AP.082230_TMYx.zip</v>
      </c>
    </row>
    <row r="3058" spans="1:10" x14ac:dyDescent="0.25">
      <c r="A3058" t="s">
        <v>1949</v>
      </c>
      <c r="B3058" t="s">
        <v>2102</v>
      </c>
      <c r="C3058" t="s">
        <v>2114</v>
      </c>
      <c r="D3058" s="1" t="s">
        <v>2115</v>
      </c>
      <c r="E3058" t="s">
        <v>2116</v>
      </c>
      <c r="F3058">
        <v>40.299399999999999</v>
      </c>
      <c r="G3058">
        <v>-3.7222</v>
      </c>
      <c r="H3058">
        <v>1</v>
      </c>
      <c r="I3058">
        <v>617</v>
      </c>
      <c r="J3058" t="str">
        <f>HYPERLINK("https://climate.onebuilding.org/WMO_Region_6_Europe/ESP_Spain/MD_Madrid/ESP_MD_Madrid-Getafe.AFB.082240_TMYx.2004-2018.zip")</f>
        <v>https://climate.onebuilding.org/WMO_Region_6_Europe/ESP_Spain/MD_Madrid/ESP_MD_Madrid-Getafe.AFB.082240_TMYx.2004-2018.zip</v>
      </c>
    </row>
    <row r="3059" spans="1:10" x14ac:dyDescent="0.25">
      <c r="A3059" t="s">
        <v>1949</v>
      </c>
      <c r="B3059" t="s">
        <v>2102</v>
      </c>
      <c r="C3059" t="s">
        <v>2114</v>
      </c>
      <c r="D3059" s="1" t="s">
        <v>2115</v>
      </c>
      <c r="E3059" t="s">
        <v>14</v>
      </c>
      <c r="F3059">
        <v>40.299399999999999</v>
      </c>
      <c r="G3059">
        <v>-3.7222</v>
      </c>
      <c r="H3059">
        <v>1</v>
      </c>
      <c r="I3059">
        <v>617</v>
      </c>
      <c r="J3059" t="str">
        <f>HYPERLINK("https://climate.onebuilding.org/WMO_Region_6_Europe/ESP_Spain/MD_Madrid/ESP_MD_Madrid-Getafe.AFB.082240_TMYx.2007-2021.zip")</f>
        <v>https://climate.onebuilding.org/WMO_Region_6_Europe/ESP_Spain/MD_Madrid/ESP_MD_Madrid-Getafe.AFB.082240_TMYx.2007-2021.zip</v>
      </c>
    </row>
    <row r="3060" spans="1:10" x14ac:dyDescent="0.25">
      <c r="A3060" t="s">
        <v>1949</v>
      </c>
      <c r="B3060" t="s">
        <v>2102</v>
      </c>
      <c r="C3060" t="s">
        <v>2114</v>
      </c>
      <c r="D3060" s="1" t="s">
        <v>2115</v>
      </c>
      <c r="E3060" t="s">
        <v>14</v>
      </c>
      <c r="F3060">
        <v>40.299399999999999</v>
      </c>
      <c r="G3060">
        <v>-3.7222</v>
      </c>
      <c r="H3060">
        <v>1</v>
      </c>
      <c r="I3060">
        <v>617</v>
      </c>
      <c r="J3060" t="str">
        <f>HYPERLINK("https://climate.onebuilding.org/WMO_Region_6_Europe/ESP_Spain/MD_Madrid/ESP_MD_Madrid-Getafe.AFB.082240_TMYx.2009-2023.zip")</f>
        <v>https://climate.onebuilding.org/WMO_Region_6_Europe/ESP_Spain/MD_Madrid/ESP_MD_Madrid-Getafe.AFB.082240_TMYx.2009-2023.zip</v>
      </c>
    </row>
    <row r="3061" spans="1:10" x14ac:dyDescent="0.25">
      <c r="A3061" t="s">
        <v>1949</v>
      </c>
      <c r="B3061" t="s">
        <v>2102</v>
      </c>
      <c r="C3061" t="s">
        <v>2114</v>
      </c>
      <c r="D3061" s="1" t="s">
        <v>2115</v>
      </c>
      <c r="E3061" t="s">
        <v>14</v>
      </c>
      <c r="F3061">
        <v>40.299399999999999</v>
      </c>
      <c r="G3061">
        <v>-3.7222</v>
      </c>
      <c r="H3061">
        <v>1</v>
      </c>
      <c r="I3061">
        <v>617</v>
      </c>
      <c r="J3061" t="str">
        <f>HYPERLINK("https://climate.onebuilding.org/WMO_Region_6_Europe/ESP_Spain/MD_Madrid/ESP_MD_Madrid-Getafe.AFB.082240_TMYx.zip")</f>
        <v>https://climate.onebuilding.org/WMO_Region_6_Europe/ESP_Spain/MD_Madrid/ESP_MD_Madrid-Getafe.AFB.082240_TMYx.zip</v>
      </c>
    </row>
    <row r="3062" spans="1:10" x14ac:dyDescent="0.25">
      <c r="A3062" t="s">
        <v>1949</v>
      </c>
      <c r="B3062" t="s">
        <v>2117</v>
      </c>
      <c r="C3062" t="s">
        <v>2118</v>
      </c>
      <c r="D3062" s="1" t="s">
        <v>2119</v>
      </c>
      <c r="E3062" t="s">
        <v>14</v>
      </c>
      <c r="F3062">
        <v>40.630299999999998</v>
      </c>
      <c r="G3062">
        <v>-3.15</v>
      </c>
      <c r="H3062">
        <v>1</v>
      </c>
      <c r="I3062">
        <v>724</v>
      </c>
      <c r="J3062" t="str">
        <f>HYPERLINK("https://climate.onebuilding.org/WMO_Region_6_Europe/ESP_Spain/CM_Castile-La_Mancha/ESP_CM_Guadalajara.082260_TMYx.2007-2021.zip")</f>
        <v>https://climate.onebuilding.org/WMO_Region_6_Europe/ESP_Spain/CM_Castile-La_Mancha/ESP_CM_Guadalajara.082260_TMYx.2007-2021.zip</v>
      </c>
    </row>
    <row r="3063" spans="1:10" x14ac:dyDescent="0.25">
      <c r="A3063" t="s">
        <v>1949</v>
      </c>
      <c r="B3063" t="s">
        <v>2117</v>
      </c>
      <c r="C3063" t="s">
        <v>2118</v>
      </c>
      <c r="D3063" s="1" t="s">
        <v>2119</v>
      </c>
      <c r="E3063" t="s">
        <v>14</v>
      </c>
      <c r="F3063">
        <v>40.630299999999998</v>
      </c>
      <c r="G3063">
        <v>-3.15</v>
      </c>
      <c r="H3063">
        <v>1</v>
      </c>
      <c r="I3063">
        <v>724</v>
      </c>
      <c r="J3063" t="str">
        <f>HYPERLINK("https://climate.onebuilding.org/WMO_Region_6_Europe/ESP_Spain/CM_Castile-La_Mancha/ESP_CM_Guadalajara.082260_TMYx.2009-2023.zip")</f>
        <v>https://climate.onebuilding.org/WMO_Region_6_Europe/ESP_Spain/CM_Castile-La_Mancha/ESP_CM_Guadalajara.082260_TMYx.2009-2023.zip</v>
      </c>
    </row>
    <row r="3064" spans="1:10" x14ac:dyDescent="0.25">
      <c r="A3064" t="s">
        <v>1949</v>
      </c>
      <c r="B3064" t="s">
        <v>2117</v>
      </c>
      <c r="C3064" t="s">
        <v>2118</v>
      </c>
      <c r="D3064" s="1" t="s">
        <v>2119</v>
      </c>
      <c r="E3064" t="s">
        <v>14</v>
      </c>
      <c r="F3064">
        <v>40.630299999999998</v>
      </c>
      <c r="G3064">
        <v>-3.15</v>
      </c>
      <c r="H3064">
        <v>1</v>
      </c>
      <c r="I3064">
        <v>724</v>
      </c>
      <c r="J3064" t="str">
        <f>HYPERLINK("https://climate.onebuilding.org/WMO_Region_6_Europe/ESP_Spain/CM_Castile-La_Mancha/ESP_CM_Guadalajara.082260_TMYx.zip")</f>
        <v>https://climate.onebuilding.org/WMO_Region_6_Europe/ESP_Spain/CM_Castile-La_Mancha/ESP_CM_Guadalajara.082260_TMYx.zip</v>
      </c>
    </row>
    <row r="3065" spans="1:10" x14ac:dyDescent="0.25">
      <c r="A3065" t="s">
        <v>1949</v>
      </c>
      <c r="B3065" t="s">
        <v>2102</v>
      </c>
      <c r="C3065" t="s">
        <v>2120</v>
      </c>
      <c r="D3065" s="1" t="s">
        <v>2121</v>
      </c>
      <c r="E3065" t="s">
        <v>2122</v>
      </c>
      <c r="F3065">
        <v>40.4833</v>
      </c>
      <c r="G3065">
        <v>-3.4436</v>
      </c>
      <c r="H3065">
        <v>1</v>
      </c>
      <c r="I3065">
        <v>617.5</v>
      </c>
      <c r="J3065" t="str">
        <f>HYPERLINK("https://climate.onebuilding.org/WMO_Region_6_Europe/ESP_Spain/MD_Madrid/ESP_MD_Madrid-Torrejon.AFB.082270_TMYx.2004-2018.zip")</f>
        <v>https://climate.onebuilding.org/WMO_Region_6_Europe/ESP_Spain/MD_Madrid/ESP_MD_Madrid-Torrejon.AFB.082270_TMYx.2004-2018.zip</v>
      </c>
    </row>
    <row r="3066" spans="1:10" x14ac:dyDescent="0.25">
      <c r="A3066" t="s">
        <v>1949</v>
      </c>
      <c r="B3066" t="s">
        <v>2102</v>
      </c>
      <c r="C3066" t="s">
        <v>2120</v>
      </c>
      <c r="D3066" s="1" t="s">
        <v>2121</v>
      </c>
      <c r="E3066" t="s">
        <v>14</v>
      </c>
      <c r="F3066">
        <v>40.4833</v>
      </c>
      <c r="G3066">
        <v>-3.4436</v>
      </c>
      <c r="H3066">
        <v>1</v>
      </c>
      <c r="I3066">
        <v>617.5</v>
      </c>
      <c r="J3066" t="str">
        <f>HYPERLINK("https://climate.onebuilding.org/WMO_Region_6_Europe/ESP_Spain/MD_Madrid/ESP_MD_Madrid-Torrejon.AFB.082270_TMYx.2007-2021.zip")</f>
        <v>https://climate.onebuilding.org/WMO_Region_6_Europe/ESP_Spain/MD_Madrid/ESP_MD_Madrid-Torrejon.AFB.082270_TMYx.2007-2021.zip</v>
      </c>
    </row>
    <row r="3067" spans="1:10" x14ac:dyDescent="0.25">
      <c r="A3067" t="s">
        <v>1949</v>
      </c>
      <c r="B3067" t="s">
        <v>2102</v>
      </c>
      <c r="C3067" t="s">
        <v>2120</v>
      </c>
      <c r="D3067" s="1" t="s">
        <v>2121</v>
      </c>
      <c r="E3067" t="s">
        <v>14</v>
      </c>
      <c r="F3067">
        <v>40.4833</v>
      </c>
      <c r="G3067">
        <v>-3.4436</v>
      </c>
      <c r="H3067">
        <v>1</v>
      </c>
      <c r="I3067">
        <v>617.5</v>
      </c>
      <c r="J3067" t="str">
        <f>HYPERLINK("https://climate.onebuilding.org/WMO_Region_6_Europe/ESP_Spain/MD_Madrid/ESP_MD_Madrid-Torrejon.AFB.082270_TMYx.2009-2023.zip")</f>
        <v>https://climate.onebuilding.org/WMO_Region_6_Europe/ESP_Spain/MD_Madrid/ESP_MD_Madrid-Torrejon.AFB.082270_TMYx.2009-2023.zip</v>
      </c>
    </row>
    <row r="3068" spans="1:10" x14ac:dyDescent="0.25">
      <c r="A3068" t="s">
        <v>1949</v>
      </c>
      <c r="B3068" t="s">
        <v>2102</v>
      </c>
      <c r="C3068" t="s">
        <v>2120</v>
      </c>
      <c r="D3068" s="1" t="s">
        <v>2121</v>
      </c>
      <c r="E3068" t="s">
        <v>14</v>
      </c>
      <c r="F3068">
        <v>40.4833</v>
      </c>
      <c r="G3068">
        <v>-3.4436</v>
      </c>
      <c r="H3068">
        <v>1</v>
      </c>
      <c r="I3068">
        <v>617.5</v>
      </c>
      <c r="J3068" t="str">
        <f>HYPERLINK("https://climate.onebuilding.org/WMO_Region_6_Europe/ESP_Spain/MD_Madrid/ESP_MD_Madrid-Torrejon.AFB.082270_TMYx.zip")</f>
        <v>https://climate.onebuilding.org/WMO_Region_6_Europe/ESP_Spain/MD_Madrid/ESP_MD_Madrid-Torrejon.AFB.082270_TMYx.zip</v>
      </c>
    </row>
    <row r="3069" spans="1:10" x14ac:dyDescent="0.25">
      <c r="A3069" t="s">
        <v>1949</v>
      </c>
      <c r="B3069" t="s">
        <v>2117</v>
      </c>
      <c r="C3069" t="s">
        <v>2123</v>
      </c>
      <c r="D3069" s="1" t="s">
        <v>2124</v>
      </c>
      <c r="E3069" t="s">
        <v>2125</v>
      </c>
      <c r="F3069">
        <v>40.0672</v>
      </c>
      <c r="G3069">
        <v>-2.1318999999999999</v>
      </c>
      <c r="H3069">
        <v>1</v>
      </c>
      <c r="I3069">
        <v>946</v>
      </c>
      <c r="J3069" t="str">
        <f>HYPERLINK("https://climate.onebuilding.org/WMO_Region_6_Europe/ESP_Spain/CM_Castile-La_Mancha/ESP_CM_Cuenca.082310_TMYx.2004-2018.zip")</f>
        <v>https://climate.onebuilding.org/WMO_Region_6_Europe/ESP_Spain/CM_Castile-La_Mancha/ESP_CM_Cuenca.082310_TMYx.2004-2018.zip</v>
      </c>
    </row>
    <row r="3070" spans="1:10" x14ac:dyDescent="0.25">
      <c r="A3070" t="s">
        <v>1949</v>
      </c>
      <c r="B3070" t="s">
        <v>2117</v>
      </c>
      <c r="C3070" t="s">
        <v>2123</v>
      </c>
      <c r="D3070" s="1" t="s">
        <v>2124</v>
      </c>
      <c r="E3070" t="s">
        <v>14</v>
      </c>
      <c r="F3070">
        <v>40.0672</v>
      </c>
      <c r="G3070">
        <v>-2.1318999999999999</v>
      </c>
      <c r="H3070">
        <v>1</v>
      </c>
      <c r="I3070">
        <v>946</v>
      </c>
      <c r="J3070" t="str">
        <f>HYPERLINK("https://climate.onebuilding.org/WMO_Region_6_Europe/ESP_Spain/CM_Castile-La_Mancha/ESP_CM_Cuenca.082310_TMYx.2007-2021.zip")</f>
        <v>https://climate.onebuilding.org/WMO_Region_6_Europe/ESP_Spain/CM_Castile-La_Mancha/ESP_CM_Cuenca.082310_TMYx.2007-2021.zip</v>
      </c>
    </row>
    <row r="3071" spans="1:10" x14ac:dyDescent="0.25">
      <c r="A3071" t="s">
        <v>1949</v>
      </c>
      <c r="B3071" t="s">
        <v>2117</v>
      </c>
      <c r="C3071" t="s">
        <v>2123</v>
      </c>
      <c r="D3071" s="1" t="s">
        <v>2124</v>
      </c>
      <c r="E3071" t="s">
        <v>14</v>
      </c>
      <c r="F3071">
        <v>40.0672</v>
      </c>
      <c r="G3071">
        <v>-2.1318999999999999</v>
      </c>
      <c r="H3071">
        <v>1</v>
      </c>
      <c r="I3071">
        <v>946</v>
      </c>
      <c r="J3071" t="str">
        <f>HYPERLINK("https://climate.onebuilding.org/WMO_Region_6_Europe/ESP_Spain/CM_Castile-La_Mancha/ESP_CM_Cuenca.082310_TMYx.2009-2023.zip")</f>
        <v>https://climate.onebuilding.org/WMO_Region_6_Europe/ESP_Spain/CM_Castile-La_Mancha/ESP_CM_Cuenca.082310_TMYx.2009-2023.zip</v>
      </c>
    </row>
    <row r="3072" spans="1:10" x14ac:dyDescent="0.25">
      <c r="A3072" t="s">
        <v>1949</v>
      </c>
      <c r="B3072" t="s">
        <v>2117</v>
      </c>
      <c r="C3072" t="s">
        <v>2123</v>
      </c>
      <c r="D3072" s="1" t="s">
        <v>2124</v>
      </c>
      <c r="E3072" t="s">
        <v>14</v>
      </c>
      <c r="F3072">
        <v>40.0672</v>
      </c>
      <c r="G3072">
        <v>-2.1318999999999999</v>
      </c>
      <c r="H3072">
        <v>1</v>
      </c>
      <c r="I3072">
        <v>946</v>
      </c>
      <c r="J3072" t="str">
        <f>HYPERLINK("https://climate.onebuilding.org/WMO_Region_6_Europe/ESP_Spain/CM_Castile-La_Mancha/ESP_CM_Cuenca.082310_TMYx.zip")</f>
        <v>https://climate.onebuilding.org/WMO_Region_6_Europe/ESP_Spain/CM_Castile-La_Mancha/ESP_CM_Cuenca.082310_TMYx.zip</v>
      </c>
    </row>
    <row r="3073" spans="1:10" x14ac:dyDescent="0.25">
      <c r="A3073" t="s">
        <v>1949</v>
      </c>
      <c r="B3073" t="s">
        <v>2038</v>
      </c>
      <c r="C3073" t="s">
        <v>2126</v>
      </c>
      <c r="D3073" s="1" t="s">
        <v>2127</v>
      </c>
      <c r="E3073" t="s">
        <v>14</v>
      </c>
      <c r="F3073">
        <v>40.8444</v>
      </c>
      <c r="G3073">
        <v>-1.8789</v>
      </c>
      <c r="H3073">
        <v>1</v>
      </c>
      <c r="I3073">
        <v>1063</v>
      </c>
      <c r="J3073" t="str">
        <f>HYPERLINK("https://climate.onebuilding.org/WMO_Region_6_Europe/ESP_Spain/AR_Aragon/ESP_AR_Molina.de.Aragon.082320_TMYx.2007-2021.zip")</f>
        <v>https://climate.onebuilding.org/WMO_Region_6_Europe/ESP_Spain/AR_Aragon/ESP_AR_Molina.de.Aragon.082320_TMYx.2007-2021.zip</v>
      </c>
    </row>
    <row r="3074" spans="1:10" x14ac:dyDescent="0.25">
      <c r="A3074" t="s">
        <v>1949</v>
      </c>
      <c r="B3074" t="s">
        <v>2038</v>
      </c>
      <c r="C3074" t="s">
        <v>2126</v>
      </c>
      <c r="D3074" s="1" t="s">
        <v>2127</v>
      </c>
      <c r="E3074" t="s">
        <v>14</v>
      </c>
      <c r="F3074">
        <v>40.8444</v>
      </c>
      <c r="G3074">
        <v>-1.8789</v>
      </c>
      <c r="H3074">
        <v>1</v>
      </c>
      <c r="I3074">
        <v>1063</v>
      </c>
      <c r="J3074" t="str">
        <f>HYPERLINK("https://climate.onebuilding.org/WMO_Region_6_Europe/ESP_Spain/AR_Aragon/ESP_AR_Molina.de.Aragon.082320_TMYx.2009-2023.zip")</f>
        <v>https://climate.onebuilding.org/WMO_Region_6_Europe/ESP_Spain/AR_Aragon/ESP_AR_Molina.de.Aragon.082320_TMYx.2009-2023.zip</v>
      </c>
    </row>
    <row r="3075" spans="1:10" x14ac:dyDescent="0.25">
      <c r="A3075" t="s">
        <v>1949</v>
      </c>
      <c r="B3075" t="s">
        <v>2038</v>
      </c>
      <c r="C3075" t="s">
        <v>2126</v>
      </c>
      <c r="D3075" s="1" t="s">
        <v>2127</v>
      </c>
      <c r="E3075" t="s">
        <v>14</v>
      </c>
      <c r="F3075">
        <v>40.8444</v>
      </c>
      <c r="G3075">
        <v>-1.8789</v>
      </c>
      <c r="H3075">
        <v>1</v>
      </c>
      <c r="I3075">
        <v>1063</v>
      </c>
      <c r="J3075" t="str">
        <f>HYPERLINK("https://climate.onebuilding.org/WMO_Region_6_Europe/ESP_Spain/AR_Aragon/ESP_AR_Molina.de.Aragon.082320_TMYx.zip")</f>
        <v>https://climate.onebuilding.org/WMO_Region_6_Europe/ESP_Spain/AR_Aragon/ESP_AR_Molina.de.Aragon.082320_TMYx.zip</v>
      </c>
    </row>
    <row r="3076" spans="1:10" x14ac:dyDescent="0.25">
      <c r="A3076" t="s">
        <v>1949</v>
      </c>
      <c r="B3076" t="s">
        <v>2038</v>
      </c>
      <c r="C3076" t="s">
        <v>2128</v>
      </c>
      <c r="D3076" s="1" t="s">
        <v>2129</v>
      </c>
      <c r="E3076" t="s">
        <v>14</v>
      </c>
      <c r="F3076">
        <v>40.926099999999998</v>
      </c>
      <c r="G3076">
        <v>-1.2932999999999999</v>
      </c>
      <c r="H3076">
        <v>1</v>
      </c>
      <c r="I3076">
        <v>889</v>
      </c>
      <c r="J3076" t="str">
        <f>HYPERLINK("https://climate.onebuilding.org/WMO_Region_6_Europe/ESP_Spain/AR_Aragon/ESP_AR_Calamocha.082330_TMYx.2007-2021.zip")</f>
        <v>https://climate.onebuilding.org/WMO_Region_6_Europe/ESP_Spain/AR_Aragon/ESP_AR_Calamocha.082330_TMYx.2007-2021.zip</v>
      </c>
    </row>
    <row r="3077" spans="1:10" x14ac:dyDescent="0.25">
      <c r="A3077" t="s">
        <v>1949</v>
      </c>
      <c r="B3077" t="s">
        <v>2038</v>
      </c>
      <c r="C3077" t="s">
        <v>2128</v>
      </c>
      <c r="D3077" s="1" t="s">
        <v>2129</v>
      </c>
      <c r="E3077" t="s">
        <v>14</v>
      </c>
      <c r="F3077">
        <v>40.926099999999998</v>
      </c>
      <c r="G3077">
        <v>-1.2932999999999999</v>
      </c>
      <c r="H3077">
        <v>1</v>
      </c>
      <c r="I3077">
        <v>889</v>
      </c>
      <c r="J3077" t="str">
        <f>HYPERLINK("https://climate.onebuilding.org/WMO_Region_6_Europe/ESP_Spain/AR_Aragon/ESP_AR_Calamocha.082330_TMYx.2009-2023.zip")</f>
        <v>https://climate.onebuilding.org/WMO_Region_6_Europe/ESP_Spain/AR_Aragon/ESP_AR_Calamocha.082330_TMYx.2009-2023.zip</v>
      </c>
    </row>
    <row r="3078" spans="1:10" x14ac:dyDescent="0.25">
      <c r="A3078" t="s">
        <v>1949</v>
      </c>
      <c r="B3078" t="s">
        <v>2038</v>
      </c>
      <c r="C3078" t="s">
        <v>2128</v>
      </c>
      <c r="D3078" s="1" t="s">
        <v>2129</v>
      </c>
      <c r="E3078" t="s">
        <v>14</v>
      </c>
      <c r="F3078">
        <v>40.926099999999998</v>
      </c>
      <c r="G3078">
        <v>-1.2932999999999999</v>
      </c>
      <c r="H3078">
        <v>1</v>
      </c>
      <c r="I3078">
        <v>889</v>
      </c>
      <c r="J3078" t="str">
        <f>HYPERLINK("https://climate.onebuilding.org/WMO_Region_6_Europe/ESP_Spain/AR_Aragon/ESP_AR_Calamocha.082330_TMYx.zip")</f>
        <v>https://climate.onebuilding.org/WMO_Region_6_Europe/ESP_Spain/AR_Aragon/ESP_AR_Calamocha.082330_TMYx.zip</v>
      </c>
    </row>
    <row r="3079" spans="1:10" x14ac:dyDescent="0.25">
      <c r="A3079" t="s">
        <v>1949</v>
      </c>
      <c r="B3079" t="s">
        <v>2038</v>
      </c>
      <c r="C3079" t="s">
        <v>2130</v>
      </c>
      <c r="D3079" s="1" t="s">
        <v>2131</v>
      </c>
      <c r="E3079" t="s">
        <v>14</v>
      </c>
      <c r="F3079">
        <v>40.3506</v>
      </c>
      <c r="G3079">
        <v>-1.1242000000000001</v>
      </c>
      <c r="H3079">
        <v>1</v>
      </c>
      <c r="I3079">
        <v>902</v>
      </c>
      <c r="J3079" t="str">
        <f>HYPERLINK("https://climate.onebuilding.org/WMO_Region_6_Europe/ESP_Spain/AR_Aragon/ESP_AR_Teruel.082350_TMYx.2007-2021.zip")</f>
        <v>https://climate.onebuilding.org/WMO_Region_6_Europe/ESP_Spain/AR_Aragon/ESP_AR_Teruel.082350_TMYx.2007-2021.zip</v>
      </c>
    </row>
    <row r="3080" spans="1:10" x14ac:dyDescent="0.25">
      <c r="A3080" t="s">
        <v>1949</v>
      </c>
      <c r="B3080" t="s">
        <v>2038</v>
      </c>
      <c r="C3080" t="s">
        <v>2130</v>
      </c>
      <c r="D3080" s="1" t="s">
        <v>2131</v>
      </c>
      <c r="E3080" t="s">
        <v>14</v>
      </c>
      <c r="F3080">
        <v>40.3506</v>
      </c>
      <c r="G3080">
        <v>-1.1242000000000001</v>
      </c>
      <c r="H3080">
        <v>1</v>
      </c>
      <c r="I3080">
        <v>902</v>
      </c>
      <c r="J3080" t="str">
        <f>HYPERLINK("https://climate.onebuilding.org/WMO_Region_6_Europe/ESP_Spain/AR_Aragon/ESP_AR_Teruel.082350_TMYx.2009-2023.zip")</f>
        <v>https://climate.onebuilding.org/WMO_Region_6_Europe/ESP_Spain/AR_Aragon/ESP_AR_Teruel.082350_TMYx.2009-2023.zip</v>
      </c>
    </row>
    <row r="3081" spans="1:10" x14ac:dyDescent="0.25">
      <c r="A3081" t="s">
        <v>1949</v>
      </c>
      <c r="B3081" t="s">
        <v>2038</v>
      </c>
      <c r="C3081" t="s">
        <v>2130</v>
      </c>
      <c r="D3081" s="1" t="s">
        <v>2131</v>
      </c>
      <c r="E3081" t="s">
        <v>14</v>
      </c>
      <c r="F3081">
        <v>40.3506</v>
      </c>
      <c r="G3081">
        <v>-1.1242000000000001</v>
      </c>
      <c r="H3081">
        <v>1</v>
      </c>
      <c r="I3081">
        <v>902</v>
      </c>
      <c r="J3081" t="str">
        <f>HYPERLINK("https://climate.onebuilding.org/WMO_Region_6_Europe/ESP_Spain/AR_Aragon/ESP_AR_Teruel.082350_TMYx.zip")</f>
        <v>https://climate.onebuilding.org/WMO_Region_6_Europe/ESP_Spain/AR_Aragon/ESP_AR_Teruel.082350_TMYx.zip</v>
      </c>
    </row>
    <row r="3082" spans="1:10" x14ac:dyDescent="0.25">
      <c r="A3082" t="s">
        <v>1949</v>
      </c>
      <c r="B3082" t="s">
        <v>2042</v>
      </c>
      <c r="C3082" t="s">
        <v>2132</v>
      </c>
      <c r="D3082" s="1" t="s">
        <v>2133</v>
      </c>
      <c r="E3082" t="s">
        <v>2134</v>
      </c>
      <c r="F3082">
        <v>40.820300000000003</v>
      </c>
      <c r="G3082">
        <v>0.49330000000000002</v>
      </c>
      <c r="H3082">
        <v>1</v>
      </c>
      <c r="I3082">
        <v>50</v>
      </c>
      <c r="J3082" t="str">
        <f>HYPERLINK("https://climate.onebuilding.org/WMO_Region_6_Europe/ESP_Spain/CT_Catalonia/ESP_CT_Tortosa-Ebre.Obs.082380_TMYx.2004-2018.zip")</f>
        <v>https://climate.onebuilding.org/WMO_Region_6_Europe/ESP_Spain/CT_Catalonia/ESP_CT_Tortosa-Ebre.Obs.082380_TMYx.2004-2018.zip</v>
      </c>
    </row>
    <row r="3083" spans="1:10" x14ac:dyDescent="0.25">
      <c r="A3083" t="s">
        <v>1949</v>
      </c>
      <c r="B3083" t="s">
        <v>2042</v>
      </c>
      <c r="C3083" t="s">
        <v>2132</v>
      </c>
      <c r="D3083" s="1" t="s">
        <v>2133</v>
      </c>
      <c r="E3083" t="s">
        <v>14</v>
      </c>
      <c r="F3083">
        <v>40.820300000000003</v>
      </c>
      <c r="G3083">
        <v>0.49330000000000002</v>
      </c>
      <c r="H3083">
        <v>1</v>
      </c>
      <c r="I3083">
        <v>50</v>
      </c>
      <c r="J3083" t="str">
        <f>HYPERLINK("https://climate.onebuilding.org/WMO_Region_6_Europe/ESP_Spain/CT_Catalonia/ESP_CT_Tortosa-Ebre.Obs.082380_TMYx.2007-2021.zip")</f>
        <v>https://climate.onebuilding.org/WMO_Region_6_Europe/ESP_Spain/CT_Catalonia/ESP_CT_Tortosa-Ebre.Obs.082380_TMYx.2007-2021.zip</v>
      </c>
    </row>
    <row r="3084" spans="1:10" x14ac:dyDescent="0.25">
      <c r="A3084" t="s">
        <v>1949</v>
      </c>
      <c r="B3084" t="s">
        <v>2042</v>
      </c>
      <c r="C3084" t="s">
        <v>2132</v>
      </c>
      <c r="D3084" s="1" t="s">
        <v>2133</v>
      </c>
      <c r="E3084" t="s">
        <v>14</v>
      </c>
      <c r="F3084">
        <v>40.820300000000003</v>
      </c>
      <c r="G3084">
        <v>0.49330000000000002</v>
      </c>
      <c r="H3084">
        <v>1</v>
      </c>
      <c r="I3084">
        <v>50</v>
      </c>
      <c r="J3084" t="str">
        <f>HYPERLINK("https://climate.onebuilding.org/WMO_Region_6_Europe/ESP_Spain/CT_Catalonia/ESP_CT_Tortosa-Ebre.Obs.082380_TMYx.2009-2023.zip")</f>
        <v>https://climate.onebuilding.org/WMO_Region_6_Europe/ESP_Spain/CT_Catalonia/ESP_CT_Tortosa-Ebre.Obs.082380_TMYx.2009-2023.zip</v>
      </c>
    </row>
    <row r="3085" spans="1:10" x14ac:dyDescent="0.25">
      <c r="A3085" t="s">
        <v>1949</v>
      </c>
      <c r="B3085" t="s">
        <v>2042</v>
      </c>
      <c r="C3085" t="s">
        <v>2132</v>
      </c>
      <c r="D3085" s="1" t="s">
        <v>2133</v>
      </c>
      <c r="E3085" t="s">
        <v>14</v>
      </c>
      <c r="F3085">
        <v>40.820300000000003</v>
      </c>
      <c r="G3085">
        <v>0.49330000000000002</v>
      </c>
      <c r="H3085">
        <v>1</v>
      </c>
      <c r="I3085">
        <v>50</v>
      </c>
      <c r="J3085" t="str">
        <f>HYPERLINK("https://climate.onebuilding.org/WMO_Region_6_Europe/ESP_Spain/CT_Catalonia/ESP_CT_Tortosa-Ebre.Obs.082380_TMYx.zip")</f>
        <v>https://climate.onebuilding.org/WMO_Region_6_Europe/ESP_Spain/CT_Catalonia/ESP_CT_Tortosa-Ebre.Obs.082380_TMYx.zip</v>
      </c>
    </row>
    <row r="3086" spans="1:10" x14ac:dyDescent="0.25">
      <c r="A3086" t="s">
        <v>1949</v>
      </c>
      <c r="B3086" t="s">
        <v>2135</v>
      </c>
      <c r="C3086" t="s">
        <v>2136</v>
      </c>
      <c r="D3086" s="1" t="s">
        <v>2137</v>
      </c>
      <c r="E3086" t="s">
        <v>2138</v>
      </c>
      <c r="F3086">
        <v>39.471400000000003</v>
      </c>
      <c r="G3086">
        <v>-6.3388999999999998</v>
      </c>
      <c r="H3086">
        <v>1</v>
      </c>
      <c r="I3086">
        <v>391</v>
      </c>
      <c r="J3086" t="str">
        <f>HYPERLINK("https://climate.onebuilding.org/WMO_Region_6_Europe/ESP_Spain/EX_Extremadura/ESP_EX_Caceres.082610_TMYx.2004-2018.zip")</f>
        <v>https://climate.onebuilding.org/WMO_Region_6_Europe/ESP_Spain/EX_Extremadura/ESP_EX_Caceres.082610_TMYx.2004-2018.zip</v>
      </c>
    </row>
    <row r="3087" spans="1:10" x14ac:dyDescent="0.25">
      <c r="A3087" t="s">
        <v>1949</v>
      </c>
      <c r="B3087" t="s">
        <v>2135</v>
      </c>
      <c r="C3087" t="s">
        <v>2136</v>
      </c>
      <c r="D3087" s="1" t="s">
        <v>2137</v>
      </c>
      <c r="E3087" t="s">
        <v>14</v>
      </c>
      <c r="F3087">
        <v>39.471400000000003</v>
      </c>
      <c r="G3087">
        <v>-6.3388999999999998</v>
      </c>
      <c r="H3087">
        <v>1</v>
      </c>
      <c r="I3087">
        <v>391</v>
      </c>
      <c r="J3087" t="str">
        <f>HYPERLINK("https://climate.onebuilding.org/WMO_Region_6_Europe/ESP_Spain/EX_Extremadura/ESP_EX_Caceres.082610_TMYx.2007-2021.zip")</f>
        <v>https://climate.onebuilding.org/WMO_Region_6_Europe/ESP_Spain/EX_Extremadura/ESP_EX_Caceres.082610_TMYx.2007-2021.zip</v>
      </c>
    </row>
    <row r="3088" spans="1:10" x14ac:dyDescent="0.25">
      <c r="A3088" t="s">
        <v>1949</v>
      </c>
      <c r="B3088" t="s">
        <v>2135</v>
      </c>
      <c r="C3088" t="s">
        <v>2136</v>
      </c>
      <c r="D3088" s="1" t="s">
        <v>2137</v>
      </c>
      <c r="E3088" t="s">
        <v>14</v>
      </c>
      <c r="F3088">
        <v>39.471400000000003</v>
      </c>
      <c r="G3088">
        <v>-6.3388999999999998</v>
      </c>
      <c r="H3088">
        <v>1</v>
      </c>
      <c r="I3088">
        <v>391</v>
      </c>
      <c r="J3088" t="str">
        <f>HYPERLINK("https://climate.onebuilding.org/WMO_Region_6_Europe/ESP_Spain/EX_Extremadura/ESP_EX_Caceres.082610_TMYx.2009-2023.zip")</f>
        <v>https://climate.onebuilding.org/WMO_Region_6_Europe/ESP_Spain/EX_Extremadura/ESP_EX_Caceres.082610_TMYx.2009-2023.zip</v>
      </c>
    </row>
    <row r="3089" spans="1:10" x14ac:dyDescent="0.25">
      <c r="A3089" t="s">
        <v>1949</v>
      </c>
      <c r="B3089" t="s">
        <v>2135</v>
      </c>
      <c r="C3089" t="s">
        <v>2136</v>
      </c>
      <c r="D3089" s="1" t="s">
        <v>2137</v>
      </c>
      <c r="E3089" t="s">
        <v>14</v>
      </c>
      <c r="F3089">
        <v>39.471400000000003</v>
      </c>
      <c r="G3089">
        <v>-6.3388999999999998</v>
      </c>
      <c r="H3089">
        <v>1</v>
      </c>
      <c r="I3089">
        <v>391</v>
      </c>
      <c r="J3089" t="str">
        <f>HYPERLINK("https://climate.onebuilding.org/WMO_Region_6_Europe/ESP_Spain/EX_Extremadura/ESP_EX_Caceres.082610_TMYx.zip")</f>
        <v>https://climate.onebuilding.org/WMO_Region_6_Europe/ESP_Spain/EX_Extremadura/ESP_EX_Caceres.082610_TMYx.zip</v>
      </c>
    </row>
    <row r="3090" spans="1:10" x14ac:dyDescent="0.25">
      <c r="A3090" t="s">
        <v>1949</v>
      </c>
      <c r="B3090" t="s">
        <v>2117</v>
      </c>
      <c r="C3090" t="s">
        <v>2139</v>
      </c>
      <c r="D3090" s="1" t="s">
        <v>2140</v>
      </c>
      <c r="E3090" t="s">
        <v>2141</v>
      </c>
      <c r="F3090">
        <v>39.884700000000002</v>
      </c>
      <c r="G3090">
        <v>-4.0453000000000001</v>
      </c>
      <c r="H3090">
        <v>1</v>
      </c>
      <c r="I3090">
        <v>516</v>
      </c>
      <c r="J3090" t="str">
        <f>HYPERLINK("https://climate.onebuilding.org/WMO_Region_6_Europe/ESP_Spain/CM_Castile-La_Mancha/ESP_CM_Toledo.082720_TMYx.2004-2018.zip")</f>
        <v>https://climate.onebuilding.org/WMO_Region_6_Europe/ESP_Spain/CM_Castile-La_Mancha/ESP_CM_Toledo.082720_TMYx.2004-2018.zip</v>
      </c>
    </row>
    <row r="3091" spans="1:10" x14ac:dyDescent="0.25">
      <c r="A3091" t="s">
        <v>1949</v>
      </c>
      <c r="B3091" t="s">
        <v>2117</v>
      </c>
      <c r="C3091" t="s">
        <v>2139</v>
      </c>
      <c r="D3091" s="1" t="s">
        <v>2140</v>
      </c>
      <c r="E3091" t="s">
        <v>14</v>
      </c>
      <c r="F3091">
        <v>39.884700000000002</v>
      </c>
      <c r="G3091">
        <v>-4.0453000000000001</v>
      </c>
      <c r="H3091">
        <v>1</v>
      </c>
      <c r="I3091">
        <v>516</v>
      </c>
      <c r="J3091" t="str">
        <f>HYPERLINK("https://climate.onebuilding.org/WMO_Region_6_Europe/ESP_Spain/CM_Castile-La_Mancha/ESP_CM_Toledo.082720_TMYx.2007-2021.zip")</f>
        <v>https://climate.onebuilding.org/WMO_Region_6_Europe/ESP_Spain/CM_Castile-La_Mancha/ESP_CM_Toledo.082720_TMYx.2007-2021.zip</v>
      </c>
    </row>
    <row r="3092" spans="1:10" x14ac:dyDescent="0.25">
      <c r="A3092" t="s">
        <v>1949</v>
      </c>
      <c r="B3092" t="s">
        <v>2117</v>
      </c>
      <c r="C3092" t="s">
        <v>2139</v>
      </c>
      <c r="D3092" s="1" t="s">
        <v>2140</v>
      </c>
      <c r="E3092" t="s">
        <v>14</v>
      </c>
      <c r="F3092">
        <v>39.884700000000002</v>
      </c>
      <c r="G3092">
        <v>-4.0453000000000001</v>
      </c>
      <c r="H3092">
        <v>1</v>
      </c>
      <c r="I3092">
        <v>516</v>
      </c>
      <c r="J3092" t="str">
        <f>HYPERLINK("https://climate.onebuilding.org/WMO_Region_6_Europe/ESP_Spain/CM_Castile-La_Mancha/ESP_CM_Toledo.082720_TMYx.2009-2023.zip")</f>
        <v>https://climate.onebuilding.org/WMO_Region_6_Europe/ESP_Spain/CM_Castile-La_Mancha/ESP_CM_Toledo.082720_TMYx.2009-2023.zip</v>
      </c>
    </row>
    <row r="3093" spans="1:10" x14ac:dyDescent="0.25">
      <c r="A3093" t="s">
        <v>1949</v>
      </c>
      <c r="B3093" t="s">
        <v>2117</v>
      </c>
      <c r="C3093" t="s">
        <v>2139</v>
      </c>
      <c r="D3093" s="1" t="s">
        <v>2140</v>
      </c>
      <c r="E3093" t="s">
        <v>14</v>
      </c>
      <c r="F3093">
        <v>39.884700000000002</v>
      </c>
      <c r="G3093">
        <v>-4.0453000000000001</v>
      </c>
      <c r="H3093">
        <v>1</v>
      </c>
      <c r="I3093">
        <v>516</v>
      </c>
      <c r="J3093" t="str">
        <f>HYPERLINK("https://climate.onebuilding.org/WMO_Region_6_Europe/ESP_Spain/CM_Castile-La_Mancha/ESP_CM_Toledo.082720_TMYx.zip")</f>
        <v>https://climate.onebuilding.org/WMO_Region_6_Europe/ESP_Spain/CM_Castile-La_Mancha/ESP_CM_Toledo.082720_TMYx.zip</v>
      </c>
    </row>
    <row r="3094" spans="1:10" x14ac:dyDescent="0.25">
      <c r="A3094" t="s">
        <v>1949</v>
      </c>
      <c r="B3094" t="s">
        <v>2117</v>
      </c>
      <c r="C3094" t="s">
        <v>2142</v>
      </c>
      <c r="D3094" s="1" t="s">
        <v>2143</v>
      </c>
      <c r="E3094" t="s">
        <v>2144</v>
      </c>
      <c r="F3094">
        <v>38.951700000000002</v>
      </c>
      <c r="G3094">
        <v>-1.8625</v>
      </c>
      <c r="H3094">
        <v>1</v>
      </c>
      <c r="I3094">
        <v>704</v>
      </c>
      <c r="J3094" t="str">
        <f>HYPERLINK("https://climate.onebuilding.org/WMO_Region_6_Europe/ESP_Spain/CM_Castile-La_Mancha/ESP_CM_Albacete-Los.Llanos.AFB.082800_TMYx.2004-2018.zip")</f>
        <v>https://climate.onebuilding.org/WMO_Region_6_Europe/ESP_Spain/CM_Castile-La_Mancha/ESP_CM_Albacete-Los.Llanos.AFB.082800_TMYx.2004-2018.zip</v>
      </c>
    </row>
    <row r="3095" spans="1:10" x14ac:dyDescent="0.25">
      <c r="A3095" t="s">
        <v>1949</v>
      </c>
      <c r="B3095" t="s">
        <v>2117</v>
      </c>
      <c r="C3095" t="s">
        <v>2142</v>
      </c>
      <c r="D3095" s="1" t="s">
        <v>2143</v>
      </c>
      <c r="E3095" t="s">
        <v>14</v>
      </c>
      <c r="F3095">
        <v>38.951700000000002</v>
      </c>
      <c r="G3095">
        <v>-1.8625</v>
      </c>
      <c r="H3095">
        <v>1</v>
      </c>
      <c r="I3095">
        <v>704</v>
      </c>
      <c r="J3095" t="str">
        <f>HYPERLINK("https://climate.onebuilding.org/WMO_Region_6_Europe/ESP_Spain/CM_Castile-La_Mancha/ESP_CM_Albacete-Los.Llanos.AFB.082800_TMYx.2007-2021.zip")</f>
        <v>https://climate.onebuilding.org/WMO_Region_6_Europe/ESP_Spain/CM_Castile-La_Mancha/ESP_CM_Albacete-Los.Llanos.AFB.082800_TMYx.2007-2021.zip</v>
      </c>
    </row>
    <row r="3096" spans="1:10" x14ac:dyDescent="0.25">
      <c r="A3096" t="s">
        <v>1949</v>
      </c>
      <c r="B3096" t="s">
        <v>2117</v>
      </c>
      <c r="C3096" t="s">
        <v>2142</v>
      </c>
      <c r="D3096" s="1" t="s">
        <v>2143</v>
      </c>
      <c r="E3096" t="s">
        <v>14</v>
      </c>
      <c r="F3096">
        <v>38.951700000000002</v>
      </c>
      <c r="G3096">
        <v>-1.8625</v>
      </c>
      <c r="H3096">
        <v>1</v>
      </c>
      <c r="I3096">
        <v>704</v>
      </c>
      <c r="J3096" t="str">
        <f>HYPERLINK("https://climate.onebuilding.org/WMO_Region_6_Europe/ESP_Spain/CM_Castile-La_Mancha/ESP_CM_Albacete-Los.Llanos.AFB.082800_TMYx.2009-2023.zip")</f>
        <v>https://climate.onebuilding.org/WMO_Region_6_Europe/ESP_Spain/CM_Castile-La_Mancha/ESP_CM_Albacete-Los.Llanos.AFB.082800_TMYx.2009-2023.zip</v>
      </c>
    </row>
    <row r="3097" spans="1:10" x14ac:dyDescent="0.25">
      <c r="A3097" t="s">
        <v>1949</v>
      </c>
      <c r="B3097" t="s">
        <v>2117</v>
      </c>
      <c r="C3097" t="s">
        <v>2142</v>
      </c>
      <c r="D3097" s="1" t="s">
        <v>2143</v>
      </c>
      <c r="E3097" t="s">
        <v>14</v>
      </c>
      <c r="F3097">
        <v>38.951700000000002</v>
      </c>
      <c r="G3097">
        <v>-1.8625</v>
      </c>
      <c r="H3097">
        <v>1</v>
      </c>
      <c r="I3097">
        <v>704</v>
      </c>
      <c r="J3097" t="str">
        <f>HYPERLINK("https://climate.onebuilding.org/WMO_Region_6_Europe/ESP_Spain/CM_Castile-La_Mancha/ESP_CM_Albacete-Los.Llanos.AFB.082800_TMYx.zip")</f>
        <v>https://climate.onebuilding.org/WMO_Region_6_Europe/ESP_Spain/CM_Castile-La_Mancha/ESP_CM_Albacete-Los.Llanos.AFB.082800_TMYx.zip</v>
      </c>
    </row>
    <row r="3098" spans="1:10" x14ac:dyDescent="0.25">
      <c r="A3098" t="s">
        <v>1949</v>
      </c>
      <c r="B3098" t="s">
        <v>2145</v>
      </c>
      <c r="C3098" t="s">
        <v>2146</v>
      </c>
      <c r="D3098" s="1" t="s">
        <v>2147</v>
      </c>
      <c r="E3098" t="s">
        <v>2148</v>
      </c>
      <c r="F3098">
        <v>39.484999999999999</v>
      </c>
      <c r="G3098">
        <v>-0.47470000000000001</v>
      </c>
      <c r="H3098">
        <v>1</v>
      </c>
      <c r="I3098">
        <v>62</v>
      </c>
      <c r="J3098" t="str">
        <f>HYPERLINK("https://climate.onebuilding.org/WMO_Region_6_Europe/ESP_Spain/VC_Valencia/ESP_VC_Valencia.AP.082840_TMYx.2004-2018.zip")</f>
        <v>https://climate.onebuilding.org/WMO_Region_6_Europe/ESP_Spain/VC_Valencia/ESP_VC_Valencia.AP.082840_TMYx.2004-2018.zip</v>
      </c>
    </row>
    <row r="3099" spans="1:10" x14ac:dyDescent="0.25">
      <c r="A3099" t="s">
        <v>1949</v>
      </c>
      <c r="B3099" t="s">
        <v>2145</v>
      </c>
      <c r="C3099" t="s">
        <v>2146</v>
      </c>
      <c r="D3099" s="1" t="s">
        <v>2147</v>
      </c>
      <c r="E3099" t="s">
        <v>14</v>
      </c>
      <c r="F3099">
        <v>39.484999999999999</v>
      </c>
      <c r="G3099">
        <v>-0.47470000000000001</v>
      </c>
      <c r="H3099">
        <v>1</v>
      </c>
      <c r="I3099">
        <v>62</v>
      </c>
      <c r="J3099" t="str">
        <f>HYPERLINK("https://climate.onebuilding.org/WMO_Region_6_Europe/ESP_Spain/VC_Valencia/ESP_VC_Valencia.AP.082840_TMYx.2007-2021.zip")</f>
        <v>https://climate.onebuilding.org/WMO_Region_6_Europe/ESP_Spain/VC_Valencia/ESP_VC_Valencia.AP.082840_TMYx.2007-2021.zip</v>
      </c>
    </row>
    <row r="3100" spans="1:10" x14ac:dyDescent="0.25">
      <c r="A3100" t="s">
        <v>1949</v>
      </c>
      <c r="B3100" t="s">
        <v>2145</v>
      </c>
      <c r="C3100" t="s">
        <v>2146</v>
      </c>
      <c r="D3100" s="1" t="s">
        <v>2147</v>
      </c>
      <c r="E3100" t="s">
        <v>14</v>
      </c>
      <c r="F3100">
        <v>39.484999999999999</v>
      </c>
      <c r="G3100">
        <v>-0.47470000000000001</v>
      </c>
      <c r="H3100">
        <v>1</v>
      </c>
      <c r="I3100">
        <v>62</v>
      </c>
      <c r="J3100" t="str">
        <f>HYPERLINK("https://climate.onebuilding.org/WMO_Region_6_Europe/ESP_Spain/VC_Valencia/ESP_VC_Valencia.AP.082840_TMYx.2009-2023.zip")</f>
        <v>https://climate.onebuilding.org/WMO_Region_6_Europe/ESP_Spain/VC_Valencia/ESP_VC_Valencia.AP.082840_TMYx.2009-2023.zip</v>
      </c>
    </row>
    <row r="3101" spans="1:10" x14ac:dyDescent="0.25">
      <c r="A3101" t="s">
        <v>1949</v>
      </c>
      <c r="B3101" t="s">
        <v>2145</v>
      </c>
      <c r="C3101" t="s">
        <v>2146</v>
      </c>
      <c r="D3101" s="1" t="s">
        <v>2147</v>
      </c>
      <c r="E3101" t="s">
        <v>14</v>
      </c>
      <c r="F3101">
        <v>39.484999999999999</v>
      </c>
      <c r="G3101">
        <v>-0.47470000000000001</v>
      </c>
      <c r="H3101">
        <v>1</v>
      </c>
      <c r="I3101">
        <v>62</v>
      </c>
      <c r="J3101" t="str">
        <f>HYPERLINK("https://climate.onebuilding.org/WMO_Region_6_Europe/ESP_Spain/VC_Valencia/ESP_VC_Valencia.AP.082840_TMYx.zip")</f>
        <v>https://climate.onebuilding.org/WMO_Region_6_Europe/ESP_Spain/VC_Valencia/ESP_VC_Valencia.AP.082840_TMYx.zip</v>
      </c>
    </row>
    <row r="3102" spans="1:10" x14ac:dyDescent="0.25">
      <c r="A3102" t="s">
        <v>1949</v>
      </c>
      <c r="B3102" t="s">
        <v>2145</v>
      </c>
      <c r="C3102" t="s">
        <v>2149</v>
      </c>
      <c r="D3102" s="1" t="s">
        <v>2150</v>
      </c>
      <c r="E3102" t="s">
        <v>14</v>
      </c>
      <c r="F3102">
        <v>39.482999999999997</v>
      </c>
      <c r="G3102">
        <v>-0.38300000000000001</v>
      </c>
      <c r="H3102">
        <v>1</v>
      </c>
      <c r="I3102">
        <v>11</v>
      </c>
      <c r="J3102" t="str">
        <f>HYPERLINK("https://climate.onebuilding.org/WMO_Region_6_Europe/ESP_Spain/VC_Valencia/ESP_VC_Valencia.Viveros.082850_TMYx.2007-2021.zip")</f>
        <v>https://climate.onebuilding.org/WMO_Region_6_Europe/ESP_Spain/VC_Valencia/ESP_VC_Valencia.Viveros.082850_TMYx.2007-2021.zip</v>
      </c>
    </row>
    <row r="3103" spans="1:10" x14ac:dyDescent="0.25">
      <c r="A3103" t="s">
        <v>1949</v>
      </c>
      <c r="B3103" t="s">
        <v>2145</v>
      </c>
      <c r="C3103" t="s">
        <v>2149</v>
      </c>
      <c r="D3103" s="1" t="s">
        <v>2150</v>
      </c>
      <c r="E3103" t="s">
        <v>14</v>
      </c>
      <c r="F3103">
        <v>39.482999999999997</v>
      </c>
      <c r="G3103">
        <v>-0.38300000000000001</v>
      </c>
      <c r="H3103">
        <v>1</v>
      </c>
      <c r="I3103">
        <v>11</v>
      </c>
      <c r="J3103" t="str">
        <f>HYPERLINK("https://climate.onebuilding.org/WMO_Region_6_Europe/ESP_Spain/VC_Valencia/ESP_VC_Valencia.Viveros.082850_TMYx.2009-2023.zip")</f>
        <v>https://climate.onebuilding.org/WMO_Region_6_Europe/ESP_Spain/VC_Valencia/ESP_VC_Valencia.Viveros.082850_TMYx.2009-2023.zip</v>
      </c>
    </row>
    <row r="3104" spans="1:10" x14ac:dyDescent="0.25">
      <c r="A3104" t="s">
        <v>1949</v>
      </c>
      <c r="B3104" t="s">
        <v>2145</v>
      </c>
      <c r="C3104" t="s">
        <v>2149</v>
      </c>
      <c r="D3104" s="1" t="s">
        <v>2150</v>
      </c>
      <c r="E3104" t="s">
        <v>14</v>
      </c>
      <c r="F3104">
        <v>39.482999999999997</v>
      </c>
      <c r="G3104">
        <v>-0.38300000000000001</v>
      </c>
      <c r="H3104">
        <v>1</v>
      </c>
      <c r="I3104">
        <v>11</v>
      </c>
      <c r="J3104" t="str">
        <f>HYPERLINK("https://climate.onebuilding.org/WMO_Region_6_Europe/ESP_Spain/VC_Valencia/ESP_VC_Valencia.Viveros.082850_TMYx.zip")</f>
        <v>https://climate.onebuilding.org/WMO_Region_6_Europe/ESP_Spain/VC_Valencia/ESP_VC_Valencia.Viveros.082850_TMYx.zip</v>
      </c>
    </row>
    <row r="3105" spans="1:10" x14ac:dyDescent="0.25">
      <c r="A3105" t="s">
        <v>1949</v>
      </c>
      <c r="B3105" t="s">
        <v>2145</v>
      </c>
      <c r="C3105" t="s">
        <v>2151</v>
      </c>
      <c r="D3105" s="1" t="s">
        <v>2152</v>
      </c>
      <c r="E3105" t="s">
        <v>14</v>
      </c>
      <c r="F3105">
        <v>39.9572</v>
      </c>
      <c r="G3105" s="2">
        <v>-7.1900000000000006E-2</v>
      </c>
      <c r="H3105">
        <v>1</v>
      </c>
      <c r="I3105">
        <v>43.5</v>
      </c>
      <c r="J3105" t="str">
        <f>HYPERLINK("https://climate.onebuilding.org/WMO_Region_6_Europe/ESP_Spain/VC_Valencia/ESP_VC_Castellon.Almazora.082860_TMYx.2007-2021.zip")</f>
        <v>https://climate.onebuilding.org/WMO_Region_6_Europe/ESP_Spain/VC_Valencia/ESP_VC_Castellon.Almazora.082860_TMYx.2007-2021.zip</v>
      </c>
    </row>
    <row r="3106" spans="1:10" x14ac:dyDescent="0.25">
      <c r="A3106" t="s">
        <v>1949</v>
      </c>
      <c r="B3106" t="s">
        <v>2145</v>
      </c>
      <c r="C3106" t="s">
        <v>2151</v>
      </c>
      <c r="D3106" s="1" t="s">
        <v>2152</v>
      </c>
      <c r="E3106" t="s">
        <v>14</v>
      </c>
      <c r="F3106">
        <v>39.9572</v>
      </c>
      <c r="G3106" s="2">
        <v>-7.1900000000000006E-2</v>
      </c>
      <c r="H3106">
        <v>1</v>
      </c>
      <c r="I3106">
        <v>43.5</v>
      </c>
      <c r="J3106" t="str">
        <f>HYPERLINK("https://climate.onebuilding.org/WMO_Region_6_Europe/ESP_Spain/VC_Valencia/ESP_VC_Castellon.Almazora.082860_TMYx.2009-2023.zip")</f>
        <v>https://climate.onebuilding.org/WMO_Region_6_Europe/ESP_Spain/VC_Valencia/ESP_VC_Castellon.Almazora.082860_TMYx.2009-2023.zip</v>
      </c>
    </row>
    <row r="3107" spans="1:10" x14ac:dyDescent="0.25">
      <c r="A3107" t="s">
        <v>1949</v>
      </c>
      <c r="B3107" t="s">
        <v>2145</v>
      </c>
      <c r="C3107" t="s">
        <v>2151</v>
      </c>
      <c r="D3107" s="1" t="s">
        <v>2152</v>
      </c>
      <c r="E3107" t="s">
        <v>14</v>
      </c>
      <c r="F3107">
        <v>39.9572</v>
      </c>
      <c r="G3107" s="2">
        <v>-7.1900000000000006E-2</v>
      </c>
      <c r="H3107">
        <v>1</v>
      </c>
      <c r="I3107">
        <v>43.5</v>
      </c>
      <c r="J3107" t="str">
        <f>HYPERLINK("https://climate.onebuilding.org/WMO_Region_6_Europe/ESP_Spain/VC_Valencia/ESP_VC_Castellon.Almazora.082860_TMYx.zip")</f>
        <v>https://climate.onebuilding.org/WMO_Region_6_Europe/ESP_Spain/VC_Valencia/ESP_VC_Castellon.Almazora.082860_TMYx.zip</v>
      </c>
    </row>
    <row r="3108" spans="1:10" x14ac:dyDescent="0.25">
      <c r="A3108" t="s">
        <v>1949</v>
      </c>
      <c r="B3108" t="s">
        <v>2145</v>
      </c>
      <c r="C3108" t="s">
        <v>2153</v>
      </c>
      <c r="D3108" s="1" t="s">
        <v>2154</v>
      </c>
      <c r="E3108" t="s">
        <v>14</v>
      </c>
      <c r="F3108">
        <v>39.15</v>
      </c>
      <c r="G3108">
        <v>-0.433</v>
      </c>
      <c r="H3108">
        <v>1</v>
      </c>
      <c r="I3108">
        <v>20</v>
      </c>
      <c r="J3108" t="str">
        <f>HYPERLINK("https://climate.onebuilding.org/WMO_Region_6_Europe/ESP_Spain/VC_Valencia/ESP_VC_Alzira.082900_TMYx.2007-2021.zip")</f>
        <v>https://climate.onebuilding.org/WMO_Region_6_Europe/ESP_Spain/VC_Valencia/ESP_VC_Alzira.082900_TMYx.2007-2021.zip</v>
      </c>
    </row>
    <row r="3109" spans="1:10" x14ac:dyDescent="0.25">
      <c r="A3109" t="s">
        <v>1949</v>
      </c>
      <c r="B3109" t="s">
        <v>2145</v>
      </c>
      <c r="C3109" t="s">
        <v>2153</v>
      </c>
      <c r="D3109" s="1" t="s">
        <v>2154</v>
      </c>
      <c r="E3109" t="s">
        <v>14</v>
      </c>
      <c r="F3109">
        <v>39.15</v>
      </c>
      <c r="G3109">
        <v>-0.433</v>
      </c>
      <c r="H3109">
        <v>1</v>
      </c>
      <c r="I3109">
        <v>20</v>
      </c>
      <c r="J3109" t="str">
        <f>HYPERLINK("https://climate.onebuilding.org/WMO_Region_6_Europe/ESP_Spain/VC_Valencia/ESP_VC_Alzira.082900_TMYx.2009-2023.zip")</f>
        <v>https://climate.onebuilding.org/WMO_Region_6_Europe/ESP_Spain/VC_Valencia/ESP_VC_Alzira.082900_TMYx.2009-2023.zip</v>
      </c>
    </row>
    <row r="3110" spans="1:10" x14ac:dyDescent="0.25">
      <c r="A3110" t="s">
        <v>1949</v>
      </c>
      <c r="B3110" t="s">
        <v>2145</v>
      </c>
      <c r="C3110" t="s">
        <v>2153</v>
      </c>
      <c r="D3110" s="1" t="s">
        <v>2154</v>
      </c>
      <c r="E3110" t="s">
        <v>14</v>
      </c>
      <c r="F3110">
        <v>39.15</v>
      </c>
      <c r="G3110">
        <v>-0.433</v>
      </c>
      <c r="H3110">
        <v>1</v>
      </c>
      <c r="I3110">
        <v>20</v>
      </c>
      <c r="J3110" t="str">
        <f>HYPERLINK("https://climate.onebuilding.org/WMO_Region_6_Europe/ESP_Spain/VC_Valencia/ESP_VC_Alzira.082900_TMYx.zip")</f>
        <v>https://climate.onebuilding.org/WMO_Region_6_Europe/ESP_Spain/VC_Valencia/ESP_VC_Alzira.082900_TMYx.zip</v>
      </c>
    </row>
    <row r="3111" spans="1:10" x14ac:dyDescent="0.25">
      <c r="A3111" t="s">
        <v>1949</v>
      </c>
      <c r="B3111" t="s">
        <v>2155</v>
      </c>
      <c r="C3111" t="s">
        <v>2156</v>
      </c>
      <c r="D3111" s="1" t="s">
        <v>2157</v>
      </c>
      <c r="E3111" t="s">
        <v>14</v>
      </c>
      <c r="F3111">
        <v>39.5533</v>
      </c>
      <c r="G3111">
        <v>2.6253000000000002</v>
      </c>
      <c r="H3111">
        <v>1</v>
      </c>
      <c r="I3111">
        <v>6</v>
      </c>
      <c r="J3111" t="str">
        <f>HYPERLINK("https://climate.onebuilding.org/WMO_Region_6_Europe/ESP_Spain/IB_Balearic_Islands/ESP_IB_Palma.083010_TMYx.2007-2021.zip")</f>
        <v>https://climate.onebuilding.org/WMO_Region_6_Europe/ESP_Spain/IB_Balearic_Islands/ESP_IB_Palma.083010_TMYx.2007-2021.zip</v>
      </c>
    </row>
    <row r="3112" spans="1:10" x14ac:dyDescent="0.25">
      <c r="A3112" t="s">
        <v>1949</v>
      </c>
      <c r="B3112" t="s">
        <v>2155</v>
      </c>
      <c r="C3112" t="s">
        <v>2156</v>
      </c>
      <c r="D3112" s="1" t="s">
        <v>2157</v>
      </c>
      <c r="E3112" t="s">
        <v>14</v>
      </c>
      <c r="F3112">
        <v>39.5533</v>
      </c>
      <c r="G3112">
        <v>2.6253000000000002</v>
      </c>
      <c r="H3112">
        <v>1</v>
      </c>
      <c r="I3112">
        <v>6</v>
      </c>
      <c r="J3112" t="str">
        <f>HYPERLINK("https://climate.onebuilding.org/WMO_Region_6_Europe/ESP_Spain/IB_Balearic_Islands/ESP_IB_Palma.083010_TMYx.2009-2023.zip")</f>
        <v>https://climate.onebuilding.org/WMO_Region_6_Europe/ESP_Spain/IB_Balearic_Islands/ESP_IB_Palma.083010_TMYx.2009-2023.zip</v>
      </c>
    </row>
    <row r="3113" spans="1:10" x14ac:dyDescent="0.25">
      <c r="A3113" t="s">
        <v>1949</v>
      </c>
      <c r="B3113" t="s">
        <v>2155</v>
      </c>
      <c r="C3113" t="s">
        <v>2156</v>
      </c>
      <c r="D3113" s="1" t="s">
        <v>2157</v>
      </c>
      <c r="E3113" t="s">
        <v>14</v>
      </c>
      <c r="F3113">
        <v>39.5533</v>
      </c>
      <c r="G3113">
        <v>2.6253000000000002</v>
      </c>
      <c r="H3113">
        <v>1</v>
      </c>
      <c r="I3113">
        <v>6</v>
      </c>
      <c r="J3113" t="str">
        <f>HYPERLINK("https://climate.onebuilding.org/WMO_Region_6_Europe/ESP_Spain/IB_Balearic_Islands/ESP_IB_Palma.083010_TMYx.zip")</f>
        <v>https://climate.onebuilding.org/WMO_Region_6_Europe/ESP_Spain/IB_Balearic_Islands/ESP_IB_Palma.083010_TMYx.zip</v>
      </c>
    </row>
    <row r="3114" spans="1:10" x14ac:dyDescent="0.25">
      <c r="A3114" t="s">
        <v>1949</v>
      </c>
      <c r="B3114" t="s">
        <v>2155</v>
      </c>
      <c r="C3114" t="s">
        <v>2158</v>
      </c>
      <c r="D3114" s="1" t="s">
        <v>2159</v>
      </c>
      <c r="E3114" t="s">
        <v>14</v>
      </c>
      <c r="F3114">
        <v>39.732999999999997</v>
      </c>
      <c r="G3114">
        <v>2.7170000000000001</v>
      </c>
      <c r="H3114">
        <v>1</v>
      </c>
      <c r="I3114">
        <v>1015</v>
      </c>
      <c r="J3114" t="str">
        <f>HYPERLINK("https://climate.onebuilding.org/WMO_Region_6_Europe/ESP_Spain/IB_Balearic_Islands/ESP_IB_Alfabia.Mtn.Range.083030_TMYx.2007-2021.zip")</f>
        <v>https://climate.onebuilding.org/WMO_Region_6_Europe/ESP_Spain/IB_Balearic_Islands/ESP_IB_Alfabia.Mtn.Range.083030_TMYx.2007-2021.zip</v>
      </c>
    </row>
    <row r="3115" spans="1:10" x14ac:dyDescent="0.25">
      <c r="A3115" t="s">
        <v>1949</v>
      </c>
      <c r="B3115" t="s">
        <v>2155</v>
      </c>
      <c r="C3115" t="s">
        <v>2158</v>
      </c>
      <c r="D3115" s="1" t="s">
        <v>2159</v>
      </c>
      <c r="E3115" t="s">
        <v>14</v>
      </c>
      <c r="F3115">
        <v>39.732999999999997</v>
      </c>
      <c r="G3115">
        <v>2.7170000000000001</v>
      </c>
      <c r="H3115">
        <v>1</v>
      </c>
      <c r="I3115">
        <v>1015</v>
      </c>
      <c r="J3115" t="str">
        <f>HYPERLINK("https://climate.onebuilding.org/WMO_Region_6_Europe/ESP_Spain/IB_Balearic_Islands/ESP_IB_Alfabia.Mtn.Range.083030_TMYx.2009-2023.zip")</f>
        <v>https://climate.onebuilding.org/WMO_Region_6_Europe/ESP_Spain/IB_Balearic_Islands/ESP_IB_Alfabia.Mtn.Range.083030_TMYx.2009-2023.zip</v>
      </c>
    </row>
    <row r="3116" spans="1:10" x14ac:dyDescent="0.25">
      <c r="A3116" t="s">
        <v>1949</v>
      </c>
      <c r="B3116" t="s">
        <v>2155</v>
      </c>
      <c r="C3116" t="s">
        <v>2158</v>
      </c>
      <c r="D3116" s="1" t="s">
        <v>2159</v>
      </c>
      <c r="E3116" t="s">
        <v>14</v>
      </c>
      <c r="F3116">
        <v>39.732999999999997</v>
      </c>
      <c r="G3116">
        <v>2.7170000000000001</v>
      </c>
      <c r="H3116">
        <v>1</v>
      </c>
      <c r="I3116">
        <v>1015</v>
      </c>
      <c r="J3116" t="str">
        <f>HYPERLINK("https://climate.onebuilding.org/WMO_Region_6_Europe/ESP_Spain/IB_Balearic_Islands/ESP_IB_Alfabia.Mtn.Range.083030_TMYx.zip")</f>
        <v>https://climate.onebuilding.org/WMO_Region_6_Europe/ESP_Spain/IB_Balearic_Islands/ESP_IB_Alfabia.Mtn.Range.083030_TMYx.zip</v>
      </c>
    </row>
    <row r="3117" spans="1:10" x14ac:dyDescent="0.25">
      <c r="A3117" t="s">
        <v>1949</v>
      </c>
      <c r="B3117" t="s">
        <v>2155</v>
      </c>
      <c r="C3117" t="s">
        <v>2160</v>
      </c>
      <c r="D3117" s="1" t="s">
        <v>2161</v>
      </c>
      <c r="E3117" t="s">
        <v>2162</v>
      </c>
      <c r="F3117">
        <v>39.5608</v>
      </c>
      <c r="G3117">
        <v>2.7366999999999999</v>
      </c>
      <c r="H3117">
        <v>1</v>
      </c>
      <c r="I3117">
        <v>5</v>
      </c>
      <c r="J3117" t="str">
        <f>HYPERLINK("https://climate.onebuilding.org/WMO_Region_6_Europe/ESP_Spain/IB_Balearic_Islands/ESP_IB_Palma.de.Mallorca.AP-Son.San.Juan.AFB.083060_TMYx.2004-2018.zip")</f>
        <v>https://climate.onebuilding.org/WMO_Region_6_Europe/ESP_Spain/IB_Balearic_Islands/ESP_IB_Palma.de.Mallorca.AP-Son.San.Juan.AFB.083060_TMYx.2004-2018.zip</v>
      </c>
    </row>
    <row r="3118" spans="1:10" x14ac:dyDescent="0.25">
      <c r="A3118" t="s">
        <v>1949</v>
      </c>
      <c r="B3118" t="s">
        <v>2155</v>
      </c>
      <c r="C3118" t="s">
        <v>2160</v>
      </c>
      <c r="D3118" s="1" t="s">
        <v>2161</v>
      </c>
      <c r="E3118" t="s">
        <v>14</v>
      </c>
      <c r="F3118">
        <v>39.5608</v>
      </c>
      <c r="G3118">
        <v>2.7366999999999999</v>
      </c>
      <c r="H3118">
        <v>1</v>
      </c>
      <c r="I3118">
        <v>5</v>
      </c>
      <c r="J3118" t="str">
        <f>HYPERLINK("https://climate.onebuilding.org/WMO_Region_6_Europe/ESP_Spain/IB_Balearic_Islands/ESP_IB_Palma.de.Mallorca.AP-Son.San.Juan.AFB.083060_TMYx.2007-2021.zip")</f>
        <v>https://climate.onebuilding.org/WMO_Region_6_Europe/ESP_Spain/IB_Balearic_Islands/ESP_IB_Palma.de.Mallorca.AP-Son.San.Juan.AFB.083060_TMYx.2007-2021.zip</v>
      </c>
    </row>
    <row r="3119" spans="1:10" x14ac:dyDescent="0.25">
      <c r="A3119" t="s">
        <v>1949</v>
      </c>
      <c r="B3119" t="s">
        <v>2155</v>
      </c>
      <c r="C3119" t="s">
        <v>2160</v>
      </c>
      <c r="D3119" s="1" t="s">
        <v>2161</v>
      </c>
      <c r="E3119" t="s">
        <v>14</v>
      </c>
      <c r="F3119">
        <v>39.5608</v>
      </c>
      <c r="G3119">
        <v>2.7366999999999999</v>
      </c>
      <c r="H3119">
        <v>1</v>
      </c>
      <c r="I3119">
        <v>5</v>
      </c>
      <c r="J3119" t="str">
        <f>HYPERLINK("https://climate.onebuilding.org/WMO_Region_6_Europe/ESP_Spain/IB_Balearic_Islands/ESP_IB_Palma.de.Mallorca.AP-Son.San.Juan.AFB.083060_TMYx.2009-2023.zip")</f>
        <v>https://climate.onebuilding.org/WMO_Region_6_Europe/ESP_Spain/IB_Balearic_Islands/ESP_IB_Palma.de.Mallorca.AP-Son.San.Juan.AFB.083060_TMYx.2009-2023.zip</v>
      </c>
    </row>
    <row r="3120" spans="1:10" x14ac:dyDescent="0.25">
      <c r="A3120" t="s">
        <v>1949</v>
      </c>
      <c r="B3120" t="s">
        <v>2155</v>
      </c>
      <c r="C3120" t="s">
        <v>2160</v>
      </c>
      <c r="D3120" s="1" t="s">
        <v>2161</v>
      </c>
      <c r="E3120" t="s">
        <v>14</v>
      </c>
      <c r="F3120">
        <v>39.5608</v>
      </c>
      <c r="G3120">
        <v>2.7366999999999999</v>
      </c>
      <c r="H3120">
        <v>1</v>
      </c>
      <c r="I3120">
        <v>5</v>
      </c>
      <c r="J3120" t="str">
        <f>HYPERLINK("https://climate.onebuilding.org/WMO_Region_6_Europe/ESP_Spain/IB_Balearic_Islands/ESP_IB_Palma.de.Mallorca.AP-Son.San.Juan.AFB.083060_TMYx.zip")</f>
        <v>https://climate.onebuilding.org/WMO_Region_6_Europe/ESP_Spain/IB_Balearic_Islands/ESP_IB_Palma.de.Mallorca.AP-Son.San.Juan.AFB.083060_TMYx.zip</v>
      </c>
    </row>
    <row r="3121" spans="1:10" x14ac:dyDescent="0.25">
      <c r="A3121" t="s">
        <v>1949</v>
      </c>
      <c r="B3121" t="s">
        <v>2155</v>
      </c>
      <c r="C3121" t="s">
        <v>2163</v>
      </c>
      <c r="D3121" s="1" t="s">
        <v>2164</v>
      </c>
      <c r="E3121" t="s">
        <v>2165</v>
      </c>
      <c r="F3121">
        <v>39.854700000000001</v>
      </c>
      <c r="G3121">
        <v>4.2156000000000002</v>
      </c>
      <c r="H3121">
        <v>1</v>
      </c>
      <c r="I3121">
        <v>86</v>
      </c>
      <c r="J3121" t="str">
        <f>HYPERLINK("https://climate.onebuilding.org/WMO_Region_6_Europe/ESP_Spain/IB_Balearic_Islands/ESP_IB_Menorca.AP.083140_TMYx.2004-2018.zip")</f>
        <v>https://climate.onebuilding.org/WMO_Region_6_Europe/ESP_Spain/IB_Balearic_Islands/ESP_IB_Menorca.AP.083140_TMYx.2004-2018.zip</v>
      </c>
    </row>
    <row r="3122" spans="1:10" x14ac:dyDescent="0.25">
      <c r="A3122" t="s">
        <v>1949</v>
      </c>
      <c r="B3122" t="s">
        <v>2155</v>
      </c>
      <c r="C3122" t="s">
        <v>2163</v>
      </c>
      <c r="D3122" s="1" t="s">
        <v>2164</v>
      </c>
      <c r="E3122" t="s">
        <v>14</v>
      </c>
      <c r="F3122">
        <v>39.854700000000001</v>
      </c>
      <c r="G3122">
        <v>4.2156000000000002</v>
      </c>
      <c r="H3122">
        <v>1</v>
      </c>
      <c r="I3122">
        <v>86</v>
      </c>
      <c r="J3122" t="str">
        <f>HYPERLINK("https://climate.onebuilding.org/WMO_Region_6_Europe/ESP_Spain/IB_Balearic_Islands/ESP_IB_Menorca.AP.083140_TMYx.2007-2021.zip")</f>
        <v>https://climate.onebuilding.org/WMO_Region_6_Europe/ESP_Spain/IB_Balearic_Islands/ESP_IB_Menorca.AP.083140_TMYx.2007-2021.zip</v>
      </c>
    </row>
    <row r="3123" spans="1:10" x14ac:dyDescent="0.25">
      <c r="A3123" t="s">
        <v>1949</v>
      </c>
      <c r="B3123" t="s">
        <v>2155</v>
      </c>
      <c r="C3123" t="s">
        <v>2163</v>
      </c>
      <c r="D3123" s="1" t="s">
        <v>2164</v>
      </c>
      <c r="E3123" t="s">
        <v>14</v>
      </c>
      <c r="F3123">
        <v>39.854700000000001</v>
      </c>
      <c r="G3123">
        <v>4.2156000000000002</v>
      </c>
      <c r="H3123">
        <v>1</v>
      </c>
      <c r="I3123">
        <v>86</v>
      </c>
      <c r="J3123" t="str">
        <f>HYPERLINK("https://climate.onebuilding.org/WMO_Region_6_Europe/ESP_Spain/IB_Balearic_Islands/ESP_IB_Menorca.AP.083140_TMYx.2009-2023.zip")</f>
        <v>https://climate.onebuilding.org/WMO_Region_6_Europe/ESP_Spain/IB_Balearic_Islands/ESP_IB_Menorca.AP.083140_TMYx.2009-2023.zip</v>
      </c>
    </row>
    <row r="3124" spans="1:10" x14ac:dyDescent="0.25">
      <c r="A3124" t="s">
        <v>1949</v>
      </c>
      <c r="B3124" t="s">
        <v>2155</v>
      </c>
      <c r="C3124" t="s">
        <v>2163</v>
      </c>
      <c r="D3124" s="1" t="s">
        <v>2164</v>
      </c>
      <c r="E3124" t="s">
        <v>14</v>
      </c>
      <c r="F3124">
        <v>39.854700000000001</v>
      </c>
      <c r="G3124">
        <v>4.2156000000000002</v>
      </c>
      <c r="H3124">
        <v>1</v>
      </c>
      <c r="I3124">
        <v>86</v>
      </c>
      <c r="J3124" t="str">
        <f>HYPERLINK("https://climate.onebuilding.org/WMO_Region_6_Europe/ESP_Spain/IB_Balearic_Islands/ESP_IB_Menorca.AP.083140_TMYx.zip")</f>
        <v>https://climate.onebuilding.org/WMO_Region_6_Europe/ESP_Spain/IB_Balearic_Islands/ESP_IB_Menorca.AP.083140_TMYx.zip</v>
      </c>
    </row>
    <row r="3125" spans="1:10" x14ac:dyDescent="0.25">
      <c r="A3125" t="s">
        <v>1949</v>
      </c>
      <c r="B3125" t="s">
        <v>2135</v>
      </c>
      <c r="C3125" t="s">
        <v>2166</v>
      </c>
      <c r="D3125" s="1" t="s">
        <v>2167</v>
      </c>
      <c r="E3125" t="s">
        <v>2168</v>
      </c>
      <c r="F3125">
        <v>38.883299999999998</v>
      </c>
      <c r="G3125">
        <v>-6.8139000000000003</v>
      </c>
      <c r="H3125">
        <v>1</v>
      </c>
      <c r="I3125">
        <v>192</v>
      </c>
      <c r="J3125" t="str">
        <f>HYPERLINK("https://climate.onebuilding.org/WMO_Region_6_Europe/ESP_Spain/EX_Extremadura/ESP_EX_Badajoz.AP.083300_TMYx.2004-2018.zip")</f>
        <v>https://climate.onebuilding.org/WMO_Region_6_Europe/ESP_Spain/EX_Extremadura/ESP_EX_Badajoz.AP.083300_TMYx.2004-2018.zip</v>
      </c>
    </row>
    <row r="3126" spans="1:10" x14ac:dyDescent="0.25">
      <c r="A3126" t="s">
        <v>1949</v>
      </c>
      <c r="B3126" t="s">
        <v>2135</v>
      </c>
      <c r="C3126" t="s">
        <v>2166</v>
      </c>
      <c r="D3126" s="1" t="s">
        <v>2167</v>
      </c>
      <c r="E3126" t="s">
        <v>14</v>
      </c>
      <c r="F3126">
        <v>38.883299999999998</v>
      </c>
      <c r="G3126">
        <v>-6.8139000000000003</v>
      </c>
      <c r="H3126">
        <v>1</v>
      </c>
      <c r="I3126">
        <v>192</v>
      </c>
      <c r="J3126" t="str">
        <f>HYPERLINK("https://climate.onebuilding.org/WMO_Region_6_Europe/ESP_Spain/EX_Extremadura/ESP_EX_Badajoz.AP.083300_TMYx.2007-2021.zip")</f>
        <v>https://climate.onebuilding.org/WMO_Region_6_Europe/ESP_Spain/EX_Extremadura/ESP_EX_Badajoz.AP.083300_TMYx.2007-2021.zip</v>
      </c>
    </row>
    <row r="3127" spans="1:10" x14ac:dyDescent="0.25">
      <c r="A3127" t="s">
        <v>1949</v>
      </c>
      <c r="B3127" t="s">
        <v>2135</v>
      </c>
      <c r="C3127" t="s">
        <v>2166</v>
      </c>
      <c r="D3127" s="1" t="s">
        <v>2167</v>
      </c>
      <c r="E3127" t="s">
        <v>14</v>
      </c>
      <c r="F3127">
        <v>38.883299999999998</v>
      </c>
      <c r="G3127">
        <v>-6.8139000000000003</v>
      </c>
      <c r="H3127">
        <v>1</v>
      </c>
      <c r="I3127">
        <v>192</v>
      </c>
      <c r="J3127" t="str">
        <f>HYPERLINK("https://climate.onebuilding.org/WMO_Region_6_Europe/ESP_Spain/EX_Extremadura/ESP_EX_Badajoz.AP.083300_TMYx.2009-2023.zip")</f>
        <v>https://climate.onebuilding.org/WMO_Region_6_Europe/ESP_Spain/EX_Extremadura/ESP_EX_Badajoz.AP.083300_TMYx.2009-2023.zip</v>
      </c>
    </row>
    <row r="3128" spans="1:10" x14ac:dyDescent="0.25">
      <c r="A3128" t="s">
        <v>1949</v>
      </c>
      <c r="B3128" t="s">
        <v>2135</v>
      </c>
      <c r="C3128" t="s">
        <v>2166</v>
      </c>
      <c r="D3128" s="1" t="s">
        <v>2167</v>
      </c>
      <c r="E3128" t="s">
        <v>14</v>
      </c>
      <c r="F3128">
        <v>38.883299999999998</v>
      </c>
      <c r="G3128">
        <v>-6.8139000000000003</v>
      </c>
      <c r="H3128">
        <v>1</v>
      </c>
      <c r="I3128">
        <v>192</v>
      </c>
      <c r="J3128" t="str">
        <f>HYPERLINK("https://climate.onebuilding.org/WMO_Region_6_Europe/ESP_Spain/EX_Extremadura/ESP_EX_Badajoz.AP.083300_TMYx.zip")</f>
        <v>https://climate.onebuilding.org/WMO_Region_6_Europe/ESP_Spain/EX_Extremadura/ESP_EX_Badajoz.AP.083300_TMYx.zip</v>
      </c>
    </row>
    <row r="3129" spans="1:10" x14ac:dyDescent="0.25">
      <c r="A3129" t="s">
        <v>1949</v>
      </c>
      <c r="B3129" t="s">
        <v>1970</v>
      </c>
      <c r="C3129" t="s">
        <v>2169</v>
      </c>
      <c r="D3129" s="1" t="s">
        <v>2170</v>
      </c>
      <c r="E3129" t="s">
        <v>14</v>
      </c>
      <c r="F3129">
        <v>38.517000000000003</v>
      </c>
      <c r="G3129">
        <v>-5.117</v>
      </c>
      <c r="H3129">
        <v>1</v>
      </c>
      <c r="I3129">
        <v>540</v>
      </c>
      <c r="J3129" t="str">
        <f>HYPERLINK("https://climate.onebuilding.org/WMO_Region_6_Europe/ESP_Spain/AN_Andalusia/ESP_AN_Hinojosa.del.Duque.083350_TMYx.2007-2021.zip")</f>
        <v>https://climate.onebuilding.org/WMO_Region_6_Europe/ESP_Spain/AN_Andalusia/ESP_AN_Hinojosa.del.Duque.083350_TMYx.2007-2021.zip</v>
      </c>
    </row>
    <row r="3130" spans="1:10" x14ac:dyDescent="0.25">
      <c r="A3130" t="s">
        <v>1949</v>
      </c>
      <c r="B3130" t="s">
        <v>1970</v>
      </c>
      <c r="C3130" t="s">
        <v>2169</v>
      </c>
      <c r="D3130" s="1" t="s">
        <v>2170</v>
      </c>
      <c r="E3130" t="s">
        <v>14</v>
      </c>
      <c r="F3130">
        <v>38.517000000000003</v>
      </c>
      <c r="G3130">
        <v>-5.117</v>
      </c>
      <c r="H3130">
        <v>1</v>
      </c>
      <c r="I3130">
        <v>540</v>
      </c>
      <c r="J3130" t="str">
        <f>HYPERLINK("https://climate.onebuilding.org/WMO_Region_6_Europe/ESP_Spain/AN_Andalusia/ESP_AN_Hinojosa.del.Duque.083350_TMYx.2009-2023.zip")</f>
        <v>https://climate.onebuilding.org/WMO_Region_6_Europe/ESP_Spain/AN_Andalusia/ESP_AN_Hinojosa.del.Duque.083350_TMYx.2009-2023.zip</v>
      </c>
    </row>
    <row r="3131" spans="1:10" x14ac:dyDescent="0.25">
      <c r="A3131" t="s">
        <v>1949</v>
      </c>
      <c r="B3131" t="s">
        <v>1970</v>
      </c>
      <c r="C3131" t="s">
        <v>2169</v>
      </c>
      <c r="D3131" s="1" t="s">
        <v>2170</v>
      </c>
      <c r="E3131" t="s">
        <v>14</v>
      </c>
      <c r="F3131">
        <v>38.517000000000003</v>
      </c>
      <c r="G3131">
        <v>-5.117</v>
      </c>
      <c r="H3131">
        <v>1</v>
      </c>
      <c r="I3131">
        <v>540</v>
      </c>
      <c r="J3131" t="str">
        <f>HYPERLINK("https://climate.onebuilding.org/WMO_Region_6_Europe/ESP_Spain/AN_Andalusia/ESP_AN_Hinojosa.del.Duque.083350_TMYx.zip")</f>
        <v>https://climate.onebuilding.org/WMO_Region_6_Europe/ESP_Spain/AN_Andalusia/ESP_AN_Hinojosa.del.Duque.083350_TMYx.zip</v>
      </c>
    </row>
    <row r="3132" spans="1:10" x14ac:dyDescent="0.25">
      <c r="A3132" t="s">
        <v>1949</v>
      </c>
      <c r="B3132" t="s">
        <v>2117</v>
      </c>
      <c r="C3132" t="s">
        <v>2171</v>
      </c>
      <c r="D3132" s="1" t="s">
        <v>2172</v>
      </c>
      <c r="E3132" t="s">
        <v>2173</v>
      </c>
      <c r="F3132">
        <v>38.989199999999997</v>
      </c>
      <c r="G3132">
        <v>-3.9203000000000001</v>
      </c>
      <c r="H3132">
        <v>1</v>
      </c>
      <c r="I3132">
        <v>629</v>
      </c>
      <c r="J3132" t="str">
        <f>HYPERLINK("https://climate.onebuilding.org/WMO_Region_6_Europe/ESP_Spain/CM_Castile-La_Mancha/ESP_CM_Ciudad.Real.083480_TMYx.2004-2018.zip")</f>
        <v>https://climate.onebuilding.org/WMO_Region_6_Europe/ESP_Spain/CM_Castile-La_Mancha/ESP_CM_Ciudad.Real.083480_TMYx.2004-2018.zip</v>
      </c>
    </row>
    <row r="3133" spans="1:10" x14ac:dyDescent="0.25">
      <c r="A3133" t="s">
        <v>1949</v>
      </c>
      <c r="B3133" t="s">
        <v>2117</v>
      </c>
      <c r="C3133" t="s">
        <v>2171</v>
      </c>
      <c r="D3133" s="1" t="s">
        <v>2172</v>
      </c>
      <c r="E3133" t="s">
        <v>14</v>
      </c>
      <c r="F3133">
        <v>38.989199999999997</v>
      </c>
      <c r="G3133">
        <v>-3.9203000000000001</v>
      </c>
      <c r="H3133">
        <v>1</v>
      </c>
      <c r="I3133">
        <v>629</v>
      </c>
      <c r="J3133" t="str">
        <f>HYPERLINK("https://climate.onebuilding.org/WMO_Region_6_Europe/ESP_Spain/CM_Castile-La_Mancha/ESP_CM_Ciudad.Real.083480_TMYx.2007-2021.zip")</f>
        <v>https://climate.onebuilding.org/WMO_Region_6_Europe/ESP_Spain/CM_Castile-La_Mancha/ESP_CM_Ciudad.Real.083480_TMYx.2007-2021.zip</v>
      </c>
    </row>
    <row r="3134" spans="1:10" x14ac:dyDescent="0.25">
      <c r="A3134" t="s">
        <v>1949</v>
      </c>
      <c r="B3134" t="s">
        <v>2117</v>
      </c>
      <c r="C3134" t="s">
        <v>2171</v>
      </c>
      <c r="D3134" s="1" t="s">
        <v>2172</v>
      </c>
      <c r="E3134" t="s">
        <v>14</v>
      </c>
      <c r="F3134">
        <v>38.989199999999997</v>
      </c>
      <c r="G3134">
        <v>-3.9203000000000001</v>
      </c>
      <c r="H3134">
        <v>1</v>
      </c>
      <c r="I3134">
        <v>629</v>
      </c>
      <c r="J3134" t="str">
        <f>HYPERLINK("https://climate.onebuilding.org/WMO_Region_6_Europe/ESP_Spain/CM_Castile-La_Mancha/ESP_CM_Ciudad.Real.083480_TMYx.2009-2023.zip")</f>
        <v>https://climate.onebuilding.org/WMO_Region_6_Europe/ESP_Spain/CM_Castile-La_Mancha/ESP_CM_Ciudad.Real.083480_TMYx.2009-2023.zip</v>
      </c>
    </row>
    <row r="3135" spans="1:10" x14ac:dyDescent="0.25">
      <c r="A3135" t="s">
        <v>1949</v>
      </c>
      <c r="B3135" t="s">
        <v>2117</v>
      </c>
      <c r="C3135" t="s">
        <v>2171</v>
      </c>
      <c r="D3135" s="1" t="s">
        <v>2172</v>
      </c>
      <c r="E3135" t="s">
        <v>14</v>
      </c>
      <c r="F3135">
        <v>38.989199999999997</v>
      </c>
      <c r="G3135">
        <v>-3.9203000000000001</v>
      </c>
      <c r="H3135">
        <v>1</v>
      </c>
      <c r="I3135">
        <v>629</v>
      </c>
      <c r="J3135" t="str">
        <f>HYPERLINK("https://climate.onebuilding.org/WMO_Region_6_Europe/ESP_Spain/CM_Castile-La_Mancha/ESP_CM_Ciudad.Real.083480_TMYx.zip")</f>
        <v>https://climate.onebuilding.org/WMO_Region_6_Europe/ESP_Spain/CM_Castile-La_Mancha/ESP_CM_Ciudad.Real.083480_TMYx.zip</v>
      </c>
    </row>
    <row r="3136" spans="1:10" x14ac:dyDescent="0.25">
      <c r="A3136" t="s">
        <v>1949</v>
      </c>
      <c r="B3136" t="s">
        <v>2174</v>
      </c>
      <c r="C3136" t="s">
        <v>2175</v>
      </c>
      <c r="D3136" s="1" t="s">
        <v>2176</v>
      </c>
      <c r="E3136" t="s">
        <v>14</v>
      </c>
      <c r="F3136">
        <v>38.372500000000002</v>
      </c>
      <c r="G3136">
        <v>-0.49419999999999997</v>
      </c>
      <c r="H3136">
        <v>1</v>
      </c>
      <c r="I3136">
        <v>82</v>
      </c>
      <c r="J3136" t="str">
        <f>HYPERLINK("https://climate.onebuilding.org/WMO_Region_6_Europe/ESP_Spain/MC_Murcia/ESP_MC_Alicante.083590_TMYx.2007-2021.zip")</f>
        <v>https://climate.onebuilding.org/WMO_Region_6_Europe/ESP_Spain/MC_Murcia/ESP_MC_Alicante.083590_TMYx.2007-2021.zip</v>
      </c>
    </row>
    <row r="3137" spans="1:10" x14ac:dyDescent="0.25">
      <c r="A3137" t="s">
        <v>1949</v>
      </c>
      <c r="B3137" t="s">
        <v>2174</v>
      </c>
      <c r="C3137" t="s">
        <v>2175</v>
      </c>
      <c r="D3137" s="1" t="s">
        <v>2176</v>
      </c>
      <c r="E3137" t="s">
        <v>14</v>
      </c>
      <c r="F3137">
        <v>38.372500000000002</v>
      </c>
      <c r="G3137">
        <v>-0.49419999999999997</v>
      </c>
      <c r="H3137">
        <v>1</v>
      </c>
      <c r="I3137">
        <v>82</v>
      </c>
      <c r="J3137" t="str">
        <f>HYPERLINK("https://climate.onebuilding.org/WMO_Region_6_Europe/ESP_Spain/MC_Murcia/ESP_MC_Alicante.083590_TMYx.2009-2023.zip")</f>
        <v>https://climate.onebuilding.org/WMO_Region_6_Europe/ESP_Spain/MC_Murcia/ESP_MC_Alicante.083590_TMYx.2009-2023.zip</v>
      </c>
    </row>
    <row r="3138" spans="1:10" x14ac:dyDescent="0.25">
      <c r="A3138" t="s">
        <v>1949</v>
      </c>
      <c r="B3138" t="s">
        <v>2174</v>
      </c>
      <c r="C3138" t="s">
        <v>2175</v>
      </c>
      <c r="D3138" s="1" t="s">
        <v>2176</v>
      </c>
      <c r="E3138" t="s">
        <v>14</v>
      </c>
      <c r="F3138">
        <v>38.372500000000002</v>
      </c>
      <c r="G3138">
        <v>-0.49419999999999997</v>
      </c>
      <c r="H3138">
        <v>1</v>
      </c>
      <c r="I3138">
        <v>82</v>
      </c>
      <c r="J3138" t="str">
        <f>HYPERLINK("https://climate.onebuilding.org/WMO_Region_6_Europe/ESP_Spain/MC_Murcia/ESP_MC_Alicante.083590_TMYx.zip")</f>
        <v>https://climate.onebuilding.org/WMO_Region_6_Europe/ESP_Spain/MC_Murcia/ESP_MC_Alicante.083590_TMYx.zip</v>
      </c>
    </row>
    <row r="3139" spans="1:10" x14ac:dyDescent="0.25">
      <c r="A3139" t="s">
        <v>1949</v>
      </c>
      <c r="B3139" t="s">
        <v>2174</v>
      </c>
      <c r="C3139" t="s">
        <v>2177</v>
      </c>
      <c r="D3139" s="1" t="s">
        <v>2178</v>
      </c>
      <c r="E3139" t="s">
        <v>2179</v>
      </c>
      <c r="F3139">
        <v>38.282800000000002</v>
      </c>
      <c r="G3139">
        <v>-0.57079999999999997</v>
      </c>
      <c r="H3139">
        <v>1</v>
      </c>
      <c r="I3139">
        <v>31</v>
      </c>
      <c r="J3139" t="str">
        <f>HYPERLINK("https://climate.onebuilding.org/WMO_Region_6_Europe/ESP_Spain/MC_Murcia/ESP_MC_Alicante.AP.083600_TMYx.2004-2018.zip")</f>
        <v>https://climate.onebuilding.org/WMO_Region_6_Europe/ESP_Spain/MC_Murcia/ESP_MC_Alicante.AP.083600_TMYx.2004-2018.zip</v>
      </c>
    </row>
    <row r="3140" spans="1:10" x14ac:dyDescent="0.25">
      <c r="A3140" t="s">
        <v>1949</v>
      </c>
      <c r="B3140" t="s">
        <v>2174</v>
      </c>
      <c r="C3140" t="s">
        <v>2177</v>
      </c>
      <c r="D3140" s="1" t="s">
        <v>2178</v>
      </c>
      <c r="E3140" t="s">
        <v>14</v>
      </c>
      <c r="F3140">
        <v>38.282800000000002</v>
      </c>
      <c r="G3140">
        <v>-0.57079999999999997</v>
      </c>
      <c r="H3140">
        <v>1</v>
      </c>
      <c r="I3140">
        <v>31</v>
      </c>
      <c r="J3140" t="str">
        <f>HYPERLINK("https://climate.onebuilding.org/WMO_Region_6_Europe/ESP_Spain/MC_Murcia/ESP_MC_Alicante.AP.083600_TMYx.2007-2021.zip")</f>
        <v>https://climate.onebuilding.org/WMO_Region_6_Europe/ESP_Spain/MC_Murcia/ESP_MC_Alicante.AP.083600_TMYx.2007-2021.zip</v>
      </c>
    </row>
    <row r="3141" spans="1:10" x14ac:dyDescent="0.25">
      <c r="A3141" t="s">
        <v>1949</v>
      </c>
      <c r="B3141" t="s">
        <v>2174</v>
      </c>
      <c r="C3141" t="s">
        <v>2177</v>
      </c>
      <c r="D3141" s="1" t="s">
        <v>2178</v>
      </c>
      <c r="E3141" t="s">
        <v>14</v>
      </c>
      <c r="F3141">
        <v>38.282800000000002</v>
      </c>
      <c r="G3141">
        <v>-0.57079999999999997</v>
      </c>
      <c r="H3141">
        <v>1</v>
      </c>
      <c r="I3141">
        <v>31</v>
      </c>
      <c r="J3141" t="str">
        <f>HYPERLINK("https://climate.onebuilding.org/WMO_Region_6_Europe/ESP_Spain/MC_Murcia/ESP_MC_Alicante.AP.083600_TMYx.2009-2023.zip")</f>
        <v>https://climate.onebuilding.org/WMO_Region_6_Europe/ESP_Spain/MC_Murcia/ESP_MC_Alicante.AP.083600_TMYx.2009-2023.zip</v>
      </c>
    </row>
    <row r="3142" spans="1:10" x14ac:dyDescent="0.25">
      <c r="A3142" t="s">
        <v>1949</v>
      </c>
      <c r="B3142" t="s">
        <v>2174</v>
      </c>
      <c r="C3142" t="s">
        <v>2177</v>
      </c>
      <c r="D3142" s="1" t="s">
        <v>2178</v>
      </c>
      <c r="E3142" t="s">
        <v>14</v>
      </c>
      <c r="F3142">
        <v>38.282800000000002</v>
      </c>
      <c r="G3142">
        <v>-0.57079999999999997</v>
      </c>
      <c r="H3142">
        <v>1</v>
      </c>
      <c r="I3142">
        <v>31</v>
      </c>
      <c r="J3142" t="str">
        <f>HYPERLINK("https://climate.onebuilding.org/WMO_Region_6_Europe/ESP_Spain/MC_Murcia/ESP_MC_Alicante.AP.083600_TMYx.zip")</f>
        <v>https://climate.onebuilding.org/WMO_Region_6_Europe/ESP_Spain/MC_Murcia/ESP_MC_Alicante.AP.083600_TMYx.zip</v>
      </c>
    </row>
    <row r="3143" spans="1:10" x14ac:dyDescent="0.25">
      <c r="A3143" t="s">
        <v>1949</v>
      </c>
      <c r="B3143" t="s">
        <v>2145</v>
      </c>
      <c r="C3143" t="s">
        <v>2180</v>
      </c>
      <c r="D3143" s="1" t="s">
        <v>2181</v>
      </c>
      <c r="E3143" t="s">
        <v>14</v>
      </c>
      <c r="F3143">
        <v>38.648400000000002</v>
      </c>
      <c r="G3143">
        <v>-0.26669999999999999</v>
      </c>
      <c r="H3143">
        <v>1</v>
      </c>
      <c r="I3143">
        <v>1520</v>
      </c>
      <c r="J3143" t="str">
        <f>HYPERLINK("https://climate.onebuilding.org/WMO_Region_6_Europe/ESP_Spain/VC_Valencia/ESP_VC_Aitana.Mtn.Peak.083610_TMYx.zip")</f>
        <v>https://climate.onebuilding.org/WMO_Region_6_Europe/ESP_Spain/VC_Valencia/ESP_VC_Aitana.Mtn.Peak.083610_TMYx.zip</v>
      </c>
    </row>
    <row r="3144" spans="1:10" x14ac:dyDescent="0.25">
      <c r="A3144" t="s">
        <v>1949</v>
      </c>
      <c r="B3144" t="s">
        <v>2145</v>
      </c>
      <c r="C3144" t="s">
        <v>2182</v>
      </c>
      <c r="D3144" s="1" t="s">
        <v>2183</v>
      </c>
      <c r="E3144" t="s">
        <v>14</v>
      </c>
      <c r="F3144">
        <v>38.539299999999997</v>
      </c>
      <c r="G3144">
        <v>-0.12859999999999999</v>
      </c>
      <c r="H3144">
        <v>1</v>
      </c>
      <c r="I3144">
        <v>10</v>
      </c>
      <c r="J3144" t="str">
        <f>HYPERLINK("https://climate.onebuilding.org/WMO_Region_6_Europe/ESP_Spain/VC_Valencia/ESP_VC_Benidorm.083620_TMYx.zip")</f>
        <v>https://climate.onebuilding.org/WMO_Region_6_Europe/ESP_Spain/VC_Valencia/ESP_VC_Benidorm.083620_TMYx.zip</v>
      </c>
    </row>
    <row r="3145" spans="1:10" x14ac:dyDescent="0.25">
      <c r="A3145" t="s">
        <v>1949</v>
      </c>
      <c r="B3145" t="s">
        <v>2145</v>
      </c>
      <c r="C3145" t="s">
        <v>2184</v>
      </c>
      <c r="D3145" s="1" t="s">
        <v>2185</v>
      </c>
      <c r="E3145" t="s">
        <v>14</v>
      </c>
      <c r="F3145">
        <v>38.832999999999998</v>
      </c>
      <c r="G3145">
        <v>0.11700000000000001</v>
      </c>
      <c r="H3145">
        <v>1</v>
      </c>
      <c r="I3145">
        <v>15</v>
      </c>
      <c r="J3145" t="str">
        <f>HYPERLINK("https://climate.onebuilding.org/WMO_Region_6_Europe/ESP_Spain/VC_Valencia/ESP_VC_Denia.083650_TMYx.2007-2021.zip")</f>
        <v>https://climate.onebuilding.org/WMO_Region_6_Europe/ESP_Spain/VC_Valencia/ESP_VC_Denia.083650_TMYx.2007-2021.zip</v>
      </c>
    </row>
    <row r="3146" spans="1:10" x14ac:dyDescent="0.25">
      <c r="A3146" t="s">
        <v>1949</v>
      </c>
      <c r="B3146" t="s">
        <v>2145</v>
      </c>
      <c r="C3146" t="s">
        <v>2184</v>
      </c>
      <c r="D3146" s="1" t="s">
        <v>2185</v>
      </c>
      <c r="E3146" t="s">
        <v>14</v>
      </c>
      <c r="F3146">
        <v>38.832999999999998</v>
      </c>
      <c r="G3146">
        <v>0.11700000000000001</v>
      </c>
      <c r="H3146">
        <v>1</v>
      </c>
      <c r="I3146">
        <v>15</v>
      </c>
      <c r="J3146" t="str">
        <f>HYPERLINK("https://climate.onebuilding.org/WMO_Region_6_Europe/ESP_Spain/VC_Valencia/ESP_VC_Denia.083650_TMYx.2009-2023.zip")</f>
        <v>https://climate.onebuilding.org/WMO_Region_6_Europe/ESP_Spain/VC_Valencia/ESP_VC_Denia.083650_TMYx.2009-2023.zip</v>
      </c>
    </row>
    <row r="3147" spans="1:10" x14ac:dyDescent="0.25">
      <c r="A3147" t="s">
        <v>1949</v>
      </c>
      <c r="B3147" t="s">
        <v>2145</v>
      </c>
      <c r="C3147" t="s">
        <v>2184</v>
      </c>
      <c r="D3147" s="1" t="s">
        <v>2185</v>
      </c>
      <c r="E3147" t="s">
        <v>14</v>
      </c>
      <c r="F3147">
        <v>38.832999999999998</v>
      </c>
      <c r="G3147">
        <v>0.11700000000000001</v>
      </c>
      <c r="H3147">
        <v>1</v>
      </c>
      <c r="I3147">
        <v>15</v>
      </c>
      <c r="J3147" t="str">
        <f>HYPERLINK("https://climate.onebuilding.org/WMO_Region_6_Europe/ESP_Spain/VC_Valencia/ESP_VC_Denia.083650_TMYx.zip")</f>
        <v>https://climate.onebuilding.org/WMO_Region_6_Europe/ESP_Spain/VC_Valencia/ESP_VC_Denia.083650_TMYx.zip</v>
      </c>
    </row>
    <row r="3148" spans="1:10" x14ac:dyDescent="0.25">
      <c r="A3148" t="s">
        <v>1949</v>
      </c>
      <c r="B3148" t="s">
        <v>2155</v>
      </c>
      <c r="C3148" t="s">
        <v>2186</v>
      </c>
      <c r="D3148" s="1" t="s">
        <v>2187</v>
      </c>
      <c r="E3148" t="s">
        <v>2188</v>
      </c>
      <c r="F3148">
        <v>38.876399999999997</v>
      </c>
      <c r="G3148">
        <v>1.3844000000000001</v>
      </c>
      <c r="H3148">
        <v>1</v>
      </c>
      <c r="I3148">
        <v>17</v>
      </c>
      <c r="J3148" t="str">
        <f>HYPERLINK("https://climate.onebuilding.org/WMO_Region_6_Europe/ESP_Spain/IB_Balearic_Islands/ESP_IB_Ibiza.AP.083730_TMYx.2004-2018.zip")</f>
        <v>https://climate.onebuilding.org/WMO_Region_6_Europe/ESP_Spain/IB_Balearic_Islands/ESP_IB_Ibiza.AP.083730_TMYx.2004-2018.zip</v>
      </c>
    </row>
    <row r="3149" spans="1:10" x14ac:dyDescent="0.25">
      <c r="A3149" t="s">
        <v>1949</v>
      </c>
      <c r="B3149" t="s">
        <v>2155</v>
      </c>
      <c r="C3149" t="s">
        <v>2186</v>
      </c>
      <c r="D3149" s="1" t="s">
        <v>2187</v>
      </c>
      <c r="E3149" t="s">
        <v>14</v>
      </c>
      <c r="F3149">
        <v>38.876399999999997</v>
      </c>
      <c r="G3149">
        <v>1.3844000000000001</v>
      </c>
      <c r="H3149">
        <v>1</v>
      </c>
      <c r="I3149">
        <v>17</v>
      </c>
      <c r="J3149" t="str">
        <f>HYPERLINK("https://climate.onebuilding.org/WMO_Region_6_Europe/ESP_Spain/IB_Balearic_Islands/ESP_IB_Ibiza.AP.083730_TMYx.2007-2021.zip")</f>
        <v>https://climate.onebuilding.org/WMO_Region_6_Europe/ESP_Spain/IB_Balearic_Islands/ESP_IB_Ibiza.AP.083730_TMYx.2007-2021.zip</v>
      </c>
    </row>
    <row r="3150" spans="1:10" x14ac:dyDescent="0.25">
      <c r="A3150" t="s">
        <v>1949</v>
      </c>
      <c r="B3150" t="s">
        <v>2155</v>
      </c>
      <c r="C3150" t="s">
        <v>2186</v>
      </c>
      <c r="D3150" s="1" t="s">
        <v>2187</v>
      </c>
      <c r="E3150" t="s">
        <v>14</v>
      </c>
      <c r="F3150">
        <v>38.876399999999997</v>
      </c>
      <c r="G3150">
        <v>1.3844000000000001</v>
      </c>
      <c r="H3150">
        <v>1</v>
      </c>
      <c r="I3150">
        <v>17</v>
      </c>
      <c r="J3150" t="str">
        <f>HYPERLINK("https://climate.onebuilding.org/WMO_Region_6_Europe/ESP_Spain/IB_Balearic_Islands/ESP_IB_Ibiza.AP.083730_TMYx.2009-2023.zip")</f>
        <v>https://climate.onebuilding.org/WMO_Region_6_Europe/ESP_Spain/IB_Balearic_Islands/ESP_IB_Ibiza.AP.083730_TMYx.2009-2023.zip</v>
      </c>
    </row>
    <row r="3151" spans="1:10" x14ac:dyDescent="0.25">
      <c r="A3151" t="s">
        <v>1949</v>
      </c>
      <c r="B3151" t="s">
        <v>2155</v>
      </c>
      <c r="C3151" t="s">
        <v>2186</v>
      </c>
      <c r="D3151" s="1" t="s">
        <v>2187</v>
      </c>
      <c r="E3151" t="s">
        <v>14</v>
      </c>
      <c r="F3151">
        <v>38.876399999999997</v>
      </c>
      <c r="G3151">
        <v>1.3844000000000001</v>
      </c>
      <c r="H3151">
        <v>1</v>
      </c>
      <c r="I3151">
        <v>17</v>
      </c>
      <c r="J3151" t="str">
        <f>HYPERLINK("https://climate.onebuilding.org/WMO_Region_6_Europe/ESP_Spain/IB_Balearic_Islands/ESP_IB_Ibiza.AP.083730_TMYx.zip")</f>
        <v>https://climate.onebuilding.org/WMO_Region_6_Europe/ESP_Spain/IB_Balearic_Islands/ESP_IB_Ibiza.AP.083730_TMYx.zip</v>
      </c>
    </row>
    <row r="3152" spans="1:10" x14ac:dyDescent="0.25">
      <c r="A3152" t="s">
        <v>1949</v>
      </c>
      <c r="B3152" t="s">
        <v>1970</v>
      </c>
      <c r="C3152" t="s">
        <v>2189</v>
      </c>
      <c r="D3152" s="1" t="s">
        <v>2190</v>
      </c>
      <c r="E3152" t="s">
        <v>14</v>
      </c>
      <c r="F3152">
        <v>37.278300000000002</v>
      </c>
      <c r="G3152">
        <v>-6.9116999999999997</v>
      </c>
      <c r="H3152">
        <v>1</v>
      </c>
      <c r="I3152">
        <v>20</v>
      </c>
      <c r="J3152" t="str">
        <f>HYPERLINK("https://climate.onebuilding.org/WMO_Region_6_Europe/ESP_Spain/AN_Andalusia/ESP_AN_Huelva.083830_TMYx.2007-2021.zip")</f>
        <v>https://climate.onebuilding.org/WMO_Region_6_Europe/ESP_Spain/AN_Andalusia/ESP_AN_Huelva.083830_TMYx.2007-2021.zip</v>
      </c>
    </row>
    <row r="3153" spans="1:10" x14ac:dyDescent="0.25">
      <c r="A3153" t="s">
        <v>1949</v>
      </c>
      <c r="B3153" t="s">
        <v>1970</v>
      </c>
      <c r="C3153" t="s">
        <v>2189</v>
      </c>
      <c r="D3153" s="1" t="s">
        <v>2190</v>
      </c>
      <c r="E3153" t="s">
        <v>14</v>
      </c>
      <c r="F3153">
        <v>37.278300000000002</v>
      </c>
      <c r="G3153">
        <v>-6.9116999999999997</v>
      </c>
      <c r="H3153">
        <v>1</v>
      </c>
      <c r="I3153">
        <v>20</v>
      </c>
      <c r="J3153" t="str">
        <f>HYPERLINK("https://climate.onebuilding.org/WMO_Region_6_Europe/ESP_Spain/AN_Andalusia/ESP_AN_Huelva.083830_TMYx.2009-2023.zip")</f>
        <v>https://climate.onebuilding.org/WMO_Region_6_Europe/ESP_Spain/AN_Andalusia/ESP_AN_Huelva.083830_TMYx.2009-2023.zip</v>
      </c>
    </row>
    <row r="3154" spans="1:10" x14ac:dyDescent="0.25">
      <c r="A3154" t="s">
        <v>1949</v>
      </c>
      <c r="B3154" t="s">
        <v>1970</v>
      </c>
      <c r="C3154" t="s">
        <v>2189</v>
      </c>
      <c r="D3154" s="1" t="s">
        <v>2190</v>
      </c>
      <c r="E3154" t="s">
        <v>14</v>
      </c>
      <c r="F3154">
        <v>37.278300000000002</v>
      </c>
      <c r="G3154">
        <v>-6.9116999999999997</v>
      </c>
      <c r="H3154">
        <v>1</v>
      </c>
      <c r="I3154">
        <v>20</v>
      </c>
      <c r="J3154" t="str">
        <f>HYPERLINK("https://climate.onebuilding.org/WMO_Region_6_Europe/ESP_Spain/AN_Andalusia/ESP_AN_Huelva.083830_TMYx.zip")</f>
        <v>https://climate.onebuilding.org/WMO_Region_6_Europe/ESP_Spain/AN_Andalusia/ESP_AN_Huelva.083830_TMYx.zip</v>
      </c>
    </row>
    <row r="3155" spans="1:10" x14ac:dyDescent="0.25">
      <c r="A3155" t="s">
        <v>1949</v>
      </c>
      <c r="B3155" t="s">
        <v>1970</v>
      </c>
      <c r="C3155" t="s">
        <v>2191</v>
      </c>
      <c r="D3155" s="1" t="s">
        <v>2192</v>
      </c>
      <c r="E3155" t="s">
        <v>14</v>
      </c>
      <c r="F3155">
        <v>37.366999999999997</v>
      </c>
      <c r="G3155">
        <v>-6</v>
      </c>
      <c r="H3155">
        <v>1</v>
      </c>
      <c r="I3155">
        <v>14</v>
      </c>
      <c r="J3155" t="str">
        <f>HYPERLINK("https://climate.onebuilding.org/WMO_Region_6_Europe/ESP_Spain/AN_Andalusia/ESP_AN_Sevilla.083900_TMYx.zip")</f>
        <v>https://climate.onebuilding.org/WMO_Region_6_Europe/ESP_Spain/AN_Andalusia/ESP_AN_Sevilla.083900_TMYx.zip</v>
      </c>
    </row>
    <row r="3156" spans="1:10" x14ac:dyDescent="0.25">
      <c r="A3156" t="s">
        <v>1949</v>
      </c>
      <c r="B3156" t="s">
        <v>1970</v>
      </c>
      <c r="C3156" t="s">
        <v>2193</v>
      </c>
      <c r="D3156" s="1" t="s">
        <v>2194</v>
      </c>
      <c r="E3156" t="s">
        <v>14</v>
      </c>
      <c r="F3156">
        <v>37.315800000000003</v>
      </c>
      <c r="G3156">
        <v>-6</v>
      </c>
      <c r="H3156">
        <v>1</v>
      </c>
      <c r="I3156">
        <v>5</v>
      </c>
      <c r="J3156" t="str">
        <f>HYPERLINK("https://climate.onebuilding.org/WMO_Region_6_Europe/ESP_Spain/AN_Andalusia/ESP_AN_Sevilla.Heliport.083905_TMYx.2007-2021.zip")</f>
        <v>https://climate.onebuilding.org/WMO_Region_6_Europe/ESP_Spain/AN_Andalusia/ESP_AN_Sevilla.Heliport.083905_TMYx.2007-2021.zip</v>
      </c>
    </row>
    <row r="3157" spans="1:10" x14ac:dyDescent="0.25">
      <c r="A3157" t="s">
        <v>1949</v>
      </c>
      <c r="B3157" t="s">
        <v>1970</v>
      </c>
      <c r="C3157" t="s">
        <v>2193</v>
      </c>
      <c r="D3157" s="1" t="s">
        <v>2194</v>
      </c>
      <c r="E3157" t="s">
        <v>14</v>
      </c>
      <c r="F3157">
        <v>37.315800000000003</v>
      </c>
      <c r="G3157">
        <v>-6</v>
      </c>
      <c r="H3157">
        <v>1</v>
      </c>
      <c r="I3157">
        <v>5</v>
      </c>
      <c r="J3157" t="str">
        <f>HYPERLINK("https://climate.onebuilding.org/WMO_Region_6_Europe/ESP_Spain/AN_Andalusia/ESP_AN_Sevilla.Heliport.083905_TMYx.2009-2023.zip")</f>
        <v>https://climate.onebuilding.org/WMO_Region_6_Europe/ESP_Spain/AN_Andalusia/ESP_AN_Sevilla.Heliport.083905_TMYx.2009-2023.zip</v>
      </c>
    </row>
    <row r="3158" spans="1:10" x14ac:dyDescent="0.25">
      <c r="A3158" t="s">
        <v>1949</v>
      </c>
      <c r="B3158" t="s">
        <v>1970</v>
      </c>
      <c r="C3158" t="s">
        <v>2193</v>
      </c>
      <c r="D3158" s="1" t="s">
        <v>2194</v>
      </c>
      <c r="E3158" t="s">
        <v>14</v>
      </c>
      <c r="F3158">
        <v>37.315800000000003</v>
      </c>
      <c r="G3158">
        <v>-6</v>
      </c>
      <c r="H3158">
        <v>1</v>
      </c>
      <c r="I3158">
        <v>5</v>
      </c>
      <c r="J3158" t="str">
        <f>HYPERLINK("https://climate.onebuilding.org/WMO_Region_6_Europe/ESP_Spain/AN_Andalusia/ESP_AN_Sevilla.Heliport.083905_TMYx.zip")</f>
        <v>https://climate.onebuilding.org/WMO_Region_6_Europe/ESP_Spain/AN_Andalusia/ESP_AN_Sevilla.Heliport.083905_TMYx.zip</v>
      </c>
    </row>
    <row r="3159" spans="1:10" x14ac:dyDescent="0.25">
      <c r="A3159" t="s">
        <v>1949</v>
      </c>
      <c r="B3159" t="s">
        <v>1970</v>
      </c>
      <c r="C3159" t="s">
        <v>2195</v>
      </c>
      <c r="D3159" s="1" t="s">
        <v>2196</v>
      </c>
      <c r="E3159" t="s">
        <v>2197</v>
      </c>
      <c r="F3159">
        <v>37.416699999999999</v>
      </c>
      <c r="G3159">
        <v>-5.8792</v>
      </c>
      <c r="H3159">
        <v>1</v>
      </c>
      <c r="I3159">
        <v>31</v>
      </c>
      <c r="J3159" t="str">
        <f>HYPERLINK("https://climate.onebuilding.org/WMO_Region_6_Europe/ESP_Spain/AN_Andalusia/ESP_AN_Sevilla.AP.083910_TMYx.2004-2018.zip")</f>
        <v>https://climate.onebuilding.org/WMO_Region_6_Europe/ESP_Spain/AN_Andalusia/ESP_AN_Sevilla.AP.083910_TMYx.2004-2018.zip</v>
      </c>
    </row>
    <row r="3160" spans="1:10" x14ac:dyDescent="0.25">
      <c r="A3160" t="s">
        <v>1949</v>
      </c>
      <c r="B3160" t="s">
        <v>1970</v>
      </c>
      <c r="C3160" t="s">
        <v>2195</v>
      </c>
      <c r="D3160" s="1" t="s">
        <v>2196</v>
      </c>
      <c r="E3160" t="s">
        <v>14</v>
      </c>
      <c r="F3160">
        <v>37.416699999999999</v>
      </c>
      <c r="G3160">
        <v>-5.8792</v>
      </c>
      <c r="H3160">
        <v>1</v>
      </c>
      <c r="I3160">
        <v>31</v>
      </c>
      <c r="J3160" t="str">
        <f>HYPERLINK("https://climate.onebuilding.org/WMO_Region_6_Europe/ESP_Spain/AN_Andalusia/ESP_AN_Sevilla.AP.083910_TMYx.2007-2021.zip")</f>
        <v>https://climate.onebuilding.org/WMO_Region_6_Europe/ESP_Spain/AN_Andalusia/ESP_AN_Sevilla.AP.083910_TMYx.2007-2021.zip</v>
      </c>
    </row>
    <row r="3161" spans="1:10" x14ac:dyDescent="0.25">
      <c r="A3161" t="s">
        <v>1949</v>
      </c>
      <c r="B3161" t="s">
        <v>1970</v>
      </c>
      <c r="C3161" t="s">
        <v>2195</v>
      </c>
      <c r="D3161" s="1" t="s">
        <v>2196</v>
      </c>
      <c r="E3161" t="s">
        <v>14</v>
      </c>
      <c r="F3161">
        <v>37.416699999999999</v>
      </c>
      <c r="G3161">
        <v>-5.8792</v>
      </c>
      <c r="H3161">
        <v>1</v>
      </c>
      <c r="I3161">
        <v>31</v>
      </c>
      <c r="J3161" t="str">
        <f>HYPERLINK("https://climate.onebuilding.org/WMO_Region_6_Europe/ESP_Spain/AN_Andalusia/ESP_AN_Sevilla.AP.083910_TMYx.2009-2023.zip")</f>
        <v>https://climate.onebuilding.org/WMO_Region_6_Europe/ESP_Spain/AN_Andalusia/ESP_AN_Sevilla.AP.083910_TMYx.2009-2023.zip</v>
      </c>
    </row>
    <row r="3162" spans="1:10" x14ac:dyDescent="0.25">
      <c r="A3162" t="s">
        <v>1949</v>
      </c>
      <c r="B3162" t="s">
        <v>1970</v>
      </c>
      <c r="C3162" t="s">
        <v>2195</v>
      </c>
      <c r="D3162" s="1" t="s">
        <v>2196</v>
      </c>
      <c r="E3162" t="s">
        <v>14</v>
      </c>
      <c r="F3162">
        <v>37.416699999999999</v>
      </c>
      <c r="G3162">
        <v>-5.8792</v>
      </c>
      <c r="H3162">
        <v>1</v>
      </c>
      <c r="I3162">
        <v>31</v>
      </c>
      <c r="J3162" t="str">
        <f>HYPERLINK("https://climate.onebuilding.org/WMO_Region_6_Europe/ESP_Spain/AN_Andalusia/ESP_AN_Sevilla.AP.083910_TMYx.zip")</f>
        <v>https://climate.onebuilding.org/WMO_Region_6_Europe/ESP_Spain/AN_Andalusia/ESP_AN_Sevilla.AP.083910_TMYx.zip</v>
      </c>
    </row>
    <row r="3163" spans="1:10" x14ac:dyDescent="0.25">
      <c r="A3163" t="s">
        <v>1949</v>
      </c>
      <c r="B3163" t="s">
        <v>1970</v>
      </c>
      <c r="C3163" t="s">
        <v>2198</v>
      </c>
      <c r="D3163" s="1" t="s">
        <v>2199</v>
      </c>
      <c r="E3163" t="s">
        <v>2200</v>
      </c>
      <c r="F3163">
        <v>37.164499999999997</v>
      </c>
      <c r="G3163">
        <v>-5.6113999999999997</v>
      </c>
      <c r="H3163">
        <v>1</v>
      </c>
      <c r="I3163">
        <v>88</v>
      </c>
      <c r="J3163" t="str">
        <f>HYPERLINK("https://climate.onebuilding.org/WMO_Region_6_Europe/ESP_Spain/AN_Andalusia/ESP_AN_Moron.AFB.083970_TMYx.2004-2018.zip")</f>
        <v>https://climate.onebuilding.org/WMO_Region_6_Europe/ESP_Spain/AN_Andalusia/ESP_AN_Moron.AFB.083970_TMYx.2004-2018.zip</v>
      </c>
    </row>
    <row r="3164" spans="1:10" x14ac:dyDescent="0.25">
      <c r="A3164" t="s">
        <v>1949</v>
      </c>
      <c r="B3164" t="s">
        <v>1970</v>
      </c>
      <c r="C3164" t="s">
        <v>2198</v>
      </c>
      <c r="D3164" s="1" t="s">
        <v>2199</v>
      </c>
      <c r="E3164" t="s">
        <v>14</v>
      </c>
      <c r="F3164">
        <v>37.164499999999997</v>
      </c>
      <c r="G3164">
        <v>-5.6113999999999997</v>
      </c>
      <c r="H3164">
        <v>1</v>
      </c>
      <c r="I3164">
        <v>88</v>
      </c>
      <c r="J3164" t="str">
        <f>HYPERLINK("https://climate.onebuilding.org/WMO_Region_6_Europe/ESP_Spain/AN_Andalusia/ESP_AN_Moron.AFB.083970_TMYx.2007-2021.zip")</f>
        <v>https://climate.onebuilding.org/WMO_Region_6_Europe/ESP_Spain/AN_Andalusia/ESP_AN_Moron.AFB.083970_TMYx.2007-2021.zip</v>
      </c>
    </row>
    <row r="3165" spans="1:10" x14ac:dyDescent="0.25">
      <c r="A3165" t="s">
        <v>1949</v>
      </c>
      <c r="B3165" t="s">
        <v>1970</v>
      </c>
      <c r="C3165" t="s">
        <v>2198</v>
      </c>
      <c r="D3165" s="1" t="s">
        <v>2199</v>
      </c>
      <c r="E3165" t="s">
        <v>14</v>
      </c>
      <c r="F3165">
        <v>37.164499999999997</v>
      </c>
      <c r="G3165">
        <v>-5.6113999999999997</v>
      </c>
      <c r="H3165">
        <v>1</v>
      </c>
      <c r="I3165">
        <v>88</v>
      </c>
      <c r="J3165" t="str">
        <f>HYPERLINK("https://climate.onebuilding.org/WMO_Region_6_Europe/ESP_Spain/AN_Andalusia/ESP_AN_Moron.AFB.083970_TMYx.2009-2023.zip")</f>
        <v>https://climate.onebuilding.org/WMO_Region_6_Europe/ESP_Spain/AN_Andalusia/ESP_AN_Moron.AFB.083970_TMYx.2009-2023.zip</v>
      </c>
    </row>
    <row r="3166" spans="1:10" x14ac:dyDescent="0.25">
      <c r="A3166" t="s">
        <v>1949</v>
      </c>
      <c r="B3166" t="s">
        <v>1970</v>
      </c>
      <c r="C3166" t="s">
        <v>2198</v>
      </c>
      <c r="D3166" s="1" t="s">
        <v>2199</v>
      </c>
      <c r="E3166" t="s">
        <v>14</v>
      </c>
      <c r="F3166">
        <v>37.164499999999997</v>
      </c>
      <c r="G3166">
        <v>-5.6113999999999997</v>
      </c>
      <c r="H3166">
        <v>1</v>
      </c>
      <c r="I3166">
        <v>88</v>
      </c>
      <c r="J3166" t="str">
        <f>HYPERLINK("https://climate.onebuilding.org/WMO_Region_6_Europe/ESP_Spain/AN_Andalusia/ESP_AN_Moron.AFB.083970_TMYx.zip")</f>
        <v>https://climate.onebuilding.org/WMO_Region_6_Europe/ESP_Spain/AN_Andalusia/ESP_AN_Moron.AFB.083970_TMYx.zip</v>
      </c>
    </row>
    <row r="3167" spans="1:10" x14ac:dyDescent="0.25">
      <c r="A3167" t="s">
        <v>1949</v>
      </c>
      <c r="B3167" t="s">
        <v>1970</v>
      </c>
      <c r="C3167" t="s">
        <v>2201</v>
      </c>
      <c r="D3167" s="1" t="s">
        <v>2202</v>
      </c>
      <c r="E3167" t="s">
        <v>2203</v>
      </c>
      <c r="F3167">
        <v>37.8489</v>
      </c>
      <c r="G3167">
        <v>-4.8467000000000002</v>
      </c>
      <c r="H3167">
        <v>1</v>
      </c>
      <c r="I3167">
        <v>92</v>
      </c>
      <c r="J3167" t="str">
        <f>HYPERLINK("https://climate.onebuilding.org/WMO_Region_6_Europe/ESP_Spain/AN_Andalusia/ESP_AN_Cordoba.AP.084100_TMYx.2004-2018.zip")</f>
        <v>https://climate.onebuilding.org/WMO_Region_6_Europe/ESP_Spain/AN_Andalusia/ESP_AN_Cordoba.AP.084100_TMYx.2004-2018.zip</v>
      </c>
    </row>
    <row r="3168" spans="1:10" x14ac:dyDescent="0.25">
      <c r="A3168" t="s">
        <v>1949</v>
      </c>
      <c r="B3168" t="s">
        <v>1970</v>
      </c>
      <c r="C3168" t="s">
        <v>2201</v>
      </c>
      <c r="D3168" s="1" t="s">
        <v>2202</v>
      </c>
      <c r="E3168" t="s">
        <v>14</v>
      </c>
      <c r="F3168">
        <v>37.8489</v>
      </c>
      <c r="G3168">
        <v>-4.8467000000000002</v>
      </c>
      <c r="H3168">
        <v>1</v>
      </c>
      <c r="I3168">
        <v>92</v>
      </c>
      <c r="J3168" t="str">
        <f>HYPERLINK("https://climate.onebuilding.org/WMO_Region_6_Europe/ESP_Spain/AN_Andalusia/ESP_AN_Cordoba.AP.084100_TMYx.2007-2021.zip")</f>
        <v>https://climate.onebuilding.org/WMO_Region_6_Europe/ESP_Spain/AN_Andalusia/ESP_AN_Cordoba.AP.084100_TMYx.2007-2021.zip</v>
      </c>
    </row>
    <row r="3169" spans="1:10" x14ac:dyDescent="0.25">
      <c r="A3169" t="s">
        <v>1949</v>
      </c>
      <c r="B3169" t="s">
        <v>1970</v>
      </c>
      <c r="C3169" t="s">
        <v>2201</v>
      </c>
      <c r="D3169" s="1" t="s">
        <v>2202</v>
      </c>
      <c r="E3169" t="s">
        <v>14</v>
      </c>
      <c r="F3169">
        <v>37.8489</v>
      </c>
      <c r="G3169">
        <v>-4.8467000000000002</v>
      </c>
      <c r="H3169">
        <v>1</v>
      </c>
      <c r="I3169">
        <v>92</v>
      </c>
      <c r="J3169" t="str">
        <f>HYPERLINK("https://climate.onebuilding.org/WMO_Region_6_Europe/ESP_Spain/AN_Andalusia/ESP_AN_Cordoba.AP.084100_TMYx.2009-2023.zip")</f>
        <v>https://climate.onebuilding.org/WMO_Region_6_Europe/ESP_Spain/AN_Andalusia/ESP_AN_Cordoba.AP.084100_TMYx.2009-2023.zip</v>
      </c>
    </row>
    <row r="3170" spans="1:10" x14ac:dyDescent="0.25">
      <c r="A3170" t="s">
        <v>1949</v>
      </c>
      <c r="B3170" t="s">
        <v>1970</v>
      </c>
      <c r="C3170" t="s">
        <v>2201</v>
      </c>
      <c r="D3170" s="1" t="s">
        <v>2202</v>
      </c>
      <c r="E3170" t="s">
        <v>14</v>
      </c>
      <c r="F3170">
        <v>37.8489</v>
      </c>
      <c r="G3170">
        <v>-4.8467000000000002</v>
      </c>
      <c r="H3170">
        <v>1</v>
      </c>
      <c r="I3170">
        <v>92</v>
      </c>
      <c r="J3170" t="str">
        <f>HYPERLINK("https://climate.onebuilding.org/WMO_Region_6_Europe/ESP_Spain/AN_Andalusia/ESP_AN_Cordoba.AP.084100_TMYx.zip")</f>
        <v>https://climate.onebuilding.org/WMO_Region_6_Europe/ESP_Spain/AN_Andalusia/ESP_AN_Cordoba.AP.084100_TMYx.zip</v>
      </c>
    </row>
    <row r="3171" spans="1:10" x14ac:dyDescent="0.25">
      <c r="A3171" t="s">
        <v>1949</v>
      </c>
      <c r="B3171" t="s">
        <v>1970</v>
      </c>
      <c r="C3171" t="s">
        <v>2204</v>
      </c>
      <c r="D3171" s="1" t="s">
        <v>2205</v>
      </c>
      <c r="E3171" t="s">
        <v>14</v>
      </c>
      <c r="F3171">
        <v>37.777500000000003</v>
      </c>
      <c r="G3171">
        <v>-3.8089</v>
      </c>
      <c r="H3171">
        <v>1</v>
      </c>
      <c r="I3171">
        <v>580</v>
      </c>
      <c r="J3171" t="str">
        <f>HYPERLINK("https://climate.onebuilding.org/WMO_Region_6_Europe/ESP_Spain/AN_Andalusia/ESP_AN_Jaen.084170_TMYx.2007-2021.zip")</f>
        <v>https://climate.onebuilding.org/WMO_Region_6_Europe/ESP_Spain/AN_Andalusia/ESP_AN_Jaen.084170_TMYx.2007-2021.zip</v>
      </c>
    </row>
    <row r="3172" spans="1:10" x14ac:dyDescent="0.25">
      <c r="A3172" t="s">
        <v>1949</v>
      </c>
      <c r="B3172" t="s">
        <v>1970</v>
      </c>
      <c r="C3172" t="s">
        <v>2204</v>
      </c>
      <c r="D3172" s="1" t="s">
        <v>2205</v>
      </c>
      <c r="E3172" t="s">
        <v>14</v>
      </c>
      <c r="F3172">
        <v>37.777500000000003</v>
      </c>
      <c r="G3172">
        <v>-3.8089</v>
      </c>
      <c r="H3172">
        <v>1</v>
      </c>
      <c r="I3172">
        <v>580</v>
      </c>
      <c r="J3172" t="str">
        <f>HYPERLINK("https://climate.onebuilding.org/WMO_Region_6_Europe/ESP_Spain/AN_Andalusia/ESP_AN_Jaen.084170_TMYx.2009-2023.zip")</f>
        <v>https://climate.onebuilding.org/WMO_Region_6_Europe/ESP_Spain/AN_Andalusia/ESP_AN_Jaen.084170_TMYx.2009-2023.zip</v>
      </c>
    </row>
    <row r="3173" spans="1:10" x14ac:dyDescent="0.25">
      <c r="A3173" t="s">
        <v>1949</v>
      </c>
      <c r="B3173" t="s">
        <v>1970</v>
      </c>
      <c r="C3173" t="s">
        <v>2204</v>
      </c>
      <c r="D3173" s="1" t="s">
        <v>2205</v>
      </c>
      <c r="E3173" t="s">
        <v>14</v>
      </c>
      <c r="F3173">
        <v>37.777500000000003</v>
      </c>
      <c r="G3173">
        <v>-3.8089</v>
      </c>
      <c r="H3173">
        <v>1</v>
      </c>
      <c r="I3173">
        <v>580</v>
      </c>
      <c r="J3173" t="str">
        <f>HYPERLINK("https://climate.onebuilding.org/WMO_Region_6_Europe/ESP_Spain/AN_Andalusia/ESP_AN_Jaen.084170_TMYx.zip")</f>
        <v>https://climate.onebuilding.org/WMO_Region_6_Europe/ESP_Spain/AN_Andalusia/ESP_AN_Jaen.084170_TMYx.zip</v>
      </c>
    </row>
    <row r="3174" spans="1:10" x14ac:dyDescent="0.25">
      <c r="A3174" t="s">
        <v>1949</v>
      </c>
      <c r="B3174" t="s">
        <v>1970</v>
      </c>
      <c r="C3174" t="s">
        <v>2206</v>
      </c>
      <c r="D3174" s="1" t="s">
        <v>2207</v>
      </c>
      <c r="E3174" t="s">
        <v>2208</v>
      </c>
      <c r="F3174">
        <v>37.189700000000002</v>
      </c>
      <c r="G3174">
        <v>-3.7894000000000001</v>
      </c>
      <c r="H3174">
        <v>1</v>
      </c>
      <c r="I3174">
        <v>570</v>
      </c>
      <c r="J3174" t="str">
        <f>HYPERLINK("https://climate.onebuilding.org/WMO_Region_6_Europe/ESP_Spain/AN_Andalusia/ESP_AN_Granada-Jaen.AP.084190_TMYx.2004-2018.zip")</f>
        <v>https://climate.onebuilding.org/WMO_Region_6_Europe/ESP_Spain/AN_Andalusia/ESP_AN_Granada-Jaen.AP.084190_TMYx.2004-2018.zip</v>
      </c>
    </row>
    <row r="3175" spans="1:10" x14ac:dyDescent="0.25">
      <c r="A3175" t="s">
        <v>1949</v>
      </c>
      <c r="B3175" t="s">
        <v>1970</v>
      </c>
      <c r="C3175" t="s">
        <v>2206</v>
      </c>
      <c r="D3175" s="1" t="s">
        <v>2207</v>
      </c>
      <c r="E3175" t="s">
        <v>14</v>
      </c>
      <c r="F3175">
        <v>37.189700000000002</v>
      </c>
      <c r="G3175">
        <v>-3.7894000000000001</v>
      </c>
      <c r="H3175">
        <v>1</v>
      </c>
      <c r="I3175">
        <v>570</v>
      </c>
      <c r="J3175" t="str">
        <f>HYPERLINK("https://climate.onebuilding.org/WMO_Region_6_Europe/ESP_Spain/AN_Andalusia/ESP_AN_Granada-Jaen.AP.084190_TMYx.2007-2021.zip")</f>
        <v>https://climate.onebuilding.org/WMO_Region_6_Europe/ESP_Spain/AN_Andalusia/ESP_AN_Granada-Jaen.AP.084190_TMYx.2007-2021.zip</v>
      </c>
    </row>
    <row r="3176" spans="1:10" x14ac:dyDescent="0.25">
      <c r="A3176" t="s">
        <v>1949</v>
      </c>
      <c r="B3176" t="s">
        <v>1970</v>
      </c>
      <c r="C3176" t="s">
        <v>2206</v>
      </c>
      <c r="D3176" s="1" t="s">
        <v>2207</v>
      </c>
      <c r="E3176" t="s">
        <v>14</v>
      </c>
      <c r="F3176">
        <v>37.189700000000002</v>
      </c>
      <c r="G3176">
        <v>-3.7894000000000001</v>
      </c>
      <c r="H3176">
        <v>1</v>
      </c>
      <c r="I3176">
        <v>570</v>
      </c>
      <c r="J3176" t="str">
        <f>HYPERLINK("https://climate.onebuilding.org/WMO_Region_6_Europe/ESP_Spain/AN_Andalusia/ESP_AN_Granada-Jaen.AP.084190_TMYx.2009-2023.zip")</f>
        <v>https://climate.onebuilding.org/WMO_Region_6_Europe/ESP_Spain/AN_Andalusia/ESP_AN_Granada-Jaen.AP.084190_TMYx.2009-2023.zip</v>
      </c>
    </row>
    <row r="3177" spans="1:10" x14ac:dyDescent="0.25">
      <c r="A3177" t="s">
        <v>1949</v>
      </c>
      <c r="B3177" t="s">
        <v>1970</v>
      </c>
      <c r="C3177" t="s">
        <v>2206</v>
      </c>
      <c r="D3177" s="1" t="s">
        <v>2207</v>
      </c>
      <c r="E3177" t="s">
        <v>14</v>
      </c>
      <c r="F3177">
        <v>37.189700000000002</v>
      </c>
      <c r="G3177">
        <v>-3.7894000000000001</v>
      </c>
      <c r="H3177">
        <v>1</v>
      </c>
      <c r="I3177">
        <v>570</v>
      </c>
      <c r="J3177" t="str">
        <f>HYPERLINK("https://climate.onebuilding.org/WMO_Region_6_Europe/ESP_Spain/AN_Andalusia/ESP_AN_Granada-Jaen.AP.084190_TMYx.zip")</f>
        <v>https://climate.onebuilding.org/WMO_Region_6_Europe/ESP_Spain/AN_Andalusia/ESP_AN_Granada-Jaen.AP.084190_TMYx.zip</v>
      </c>
    </row>
    <row r="3178" spans="1:10" x14ac:dyDescent="0.25">
      <c r="A3178" t="s">
        <v>1949</v>
      </c>
      <c r="B3178" t="s">
        <v>2174</v>
      </c>
      <c r="C3178" t="s">
        <v>2209</v>
      </c>
      <c r="D3178" s="1" t="s">
        <v>2210</v>
      </c>
      <c r="E3178" t="s">
        <v>2211</v>
      </c>
      <c r="F3178">
        <v>37.957799999999999</v>
      </c>
      <c r="G3178">
        <v>-1.2285999999999999</v>
      </c>
      <c r="H3178">
        <v>1</v>
      </c>
      <c r="I3178">
        <v>75</v>
      </c>
      <c r="J3178" t="str">
        <f>HYPERLINK("https://climate.onebuilding.org/WMO_Region_6_Europe/ESP_Spain/MC_Murcia/ESP_MC_Alcantarilla.AFB.084290_TMYx.2004-2018.zip")</f>
        <v>https://climate.onebuilding.org/WMO_Region_6_Europe/ESP_Spain/MC_Murcia/ESP_MC_Alcantarilla.AFB.084290_TMYx.2004-2018.zip</v>
      </c>
    </row>
    <row r="3179" spans="1:10" x14ac:dyDescent="0.25">
      <c r="A3179" t="s">
        <v>1949</v>
      </c>
      <c r="B3179" t="s">
        <v>2174</v>
      </c>
      <c r="C3179" t="s">
        <v>2209</v>
      </c>
      <c r="D3179" s="1" t="s">
        <v>2210</v>
      </c>
      <c r="E3179" t="s">
        <v>14</v>
      </c>
      <c r="F3179">
        <v>37.957799999999999</v>
      </c>
      <c r="G3179">
        <v>-1.2285999999999999</v>
      </c>
      <c r="H3179">
        <v>1</v>
      </c>
      <c r="I3179">
        <v>75</v>
      </c>
      <c r="J3179" t="str">
        <f>HYPERLINK("https://climate.onebuilding.org/WMO_Region_6_Europe/ESP_Spain/MC_Murcia/ESP_MC_Alcantarilla.AFB.084290_TMYx.2007-2021.zip")</f>
        <v>https://climate.onebuilding.org/WMO_Region_6_Europe/ESP_Spain/MC_Murcia/ESP_MC_Alcantarilla.AFB.084290_TMYx.2007-2021.zip</v>
      </c>
    </row>
    <row r="3180" spans="1:10" x14ac:dyDescent="0.25">
      <c r="A3180" t="s">
        <v>1949</v>
      </c>
      <c r="B3180" t="s">
        <v>2174</v>
      </c>
      <c r="C3180" t="s">
        <v>2209</v>
      </c>
      <c r="D3180" s="1" t="s">
        <v>2210</v>
      </c>
      <c r="E3180" t="s">
        <v>14</v>
      </c>
      <c r="F3180">
        <v>37.957799999999999</v>
      </c>
      <c r="G3180">
        <v>-1.2285999999999999</v>
      </c>
      <c r="H3180">
        <v>1</v>
      </c>
      <c r="I3180">
        <v>75</v>
      </c>
      <c r="J3180" t="str">
        <f>HYPERLINK("https://climate.onebuilding.org/WMO_Region_6_Europe/ESP_Spain/MC_Murcia/ESP_MC_Alcantarilla.AFB.084290_TMYx.2009-2023.zip")</f>
        <v>https://climate.onebuilding.org/WMO_Region_6_Europe/ESP_Spain/MC_Murcia/ESP_MC_Alcantarilla.AFB.084290_TMYx.2009-2023.zip</v>
      </c>
    </row>
    <row r="3181" spans="1:10" x14ac:dyDescent="0.25">
      <c r="A3181" t="s">
        <v>1949</v>
      </c>
      <c r="B3181" t="s">
        <v>2174</v>
      </c>
      <c r="C3181" t="s">
        <v>2209</v>
      </c>
      <c r="D3181" s="1" t="s">
        <v>2210</v>
      </c>
      <c r="E3181" t="s">
        <v>14</v>
      </c>
      <c r="F3181">
        <v>37.957799999999999</v>
      </c>
      <c r="G3181">
        <v>-1.2285999999999999</v>
      </c>
      <c r="H3181">
        <v>1</v>
      </c>
      <c r="I3181">
        <v>75</v>
      </c>
      <c r="J3181" t="str">
        <f>HYPERLINK("https://climate.onebuilding.org/WMO_Region_6_Europe/ESP_Spain/MC_Murcia/ESP_MC_Alcantarilla.AFB.084290_TMYx.zip")</f>
        <v>https://climate.onebuilding.org/WMO_Region_6_Europe/ESP_Spain/MC_Murcia/ESP_MC_Alcantarilla.AFB.084290_TMYx.zip</v>
      </c>
    </row>
    <row r="3182" spans="1:10" x14ac:dyDescent="0.25">
      <c r="A3182" t="s">
        <v>1949</v>
      </c>
      <c r="B3182" t="s">
        <v>2174</v>
      </c>
      <c r="C3182" t="s">
        <v>2212</v>
      </c>
      <c r="D3182" s="1" t="s">
        <v>2213</v>
      </c>
      <c r="E3182" t="s">
        <v>2214</v>
      </c>
      <c r="F3182">
        <v>38.001899999999999</v>
      </c>
      <c r="G3182">
        <v>-1.1708000000000001</v>
      </c>
      <c r="H3182">
        <v>1</v>
      </c>
      <c r="I3182">
        <v>62</v>
      </c>
      <c r="J3182" t="str">
        <f>HYPERLINK("https://climate.onebuilding.org/WMO_Region_6_Europe/ESP_Spain/MC_Murcia/ESP_MC_Murcia.084300_TMYx.2004-2018.zip")</f>
        <v>https://climate.onebuilding.org/WMO_Region_6_Europe/ESP_Spain/MC_Murcia/ESP_MC_Murcia.084300_TMYx.2004-2018.zip</v>
      </c>
    </row>
    <row r="3183" spans="1:10" x14ac:dyDescent="0.25">
      <c r="A3183" t="s">
        <v>1949</v>
      </c>
      <c r="B3183" t="s">
        <v>2174</v>
      </c>
      <c r="C3183" t="s">
        <v>2212</v>
      </c>
      <c r="D3183" s="1" t="s">
        <v>2213</v>
      </c>
      <c r="E3183" t="s">
        <v>14</v>
      </c>
      <c r="F3183">
        <v>38.001899999999999</v>
      </c>
      <c r="G3183">
        <v>-1.1708000000000001</v>
      </c>
      <c r="H3183">
        <v>1</v>
      </c>
      <c r="I3183">
        <v>62</v>
      </c>
      <c r="J3183" t="str">
        <f>HYPERLINK("https://climate.onebuilding.org/WMO_Region_6_Europe/ESP_Spain/MC_Murcia/ESP_MC_Murcia.084300_TMYx.2007-2021.zip")</f>
        <v>https://climate.onebuilding.org/WMO_Region_6_Europe/ESP_Spain/MC_Murcia/ESP_MC_Murcia.084300_TMYx.2007-2021.zip</v>
      </c>
    </row>
    <row r="3184" spans="1:10" x14ac:dyDescent="0.25">
      <c r="A3184" t="s">
        <v>1949</v>
      </c>
      <c r="B3184" t="s">
        <v>2174</v>
      </c>
      <c r="C3184" t="s">
        <v>2212</v>
      </c>
      <c r="D3184" s="1" t="s">
        <v>2213</v>
      </c>
      <c r="E3184" t="s">
        <v>14</v>
      </c>
      <c r="F3184">
        <v>38.001899999999999</v>
      </c>
      <c r="G3184">
        <v>-1.1708000000000001</v>
      </c>
      <c r="H3184">
        <v>1</v>
      </c>
      <c r="I3184">
        <v>62</v>
      </c>
      <c r="J3184" t="str">
        <f>HYPERLINK("https://climate.onebuilding.org/WMO_Region_6_Europe/ESP_Spain/MC_Murcia/ESP_MC_Murcia.084300_TMYx.2009-2023.zip")</f>
        <v>https://climate.onebuilding.org/WMO_Region_6_Europe/ESP_Spain/MC_Murcia/ESP_MC_Murcia.084300_TMYx.2009-2023.zip</v>
      </c>
    </row>
    <row r="3185" spans="1:10" x14ac:dyDescent="0.25">
      <c r="A3185" t="s">
        <v>1949</v>
      </c>
      <c r="B3185" t="s">
        <v>2174</v>
      </c>
      <c r="C3185" t="s">
        <v>2212</v>
      </c>
      <c r="D3185" s="1" t="s">
        <v>2213</v>
      </c>
      <c r="E3185" t="s">
        <v>14</v>
      </c>
      <c r="F3185">
        <v>38.001899999999999</v>
      </c>
      <c r="G3185">
        <v>-1.1708000000000001</v>
      </c>
      <c r="H3185">
        <v>1</v>
      </c>
      <c r="I3185">
        <v>62</v>
      </c>
      <c r="J3185" t="str">
        <f>HYPERLINK("https://climate.onebuilding.org/WMO_Region_6_Europe/ESP_Spain/MC_Murcia/ESP_MC_Murcia.084300_TMYx.zip")</f>
        <v>https://climate.onebuilding.org/WMO_Region_6_Europe/ESP_Spain/MC_Murcia/ESP_MC_Murcia.084300_TMYx.zip</v>
      </c>
    </row>
    <row r="3186" spans="1:10" x14ac:dyDescent="0.25">
      <c r="A3186" t="s">
        <v>1949</v>
      </c>
      <c r="B3186" t="s">
        <v>2174</v>
      </c>
      <c r="C3186" t="s">
        <v>2215</v>
      </c>
      <c r="D3186" s="1" t="s">
        <v>2216</v>
      </c>
      <c r="E3186" t="s">
        <v>14</v>
      </c>
      <c r="F3186">
        <v>37.582999999999998</v>
      </c>
      <c r="G3186">
        <v>-1</v>
      </c>
      <c r="H3186">
        <v>1</v>
      </c>
      <c r="I3186">
        <v>217</v>
      </c>
      <c r="J3186" t="str">
        <f>HYPERLINK("https://climate.onebuilding.org/WMO_Region_6_Europe/ESP_Spain/MC_Murcia/ESP_MC_Castillo.Galeras.084310_TMYx.zip")</f>
        <v>https://climate.onebuilding.org/WMO_Region_6_Europe/ESP_Spain/MC_Murcia/ESP_MC_Castillo.Galeras.084310_TMYx.zip</v>
      </c>
    </row>
    <row r="3187" spans="1:10" x14ac:dyDescent="0.25">
      <c r="A3187" t="s">
        <v>1949</v>
      </c>
      <c r="B3187" t="s">
        <v>2174</v>
      </c>
      <c r="C3187" t="s">
        <v>2217</v>
      </c>
      <c r="D3187" s="1" t="s">
        <v>2218</v>
      </c>
      <c r="E3187" t="s">
        <v>2219</v>
      </c>
      <c r="F3187">
        <v>37.788899999999998</v>
      </c>
      <c r="G3187">
        <v>-0.80330000000000001</v>
      </c>
      <c r="H3187">
        <v>1</v>
      </c>
      <c r="I3187">
        <v>3.4</v>
      </c>
      <c r="J3187" t="str">
        <f>HYPERLINK("https://climate.onebuilding.org/WMO_Region_6_Europe/ESP_Spain/MC_Murcia/ESP_MC_Murcia-San.Javier.AP.084330_TMYx.2004-2018.zip")</f>
        <v>https://climate.onebuilding.org/WMO_Region_6_Europe/ESP_Spain/MC_Murcia/ESP_MC_Murcia-San.Javier.AP.084330_TMYx.2004-2018.zip</v>
      </c>
    </row>
    <row r="3188" spans="1:10" x14ac:dyDescent="0.25">
      <c r="A3188" t="s">
        <v>1949</v>
      </c>
      <c r="B3188" t="s">
        <v>2174</v>
      </c>
      <c r="C3188" t="s">
        <v>2217</v>
      </c>
      <c r="D3188" s="1" t="s">
        <v>2218</v>
      </c>
      <c r="E3188" t="s">
        <v>14</v>
      </c>
      <c r="F3188">
        <v>37.788899999999998</v>
      </c>
      <c r="G3188">
        <v>-0.80330000000000001</v>
      </c>
      <c r="H3188">
        <v>1</v>
      </c>
      <c r="I3188">
        <v>3.4</v>
      </c>
      <c r="J3188" t="str">
        <f>HYPERLINK("https://climate.onebuilding.org/WMO_Region_6_Europe/ESP_Spain/MC_Murcia/ESP_MC_Murcia-San.Javier.AP.084330_TMYx.2007-2021.zip")</f>
        <v>https://climate.onebuilding.org/WMO_Region_6_Europe/ESP_Spain/MC_Murcia/ESP_MC_Murcia-San.Javier.AP.084330_TMYx.2007-2021.zip</v>
      </c>
    </row>
    <row r="3189" spans="1:10" x14ac:dyDescent="0.25">
      <c r="A3189" t="s">
        <v>1949</v>
      </c>
      <c r="B3189" t="s">
        <v>2174</v>
      </c>
      <c r="C3189" t="s">
        <v>2217</v>
      </c>
      <c r="D3189" s="1" t="s">
        <v>2218</v>
      </c>
      <c r="E3189" t="s">
        <v>14</v>
      </c>
      <c r="F3189">
        <v>37.788899999999998</v>
      </c>
      <c r="G3189">
        <v>-0.80330000000000001</v>
      </c>
      <c r="H3189">
        <v>1</v>
      </c>
      <c r="I3189">
        <v>3.4</v>
      </c>
      <c r="J3189" t="str">
        <f>HYPERLINK("https://climate.onebuilding.org/WMO_Region_6_Europe/ESP_Spain/MC_Murcia/ESP_MC_Murcia-San.Javier.AP.084330_TMYx.2009-2023.zip")</f>
        <v>https://climate.onebuilding.org/WMO_Region_6_Europe/ESP_Spain/MC_Murcia/ESP_MC_Murcia-San.Javier.AP.084330_TMYx.2009-2023.zip</v>
      </c>
    </row>
    <row r="3190" spans="1:10" x14ac:dyDescent="0.25">
      <c r="A3190" t="s">
        <v>1949</v>
      </c>
      <c r="B3190" t="s">
        <v>2174</v>
      </c>
      <c r="C3190" t="s">
        <v>2217</v>
      </c>
      <c r="D3190" s="1" t="s">
        <v>2218</v>
      </c>
      <c r="E3190" t="s">
        <v>14</v>
      </c>
      <c r="F3190">
        <v>37.788899999999998</v>
      </c>
      <c r="G3190">
        <v>-0.80330000000000001</v>
      </c>
      <c r="H3190">
        <v>1</v>
      </c>
      <c r="I3190">
        <v>3.4</v>
      </c>
      <c r="J3190" t="str">
        <f>HYPERLINK("https://climate.onebuilding.org/WMO_Region_6_Europe/ESP_Spain/MC_Murcia/ESP_MC_Murcia-San.Javier.AP.084330_TMYx.zip")</f>
        <v>https://climate.onebuilding.org/WMO_Region_6_Europe/ESP_Spain/MC_Murcia/ESP_MC_Murcia-San.Javier.AP.084330_TMYx.zip</v>
      </c>
    </row>
    <row r="3191" spans="1:10" x14ac:dyDescent="0.25">
      <c r="A3191" t="s">
        <v>1949</v>
      </c>
      <c r="B3191" t="s">
        <v>1970</v>
      </c>
      <c r="C3191" t="s">
        <v>2220</v>
      </c>
      <c r="D3191" s="1" t="s">
        <v>2221</v>
      </c>
      <c r="E3191" t="s">
        <v>2222</v>
      </c>
      <c r="F3191">
        <v>36.6389</v>
      </c>
      <c r="G3191">
        <v>-6.3324999999999996</v>
      </c>
      <c r="H3191">
        <v>1</v>
      </c>
      <c r="I3191">
        <v>25.6</v>
      </c>
      <c r="J3191" t="str">
        <f>HYPERLINK("https://climate.onebuilding.org/WMO_Region_6_Europe/ESP_Spain/AN_Andalusia/ESP_AN_NAS.Rota.084490_TMYx.2004-2018.zip")</f>
        <v>https://climate.onebuilding.org/WMO_Region_6_Europe/ESP_Spain/AN_Andalusia/ESP_AN_NAS.Rota.084490_TMYx.2004-2018.zip</v>
      </c>
    </row>
    <row r="3192" spans="1:10" x14ac:dyDescent="0.25">
      <c r="A3192" t="s">
        <v>1949</v>
      </c>
      <c r="B3192" t="s">
        <v>1970</v>
      </c>
      <c r="C3192" t="s">
        <v>2220</v>
      </c>
      <c r="D3192" s="1" t="s">
        <v>2221</v>
      </c>
      <c r="E3192" t="s">
        <v>14</v>
      </c>
      <c r="F3192">
        <v>36.6389</v>
      </c>
      <c r="G3192">
        <v>-6.3324999999999996</v>
      </c>
      <c r="H3192">
        <v>1</v>
      </c>
      <c r="I3192">
        <v>25.6</v>
      </c>
      <c r="J3192" t="str">
        <f>HYPERLINK("https://climate.onebuilding.org/WMO_Region_6_Europe/ESP_Spain/AN_Andalusia/ESP_AN_NAS.Rota.084490_TMYx.2007-2021.zip")</f>
        <v>https://climate.onebuilding.org/WMO_Region_6_Europe/ESP_Spain/AN_Andalusia/ESP_AN_NAS.Rota.084490_TMYx.2007-2021.zip</v>
      </c>
    </row>
    <row r="3193" spans="1:10" x14ac:dyDescent="0.25">
      <c r="A3193" t="s">
        <v>1949</v>
      </c>
      <c r="B3193" t="s">
        <v>1970</v>
      </c>
      <c r="C3193" t="s">
        <v>2220</v>
      </c>
      <c r="D3193" s="1" t="s">
        <v>2221</v>
      </c>
      <c r="E3193" t="s">
        <v>14</v>
      </c>
      <c r="F3193">
        <v>36.6389</v>
      </c>
      <c r="G3193">
        <v>-6.3324999999999996</v>
      </c>
      <c r="H3193">
        <v>1</v>
      </c>
      <c r="I3193">
        <v>25.6</v>
      </c>
      <c r="J3193" t="str">
        <f>HYPERLINK("https://climate.onebuilding.org/WMO_Region_6_Europe/ESP_Spain/AN_Andalusia/ESP_AN_NAS.Rota.084490_TMYx.2009-2023.zip")</f>
        <v>https://climate.onebuilding.org/WMO_Region_6_Europe/ESP_Spain/AN_Andalusia/ESP_AN_NAS.Rota.084490_TMYx.2009-2023.zip</v>
      </c>
    </row>
    <row r="3194" spans="1:10" x14ac:dyDescent="0.25">
      <c r="A3194" t="s">
        <v>1949</v>
      </c>
      <c r="B3194" t="s">
        <v>1970</v>
      </c>
      <c r="C3194" t="s">
        <v>2220</v>
      </c>
      <c r="D3194" s="1" t="s">
        <v>2221</v>
      </c>
      <c r="E3194" t="s">
        <v>14</v>
      </c>
      <c r="F3194">
        <v>36.6389</v>
      </c>
      <c r="G3194">
        <v>-6.3324999999999996</v>
      </c>
      <c r="H3194">
        <v>1</v>
      </c>
      <c r="I3194">
        <v>25.6</v>
      </c>
      <c r="J3194" t="str">
        <f>HYPERLINK("https://climate.onebuilding.org/WMO_Region_6_Europe/ESP_Spain/AN_Andalusia/ESP_AN_NAS.Rota.084490_TMYx.zip")</f>
        <v>https://climate.onebuilding.org/WMO_Region_6_Europe/ESP_Spain/AN_Andalusia/ESP_AN_NAS.Rota.084490_TMYx.zip</v>
      </c>
    </row>
    <row r="3195" spans="1:10" x14ac:dyDescent="0.25">
      <c r="A3195" t="s">
        <v>1949</v>
      </c>
      <c r="B3195" t="s">
        <v>1970</v>
      </c>
      <c r="C3195" t="s">
        <v>2223</v>
      </c>
      <c r="D3195" s="1" t="s">
        <v>2224</v>
      </c>
      <c r="E3195" t="s">
        <v>2225</v>
      </c>
      <c r="F3195">
        <v>36.750599999999999</v>
      </c>
      <c r="G3195">
        <v>-6.0557999999999996</v>
      </c>
      <c r="H3195">
        <v>1</v>
      </c>
      <c r="I3195">
        <v>28</v>
      </c>
      <c r="J3195" t="str">
        <f>HYPERLINK("https://climate.onebuilding.org/WMO_Region_6_Europe/ESP_Spain/AN_Andalusia/ESP_AN_Jerez.AP.084510_TMYx.2004-2018.zip")</f>
        <v>https://climate.onebuilding.org/WMO_Region_6_Europe/ESP_Spain/AN_Andalusia/ESP_AN_Jerez.AP.084510_TMYx.2004-2018.zip</v>
      </c>
    </row>
    <row r="3196" spans="1:10" x14ac:dyDescent="0.25">
      <c r="A3196" t="s">
        <v>1949</v>
      </c>
      <c r="B3196" t="s">
        <v>1970</v>
      </c>
      <c r="C3196" t="s">
        <v>2223</v>
      </c>
      <c r="D3196" s="1" t="s">
        <v>2224</v>
      </c>
      <c r="E3196" t="s">
        <v>14</v>
      </c>
      <c r="F3196">
        <v>36.750599999999999</v>
      </c>
      <c r="G3196">
        <v>-6.0557999999999996</v>
      </c>
      <c r="H3196">
        <v>1</v>
      </c>
      <c r="I3196">
        <v>28</v>
      </c>
      <c r="J3196" t="str">
        <f>HYPERLINK("https://climate.onebuilding.org/WMO_Region_6_Europe/ESP_Spain/AN_Andalusia/ESP_AN_Jerez.AP.084510_TMYx.2007-2021.zip")</f>
        <v>https://climate.onebuilding.org/WMO_Region_6_Europe/ESP_Spain/AN_Andalusia/ESP_AN_Jerez.AP.084510_TMYx.2007-2021.zip</v>
      </c>
    </row>
    <row r="3197" spans="1:10" x14ac:dyDescent="0.25">
      <c r="A3197" t="s">
        <v>1949</v>
      </c>
      <c r="B3197" t="s">
        <v>1970</v>
      </c>
      <c r="C3197" t="s">
        <v>2223</v>
      </c>
      <c r="D3197" s="1" t="s">
        <v>2224</v>
      </c>
      <c r="E3197" t="s">
        <v>14</v>
      </c>
      <c r="F3197">
        <v>36.750599999999999</v>
      </c>
      <c r="G3197">
        <v>-6.0557999999999996</v>
      </c>
      <c r="H3197">
        <v>1</v>
      </c>
      <c r="I3197">
        <v>28</v>
      </c>
      <c r="J3197" t="str">
        <f>HYPERLINK("https://climate.onebuilding.org/WMO_Region_6_Europe/ESP_Spain/AN_Andalusia/ESP_AN_Jerez.AP.084510_TMYx.2009-2023.zip")</f>
        <v>https://climate.onebuilding.org/WMO_Region_6_Europe/ESP_Spain/AN_Andalusia/ESP_AN_Jerez.AP.084510_TMYx.2009-2023.zip</v>
      </c>
    </row>
    <row r="3198" spans="1:10" x14ac:dyDescent="0.25">
      <c r="A3198" t="s">
        <v>1949</v>
      </c>
      <c r="B3198" t="s">
        <v>1970</v>
      </c>
      <c r="C3198" t="s">
        <v>2223</v>
      </c>
      <c r="D3198" s="1" t="s">
        <v>2224</v>
      </c>
      <c r="E3198" t="s">
        <v>14</v>
      </c>
      <c r="F3198">
        <v>36.750599999999999</v>
      </c>
      <c r="G3198">
        <v>-6.0557999999999996</v>
      </c>
      <c r="H3198">
        <v>1</v>
      </c>
      <c r="I3198">
        <v>28</v>
      </c>
      <c r="J3198" t="str">
        <f>HYPERLINK("https://climate.onebuilding.org/WMO_Region_6_Europe/ESP_Spain/AN_Andalusia/ESP_AN_Jerez.AP.084510_TMYx.zip")</f>
        <v>https://climate.onebuilding.org/WMO_Region_6_Europe/ESP_Spain/AN_Andalusia/ESP_AN_Jerez.AP.084510_TMYx.zip</v>
      </c>
    </row>
    <row r="3199" spans="1:10" x14ac:dyDescent="0.25">
      <c r="A3199" t="s">
        <v>1949</v>
      </c>
      <c r="B3199" t="s">
        <v>2042</v>
      </c>
      <c r="C3199" t="s">
        <v>2226</v>
      </c>
      <c r="D3199" s="1" t="s">
        <v>2227</v>
      </c>
      <c r="E3199" t="s">
        <v>14</v>
      </c>
      <c r="F3199">
        <v>41.728000000000002</v>
      </c>
      <c r="G3199">
        <v>0.53600000000000003</v>
      </c>
      <c r="H3199">
        <v>1</v>
      </c>
      <c r="I3199">
        <v>350</v>
      </c>
      <c r="J3199" t="str">
        <f>HYPERLINK("https://climate.onebuilding.org/WMO_Region_6_Europe/ESP_Spain/CT_Catalonia/ESP_CT_Alguaire-Lleida.AP.084515_TMYx.2007-2021.zip")</f>
        <v>https://climate.onebuilding.org/WMO_Region_6_Europe/ESP_Spain/CT_Catalonia/ESP_CT_Alguaire-Lleida.AP.084515_TMYx.2007-2021.zip</v>
      </c>
    </row>
    <row r="3200" spans="1:10" x14ac:dyDescent="0.25">
      <c r="A3200" t="s">
        <v>1949</v>
      </c>
      <c r="B3200" t="s">
        <v>2042</v>
      </c>
      <c r="C3200" t="s">
        <v>2226</v>
      </c>
      <c r="D3200" s="1" t="s">
        <v>2227</v>
      </c>
      <c r="E3200" t="s">
        <v>14</v>
      </c>
      <c r="F3200">
        <v>41.728000000000002</v>
      </c>
      <c r="G3200">
        <v>0.53600000000000003</v>
      </c>
      <c r="H3200">
        <v>1</v>
      </c>
      <c r="I3200">
        <v>350</v>
      </c>
      <c r="J3200" t="str">
        <f>HYPERLINK("https://climate.onebuilding.org/WMO_Region_6_Europe/ESP_Spain/CT_Catalonia/ESP_CT_Alguaire-Lleida.AP.084515_TMYx.2009-2023.zip")</f>
        <v>https://climate.onebuilding.org/WMO_Region_6_Europe/ESP_Spain/CT_Catalonia/ESP_CT_Alguaire-Lleida.AP.084515_TMYx.2009-2023.zip</v>
      </c>
    </row>
    <row r="3201" spans="1:10" x14ac:dyDescent="0.25">
      <c r="A3201" t="s">
        <v>1949</v>
      </c>
      <c r="B3201" t="s">
        <v>2042</v>
      </c>
      <c r="C3201" t="s">
        <v>2226</v>
      </c>
      <c r="D3201" s="1" t="s">
        <v>2227</v>
      </c>
      <c r="E3201" t="s">
        <v>14</v>
      </c>
      <c r="F3201">
        <v>41.728000000000002</v>
      </c>
      <c r="G3201">
        <v>0.53600000000000003</v>
      </c>
      <c r="H3201">
        <v>1</v>
      </c>
      <c r="I3201">
        <v>350</v>
      </c>
      <c r="J3201" t="str">
        <f>HYPERLINK("https://climate.onebuilding.org/WMO_Region_6_Europe/ESP_Spain/CT_Catalonia/ESP_CT_Alguaire-Lleida.AP.084515_TMYx.zip")</f>
        <v>https://climate.onebuilding.org/WMO_Region_6_Europe/ESP_Spain/CT_Catalonia/ESP_CT_Alguaire-Lleida.AP.084515_TMYx.zip</v>
      </c>
    </row>
    <row r="3202" spans="1:10" x14ac:dyDescent="0.25">
      <c r="A3202" t="s">
        <v>1949</v>
      </c>
      <c r="B3202" t="s">
        <v>1970</v>
      </c>
      <c r="C3202" t="s">
        <v>2228</v>
      </c>
      <c r="D3202" s="1" t="s">
        <v>2229</v>
      </c>
      <c r="E3202" t="s">
        <v>14</v>
      </c>
      <c r="F3202">
        <v>36.499699999999997</v>
      </c>
      <c r="G3202">
        <v>-6.2577999999999996</v>
      </c>
      <c r="H3202">
        <v>1</v>
      </c>
      <c r="I3202">
        <v>9</v>
      </c>
      <c r="J3202" t="str">
        <f>HYPERLINK("https://climate.onebuilding.org/WMO_Region_6_Europe/ESP_Spain/AN_Andalusia/ESP_AN_Cadiz.Obs.084520_TMYx.2007-2021.zip")</f>
        <v>https://climate.onebuilding.org/WMO_Region_6_Europe/ESP_Spain/AN_Andalusia/ESP_AN_Cadiz.Obs.084520_TMYx.2007-2021.zip</v>
      </c>
    </row>
    <row r="3203" spans="1:10" x14ac:dyDescent="0.25">
      <c r="A3203" t="s">
        <v>1949</v>
      </c>
      <c r="B3203" t="s">
        <v>1970</v>
      </c>
      <c r="C3203" t="s">
        <v>2228</v>
      </c>
      <c r="D3203" s="1" t="s">
        <v>2229</v>
      </c>
      <c r="E3203" t="s">
        <v>14</v>
      </c>
      <c r="F3203">
        <v>36.499699999999997</v>
      </c>
      <c r="G3203">
        <v>-6.2577999999999996</v>
      </c>
      <c r="H3203">
        <v>1</v>
      </c>
      <c r="I3203">
        <v>9</v>
      </c>
      <c r="J3203" t="str">
        <f>HYPERLINK("https://climate.onebuilding.org/WMO_Region_6_Europe/ESP_Spain/AN_Andalusia/ESP_AN_Cadiz.Obs.084520_TMYx.2009-2023.zip")</f>
        <v>https://climate.onebuilding.org/WMO_Region_6_Europe/ESP_Spain/AN_Andalusia/ESP_AN_Cadiz.Obs.084520_TMYx.2009-2023.zip</v>
      </c>
    </row>
    <row r="3204" spans="1:10" x14ac:dyDescent="0.25">
      <c r="A3204" t="s">
        <v>1949</v>
      </c>
      <c r="B3204" t="s">
        <v>1970</v>
      </c>
      <c r="C3204" t="s">
        <v>2228</v>
      </c>
      <c r="D3204" s="1" t="s">
        <v>2229</v>
      </c>
      <c r="E3204" t="s">
        <v>14</v>
      </c>
      <c r="F3204">
        <v>36.499699999999997</v>
      </c>
      <c r="G3204">
        <v>-6.2577999999999996</v>
      </c>
      <c r="H3204">
        <v>1</v>
      </c>
      <c r="I3204">
        <v>9</v>
      </c>
      <c r="J3204" t="str">
        <f>HYPERLINK("https://climate.onebuilding.org/WMO_Region_6_Europe/ESP_Spain/AN_Andalusia/ESP_AN_Cadiz.Obs.084520_TMYx.zip")</f>
        <v>https://climate.onebuilding.org/WMO_Region_6_Europe/ESP_Spain/AN_Andalusia/ESP_AN_Cadiz.Obs.084520_TMYx.zip</v>
      </c>
    </row>
    <row r="3205" spans="1:10" x14ac:dyDescent="0.25">
      <c r="A3205" t="s">
        <v>1949</v>
      </c>
      <c r="B3205" t="s">
        <v>1970</v>
      </c>
      <c r="C3205" t="s">
        <v>2230</v>
      </c>
      <c r="D3205" s="1" t="s">
        <v>2231</v>
      </c>
      <c r="E3205" t="s">
        <v>14</v>
      </c>
      <c r="F3205">
        <v>36.466999999999999</v>
      </c>
      <c r="G3205">
        <v>-6.2</v>
      </c>
      <c r="H3205">
        <v>1</v>
      </c>
      <c r="I3205">
        <v>30</v>
      </c>
      <c r="J3205" t="str">
        <f>HYPERLINK("https://climate.onebuilding.org/WMO_Region_6_Europe/ESP_Spain/AN_Andalusia/ESP_AN_San.Fernando.084530_TMYx.2007-2021.zip")</f>
        <v>https://climate.onebuilding.org/WMO_Region_6_Europe/ESP_Spain/AN_Andalusia/ESP_AN_San.Fernando.084530_TMYx.2007-2021.zip</v>
      </c>
    </row>
    <row r="3206" spans="1:10" x14ac:dyDescent="0.25">
      <c r="A3206" t="s">
        <v>1949</v>
      </c>
      <c r="B3206" t="s">
        <v>1970</v>
      </c>
      <c r="C3206" t="s">
        <v>2230</v>
      </c>
      <c r="D3206" s="1" t="s">
        <v>2231</v>
      </c>
      <c r="E3206" t="s">
        <v>14</v>
      </c>
      <c r="F3206">
        <v>36.466999999999999</v>
      </c>
      <c r="G3206">
        <v>-6.2</v>
      </c>
      <c r="H3206">
        <v>1</v>
      </c>
      <c r="I3206">
        <v>30</v>
      </c>
      <c r="J3206" t="str">
        <f>HYPERLINK("https://climate.onebuilding.org/WMO_Region_6_Europe/ESP_Spain/AN_Andalusia/ESP_AN_San.Fernando.084530_TMYx.2009-2023.zip")</f>
        <v>https://climate.onebuilding.org/WMO_Region_6_Europe/ESP_Spain/AN_Andalusia/ESP_AN_San.Fernando.084530_TMYx.2009-2023.zip</v>
      </c>
    </row>
    <row r="3207" spans="1:10" x14ac:dyDescent="0.25">
      <c r="A3207" t="s">
        <v>1949</v>
      </c>
      <c r="B3207" t="s">
        <v>1970</v>
      </c>
      <c r="C3207" t="s">
        <v>2230</v>
      </c>
      <c r="D3207" s="1" t="s">
        <v>2231</v>
      </c>
      <c r="E3207" t="s">
        <v>14</v>
      </c>
      <c r="F3207">
        <v>36.466999999999999</v>
      </c>
      <c r="G3207">
        <v>-6.2</v>
      </c>
      <c r="H3207">
        <v>1</v>
      </c>
      <c r="I3207">
        <v>30</v>
      </c>
      <c r="J3207" t="str">
        <f>HYPERLINK("https://climate.onebuilding.org/WMO_Region_6_Europe/ESP_Spain/AN_Andalusia/ESP_AN_San.Fernando.084530_TMYx.zip")</f>
        <v>https://climate.onebuilding.org/WMO_Region_6_Europe/ESP_Spain/AN_Andalusia/ESP_AN_San.Fernando.084530_TMYx.zip</v>
      </c>
    </row>
    <row r="3208" spans="1:10" x14ac:dyDescent="0.25">
      <c r="A3208" t="s">
        <v>1949</v>
      </c>
      <c r="B3208" t="s">
        <v>1970</v>
      </c>
      <c r="C3208" t="s">
        <v>2232</v>
      </c>
      <c r="D3208" s="1" t="s">
        <v>2233</v>
      </c>
      <c r="E3208" t="s">
        <v>14</v>
      </c>
      <c r="F3208">
        <v>36.002600000000001</v>
      </c>
      <c r="G3208">
        <v>-5.6093999999999999</v>
      </c>
      <c r="H3208">
        <v>1</v>
      </c>
      <c r="I3208">
        <v>15</v>
      </c>
      <c r="J3208" t="str">
        <f>HYPERLINK("https://climate.onebuilding.org/WMO_Region_6_Europe/ESP_Spain/AN_Andalusia/ESP_AN_Tarifa.084580_TMYx.2007-2021.zip")</f>
        <v>https://climate.onebuilding.org/WMO_Region_6_Europe/ESP_Spain/AN_Andalusia/ESP_AN_Tarifa.084580_TMYx.2007-2021.zip</v>
      </c>
    </row>
    <row r="3209" spans="1:10" x14ac:dyDescent="0.25">
      <c r="A3209" t="s">
        <v>1949</v>
      </c>
      <c r="B3209" t="s">
        <v>1970</v>
      </c>
      <c r="C3209" t="s">
        <v>2232</v>
      </c>
      <c r="D3209" s="1" t="s">
        <v>2233</v>
      </c>
      <c r="E3209" t="s">
        <v>14</v>
      </c>
      <c r="F3209">
        <v>36.002600000000001</v>
      </c>
      <c r="G3209">
        <v>-5.6093999999999999</v>
      </c>
      <c r="H3209">
        <v>1</v>
      </c>
      <c r="I3209">
        <v>15</v>
      </c>
      <c r="J3209" t="str">
        <f>HYPERLINK("https://climate.onebuilding.org/WMO_Region_6_Europe/ESP_Spain/AN_Andalusia/ESP_AN_Tarifa.084580_TMYx.2009-2023.zip")</f>
        <v>https://climate.onebuilding.org/WMO_Region_6_Europe/ESP_Spain/AN_Andalusia/ESP_AN_Tarifa.084580_TMYx.2009-2023.zip</v>
      </c>
    </row>
    <row r="3210" spans="1:10" x14ac:dyDescent="0.25">
      <c r="A3210" t="s">
        <v>1949</v>
      </c>
      <c r="B3210" t="s">
        <v>1970</v>
      </c>
      <c r="C3210" t="s">
        <v>2232</v>
      </c>
      <c r="D3210" s="1" t="s">
        <v>2233</v>
      </c>
      <c r="E3210" t="s">
        <v>14</v>
      </c>
      <c r="F3210">
        <v>36.002600000000001</v>
      </c>
      <c r="G3210">
        <v>-5.6093999999999999</v>
      </c>
      <c r="H3210">
        <v>1</v>
      </c>
      <c r="I3210">
        <v>15</v>
      </c>
      <c r="J3210" t="str">
        <f>HYPERLINK("https://climate.onebuilding.org/WMO_Region_6_Europe/ESP_Spain/AN_Andalusia/ESP_AN_Tarifa.084580_TMYx.zip")</f>
        <v>https://climate.onebuilding.org/WMO_Region_6_Europe/ESP_Spain/AN_Andalusia/ESP_AN_Tarifa.084580_TMYx.zip</v>
      </c>
    </row>
    <row r="3211" spans="1:10" x14ac:dyDescent="0.25">
      <c r="A3211" t="s">
        <v>1949</v>
      </c>
      <c r="B3211" t="s">
        <v>1970</v>
      </c>
      <c r="C3211" t="s">
        <v>2234</v>
      </c>
      <c r="D3211" s="1" t="s">
        <v>2235</v>
      </c>
      <c r="E3211" t="s">
        <v>2236</v>
      </c>
      <c r="F3211">
        <v>36.6661</v>
      </c>
      <c r="G3211">
        <v>-4.4821999999999997</v>
      </c>
      <c r="H3211">
        <v>1</v>
      </c>
      <c r="I3211">
        <v>15.8</v>
      </c>
      <c r="J3211" t="str">
        <f>HYPERLINK("https://climate.onebuilding.org/WMO_Region_6_Europe/ESP_Spain/AN_Andalusia/ESP_AN_Malaga.AP.084820_TMYx.2004-2018.zip")</f>
        <v>https://climate.onebuilding.org/WMO_Region_6_Europe/ESP_Spain/AN_Andalusia/ESP_AN_Malaga.AP.084820_TMYx.2004-2018.zip</v>
      </c>
    </row>
    <row r="3212" spans="1:10" x14ac:dyDescent="0.25">
      <c r="A3212" t="s">
        <v>1949</v>
      </c>
      <c r="B3212" t="s">
        <v>1970</v>
      </c>
      <c r="C3212" t="s">
        <v>2234</v>
      </c>
      <c r="D3212" s="1" t="s">
        <v>2235</v>
      </c>
      <c r="E3212" t="s">
        <v>14</v>
      </c>
      <c r="F3212">
        <v>36.6661</v>
      </c>
      <c r="G3212">
        <v>-4.4821999999999997</v>
      </c>
      <c r="H3212">
        <v>1</v>
      </c>
      <c r="I3212">
        <v>15.8</v>
      </c>
      <c r="J3212" t="str">
        <f>HYPERLINK("https://climate.onebuilding.org/WMO_Region_6_Europe/ESP_Spain/AN_Andalusia/ESP_AN_Malaga.AP.084820_TMYx.2007-2021.zip")</f>
        <v>https://climate.onebuilding.org/WMO_Region_6_Europe/ESP_Spain/AN_Andalusia/ESP_AN_Malaga.AP.084820_TMYx.2007-2021.zip</v>
      </c>
    </row>
    <row r="3213" spans="1:10" x14ac:dyDescent="0.25">
      <c r="A3213" t="s">
        <v>1949</v>
      </c>
      <c r="B3213" t="s">
        <v>1970</v>
      </c>
      <c r="C3213" t="s">
        <v>2234</v>
      </c>
      <c r="D3213" s="1" t="s">
        <v>2235</v>
      </c>
      <c r="E3213" t="s">
        <v>14</v>
      </c>
      <c r="F3213">
        <v>36.6661</v>
      </c>
      <c r="G3213">
        <v>-4.4821999999999997</v>
      </c>
      <c r="H3213">
        <v>1</v>
      </c>
      <c r="I3213">
        <v>15.8</v>
      </c>
      <c r="J3213" t="str">
        <f>HYPERLINK("https://climate.onebuilding.org/WMO_Region_6_Europe/ESP_Spain/AN_Andalusia/ESP_AN_Malaga.AP.084820_TMYx.2009-2023.zip")</f>
        <v>https://climate.onebuilding.org/WMO_Region_6_Europe/ESP_Spain/AN_Andalusia/ESP_AN_Malaga.AP.084820_TMYx.2009-2023.zip</v>
      </c>
    </row>
    <row r="3214" spans="1:10" x14ac:dyDescent="0.25">
      <c r="A3214" t="s">
        <v>1949</v>
      </c>
      <c r="B3214" t="s">
        <v>1970</v>
      </c>
      <c r="C3214" t="s">
        <v>2234</v>
      </c>
      <c r="D3214" s="1" t="s">
        <v>2235</v>
      </c>
      <c r="E3214" t="s">
        <v>14</v>
      </c>
      <c r="F3214">
        <v>36.6661</v>
      </c>
      <c r="G3214">
        <v>-4.4821999999999997</v>
      </c>
      <c r="H3214">
        <v>1</v>
      </c>
      <c r="I3214">
        <v>15.8</v>
      </c>
      <c r="J3214" t="str">
        <f>HYPERLINK("https://climate.onebuilding.org/WMO_Region_6_Europe/ESP_Spain/AN_Andalusia/ESP_AN_Malaga.AP.084820_TMYx.zip")</f>
        <v>https://climate.onebuilding.org/WMO_Region_6_Europe/ESP_Spain/AN_Andalusia/ESP_AN_Malaga.AP.084820_TMYx.zip</v>
      </c>
    </row>
    <row r="3215" spans="1:10" x14ac:dyDescent="0.25">
      <c r="A3215" t="s">
        <v>1949</v>
      </c>
      <c r="B3215" t="s">
        <v>1970</v>
      </c>
      <c r="C3215" t="s">
        <v>2237</v>
      </c>
      <c r="D3215" s="1" t="s">
        <v>2238</v>
      </c>
      <c r="E3215" t="s">
        <v>2239</v>
      </c>
      <c r="F3215">
        <v>36.846400000000003</v>
      </c>
      <c r="G3215">
        <v>-2.3569</v>
      </c>
      <c r="H3215">
        <v>1</v>
      </c>
      <c r="I3215">
        <v>21</v>
      </c>
      <c r="J3215" t="str">
        <f>HYPERLINK("https://climate.onebuilding.org/WMO_Region_6_Europe/ESP_Spain/AN_Andalusia/ESP_AN_Almeria.AP.084870_TMYx.2004-2018.zip")</f>
        <v>https://climate.onebuilding.org/WMO_Region_6_Europe/ESP_Spain/AN_Andalusia/ESP_AN_Almeria.AP.084870_TMYx.2004-2018.zip</v>
      </c>
    </row>
    <row r="3216" spans="1:10" x14ac:dyDescent="0.25">
      <c r="A3216" t="s">
        <v>1949</v>
      </c>
      <c r="B3216" t="s">
        <v>1970</v>
      </c>
      <c r="C3216" t="s">
        <v>2237</v>
      </c>
      <c r="D3216" s="1" t="s">
        <v>2238</v>
      </c>
      <c r="E3216" t="s">
        <v>14</v>
      </c>
      <c r="F3216">
        <v>36.846400000000003</v>
      </c>
      <c r="G3216">
        <v>-2.3569</v>
      </c>
      <c r="H3216">
        <v>1</v>
      </c>
      <c r="I3216">
        <v>21</v>
      </c>
      <c r="J3216" t="str">
        <f>HYPERLINK("https://climate.onebuilding.org/WMO_Region_6_Europe/ESP_Spain/AN_Andalusia/ESP_AN_Almeria.AP.084870_TMYx.2007-2021.zip")</f>
        <v>https://climate.onebuilding.org/WMO_Region_6_Europe/ESP_Spain/AN_Andalusia/ESP_AN_Almeria.AP.084870_TMYx.2007-2021.zip</v>
      </c>
    </row>
    <row r="3217" spans="1:10" x14ac:dyDescent="0.25">
      <c r="A3217" t="s">
        <v>1949</v>
      </c>
      <c r="B3217" t="s">
        <v>1970</v>
      </c>
      <c r="C3217" t="s">
        <v>2237</v>
      </c>
      <c r="D3217" s="1" t="s">
        <v>2238</v>
      </c>
      <c r="E3217" t="s">
        <v>14</v>
      </c>
      <c r="F3217">
        <v>36.846400000000003</v>
      </c>
      <c r="G3217">
        <v>-2.3569</v>
      </c>
      <c r="H3217">
        <v>1</v>
      </c>
      <c r="I3217">
        <v>21</v>
      </c>
      <c r="J3217" t="str">
        <f>HYPERLINK("https://climate.onebuilding.org/WMO_Region_6_Europe/ESP_Spain/AN_Andalusia/ESP_AN_Almeria.AP.084870_TMYx.2009-2023.zip")</f>
        <v>https://climate.onebuilding.org/WMO_Region_6_Europe/ESP_Spain/AN_Andalusia/ESP_AN_Almeria.AP.084870_TMYx.2009-2023.zip</v>
      </c>
    </row>
    <row r="3218" spans="1:10" x14ac:dyDescent="0.25">
      <c r="A3218" t="s">
        <v>1949</v>
      </c>
      <c r="B3218" t="s">
        <v>1970</v>
      </c>
      <c r="C3218" t="s">
        <v>2237</v>
      </c>
      <c r="D3218" s="1" t="s">
        <v>2238</v>
      </c>
      <c r="E3218" t="s">
        <v>14</v>
      </c>
      <c r="F3218">
        <v>36.846400000000003</v>
      </c>
      <c r="G3218">
        <v>-2.3569</v>
      </c>
      <c r="H3218">
        <v>1</v>
      </c>
      <c r="I3218">
        <v>21</v>
      </c>
      <c r="J3218" t="str">
        <f>HYPERLINK("https://climate.onebuilding.org/WMO_Region_6_Europe/ESP_Spain/AN_Andalusia/ESP_AN_Almeria.AP.084870_TMYx.zip")</f>
        <v>https://climate.onebuilding.org/WMO_Region_6_Europe/ESP_Spain/AN_Andalusia/ESP_AN_Almeria.AP.084870_TMYx.zip</v>
      </c>
    </row>
    <row r="3219" spans="1:10" x14ac:dyDescent="0.25">
      <c r="A3219" t="s">
        <v>1949</v>
      </c>
      <c r="B3219" t="s">
        <v>1970</v>
      </c>
      <c r="C3219" t="s">
        <v>2240</v>
      </c>
      <c r="D3219" s="1" t="s">
        <v>2241</v>
      </c>
      <c r="E3219" t="s">
        <v>14</v>
      </c>
      <c r="F3219">
        <v>35.939799999999998</v>
      </c>
      <c r="G3219">
        <v>-3.0348000000000002</v>
      </c>
      <c r="H3219">
        <v>1</v>
      </c>
      <c r="I3219">
        <v>7</v>
      </c>
      <c r="J3219" t="str">
        <f>HYPERLINK("https://climate.onebuilding.org/WMO_Region_6_Europe/ESP_Spain/AN_Andalusia/ESP_AN_Alboran.Island.084900_TMYx.zip")</f>
        <v>https://climate.onebuilding.org/WMO_Region_6_Europe/ESP_Spain/AN_Andalusia/ESP_AN_Alboran.Island.084900_TMYx.zip</v>
      </c>
    </row>
    <row r="3220" spans="1:10" x14ac:dyDescent="0.25">
      <c r="A3220" t="s">
        <v>1949</v>
      </c>
      <c r="B3220" t="s">
        <v>2028</v>
      </c>
      <c r="C3220" t="s">
        <v>2242</v>
      </c>
      <c r="D3220" s="1" t="s">
        <v>2243</v>
      </c>
      <c r="E3220" t="s">
        <v>14</v>
      </c>
      <c r="F3220">
        <v>42.958100000000002</v>
      </c>
      <c r="G3220">
        <v>-0.8</v>
      </c>
      <c r="H3220">
        <v>1</v>
      </c>
      <c r="I3220">
        <v>1591</v>
      </c>
      <c r="J3220" t="str">
        <f>HYPERLINK("https://climate.onebuilding.org/WMO_Region_6_Europe/ESP_Spain/NC_Navarra/ESP_NC_Isaba.El.Ferial.089120_TMYx.2007-2021.zip")</f>
        <v>https://climate.onebuilding.org/WMO_Region_6_Europe/ESP_Spain/NC_Navarra/ESP_NC_Isaba.El.Ferial.089120_TMYx.2007-2021.zip</v>
      </c>
    </row>
    <row r="3221" spans="1:10" x14ac:dyDescent="0.25">
      <c r="A3221" t="s">
        <v>1949</v>
      </c>
      <c r="B3221" t="s">
        <v>2028</v>
      </c>
      <c r="C3221" t="s">
        <v>2242</v>
      </c>
      <c r="D3221" s="1" t="s">
        <v>2243</v>
      </c>
      <c r="E3221" t="s">
        <v>14</v>
      </c>
      <c r="F3221">
        <v>42.958100000000002</v>
      </c>
      <c r="G3221">
        <v>-0.8</v>
      </c>
      <c r="H3221">
        <v>1</v>
      </c>
      <c r="I3221">
        <v>1591</v>
      </c>
      <c r="J3221" t="str">
        <f>HYPERLINK("https://climate.onebuilding.org/WMO_Region_6_Europe/ESP_Spain/NC_Navarra/ESP_NC_Isaba.El.Ferial.089120_TMYx.2009-2023.zip")</f>
        <v>https://climate.onebuilding.org/WMO_Region_6_Europe/ESP_Spain/NC_Navarra/ESP_NC_Isaba.El.Ferial.089120_TMYx.2009-2023.zip</v>
      </c>
    </row>
    <row r="3222" spans="1:10" x14ac:dyDescent="0.25">
      <c r="A3222" t="s">
        <v>1949</v>
      </c>
      <c r="B3222" t="s">
        <v>2028</v>
      </c>
      <c r="C3222" t="s">
        <v>2242</v>
      </c>
      <c r="D3222" s="1" t="s">
        <v>2243</v>
      </c>
      <c r="E3222" t="s">
        <v>14</v>
      </c>
      <c r="F3222">
        <v>42.958100000000002</v>
      </c>
      <c r="G3222">
        <v>-0.8</v>
      </c>
      <c r="H3222">
        <v>1</v>
      </c>
      <c r="I3222">
        <v>1591</v>
      </c>
      <c r="J3222" t="str">
        <f>HYPERLINK("https://climate.onebuilding.org/WMO_Region_6_Europe/ESP_Spain/NC_Navarra/ESP_NC_Isaba.El.Ferial.089120_TMYx.zip")</f>
        <v>https://climate.onebuilding.org/WMO_Region_6_Europe/ESP_Spain/NC_Navarra/ESP_NC_Isaba.El.Ferial.089120_TMYx.zip</v>
      </c>
    </row>
    <row r="3223" spans="1:10" x14ac:dyDescent="0.25">
      <c r="A3223" t="s">
        <v>1949</v>
      </c>
      <c r="B3223" t="s">
        <v>2038</v>
      </c>
      <c r="C3223" t="s">
        <v>2244</v>
      </c>
      <c r="D3223" s="1" t="s">
        <v>2245</v>
      </c>
      <c r="E3223" t="s">
        <v>14</v>
      </c>
      <c r="F3223">
        <v>42.787500000000001</v>
      </c>
      <c r="G3223">
        <v>-0.5383</v>
      </c>
      <c r="H3223">
        <v>1</v>
      </c>
      <c r="I3223">
        <v>1560</v>
      </c>
      <c r="J3223" t="str">
        <f>HYPERLINK("https://climate.onebuilding.org/WMO_Region_6_Europe/ESP_Spain/AR_Aragon/ESP_AR_Candanchu.Etuksa.089140_TMYx.zip")</f>
        <v>https://climate.onebuilding.org/WMO_Region_6_Europe/ESP_Spain/AR_Aragon/ESP_AR_Candanchu.Etuksa.089140_TMYx.zip</v>
      </c>
    </row>
    <row r="3224" spans="1:10" x14ac:dyDescent="0.25">
      <c r="A3224" t="s">
        <v>1949</v>
      </c>
      <c r="B3224" t="s">
        <v>2038</v>
      </c>
      <c r="C3224" t="s">
        <v>2246</v>
      </c>
      <c r="D3224" s="1" t="s">
        <v>2247</v>
      </c>
      <c r="E3224" t="s">
        <v>14</v>
      </c>
      <c r="F3224">
        <v>42.762500000000003</v>
      </c>
      <c r="G3224">
        <v>-0.23330000000000001</v>
      </c>
      <c r="H3224">
        <v>1</v>
      </c>
      <c r="I3224">
        <v>1645</v>
      </c>
      <c r="J3224" t="str">
        <f>HYPERLINK("https://climate.onebuilding.org/WMO_Region_6_Europe/ESP_Spain/AR_Aragon/ESP_AR_Panticosa.Refugio.Casa.Piedra.089220_TMYx.2007-2021.zip")</f>
        <v>https://climate.onebuilding.org/WMO_Region_6_Europe/ESP_Spain/AR_Aragon/ESP_AR_Panticosa.Refugio.Casa.Piedra.089220_TMYx.2007-2021.zip</v>
      </c>
    </row>
    <row r="3225" spans="1:10" x14ac:dyDescent="0.25">
      <c r="A3225" t="s">
        <v>1949</v>
      </c>
      <c r="B3225" t="s">
        <v>2038</v>
      </c>
      <c r="C3225" t="s">
        <v>2246</v>
      </c>
      <c r="D3225" s="1" t="s">
        <v>2247</v>
      </c>
      <c r="E3225" t="s">
        <v>14</v>
      </c>
      <c r="F3225">
        <v>42.762500000000003</v>
      </c>
      <c r="G3225">
        <v>-0.23330000000000001</v>
      </c>
      <c r="H3225">
        <v>1</v>
      </c>
      <c r="I3225">
        <v>1645</v>
      </c>
      <c r="J3225" t="str">
        <f>HYPERLINK("https://climate.onebuilding.org/WMO_Region_6_Europe/ESP_Spain/AR_Aragon/ESP_AR_Panticosa.Refugio.Casa.Piedra.089220_TMYx.2009-2023.zip")</f>
        <v>https://climate.onebuilding.org/WMO_Region_6_Europe/ESP_Spain/AR_Aragon/ESP_AR_Panticosa.Refugio.Casa.Piedra.089220_TMYx.2009-2023.zip</v>
      </c>
    </row>
    <row r="3226" spans="1:10" x14ac:dyDescent="0.25">
      <c r="A3226" t="s">
        <v>1949</v>
      </c>
      <c r="B3226" t="s">
        <v>2038</v>
      </c>
      <c r="C3226" t="s">
        <v>2246</v>
      </c>
      <c r="D3226" s="1" t="s">
        <v>2247</v>
      </c>
      <c r="E3226" t="s">
        <v>14</v>
      </c>
      <c r="F3226">
        <v>42.762500000000003</v>
      </c>
      <c r="G3226">
        <v>-0.23330000000000001</v>
      </c>
      <c r="H3226">
        <v>1</v>
      </c>
      <c r="I3226">
        <v>1645</v>
      </c>
      <c r="J3226" t="str">
        <f>HYPERLINK("https://climate.onebuilding.org/WMO_Region_6_Europe/ESP_Spain/AR_Aragon/ESP_AR_Panticosa.Refugio.Casa.Piedra.089220_TMYx.zip")</f>
        <v>https://climate.onebuilding.org/WMO_Region_6_Europe/ESP_Spain/AR_Aragon/ESP_AR_Panticosa.Refugio.Casa.Piedra.089220_TMYx.zip</v>
      </c>
    </row>
    <row r="3227" spans="1:10" x14ac:dyDescent="0.25">
      <c r="A3227" t="s">
        <v>2248</v>
      </c>
      <c r="B3227" t="s">
        <v>2249</v>
      </c>
      <c r="C3227" t="s">
        <v>2250</v>
      </c>
      <c r="D3227">
        <v>260290</v>
      </c>
      <c r="E3227" t="s">
        <v>2251</v>
      </c>
      <c r="F3227">
        <v>59.389499999999998</v>
      </c>
      <c r="G3227">
        <v>24.04</v>
      </c>
      <c r="H3227">
        <v>2</v>
      </c>
      <c r="I3227">
        <v>24.4</v>
      </c>
      <c r="J3227" t="str">
        <f>HYPERLINK("https://climate.onebuilding.org/WMO_Region_6_Europe/EST_Estonia/HA_Harju/EST_HA_Pakri.Lighthouse.260290_TMYx.2004-2018.zip")</f>
        <v>https://climate.onebuilding.org/WMO_Region_6_Europe/EST_Estonia/HA_Harju/EST_HA_Pakri.Lighthouse.260290_TMYx.2004-2018.zip</v>
      </c>
    </row>
    <row r="3228" spans="1:10" x14ac:dyDescent="0.25">
      <c r="A3228" t="s">
        <v>2248</v>
      </c>
      <c r="B3228" t="s">
        <v>2249</v>
      </c>
      <c r="C3228" t="s">
        <v>2250</v>
      </c>
      <c r="D3228">
        <v>260290</v>
      </c>
      <c r="E3228" t="s">
        <v>14</v>
      </c>
      <c r="F3228">
        <v>59.389499999999998</v>
      </c>
      <c r="G3228">
        <v>24.04</v>
      </c>
      <c r="H3228">
        <v>2</v>
      </c>
      <c r="I3228">
        <v>24.4</v>
      </c>
      <c r="J3228" t="str">
        <f>HYPERLINK("https://climate.onebuilding.org/WMO_Region_6_Europe/EST_Estonia/HA_Harju/EST_HA_Pakri.Lighthouse.260290_TMYx.2007-2021.zip")</f>
        <v>https://climate.onebuilding.org/WMO_Region_6_Europe/EST_Estonia/HA_Harju/EST_HA_Pakri.Lighthouse.260290_TMYx.2007-2021.zip</v>
      </c>
    </row>
    <row r="3229" spans="1:10" x14ac:dyDescent="0.25">
      <c r="A3229" t="s">
        <v>2248</v>
      </c>
      <c r="B3229" t="s">
        <v>2249</v>
      </c>
      <c r="C3229" t="s">
        <v>2250</v>
      </c>
      <c r="D3229">
        <v>260290</v>
      </c>
      <c r="E3229" t="s">
        <v>14</v>
      </c>
      <c r="F3229">
        <v>59.389499999999998</v>
      </c>
      <c r="G3229">
        <v>24.04</v>
      </c>
      <c r="H3229">
        <v>2</v>
      </c>
      <c r="I3229">
        <v>24.4</v>
      </c>
      <c r="J3229" t="str">
        <f>HYPERLINK("https://climate.onebuilding.org/WMO_Region_6_Europe/EST_Estonia/HA_Harju/EST_HA_Pakri.Lighthouse.260290_TMYx.2009-2023.zip")</f>
        <v>https://climate.onebuilding.org/WMO_Region_6_Europe/EST_Estonia/HA_Harju/EST_HA_Pakri.Lighthouse.260290_TMYx.2009-2023.zip</v>
      </c>
    </row>
    <row r="3230" spans="1:10" x14ac:dyDescent="0.25">
      <c r="A3230" t="s">
        <v>2248</v>
      </c>
      <c r="B3230" t="s">
        <v>2249</v>
      </c>
      <c r="C3230" t="s">
        <v>2250</v>
      </c>
      <c r="D3230">
        <v>260290</v>
      </c>
      <c r="E3230" t="s">
        <v>14</v>
      </c>
      <c r="F3230">
        <v>59.389499999999998</v>
      </c>
      <c r="G3230">
        <v>24.04</v>
      </c>
      <c r="H3230">
        <v>2</v>
      </c>
      <c r="I3230">
        <v>24.4</v>
      </c>
      <c r="J3230" t="str">
        <f>HYPERLINK("https://climate.onebuilding.org/WMO_Region_6_Europe/EST_Estonia/HA_Harju/EST_HA_Pakri.Lighthouse.260290_TMYx.zip")</f>
        <v>https://climate.onebuilding.org/WMO_Region_6_Europe/EST_Estonia/HA_Harju/EST_HA_Pakri.Lighthouse.260290_TMYx.zip</v>
      </c>
    </row>
    <row r="3231" spans="1:10" x14ac:dyDescent="0.25">
      <c r="A3231" t="s">
        <v>2248</v>
      </c>
      <c r="B3231" t="s">
        <v>2249</v>
      </c>
      <c r="C3231" t="s">
        <v>2252</v>
      </c>
      <c r="D3231">
        <v>260340</v>
      </c>
      <c r="E3231" t="s">
        <v>14</v>
      </c>
      <c r="F3231">
        <v>59.603700000000003</v>
      </c>
      <c r="G3231">
        <v>24.5105</v>
      </c>
      <c r="H3231">
        <v>2</v>
      </c>
      <c r="I3231">
        <v>2</v>
      </c>
      <c r="J3231" t="str">
        <f>HYPERLINK("https://climate.onebuilding.org/WMO_Region_6_Europe/EST_Estonia/HA_Harju/EST_HA_Pohjakula.Lighthouse-Naissaar.Island.260340_TMYx.zip")</f>
        <v>https://climate.onebuilding.org/WMO_Region_6_Europe/EST_Estonia/HA_Harju/EST_HA_Pohjakula.Lighthouse-Naissaar.Island.260340_TMYx.zip</v>
      </c>
    </row>
    <row r="3232" spans="1:10" x14ac:dyDescent="0.25">
      <c r="A3232" t="s">
        <v>2248</v>
      </c>
      <c r="B3232" t="s">
        <v>2249</v>
      </c>
      <c r="C3232" t="s">
        <v>2253</v>
      </c>
      <c r="D3232">
        <v>260380</v>
      </c>
      <c r="E3232" t="s">
        <v>2254</v>
      </c>
      <c r="F3232">
        <v>59.412999999999997</v>
      </c>
      <c r="G3232">
        <v>24.832999999999998</v>
      </c>
      <c r="H3232">
        <v>2</v>
      </c>
      <c r="I3232">
        <v>39.9</v>
      </c>
      <c r="J3232" t="str">
        <f>HYPERLINK("https://climate.onebuilding.org/WMO_Region_6_Europe/EST_Estonia/HA_Harju/EST_HA_Tallinn.AP.260380_TMYx.2004-2018.zip")</f>
        <v>https://climate.onebuilding.org/WMO_Region_6_Europe/EST_Estonia/HA_Harju/EST_HA_Tallinn.AP.260380_TMYx.2004-2018.zip</v>
      </c>
    </row>
    <row r="3233" spans="1:10" x14ac:dyDescent="0.25">
      <c r="A3233" t="s">
        <v>2248</v>
      </c>
      <c r="B3233" t="s">
        <v>2249</v>
      </c>
      <c r="C3233" t="s">
        <v>2253</v>
      </c>
      <c r="D3233">
        <v>260380</v>
      </c>
      <c r="E3233" t="s">
        <v>14</v>
      </c>
      <c r="F3233">
        <v>59.412999999999997</v>
      </c>
      <c r="G3233">
        <v>24.832999999999998</v>
      </c>
      <c r="H3233">
        <v>2</v>
      </c>
      <c r="I3233">
        <v>39.9</v>
      </c>
      <c r="J3233" t="str">
        <f>HYPERLINK("https://climate.onebuilding.org/WMO_Region_6_Europe/EST_Estonia/HA_Harju/EST_HA_Tallinn.AP.260380_TMYx.2007-2021.zip")</f>
        <v>https://climate.onebuilding.org/WMO_Region_6_Europe/EST_Estonia/HA_Harju/EST_HA_Tallinn.AP.260380_TMYx.2007-2021.zip</v>
      </c>
    </row>
    <row r="3234" spans="1:10" x14ac:dyDescent="0.25">
      <c r="A3234" t="s">
        <v>2248</v>
      </c>
      <c r="B3234" t="s">
        <v>2249</v>
      </c>
      <c r="C3234" t="s">
        <v>2253</v>
      </c>
      <c r="D3234">
        <v>260380</v>
      </c>
      <c r="E3234" t="s">
        <v>14</v>
      </c>
      <c r="F3234">
        <v>59.412999999999997</v>
      </c>
      <c r="G3234">
        <v>24.832999999999998</v>
      </c>
      <c r="H3234">
        <v>2</v>
      </c>
      <c r="I3234">
        <v>39.9</v>
      </c>
      <c r="J3234" t="str">
        <f>HYPERLINK("https://climate.onebuilding.org/WMO_Region_6_Europe/EST_Estonia/HA_Harju/EST_HA_Tallinn.AP.260380_TMYx.2009-2023.zip")</f>
        <v>https://climate.onebuilding.org/WMO_Region_6_Europe/EST_Estonia/HA_Harju/EST_HA_Tallinn.AP.260380_TMYx.2009-2023.zip</v>
      </c>
    </row>
    <row r="3235" spans="1:10" x14ac:dyDescent="0.25">
      <c r="A3235" t="s">
        <v>2248</v>
      </c>
      <c r="B3235" t="s">
        <v>2249</v>
      </c>
      <c r="C3235" t="s">
        <v>2253</v>
      </c>
      <c r="D3235">
        <v>260380</v>
      </c>
      <c r="E3235" t="s">
        <v>14</v>
      </c>
      <c r="F3235">
        <v>59.412999999999997</v>
      </c>
      <c r="G3235">
        <v>24.832999999999998</v>
      </c>
      <c r="H3235">
        <v>2</v>
      </c>
      <c r="I3235">
        <v>39.9</v>
      </c>
      <c r="J3235" t="str">
        <f>HYPERLINK("https://climate.onebuilding.org/WMO_Region_6_Europe/EST_Estonia/HA_Harju/EST_HA_Tallinn.AP.260380_TMYx.zip")</f>
        <v>https://climate.onebuilding.org/WMO_Region_6_Europe/EST_Estonia/HA_Harju/EST_HA_Tallinn.AP.260380_TMYx.zip</v>
      </c>
    </row>
    <row r="3236" spans="1:10" x14ac:dyDescent="0.25">
      <c r="A3236" t="s">
        <v>2248</v>
      </c>
      <c r="B3236" t="s">
        <v>489</v>
      </c>
      <c r="C3236" t="s">
        <v>2255</v>
      </c>
      <c r="D3236">
        <v>260450</v>
      </c>
      <c r="E3236" t="s">
        <v>2256</v>
      </c>
      <c r="F3236">
        <v>59.5214</v>
      </c>
      <c r="G3236">
        <v>26.541399999999999</v>
      </c>
      <c r="H3236">
        <v>2</v>
      </c>
      <c r="I3236">
        <v>4.2</v>
      </c>
      <c r="J3236" t="str">
        <f>HYPERLINK("https://climate.onebuilding.org/WMO_Region_6_Europe/EST_Estonia/LV_Laane-Viru/EST_LV_Kunda.260450_TMYx.2004-2018.zip")</f>
        <v>https://climate.onebuilding.org/WMO_Region_6_Europe/EST_Estonia/LV_Laane-Viru/EST_LV_Kunda.260450_TMYx.2004-2018.zip</v>
      </c>
    </row>
    <row r="3237" spans="1:10" x14ac:dyDescent="0.25">
      <c r="A3237" t="s">
        <v>2248</v>
      </c>
      <c r="B3237" t="s">
        <v>489</v>
      </c>
      <c r="C3237" t="s">
        <v>2255</v>
      </c>
      <c r="D3237">
        <v>260450</v>
      </c>
      <c r="E3237" t="s">
        <v>14</v>
      </c>
      <c r="F3237">
        <v>59.5214</v>
      </c>
      <c r="G3237">
        <v>26.541399999999999</v>
      </c>
      <c r="H3237">
        <v>2</v>
      </c>
      <c r="I3237">
        <v>4.2</v>
      </c>
      <c r="J3237" t="str">
        <f>HYPERLINK("https://climate.onebuilding.org/WMO_Region_6_Europe/EST_Estonia/LV_Laane-Viru/EST_LV_Kunda.260450_TMYx.2007-2021.zip")</f>
        <v>https://climate.onebuilding.org/WMO_Region_6_Europe/EST_Estonia/LV_Laane-Viru/EST_LV_Kunda.260450_TMYx.2007-2021.zip</v>
      </c>
    </row>
    <row r="3238" spans="1:10" x14ac:dyDescent="0.25">
      <c r="A3238" t="s">
        <v>2248</v>
      </c>
      <c r="B3238" t="s">
        <v>489</v>
      </c>
      <c r="C3238" t="s">
        <v>2255</v>
      </c>
      <c r="D3238">
        <v>260450</v>
      </c>
      <c r="E3238" t="s">
        <v>14</v>
      </c>
      <c r="F3238">
        <v>59.5214</v>
      </c>
      <c r="G3238">
        <v>26.541399999999999</v>
      </c>
      <c r="H3238">
        <v>2</v>
      </c>
      <c r="I3238">
        <v>4.2</v>
      </c>
      <c r="J3238" t="str">
        <f>HYPERLINK("https://climate.onebuilding.org/WMO_Region_6_Europe/EST_Estonia/LV_Laane-Viru/EST_LV_Kunda.260450_TMYx.2009-2023.zip")</f>
        <v>https://climate.onebuilding.org/WMO_Region_6_Europe/EST_Estonia/LV_Laane-Viru/EST_LV_Kunda.260450_TMYx.2009-2023.zip</v>
      </c>
    </row>
    <row r="3239" spans="1:10" x14ac:dyDescent="0.25">
      <c r="A3239" t="s">
        <v>2248</v>
      </c>
      <c r="B3239" t="s">
        <v>489</v>
      </c>
      <c r="C3239" t="s">
        <v>2255</v>
      </c>
      <c r="D3239">
        <v>260450</v>
      </c>
      <c r="E3239" t="s">
        <v>14</v>
      </c>
      <c r="F3239">
        <v>59.5214</v>
      </c>
      <c r="G3239">
        <v>26.541399999999999</v>
      </c>
      <c r="H3239">
        <v>2</v>
      </c>
      <c r="I3239">
        <v>4.2</v>
      </c>
      <c r="J3239" t="str">
        <f>HYPERLINK("https://climate.onebuilding.org/WMO_Region_6_Europe/EST_Estonia/LV_Laane-Viru/EST_LV_Kunda.260450_TMYx.zip")</f>
        <v>https://climate.onebuilding.org/WMO_Region_6_Europe/EST_Estonia/LV_Laane-Viru/EST_LV_Kunda.260450_TMYx.zip</v>
      </c>
    </row>
    <row r="3240" spans="1:10" x14ac:dyDescent="0.25">
      <c r="A3240" t="s">
        <v>2248</v>
      </c>
      <c r="B3240" t="s">
        <v>2257</v>
      </c>
      <c r="C3240" t="s">
        <v>2258</v>
      </c>
      <c r="D3240">
        <v>260460</v>
      </c>
      <c r="E3240" t="s">
        <v>2259</v>
      </c>
      <c r="F3240">
        <v>59.328899999999997</v>
      </c>
      <c r="G3240">
        <v>27.398299999999999</v>
      </c>
      <c r="H3240">
        <v>2</v>
      </c>
      <c r="I3240">
        <v>74.2</v>
      </c>
      <c r="J3240" t="str">
        <f>HYPERLINK("https://climate.onebuilding.org/WMO_Region_6_Europe/EST_Estonia/IV_Ida-Viru/EST_IV_Johvi.AF.260460_TMYx.2004-2018.zip")</f>
        <v>https://climate.onebuilding.org/WMO_Region_6_Europe/EST_Estonia/IV_Ida-Viru/EST_IV_Johvi.AF.260460_TMYx.2004-2018.zip</v>
      </c>
    </row>
    <row r="3241" spans="1:10" x14ac:dyDescent="0.25">
      <c r="A3241" t="s">
        <v>2248</v>
      </c>
      <c r="B3241" t="s">
        <v>2257</v>
      </c>
      <c r="C3241" t="s">
        <v>2258</v>
      </c>
      <c r="D3241">
        <v>260460</v>
      </c>
      <c r="E3241" t="s">
        <v>14</v>
      </c>
      <c r="F3241">
        <v>59.328899999999997</v>
      </c>
      <c r="G3241">
        <v>27.398299999999999</v>
      </c>
      <c r="H3241">
        <v>2</v>
      </c>
      <c r="I3241">
        <v>74.2</v>
      </c>
      <c r="J3241" t="str">
        <f>HYPERLINK("https://climate.onebuilding.org/WMO_Region_6_Europe/EST_Estonia/IV_Ida-Viru/EST_IV_Johvi.AF.260460_TMYx.2007-2021.zip")</f>
        <v>https://climate.onebuilding.org/WMO_Region_6_Europe/EST_Estonia/IV_Ida-Viru/EST_IV_Johvi.AF.260460_TMYx.2007-2021.zip</v>
      </c>
    </row>
    <row r="3242" spans="1:10" x14ac:dyDescent="0.25">
      <c r="A3242" t="s">
        <v>2248</v>
      </c>
      <c r="B3242" t="s">
        <v>2257</v>
      </c>
      <c r="C3242" t="s">
        <v>2258</v>
      </c>
      <c r="D3242">
        <v>260460</v>
      </c>
      <c r="E3242" t="s">
        <v>14</v>
      </c>
      <c r="F3242">
        <v>59.328899999999997</v>
      </c>
      <c r="G3242">
        <v>27.398299999999999</v>
      </c>
      <c r="H3242">
        <v>2</v>
      </c>
      <c r="I3242">
        <v>74.2</v>
      </c>
      <c r="J3242" t="str">
        <f>HYPERLINK("https://climate.onebuilding.org/WMO_Region_6_Europe/EST_Estonia/IV_Ida-Viru/EST_IV_Johvi.AF.260460_TMYx.2009-2023.zip")</f>
        <v>https://climate.onebuilding.org/WMO_Region_6_Europe/EST_Estonia/IV_Ida-Viru/EST_IV_Johvi.AF.260460_TMYx.2009-2023.zip</v>
      </c>
    </row>
    <row r="3243" spans="1:10" x14ac:dyDescent="0.25">
      <c r="A3243" t="s">
        <v>2248</v>
      </c>
      <c r="B3243" t="s">
        <v>2257</v>
      </c>
      <c r="C3243" t="s">
        <v>2258</v>
      </c>
      <c r="D3243">
        <v>260460</v>
      </c>
      <c r="E3243" t="s">
        <v>14</v>
      </c>
      <c r="F3243">
        <v>59.328899999999997</v>
      </c>
      <c r="G3243">
        <v>27.398299999999999</v>
      </c>
      <c r="H3243">
        <v>2</v>
      </c>
      <c r="I3243">
        <v>74.2</v>
      </c>
      <c r="J3243" t="str">
        <f>HYPERLINK("https://climate.onebuilding.org/WMO_Region_6_Europe/EST_Estonia/IV_Ida-Viru/EST_IV_Johvi.AF.260460_TMYx.zip")</f>
        <v>https://climate.onebuilding.org/WMO_Region_6_Europe/EST_Estonia/IV_Ida-Viru/EST_IV_Johvi.AF.260460_TMYx.zip</v>
      </c>
    </row>
    <row r="3244" spans="1:10" x14ac:dyDescent="0.25">
      <c r="A3244" t="s">
        <v>2248</v>
      </c>
      <c r="B3244" t="s">
        <v>2257</v>
      </c>
      <c r="C3244" t="s">
        <v>2260</v>
      </c>
      <c r="D3244">
        <v>260500</v>
      </c>
      <c r="E3244" t="s">
        <v>14</v>
      </c>
      <c r="F3244">
        <v>60</v>
      </c>
      <c r="G3244">
        <v>27.832999999999998</v>
      </c>
      <c r="H3244">
        <v>2</v>
      </c>
      <c r="I3244">
        <v>6</v>
      </c>
      <c r="J3244" t="str">
        <f>HYPERLINK("https://climate.onebuilding.org/WMO_Region_6_Europe/EST_Estonia/IV_Ida-Viru/EST_IV_Moscni.Island.260500_TMYx.zip")</f>
        <v>https://climate.onebuilding.org/WMO_Region_6_Europe/EST_Estonia/IV_Ida-Viru/EST_IV_Moscni.Island.260500_TMYx.zip</v>
      </c>
    </row>
    <row r="3245" spans="1:10" x14ac:dyDescent="0.25">
      <c r="A3245" t="s">
        <v>2248</v>
      </c>
      <c r="B3245" t="s">
        <v>2257</v>
      </c>
      <c r="C3245" t="s">
        <v>2261</v>
      </c>
      <c r="D3245">
        <v>260580</v>
      </c>
      <c r="E3245" t="s">
        <v>2262</v>
      </c>
      <c r="F3245">
        <v>59.389499999999998</v>
      </c>
      <c r="G3245">
        <v>28.109400000000001</v>
      </c>
      <c r="H3245">
        <v>2</v>
      </c>
      <c r="I3245">
        <v>29.9</v>
      </c>
      <c r="J3245" t="str">
        <f>HYPERLINK("https://climate.onebuilding.org/WMO_Region_6_Europe/EST_Estonia/IV_Ida-Viru/EST_IV_Narva.AF.260580_TMYx.2004-2018.zip")</f>
        <v>https://climate.onebuilding.org/WMO_Region_6_Europe/EST_Estonia/IV_Ida-Viru/EST_IV_Narva.AF.260580_TMYx.2004-2018.zip</v>
      </c>
    </row>
    <row r="3246" spans="1:10" x14ac:dyDescent="0.25">
      <c r="A3246" t="s">
        <v>2248</v>
      </c>
      <c r="B3246" t="s">
        <v>2257</v>
      </c>
      <c r="C3246" t="s">
        <v>2261</v>
      </c>
      <c r="D3246">
        <v>260580</v>
      </c>
      <c r="E3246" t="s">
        <v>14</v>
      </c>
      <c r="F3246">
        <v>59.389499999999998</v>
      </c>
      <c r="G3246">
        <v>28.109400000000001</v>
      </c>
      <c r="H3246">
        <v>2</v>
      </c>
      <c r="I3246">
        <v>29.9</v>
      </c>
      <c r="J3246" t="str">
        <f>HYPERLINK("https://climate.onebuilding.org/WMO_Region_6_Europe/EST_Estonia/IV_Ida-Viru/EST_IV_Narva.AF.260580_TMYx.2007-2021.zip")</f>
        <v>https://climate.onebuilding.org/WMO_Region_6_Europe/EST_Estonia/IV_Ida-Viru/EST_IV_Narva.AF.260580_TMYx.2007-2021.zip</v>
      </c>
    </row>
    <row r="3247" spans="1:10" x14ac:dyDescent="0.25">
      <c r="A3247" t="s">
        <v>2248</v>
      </c>
      <c r="B3247" t="s">
        <v>2257</v>
      </c>
      <c r="C3247" t="s">
        <v>2261</v>
      </c>
      <c r="D3247">
        <v>260580</v>
      </c>
      <c r="E3247" t="s">
        <v>14</v>
      </c>
      <c r="F3247">
        <v>59.389499999999998</v>
      </c>
      <c r="G3247">
        <v>28.109400000000001</v>
      </c>
      <c r="H3247">
        <v>2</v>
      </c>
      <c r="I3247">
        <v>29.9</v>
      </c>
      <c r="J3247" t="str">
        <f>HYPERLINK("https://climate.onebuilding.org/WMO_Region_6_Europe/EST_Estonia/IV_Ida-Viru/EST_IV_Narva.AF.260580_TMYx.2009-2023.zip")</f>
        <v>https://climate.onebuilding.org/WMO_Region_6_Europe/EST_Estonia/IV_Ida-Viru/EST_IV_Narva.AF.260580_TMYx.2009-2023.zip</v>
      </c>
    </row>
    <row r="3248" spans="1:10" x14ac:dyDescent="0.25">
      <c r="A3248" t="s">
        <v>2248</v>
      </c>
      <c r="B3248" t="s">
        <v>2257</v>
      </c>
      <c r="C3248" t="s">
        <v>2261</v>
      </c>
      <c r="D3248">
        <v>260580</v>
      </c>
      <c r="E3248" t="s">
        <v>14</v>
      </c>
      <c r="F3248">
        <v>59.389499999999998</v>
      </c>
      <c r="G3248">
        <v>28.109400000000001</v>
      </c>
      <c r="H3248">
        <v>2</v>
      </c>
      <c r="I3248">
        <v>29.9</v>
      </c>
      <c r="J3248" t="str">
        <f>HYPERLINK("https://climate.onebuilding.org/WMO_Region_6_Europe/EST_Estonia/IV_Ida-Viru/EST_IV_Narva.AF.260580_TMYx.zip")</f>
        <v>https://climate.onebuilding.org/WMO_Region_6_Europe/EST_Estonia/IV_Ida-Viru/EST_IV_Narva.AF.260580_TMYx.zip</v>
      </c>
    </row>
    <row r="3249" spans="1:10" x14ac:dyDescent="0.25">
      <c r="A3249" t="s">
        <v>2248</v>
      </c>
      <c r="B3249" t="s">
        <v>2263</v>
      </c>
      <c r="C3249" t="s">
        <v>2264</v>
      </c>
      <c r="D3249">
        <v>261150</v>
      </c>
      <c r="E3249" t="s">
        <v>2265</v>
      </c>
      <c r="F3249">
        <v>58.9208</v>
      </c>
      <c r="G3249">
        <v>22.066400000000002</v>
      </c>
      <c r="H3249">
        <v>2</v>
      </c>
      <c r="I3249">
        <v>8.1</v>
      </c>
      <c r="J3249" t="str">
        <f>HYPERLINK("https://climate.onebuilding.org/WMO_Region_6_Europe/EST_Estonia/HI_Hiiu/EST_HI_Ristna.261150_TMYx.2004-2018.zip")</f>
        <v>https://climate.onebuilding.org/WMO_Region_6_Europe/EST_Estonia/HI_Hiiu/EST_HI_Ristna.261150_TMYx.2004-2018.zip</v>
      </c>
    </row>
    <row r="3250" spans="1:10" x14ac:dyDescent="0.25">
      <c r="A3250" t="s">
        <v>2248</v>
      </c>
      <c r="B3250" t="s">
        <v>2263</v>
      </c>
      <c r="C3250" t="s">
        <v>2264</v>
      </c>
      <c r="D3250">
        <v>261150</v>
      </c>
      <c r="E3250" t="s">
        <v>14</v>
      </c>
      <c r="F3250">
        <v>58.9208</v>
      </c>
      <c r="G3250">
        <v>22.066400000000002</v>
      </c>
      <c r="H3250">
        <v>2</v>
      </c>
      <c r="I3250">
        <v>8.1</v>
      </c>
      <c r="J3250" t="str">
        <f>HYPERLINK("https://climate.onebuilding.org/WMO_Region_6_Europe/EST_Estonia/HI_Hiiu/EST_HI_Ristna.261150_TMYx.2007-2021.zip")</f>
        <v>https://climate.onebuilding.org/WMO_Region_6_Europe/EST_Estonia/HI_Hiiu/EST_HI_Ristna.261150_TMYx.2007-2021.zip</v>
      </c>
    </row>
    <row r="3251" spans="1:10" x14ac:dyDescent="0.25">
      <c r="A3251" t="s">
        <v>2248</v>
      </c>
      <c r="B3251" t="s">
        <v>2263</v>
      </c>
      <c r="C3251" t="s">
        <v>2264</v>
      </c>
      <c r="D3251">
        <v>261150</v>
      </c>
      <c r="E3251" t="s">
        <v>14</v>
      </c>
      <c r="F3251">
        <v>58.9208</v>
      </c>
      <c r="G3251">
        <v>22.066400000000002</v>
      </c>
      <c r="H3251">
        <v>2</v>
      </c>
      <c r="I3251">
        <v>8.1</v>
      </c>
      <c r="J3251" t="str">
        <f>HYPERLINK("https://climate.onebuilding.org/WMO_Region_6_Europe/EST_Estonia/HI_Hiiu/EST_HI_Ristna.261150_TMYx.2009-2023.zip")</f>
        <v>https://climate.onebuilding.org/WMO_Region_6_Europe/EST_Estonia/HI_Hiiu/EST_HI_Ristna.261150_TMYx.2009-2023.zip</v>
      </c>
    </row>
    <row r="3252" spans="1:10" x14ac:dyDescent="0.25">
      <c r="A3252" t="s">
        <v>2248</v>
      </c>
      <c r="B3252" t="s">
        <v>2263</v>
      </c>
      <c r="C3252" t="s">
        <v>2264</v>
      </c>
      <c r="D3252">
        <v>261150</v>
      </c>
      <c r="E3252" t="s">
        <v>14</v>
      </c>
      <c r="F3252">
        <v>58.9208</v>
      </c>
      <c r="G3252">
        <v>22.066400000000002</v>
      </c>
      <c r="H3252">
        <v>2</v>
      </c>
      <c r="I3252">
        <v>8.1</v>
      </c>
      <c r="J3252" t="str">
        <f>HYPERLINK("https://climate.onebuilding.org/WMO_Region_6_Europe/EST_Estonia/HI_Hiiu/EST_HI_Ristna.261150_TMYx.zip")</f>
        <v>https://climate.onebuilding.org/WMO_Region_6_Europe/EST_Estonia/HI_Hiiu/EST_HI_Ristna.261150_TMYx.zip</v>
      </c>
    </row>
    <row r="3253" spans="1:10" x14ac:dyDescent="0.25">
      <c r="A3253" t="s">
        <v>2248</v>
      </c>
      <c r="B3253" t="s">
        <v>2263</v>
      </c>
      <c r="C3253" t="s">
        <v>2266</v>
      </c>
      <c r="D3253">
        <v>261160</v>
      </c>
      <c r="E3253" t="s">
        <v>14</v>
      </c>
      <c r="F3253">
        <v>58.991</v>
      </c>
      <c r="G3253">
        <v>22.831</v>
      </c>
      <c r="H3253">
        <v>2</v>
      </c>
      <c r="I3253">
        <v>5.5</v>
      </c>
      <c r="J3253" t="str">
        <f>HYPERLINK("https://climate.onebuilding.org/WMO_Region_6_Europe/EST_Estonia/HI_Hiiu/EST_HI_Kardla.AP.261160_TMYx.2007-2021.zip")</f>
        <v>https://climate.onebuilding.org/WMO_Region_6_Europe/EST_Estonia/HI_Hiiu/EST_HI_Kardla.AP.261160_TMYx.2007-2021.zip</v>
      </c>
    </row>
    <row r="3254" spans="1:10" x14ac:dyDescent="0.25">
      <c r="A3254" t="s">
        <v>2248</v>
      </c>
      <c r="B3254" t="s">
        <v>2263</v>
      </c>
      <c r="C3254" t="s">
        <v>2266</v>
      </c>
      <c r="D3254">
        <v>261160</v>
      </c>
      <c r="E3254" t="s">
        <v>14</v>
      </c>
      <c r="F3254">
        <v>58.991</v>
      </c>
      <c r="G3254">
        <v>22.831</v>
      </c>
      <c r="H3254">
        <v>2</v>
      </c>
      <c r="I3254">
        <v>5.5</v>
      </c>
      <c r="J3254" t="str">
        <f>HYPERLINK("https://climate.onebuilding.org/WMO_Region_6_Europe/EST_Estonia/HI_Hiiu/EST_HI_Kardla.AP.261160_TMYx.2009-2023.zip")</f>
        <v>https://climate.onebuilding.org/WMO_Region_6_Europe/EST_Estonia/HI_Hiiu/EST_HI_Kardla.AP.261160_TMYx.2009-2023.zip</v>
      </c>
    </row>
    <row r="3255" spans="1:10" x14ac:dyDescent="0.25">
      <c r="A3255" t="s">
        <v>2248</v>
      </c>
      <c r="B3255" t="s">
        <v>2263</v>
      </c>
      <c r="C3255" t="s">
        <v>2266</v>
      </c>
      <c r="D3255">
        <v>261160</v>
      </c>
      <c r="E3255" t="s">
        <v>14</v>
      </c>
      <c r="F3255">
        <v>58.991</v>
      </c>
      <c r="G3255">
        <v>22.831</v>
      </c>
      <c r="H3255">
        <v>2</v>
      </c>
      <c r="I3255">
        <v>5.5</v>
      </c>
      <c r="J3255" t="str">
        <f>HYPERLINK("https://climate.onebuilding.org/WMO_Region_6_Europe/EST_Estonia/HI_Hiiu/EST_HI_Kardla.AP.261160_TMYx.zip")</f>
        <v>https://climate.onebuilding.org/WMO_Region_6_Europe/EST_Estonia/HI_Hiiu/EST_HI_Kardla.AP.261160_TMYx.zip</v>
      </c>
    </row>
    <row r="3256" spans="1:10" x14ac:dyDescent="0.25">
      <c r="A3256" t="s">
        <v>2248</v>
      </c>
      <c r="B3256" t="s">
        <v>2263</v>
      </c>
      <c r="C3256" t="s">
        <v>2267</v>
      </c>
      <c r="D3256">
        <v>261200</v>
      </c>
      <c r="E3256" t="s">
        <v>14</v>
      </c>
      <c r="F3256">
        <v>58.864199999999997</v>
      </c>
      <c r="G3256">
        <v>23.043600000000001</v>
      </c>
      <c r="H3256">
        <v>2</v>
      </c>
      <c r="I3256">
        <v>5</v>
      </c>
      <c r="J3256" t="str">
        <f>HYPERLINK("https://climate.onebuilding.org/WMO_Region_6_Europe/EST_Estonia/HI_Hiiu/EST_HI_Heltermaa.261200_TMYx.zip")</f>
        <v>https://climate.onebuilding.org/WMO_Region_6_Europe/EST_Estonia/HI_Hiiu/EST_HI_Heltermaa.261200_TMYx.zip</v>
      </c>
    </row>
    <row r="3257" spans="1:10" x14ac:dyDescent="0.25">
      <c r="A3257" t="s">
        <v>2248</v>
      </c>
      <c r="B3257" t="s">
        <v>2268</v>
      </c>
      <c r="C3257" t="s">
        <v>2269</v>
      </c>
      <c r="D3257">
        <v>261240</v>
      </c>
      <c r="E3257" t="s">
        <v>2270</v>
      </c>
      <c r="F3257">
        <v>58.951099999999997</v>
      </c>
      <c r="G3257">
        <v>23.815799999999999</v>
      </c>
      <c r="H3257">
        <v>2</v>
      </c>
      <c r="I3257">
        <v>25.1</v>
      </c>
      <c r="J3257" t="str">
        <f>HYPERLINK("https://climate.onebuilding.org/WMO_Region_6_Europe/EST_Estonia/LN_Laane/EST_LN_Laane-Nigula.261240_TMYx.2004-2018.zip")</f>
        <v>https://climate.onebuilding.org/WMO_Region_6_Europe/EST_Estonia/LN_Laane/EST_LN_Laane-Nigula.261240_TMYx.2004-2018.zip</v>
      </c>
    </row>
    <row r="3258" spans="1:10" x14ac:dyDescent="0.25">
      <c r="A3258" t="s">
        <v>2248</v>
      </c>
      <c r="B3258" t="s">
        <v>2268</v>
      </c>
      <c r="C3258" t="s">
        <v>2269</v>
      </c>
      <c r="D3258">
        <v>261240</v>
      </c>
      <c r="E3258" t="s">
        <v>14</v>
      </c>
      <c r="F3258">
        <v>58.951099999999997</v>
      </c>
      <c r="G3258">
        <v>23.815799999999999</v>
      </c>
      <c r="H3258">
        <v>2</v>
      </c>
      <c r="I3258">
        <v>25.1</v>
      </c>
      <c r="J3258" t="str">
        <f>HYPERLINK("https://climate.onebuilding.org/WMO_Region_6_Europe/EST_Estonia/LN_Laane/EST_LN_Laane-Nigula.261240_TMYx.2007-2021.zip")</f>
        <v>https://climate.onebuilding.org/WMO_Region_6_Europe/EST_Estonia/LN_Laane/EST_LN_Laane-Nigula.261240_TMYx.2007-2021.zip</v>
      </c>
    </row>
    <row r="3259" spans="1:10" x14ac:dyDescent="0.25">
      <c r="A3259" t="s">
        <v>2248</v>
      </c>
      <c r="B3259" t="s">
        <v>2268</v>
      </c>
      <c r="C3259" t="s">
        <v>2269</v>
      </c>
      <c r="D3259">
        <v>261240</v>
      </c>
      <c r="E3259" t="s">
        <v>14</v>
      </c>
      <c r="F3259">
        <v>58.951099999999997</v>
      </c>
      <c r="G3259">
        <v>23.815799999999999</v>
      </c>
      <c r="H3259">
        <v>2</v>
      </c>
      <c r="I3259">
        <v>25.1</v>
      </c>
      <c r="J3259" t="str">
        <f>HYPERLINK("https://climate.onebuilding.org/WMO_Region_6_Europe/EST_Estonia/LN_Laane/EST_LN_Laane-Nigula.261240_TMYx.2009-2023.zip")</f>
        <v>https://climate.onebuilding.org/WMO_Region_6_Europe/EST_Estonia/LN_Laane/EST_LN_Laane-Nigula.261240_TMYx.2009-2023.zip</v>
      </c>
    </row>
    <row r="3260" spans="1:10" x14ac:dyDescent="0.25">
      <c r="A3260" t="s">
        <v>2248</v>
      </c>
      <c r="B3260" t="s">
        <v>2268</v>
      </c>
      <c r="C3260" t="s">
        <v>2269</v>
      </c>
      <c r="D3260">
        <v>261240</v>
      </c>
      <c r="E3260" t="s">
        <v>14</v>
      </c>
      <c r="F3260">
        <v>58.951099999999997</v>
      </c>
      <c r="G3260">
        <v>23.815799999999999</v>
      </c>
      <c r="H3260">
        <v>2</v>
      </c>
      <c r="I3260">
        <v>25.1</v>
      </c>
      <c r="J3260" t="str">
        <f>HYPERLINK("https://climate.onebuilding.org/WMO_Region_6_Europe/EST_Estonia/LN_Laane/EST_LN_Laane-Nigula.261240_TMYx.zip")</f>
        <v>https://climate.onebuilding.org/WMO_Region_6_Europe/EST_Estonia/LN_Laane/EST_LN_Laane-Nigula.261240_TMYx.zip</v>
      </c>
    </row>
    <row r="3261" spans="1:10" x14ac:dyDescent="0.25">
      <c r="A3261" t="s">
        <v>2248</v>
      </c>
      <c r="B3261" t="s">
        <v>2268</v>
      </c>
      <c r="C3261" t="s">
        <v>2271</v>
      </c>
      <c r="D3261">
        <v>261280</v>
      </c>
      <c r="E3261" t="s">
        <v>2272</v>
      </c>
      <c r="F3261">
        <v>58.572800000000001</v>
      </c>
      <c r="G3261">
        <v>23.5136</v>
      </c>
      <c r="H3261">
        <v>2</v>
      </c>
      <c r="I3261">
        <v>3.7</v>
      </c>
      <c r="J3261" t="str">
        <f>HYPERLINK("https://climate.onebuilding.org/WMO_Region_6_Europe/EST_Estonia/LN_Laane/EST_LN_Virtsu.261280_TMYx.2004-2018.zip")</f>
        <v>https://climate.onebuilding.org/WMO_Region_6_Europe/EST_Estonia/LN_Laane/EST_LN_Virtsu.261280_TMYx.2004-2018.zip</v>
      </c>
    </row>
    <row r="3262" spans="1:10" x14ac:dyDescent="0.25">
      <c r="A3262" t="s">
        <v>2248</v>
      </c>
      <c r="B3262" t="s">
        <v>2268</v>
      </c>
      <c r="C3262" t="s">
        <v>2271</v>
      </c>
      <c r="D3262">
        <v>261280</v>
      </c>
      <c r="E3262" t="s">
        <v>14</v>
      </c>
      <c r="F3262">
        <v>58.572800000000001</v>
      </c>
      <c r="G3262">
        <v>23.5136</v>
      </c>
      <c r="H3262">
        <v>2</v>
      </c>
      <c r="I3262">
        <v>3.7</v>
      </c>
      <c r="J3262" t="str">
        <f>HYPERLINK("https://climate.onebuilding.org/WMO_Region_6_Europe/EST_Estonia/LN_Laane/EST_LN_Virtsu.261280_TMYx.2007-2021.zip")</f>
        <v>https://climate.onebuilding.org/WMO_Region_6_Europe/EST_Estonia/LN_Laane/EST_LN_Virtsu.261280_TMYx.2007-2021.zip</v>
      </c>
    </row>
    <row r="3263" spans="1:10" x14ac:dyDescent="0.25">
      <c r="A3263" t="s">
        <v>2248</v>
      </c>
      <c r="B3263" t="s">
        <v>2268</v>
      </c>
      <c r="C3263" t="s">
        <v>2271</v>
      </c>
      <c r="D3263">
        <v>261280</v>
      </c>
      <c r="E3263" t="s">
        <v>14</v>
      </c>
      <c r="F3263">
        <v>58.572800000000001</v>
      </c>
      <c r="G3263">
        <v>23.5136</v>
      </c>
      <c r="H3263">
        <v>2</v>
      </c>
      <c r="I3263">
        <v>3.7</v>
      </c>
      <c r="J3263" t="str">
        <f>HYPERLINK("https://climate.onebuilding.org/WMO_Region_6_Europe/EST_Estonia/LN_Laane/EST_LN_Virtsu.261280_TMYx.2009-2023.zip")</f>
        <v>https://climate.onebuilding.org/WMO_Region_6_Europe/EST_Estonia/LN_Laane/EST_LN_Virtsu.261280_TMYx.2009-2023.zip</v>
      </c>
    </row>
    <row r="3264" spans="1:10" x14ac:dyDescent="0.25">
      <c r="A3264" t="s">
        <v>2248</v>
      </c>
      <c r="B3264" t="s">
        <v>2268</v>
      </c>
      <c r="C3264" t="s">
        <v>2271</v>
      </c>
      <c r="D3264">
        <v>261280</v>
      </c>
      <c r="E3264" t="s">
        <v>14</v>
      </c>
      <c r="F3264">
        <v>58.572800000000001</v>
      </c>
      <c r="G3264">
        <v>23.5136</v>
      </c>
      <c r="H3264">
        <v>2</v>
      </c>
      <c r="I3264">
        <v>3.7</v>
      </c>
      <c r="J3264" t="str">
        <f>HYPERLINK("https://climate.onebuilding.org/WMO_Region_6_Europe/EST_Estonia/LN_Laane/EST_LN_Virtsu.261280_TMYx.zip")</f>
        <v>https://climate.onebuilding.org/WMO_Region_6_Europe/EST_Estonia/LN_Laane/EST_LN_Virtsu.261280_TMYx.zip</v>
      </c>
    </row>
    <row r="3265" spans="1:10" x14ac:dyDescent="0.25">
      <c r="A3265" t="s">
        <v>2248</v>
      </c>
      <c r="B3265" t="s">
        <v>2273</v>
      </c>
      <c r="C3265" t="s">
        <v>2274</v>
      </c>
      <c r="D3265">
        <v>261340</v>
      </c>
      <c r="E3265" t="s">
        <v>2275</v>
      </c>
      <c r="F3265">
        <v>58.973300000000002</v>
      </c>
      <c r="G3265">
        <v>24.733899999999998</v>
      </c>
      <c r="H3265">
        <v>2</v>
      </c>
      <c r="I3265">
        <v>54.2</v>
      </c>
      <c r="J3265" t="str">
        <f>HYPERLINK("https://climate.onebuilding.org/WMO_Region_6_Europe/EST_Estonia/RA_Rapla/EST_RA_Kuusiku.261340_TMYx.2004-2018.zip")</f>
        <v>https://climate.onebuilding.org/WMO_Region_6_Europe/EST_Estonia/RA_Rapla/EST_RA_Kuusiku.261340_TMYx.2004-2018.zip</v>
      </c>
    </row>
    <row r="3266" spans="1:10" x14ac:dyDescent="0.25">
      <c r="A3266" t="s">
        <v>2248</v>
      </c>
      <c r="B3266" t="s">
        <v>2273</v>
      </c>
      <c r="C3266" t="s">
        <v>2274</v>
      </c>
      <c r="D3266">
        <v>261340</v>
      </c>
      <c r="E3266" t="s">
        <v>14</v>
      </c>
      <c r="F3266">
        <v>58.973300000000002</v>
      </c>
      <c r="G3266">
        <v>24.733899999999998</v>
      </c>
      <c r="H3266">
        <v>2</v>
      </c>
      <c r="I3266">
        <v>54.2</v>
      </c>
      <c r="J3266" t="str">
        <f>HYPERLINK("https://climate.onebuilding.org/WMO_Region_6_Europe/EST_Estonia/RA_Rapla/EST_RA_Kuusiku.261340_TMYx.2007-2021.zip")</f>
        <v>https://climate.onebuilding.org/WMO_Region_6_Europe/EST_Estonia/RA_Rapla/EST_RA_Kuusiku.261340_TMYx.2007-2021.zip</v>
      </c>
    </row>
    <row r="3267" spans="1:10" x14ac:dyDescent="0.25">
      <c r="A3267" t="s">
        <v>2248</v>
      </c>
      <c r="B3267" t="s">
        <v>2273</v>
      </c>
      <c r="C3267" t="s">
        <v>2274</v>
      </c>
      <c r="D3267">
        <v>261340</v>
      </c>
      <c r="E3267" t="s">
        <v>14</v>
      </c>
      <c r="F3267">
        <v>58.973300000000002</v>
      </c>
      <c r="G3267">
        <v>24.733899999999998</v>
      </c>
      <c r="H3267">
        <v>2</v>
      </c>
      <c r="I3267">
        <v>54.2</v>
      </c>
      <c r="J3267" t="str">
        <f>HYPERLINK("https://climate.onebuilding.org/WMO_Region_6_Europe/EST_Estonia/RA_Rapla/EST_RA_Kuusiku.261340_TMYx.2009-2023.zip")</f>
        <v>https://climate.onebuilding.org/WMO_Region_6_Europe/EST_Estonia/RA_Rapla/EST_RA_Kuusiku.261340_TMYx.2009-2023.zip</v>
      </c>
    </row>
    <row r="3268" spans="1:10" x14ac:dyDescent="0.25">
      <c r="A3268" t="s">
        <v>2248</v>
      </c>
      <c r="B3268" t="s">
        <v>2273</v>
      </c>
      <c r="C3268" t="s">
        <v>2274</v>
      </c>
      <c r="D3268">
        <v>261340</v>
      </c>
      <c r="E3268" t="s">
        <v>14</v>
      </c>
      <c r="F3268">
        <v>58.973300000000002</v>
      </c>
      <c r="G3268">
        <v>24.733899999999998</v>
      </c>
      <c r="H3268">
        <v>2</v>
      </c>
      <c r="I3268">
        <v>54.2</v>
      </c>
      <c r="J3268" t="str">
        <f>HYPERLINK("https://climate.onebuilding.org/WMO_Region_6_Europe/EST_Estonia/RA_Rapla/EST_RA_Kuusiku.261340_TMYx.zip")</f>
        <v>https://climate.onebuilding.org/WMO_Region_6_Europe/EST_Estonia/RA_Rapla/EST_RA_Kuusiku.261340_TMYx.zip</v>
      </c>
    </row>
    <row r="3269" spans="1:10" x14ac:dyDescent="0.25">
      <c r="A3269" t="s">
        <v>2248</v>
      </c>
      <c r="B3269" t="s">
        <v>2276</v>
      </c>
      <c r="C3269" t="s">
        <v>2277</v>
      </c>
      <c r="D3269">
        <v>261350</v>
      </c>
      <c r="E3269" t="s">
        <v>2278</v>
      </c>
      <c r="F3269">
        <v>58.808599999999998</v>
      </c>
      <c r="G3269">
        <v>25.409199999999998</v>
      </c>
      <c r="H3269">
        <v>2</v>
      </c>
      <c r="I3269">
        <v>61.7</v>
      </c>
      <c r="J3269" t="str">
        <f>HYPERLINK("https://climate.onebuilding.org/WMO_Region_6_Europe/EST_Estonia/JR_Jarva/EST_JR_Turi.261350_TMYx.2004-2018.zip")</f>
        <v>https://climate.onebuilding.org/WMO_Region_6_Europe/EST_Estonia/JR_Jarva/EST_JR_Turi.261350_TMYx.2004-2018.zip</v>
      </c>
    </row>
    <row r="3270" spans="1:10" x14ac:dyDescent="0.25">
      <c r="A3270" t="s">
        <v>2248</v>
      </c>
      <c r="B3270" t="s">
        <v>2276</v>
      </c>
      <c r="C3270" t="s">
        <v>2277</v>
      </c>
      <c r="D3270">
        <v>261350</v>
      </c>
      <c r="E3270" t="s">
        <v>14</v>
      </c>
      <c r="F3270">
        <v>58.808599999999998</v>
      </c>
      <c r="G3270">
        <v>25.409199999999998</v>
      </c>
      <c r="H3270">
        <v>2</v>
      </c>
      <c r="I3270">
        <v>61.7</v>
      </c>
      <c r="J3270" t="str">
        <f>HYPERLINK("https://climate.onebuilding.org/WMO_Region_6_Europe/EST_Estonia/JR_Jarva/EST_JR_Turi.261350_TMYx.2007-2021.zip")</f>
        <v>https://climate.onebuilding.org/WMO_Region_6_Europe/EST_Estonia/JR_Jarva/EST_JR_Turi.261350_TMYx.2007-2021.zip</v>
      </c>
    </row>
    <row r="3271" spans="1:10" x14ac:dyDescent="0.25">
      <c r="A3271" t="s">
        <v>2248</v>
      </c>
      <c r="B3271" t="s">
        <v>2276</v>
      </c>
      <c r="C3271" t="s">
        <v>2277</v>
      </c>
      <c r="D3271">
        <v>261350</v>
      </c>
      <c r="E3271" t="s">
        <v>14</v>
      </c>
      <c r="F3271">
        <v>58.808599999999998</v>
      </c>
      <c r="G3271">
        <v>25.409199999999998</v>
      </c>
      <c r="H3271">
        <v>2</v>
      </c>
      <c r="I3271">
        <v>61.7</v>
      </c>
      <c r="J3271" t="str">
        <f>HYPERLINK("https://climate.onebuilding.org/WMO_Region_6_Europe/EST_Estonia/JR_Jarva/EST_JR_Turi.261350_TMYx.2009-2023.zip")</f>
        <v>https://climate.onebuilding.org/WMO_Region_6_Europe/EST_Estonia/JR_Jarva/EST_JR_Turi.261350_TMYx.2009-2023.zip</v>
      </c>
    </row>
    <row r="3272" spans="1:10" x14ac:dyDescent="0.25">
      <c r="A3272" t="s">
        <v>2248</v>
      </c>
      <c r="B3272" t="s">
        <v>2276</v>
      </c>
      <c r="C3272" t="s">
        <v>2277</v>
      </c>
      <c r="D3272">
        <v>261350</v>
      </c>
      <c r="E3272" t="s">
        <v>14</v>
      </c>
      <c r="F3272">
        <v>58.808599999999998</v>
      </c>
      <c r="G3272">
        <v>25.409199999999998</v>
      </c>
      <c r="H3272">
        <v>2</v>
      </c>
      <c r="I3272">
        <v>61.7</v>
      </c>
      <c r="J3272" t="str">
        <f>HYPERLINK("https://climate.onebuilding.org/WMO_Region_6_Europe/EST_Estonia/JR_Jarva/EST_JR_Turi.261350_TMYx.zip")</f>
        <v>https://climate.onebuilding.org/WMO_Region_6_Europe/EST_Estonia/JR_Jarva/EST_JR_Turi.261350_TMYx.zip</v>
      </c>
    </row>
    <row r="3273" spans="1:10" x14ac:dyDescent="0.25">
      <c r="A3273" t="s">
        <v>2248</v>
      </c>
      <c r="B3273" t="s">
        <v>489</v>
      </c>
      <c r="C3273" t="s">
        <v>2279</v>
      </c>
      <c r="D3273">
        <v>261410</v>
      </c>
      <c r="E3273" t="s">
        <v>2280</v>
      </c>
      <c r="F3273">
        <v>59.141399999999997</v>
      </c>
      <c r="G3273">
        <v>26.230799999999999</v>
      </c>
      <c r="H3273">
        <v>2</v>
      </c>
      <c r="I3273">
        <v>122.1</v>
      </c>
      <c r="J3273" t="str">
        <f>HYPERLINK("https://climate.onebuilding.org/WMO_Region_6_Europe/EST_Estonia/LV_Laane-Viru/EST_LV_Valke.Maarja.261410_TMYx.2004-2018.zip")</f>
        <v>https://climate.onebuilding.org/WMO_Region_6_Europe/EST_Estonia/LV_Laane-Viru/EST_LV_Valke.Maarja.261410_TMYx.2004-2018.zip</v>
      </c>
    </row>
    <row r="3274" spans="1:10" x14ac:dyDescent="0.25">
      <c r="A3274" t="s">
        <v>2248</v>
      </c>
      <c r="B3274" t="s">
        <v>489</v>
      </c>
      <c r="C3274" t="s">
        <v>2279</v>
      </c>
      <c r="D3274">
        <v>261410</v>
      </c>
      <c r="E3274" t="s">
        <v>14</v>
      </c>
      <c r="F3274">
        <v>59.141399999999997</v>
      </c>
      <c r="G3274">
        <v>26.230799999999999</v>
      </c>
      <c r="H3274">
        <v>2</v>
      </c>
      <c r="I3274">
        <v>122.1</v>
      </c>
      <c r="J3274" t="str">
        <f>HYPERLINK("https://climate.onebuilding.org/WMO_Region_6_Europe/EST_Estonia/LV_Laane-Viru/EST_LV_Valke.Maarja.261410_TMYx.2007-2021.zip")</f>
        <v>https://climate.onebuilding.org/WMO_Region_6_Europe/EST_Estonia/LV_Laane-Viru/EST_LV_Valke.Maarja.261410_TMYx.2007-2021.zip</v>
      </c>
    </row>
    <row r="3275" spans="1:10" x14ac:dyDescent="0.25">
      <c r="A3275" t="s">
        <v>2248</v>
      </c>
      <c r="B3275" t="s">
        <v>489</v>
      </c>
      <c r="C3275" t="s">
        <v>2279</v>
      </c>
      <c r="D3275">
        <v>261410</v>
      </c>
      <c r="E3275" t="s">
        <v>14</v>
      </c>
      <c r="F3275">
        <v>59.141399999999997</v>
      </c>
      <c r="G3275">
        <v>26.230799999999999</v>
      </c>
      <c r="H3275">
        <v>2</v>
      </c>
      <c r="I3275">
        <v>122.1</v>
      </c>
      <c r="J3275" t="str">
        <f>HYPERLINK("https://climate.onebuilding.org/WMO_Region_6_Europe/EST_Estonia/LV_Laane-Viru/EST_LV_Valke.Maarja.261410_TMYx.2009-2023.zip")</f>
        <v>https://climate.onebuilding.org/WMO_Region_6_Europe/EST_Estonia/LV_Laane-Viru/EST_LV_Valke.Maarja.261410_TMYx.2009-2023.zip</v>
      </c>
    </row>
    <row r="3276" spans="1:10" x14ac:dyDescent="0.25">
      <c r="A3276" t="s">
        <v>2248</v>
      </c>
      <c r="B3276" t="s">
        <v>489</v>
      </c>
      <c r="C3276" t="s">
        <v>2279</v>
      </c>
      <c r="D3276">
        <v>261410</v>
      </c>
      <c r="E3276" t="s">
        <v>14</v>
      </c>
      <c r="F3276">
        <v>59.141399999999997</v>
      </c>
      <c r="G3276">
        <v>26.230799999999999</v>
      </c>
      <c r="H3276">
        <v>2</v>
      </c>
      <c r="I3276">
        <v>122.1</v>
      </c>
      <c r="J3276" t="str">
        <f>HYPERLINK("https://climate.onebuilding.org/WMO_Region_6_Europe/EST_Estonia/LV_Laane-Viru/EST_LV_Valke.Maarja.261410_TMYx.zip")</f>
        <v>https://climate.onebuilding.org/WMO_Region_6_Europe/EST_Estonia/LV_Laane-Viru/EST_LV_Valke.Maarja.261410_TMYx.zip</v>
      </c>
    </row>
    <row r="3277" spans="1:10" x14ac:dyDescent="0.25">
      <c r="A3277" t="s">
        <v>2248</v>
      </c>
      <c r="B3277" t="s">
        <v>2281</v>
      </c>
      <c r="C3277" t="s">
        <v>2282</v>
      </c>
      <c r="D3277">
        <v>261440</v>
      </c>
      <c r="E3277" t="s">
        <v>2283</v>
      </c>
      <c r="F3277">
        <v>58.749699999999997</v>
      </c>
      <c r="G3277">
        <v>26.414999999999999</v>
      </c>
      <c r="H3277">
        <v>2</v>
      </c>
      <c r="I3277">
        <v>71.599999999999994</v>
      </c>
      <c r="J3277" t="str">
        <f>HYPERLINK("https://climate.onebuilding.org/WMO_Region_6_Europe/EST_Estonia/JN_Jogeva/EST_JN_Jogeva.261440_TMYx.2004-2018.zip")</f>
        <v>https://climate.onebuilding.org/WMO_Region_6_Europe/EST_Estonia/JN_Jogeva/EST_JN_Jogeva.261440_TMYx.2004-2018.zip</v>
      </c>
    </row>
    <row r="3278" spans="1:10" x14ac:dyDescent="0.25">
      <c r="A3278" t="s">
        <v>2248</v>
      </c>
      <c r="B3278" t="s">
        <v>2281</v>
      </c>
      <c r="C3278" t="s">
        <v>2282</v>
      </c>
      <c r="D3278">
        <v>261440</v>
      </c>
      <c r="E3278" t="s">
        <v>14</v>
      </c>
      <c r="F3278">
        <v>58.749699999999997</v>
      </c>
      <c r="G3278">
        <v>26.414999999999999</v>
      </c>
      <c r="H3278">
        <v>2</v>
      </c>
      <c r="I3278">
        <v>71.599999999999994</v>
      </c>
      <c r="J3278" t="str">
        <f>HYPERLINK("https://climate.onebuilding.org/WMO_Region_6_Europe/EST_Estonia/JN_Jogeva/EST_JN_Jogeva.261440_TMYx.2007-2021.zip")</f>
        <v>https://climate.onebuilding.org/WMO_Region_6_Europe/EST_Estonia/JN_Jogeva/EST_JN_Jogeva.261440_TMYx.2007-2021.zip</v>
      </c>
    </row>
    <row r="3279" spans="1:10" x14ac:dyDescent="0.25">
      <c r="A3279" t="s">
        <v>2248</v>
      </c>
      <c r="B3279" t="s">
        <v>2281</v>
      </c>
      <c r="C3279" t="s">
        <v>2282</v>
      </c>
      <c r="D3279">
        <v>261440</v>
      </c>
      <c r="E3279" t="s">
        <v>14</v>
      </c>
      <c r="F3279">
        <v>58.749699999999997</v>
      </c>
      <c r="G3279">
        <v>26.414999999999999</v>
      </c>
      <c r="H3279">
        <v>2</v>
      </c>
      <c r="I3279">
        <v>71.599999999999994</v>
      </c>
      <c r="J3279" t="str">
        <f>HYPERLINK("https://climate.onebuilding.org/WMO_Region_6_Europe/EST_Estonia/JN_Jogeva/EST_JN_Jogeva.261440_TMYx.2009-2023.zip")</f>
        <v>https://climate.onebuilding.org/WMO_Region_6_Europe/EST_Estonia/JN_Jogeva/EST_JN_Jogeva.261440_TMYx.2009-2023.zip</v>
      </c>
    </row>
    <row r="3280" spans="1:10" x14ac:dyDescent="0.25">
      <c r="A3280" t="s">
        <v>2248</v>
      </c>
      <c r="B3280" t="s">
        <v>2281</v>
      </c>
      <c r="C3280" t="s">
        <v>2282</v>
      </c>
      <c r="D3280">
        <v>261440</v>
      </c>
      <c r="E3280" t="s">
        <v>14</v>
      </c>
      <c r="F3280">
        <v>58.749699999999997</v>
      </c>
      <c r="G3280">
        <v>26.414999999999999</v>
      </c>
      <c r="H3280">
        <v>2</v>
      </c>
      <c r="I3280">
        <v>71.599999999999994</v>
      </c>
      <c r="J3280" t="str">
        <f>HYPERLINK("https://climate.onebuilding.org/WMO_Region_6_Europe/EST_Estonia/JN_Jogeva/EST_JN_Jogeva.261440_TMYx.zip")</f>
        <v>https://climate.onebuilding.org/WMO_Region_6_Europe/EST_Estonia/JN_Jogeva/EST_JN_Jogeva.261440_TMYx.zip</v>
      </c>
    </row>
    <row r="3281" spans="1:10" x14ac:dyDescent="0.25">
      <c r="A3281" t="s">
        <v>2248</v>
      </c>
      <c r="B3281" t="s">
        <v>2281</v>
      </c>
      <c r="C3281" t="s">
        <v>2284</v>
      </c>
      <c r="D3281">
        <v>261450</v>
      </c>
      <c r="E3281" t="s">
        <v>2285</v>
      </c>
      <c r="F3281">
        <v>58.865299999999998</v>
      </c>
      <c r="G3281">
        <v>26.952200000000001</v>
      </c>
      <c r="H3281">
        <v>2</v>
      </c>
      <c r="I3281">
        <v>33.9</v>
      </c>
      <c r="J3281" t="str">
        <f>HYPERLINK("https://climate.onebuilding.org/WMO_Region_6_Europe/EST_Estonia/JN_Jogeva/EST_JN_Tilrikoja.261450_TMYx.2004-2018.zip")</f>
        <v>https://climate.onebuilding.org/WMO_Region_6_Europe/EST_Estonia/JN_Jogeva/EST_JN_Tilrikoja.261450_TMYx.2004-2018.zip</v>
      </c>
    </row>
    <row r="3282" spans="1:10" x14ac:dyDescent="0.25">
      <c r="A3282" t="s">
        <v>2248</v>
      </c>
      <c r="B3282" t="s">
        <v>2281</v>
      </c>
      <c r="C3282" t="s">
        <v>2284</v>
      </c>
      <c r="D3282">
        <v>261450</v>
      </c>
      <c r="E3282" t="s">
        <v>14</v>
      </c>
      <c r="F3282">
        <v>58.865299999999998</v>
      </c>
      <c r="G3282">
        <v>26.952200000000001</v>
      </c>
      <c r="H3282">
        <v>2</v>
      </c>
      <c r="I3282">
        <v>33.9</v>
      </c>
      <c r="J3282" t="str">
        <f>HYPERLINK("https://climate.onebuilding.org/WMO_Region_6_Europe/EST_Estonia/JN_Jogeva/EST_JN_Tilrikoja.261450_TMYx.2007-2021.zip")</f>
        <v>https://climate.onebuilding.org/WMO_Region_6_Europe/EST_Estonia/JN_Jogeva/EST_JN_Tilrikoja.261450_TMYx.2007-2021.zip</v>
      </c>
    </row>
    <row r="3283" spans="1:10" x14ac:dyDescent="0.25">
      <c r="A3283" t="s">
        <v>2248</v>
      </c>
      <c r="B3283" t="s">
        <v>2281</v>
      </c>
      <c r="C3283" t="s">
        <v>2284</v>
      </c>
      <c r="D3283">
        <v>261450</v>
      </c>
      <c r="E3283" t="s">
        <v>14</v>
      </c>
      <c r="F3283">
        <v>58.865299999999998</v>
      </c>
      <c r="G3283">
        <v>26.952200000000001</v>
      </c>
      <c r="H3283">
        <v>2</v>
      </c>
      <c r="I3283">
        <v>33.9</v>
      </c>
      <c r="J3283" t="str">
        <f>HYPERLINK("https://climate.onebuilding.org/WMO_Region_6_Europe/EST_Estonia/JN_Jogeva/EST_JN_Tilrikoja.261450_TMYx.2009-2023.zip")</f>
        <v>https://climate.onebuilding.org/WMO_Region_6_Europe/EST_Estonia/JN_Jogeva/EST_JN_Tilrikoja.261450_TMYx.2009-2023.zip</v>
      </c>
    </row>
    <row r="3284" spans="1:10" x14ac:dyDescent="0.25">
      <c r="A3284" t="s">
        <v>2248</v>
      </c>
      <c r="B3284" t="s">
        <v>2281</v>
      </c>
      <c r="C3284" t="s">
        <v>2284</v>
      </c>
      <c r="D3284">
        <v>261450</v>
      </c>
      <c r="E3284" t="s">
        <v>14</v>
      </c>
      <c r="F3284">
        <v>58.865299999999998</v>
      </c>
      <c r="G3284">
        <v>26.952200000000001</v>
      </c>
      <c r="H3284">
        <v>2</v>
      </c>
      <c r="I3284">
        <v>33.9</v>
      </c>
      <c r="J3284" t="str">
        <f>HYPERLINK("https://climate.onebuilding.org/WMO_Region_6_Europe/EST_Estonia/JN_Jogeva/EST_JN_Tilrikoja.261450_TMYx.zip")</f>
        <v>https://climate.onebuilding.org/WMO_Region_6_Europe/EST_Estonia/JN_Jogeva/EST_JN_Tilrikoja.261450_TMYx.zip</v>
      </c>
    </row>
    <row r="3285" spans="1:10" x14ac:dyDescent="0.25">
      <c r="A3285" t="s">
        <v>2248</v>
      </c>
      <c r="B3285" t="s">
        <v>2286</v>
      </c>
      <c r="C3285" t="s">
        <v>2287</v>
      </c>
      <c r="D3285">
        <v>262140</v>
      </c>
      <c r="E3285" t="s">
        <v>2288</v>
      </c>
      <c r="F3285">
        <v>58.382800000000003</v>
      </c>
      <c r="G3285">
        <v>21.8142</v>
      </c>
      <c r="H3285">
        <v>2</v>
      </c>
      <c r="I3285">
        <v>7</v>
      </c>
      <c r="J3285" t="str">
        <f>HYPERLINK("https://climate.onebuilding.org/WMO_Region_6_Europe/EST_Estonia/SA_Saare/EST_SA_Vilsandi.Lighthouse.262140_TMYx.2004-2018.zip")</f>
        <v>https://climate.onebuilding.org/WMO_Region_6_Europe/EST_Estonia/SA_Saare/EST_SA_Vilsandi.Lighthouse.262140_TMYx.2004-2018.zip</v>
      </c>
    </row>
    <row r="3286" spans="1:10" x14ac:dyDescent="0.25">
      <c r="A3286" t="s">
        <v>2248</v>
      </c>
      <c r="B3286" t="s">
        <v>2286</v>
      </c>
      <c r="C3286" t="s">
        <v>2287</v>
      </c>
      <c r="D3286">
        <v>262140</v>
      </c>
      <c r="E3286" t="s">
        <v>14</v>
      </c>
      <c r="F3286">
        <v>58.382800000000003</v>
      </c>
      <c r="G3286">
        <v>21.8142</v>
      </c>
      <c r="H3286">
        <v>2</v>
      </c>
      <c r="I3286">
        <v>7</v>
      </c>
      <c r="J3286" t="str">
        <f>HYPERLINK("https://climate.onebuilding.org/WMO_Region_6_Europe/EST_Estonia/SA_Saare/EST_SA_Vilsandi.Lighthouse.262140_TMYx.2007-2021.zip")</f>
        <v>https://climate.onebuilding.org/WMO_Region_6_Europe/EST_Estonia/SA_Saare/EST_SA_Vilsandi.Lighthouse.262140_TMYx.2007-2021.zip</v>
      </c>
    </row>
    <row r="3287" spans="1:10" x14ac:dyDescent="0.25">
      <c r="A3287" t="s">
        <v>2248</v>
      </c>
      <c r="B3287" t="s">
        <v>2286</v>
      </c>
      <c r="C3287" t="s">
        <v>2287</v>
      </c>
      <c r="D3287">
        <v>262140</v>
      </c>
      <c r="E3287" t="s">
        <v>14</v>
      </c>
      <c r="F3287">
        <v>58.382800000000003</v>
      </c>
      <c r="G3287">
        <v>21.8142</v>
      </c>
      <c r="H3287">
        <v>2</v>
      </c>
      <c r="I3287">
        <v>7</v>
      </c>
      <c r="J3287" t="str">
        <f>HYPERLINK("https://climate.onebuilding.org/WMO_Region_6_Europe/EST_Estonia/SA_Saare/EST_SA_Vilsandi.Lighthouse.262140_TMYx.2009-2023.zip")</f>
        <v>https://climate.onebuilding.org/WMO_Region_6_Europe/EST_Estonia/SA_Saare/EST_SA_Vilsandi.Lighthouse.262140_TMYx.2009-2023.zip</v>
      </c>
    </row>
    <row r="3288" spans="1:10" x14ac:dyDescent="0.25">
      <c r="A3288" t="s">
        <v>2248</v>
      </c>
      <c r="B3288" t="s">
        <v>2286</v>
      </c>
      <c r="C3288" t="s">
        <v>2287</v>
      </c>
      <c r="D3288">
        <v>262140</v>
      </c>
      <c r="E3288" t="s">
        <v>14</v>
      </c>
      <c r="F3288">
        <v>58.382800000000003</v>
      </c>
      <c r="G3288">
        <v>21.8142</v>
      </c>
      <c r="H3288">
        <v>2</v>
      </c>
      <c r="I3288">
        <v>7</v>
      </c>
      <c r="J3288" t="str">
        <f>HYPERLINK("https://climate.onebuilding.org/WMO_Region_6_Europe/EST_Estonia/SA_Saare/EST_SA_Vilsandi.Lighthouse.262140_TMYx.zip")</f>
        <v>https://climate.onebuilding.org/WMO_Region_6_Europe/EST_Estonia/SA_Saare/EST_SA_Vilsandi.Lighthouse.262140_TMYx.zip</v>
      </c>
    </row>
    <row r="3289" spans="1:10" x14ac:dyDescent="0.25">
      <c r="A3289" t="s">
        <v>2248</v>
      </c>
      <c r="B3289" t="s">
        <v>2286</v>
      </c>
      <c r="C3289" t="s">
        <v>2289</v>
      </c>
      <c r="D3289">
        <v>262150</v>
      </c>
      <c r="E3289" t="s">
        <v>2290</v>
      </c>
      <c r="F3289">
        <v>58.232999999999997</v>
      </c>
      <c r="G3289">
        <v>22.5</v>
      </c>
      <c r="H3289">
        <v>2</v>
      </c>
      <c r="I3289">
        <v>4</v>
      </c>
      <c r="J3289" t="str">
        <f>HYPERLINK("https://climate.onebuilding.org/WMO_Region_6_Europe/EST_Estonia/SA_Saare/EST_SA_Roomassaare-Kuressaare.AP.262150_TMYx.2004-2018.zip")</f>
        <v>https://climate.onebuilding.org/WMO_Region_6_Europe/EST_Estonia/SA_Saare/EST_SA_Roomassaare-Kuressaare.AP.262150_TMYx.2004-2018.zip</v>
      </c>
    </row>
    <row r="3290" spans="1:10" x14ac:dyDescent="0.25">
      <c r="A3290" t="s">
        <v>2248</v>
      </c>
      <c r="B3290" t="s">
        <v>2286</v>
      </c>
      <c r="C3290" t="s">
        <v>2289</v>
      </c>
      <c r="D3290">
        <v>262150</v>
      </c>
      <c r="E3290" t="s">
        <v>14</v>
      </c>
      <c r="F3290">
        <v>58.232999999999997</v>
      </c>
      <c r="G3290">
        <v>22.5</v>
      </c>
      <c r="H3290">
        <v>2</v>
      </c>
      <c r="I3290">
        <v>4</v>
      </c>
      <c r="J3290" t="str">
        <f>HYPERLINK("https://climate.onebuilding.org/WMO_Region_6_Europe/EST_Estonia/SA_Saare/EST_SA_Roomassaare-Kuressaare.AP.262150_TMYx.2007-2021.zip")</f>
        <v>https://climate.onebuilding.org/WMO_Region_6_Europe/EST_Estonia/SA_Saare/EST_SA_Roomassaare-Kuressaare.AP.262150_TMYx.2007-2021.zip</v>
      </c>
    </row>
    <row r="3291" spans="1:10" x14ac:dyDescent="0.25">
      <c r="A3291" t="s">
        <v>2248</v>
      </c>
      <c r="B3291" t="s">
        <v>2286</v>
      </c>
      <c r="C3291" t="s">
        <v>2289</v>
      </c>
      <c r="D3291">
        <v>262150</v>
      </c>
      <c r="E3291" t="s">
        <v>14</v>
      </c>
      <c r="F3291">
        <v>58.232999999999997</v>
      </c>
      <c r="G3291">
        <v>22.5</v>
      </c>
      <c r="H3291">
        <v>2</v>
      </c>
      <c r="I3291">
        <v>4</v>
      </c>
      <c r="J3291" t="str">
        <f>HYPERLINK("https://climate.onebuilding.org/WMO_Region_6_Europe/EST_Estonia/SA_Saare/EST_SA_Roomassaare-Kuressaare.AP.262150_TMYx.2009-2023.zip")</f>
        <v>https://climate.onebuilding.org/WMO_Region_6_Europe/EST_Estonia/SA_Saare/EST_SA_Roomassaare-Kuressaare.AP.262150_TMYx.2009-2023.zip</v>
      </c>
    </row>
    <row r="3292" spans="1:10" x14ac:dyDescent="0.25">
      <c r="A3292" t="s">
        <v>2248</v>
      </c>
      <c r="B3292" t="s">
        <v>2286</v>
      </c>
      <c r="C3292" t="s">
        <v>2289</v>
      </c>
      <c r="D3292">
        <v>262150</v>
      </c>
      <c r="E3292" t="s">
        <v>14</v>
      </c>
      <c r="F3292">
        <v>58.232999999999997</v>
      </c>
      <c r="G3292">
        <v>22.5</v>
      </c>
      <c r="H3292">
        <v>2</v>
      </c>
      <c r="I3292">
        <v>4</v>
      </c>
      <c r="J3292" t="str">
        <f>HYPERLINK("https://climate.onebuilding.org/WMO_Region_6_Europe/EST_Estonia/SA_Saare/EST_SA_Roomassaare-Kuressaare.AP.262150_TMYx.zip")</f>
        <v>https://climate.onebuilding.org/WMO_Region_6_Europe/EST_Estonia/SA_Saare/EST_SA_Roomassaare-Kuressaare.AP.262150_TMYx.zip</v>
      </c>
    </row>
    <row r="3293" spans="1:10" x14ac:dyDescent="0.25">
      <c r="A3293" t="s">
        <v>2248</v>
      </c>
      <c r="B3293" t="s">
        <v>2286</v>
      </c>
      <c r="C3293" t="s">
        <v>2291</v>
      </c>
      <c r="D3293">
        <v>262180</v>
      </c>
      <c r="E3293" t="s">
        <v>2292</v>
      </c>
      <c r="F3293">
        <v>57.913600000000002</v>
      </c>
      <c r="G3293">
        <v>22.0578</v>
      </c>
      <c r="H3293">
        <v>2</v>
      </c>
      <c r="I3293">
        <v>4</v>
      </c>
      <c r="J3293" t="str">
        <f>HYPERLINK("https://climate.onebuilding.org/WMO_Region_6_Europe/EST_Estonia/SA_Saare/EST_SA_Sorve.Lighthouse.262180_TMYx.2004-2018.zip")</f>
        <v>https://climate.onebuilding.org/WMO_Region_6_Europe/EST_Estonia/SA_Saare/EST_SA_Sorve.Lighthouse.262180_TMYx.2004-2018.zip</v>
      </c>
    </row>
    <row r="3294" spans="1:10" x14ac:dyDescent="0.25">
      <c r="A3294" t="s">
        <v>2248</v>
      </c>
      <c r="B3294" t="s">
        <v>2286</v>
      </c>
      <c r="C3294" t="s">
        <v>2291</v>
      </c>
      <c r="D3294">
        <v>262180</v>
      </c>
      <c r="E3294" t="s">
        <v>14</v>
      </c>
      <c r="F3294">
        <v>57.913600000000002</v>
      </c>
      <c r="G3294">
        <v>22.0578</v>
      </c>
      <c r="H3294">
        <v>2</v>
      </c>
      <c r="I3294">
        <v>4</v>
      </c>
      <c r="J3294" t="str">
        <f>HYPERLINK("https://climate.onebuilding.org/WMO_Region_6_Europe/EST_Estonia/SA_Saare/EST_SA_Sorve.Lighthouse.262180_TMYx.2007-2021.zip")</f>
        <v>https://climate.onebuilding.org/WMO_Region_6_Europe/EST_Estonia/SA_Saare/EST_SA_Sorve.Lighthouse.262180_TMYx.2007-2021.zip</v>
      </c>
    </row>
    <row r="3295" spans="1:10" x14ac:dyDescent="0.25">
      <c r="A3295" t="s">
        <v>2248</v>
      </c>
      <c r="B3295" t="s">
        <v>2286</v>
      </c>
      <c r="C3295" t="s">
        <v>2291</v>
      </c>
      <c r="D3295">
        <v>262180</v>
      </c>
      <c r="E3295" t="s">
        <v>14</v>
      </c>
      <c r="F3295">
        <v>57.913600000000002</v>
      </c>
      <c r="G3295">
        <v>22.0578</v>
      </c>
      <c r="H3295">
        <v>2</v>
      </c>
      <c r="I3295">
        <v>4</v>
      </c>
      <c r="J3295" t="str">
        <f>HYPERLINK("https://climate.onebuilding.org/WMO_Region_6_Europe/EST_Estonia/SA_Saare/EST_SA_Sorve.Lighthouse.262180_TMYx.2009-2023.zip")</f>
        <v>https://climate.onebuilding.org/WMO_Region_6_Europe/EST_Estonia/SA_Saare/EST_SA_Sorve.Lighthouse.262180_TMYx.2009-2023.zip</v>
      </c>
    </row>
    <row r="3296" spans="1:10" x14ac:dyDescent="0.25">
      <c r="A3296" t="s">
        <v>2248</v>
      </c>
      <c r="B3296" t="s">
        <v>2286</v>
      </c>
      <c r="C3296" t="s">
        <v>2291</v>
      </c>
      <c r="D3296">
        <v>262180</v>
      </c>
      <c r="E3296" t="s">
        <v>14</v>
      </c>
      <c r="F3296">
        <v>57.913600000000002</v>
      </c>
      <c r="G3296">
        <v>22.0578</v>
      </c>
      <c r="H3296">
        <v>2</v>
      </c>
      <c r="I3296">
        <v>4</v>
      </c>
      <c r="J3296" t="str">
        <f>HYPERLINK("https://climate.onebuilding.org/WMO_Region_6_Europe/EST_Estonia/SA_Saare/EST_SA_Sorve.Lighthouse.262180_TMYx.zip")</f>
        <v>https://climate.onebuilding.org/WMO_Region_6_Europe/EST_Estonia/SA_Saare/EST_SA_Sorve.Lighthouse.262180_TMYx.zip</v>
      </c>
    </row>
    <row r="3297" spans="1:10" x14ac:dyDescent="0.25">
      <c r="A3297" t="s">
        <v>2248</v>
      </c>
      <c r="B3297" t="s">
        <v>2293</v>
      </c>
      <c r="C3297" t="s">
        <v>2294</v>
      </c>
      <c r="D3297">
        <v>262260</v>
      </c>
      <c r="E3297" t="s">
        <v>2295</v>
      </c>
      <c r="F3297">
        <v>58.098599999999998</v>
      </c>
      <c r="G3297">
        <v>23.970300000000002</v>
      </c>
      <c r="H3297">
        <v>2</v>
      </c>
      <c r="I3297">
        <v>4</v>
      </c>
      <c r="J3297" t="str">
        <f>HYPERLINK("https://climate.onebuilding.org/WMO_Region_6_Europe/EST_Estonia/PR_Parnu/EST_PR_Kihnu.Island.Lighthouse.262260_TMYx.2004-2018.zip")</f>
        <v>https://climate.onebuilding.org/WMO_Region_6_Europe/EST_Estonia/PR_Parnu/EST_PR_Kihnu.Island.Lighthouse.262260_TMYx.2004-2018.zip</v>
      </c>
    </row>
    <row r="3298" spans="1:10" x14ac:dyDescent="0.25">
      <c r="A3298" t="s">
        <v>2248</v>
      </c>
      <c r="B3298" t="s">
        <v>2293</v>
      </c>
      <c r="C3298" t="s">
        <v>2294</v>
      </c>
      <c r="D3298">
        <v>262260</v>
      </c>
      <c r="E3298" t="s">
        <v>14</v>
      </c>
      <c r="F3298">
        <v>58.098599999999998</v>
      </c>
      <c r="G3298">
        <v>23.970300000000002</v>
      </c>
      <c r="H3298">
        <v>2</v>
      </c>
      <c r="I3298">
        <v>4</v>
      </c>
      <c r="J3298" t="str">
        <f>HYPERLINK("https://climate.onebuilding.org/WMO_Region_6_Europe/EST_Estonia/PR_Parnu/EST_PR_Kihnu.Island.Lighthouse.262260_TMYx.2007-2021.zip")</f>
        <v>https://climate.onebuilding.org/WMO_Region_6_Europe/EST_Estonia/PR_Parnu/EST_PR_Kihnu.Island.Lighthouse.262260_TMYx.2007-2021.zip</v>
      </c>
    </row>
    <row r="3299" spans="1:10" x14ac:dyDescent="0.25">
      <c r="A3299" t="s">
        <v>2248</v>
      </c>
      <c r="B3299" t="s">
        <v>2293</v>
      </c>
      <c r="C3299" t="s">
        <v>2294</v>
      </c>
      <c r="D3299">
        <v>262260</v>
      </c>
      <c r="E3299" t="s">
        <v>14</v>
      </c>
      <c r="F3299">
        <v>58.098599999999998</v>
      </c>
      <c r="G3299">
        <v>23.970300000000002</v>
      </c>
      <c r="H3299">
        <v>2</v>
      </c>
      <c r="I3299">
        <v>4</v>
      </c>
      <c r="J3299" t="str">
        <f>HYPERLINK("https://climate.onebuilding.org/WMO_Region_6_Europe/EST_Estonia/PR_Parnu/EST_PR_Kihnu.Island.Lighthouse.262260_TMYx.2009-2023.zip")</f>
        <v>https://climate.onebuilding.org/WMO_Region_6_Europe/EST_Estonia/PR_Parnu/EST_PR_Kihnu.Island.Lighthouse.262260_TMYx.2009-2023.zip</v>
      </c>
    </row>
    <row r="3300" spans="1:10" x14ac:dyDescent="0.25">
      <c r="A3300" t="s">
        <v>2248</v>
      </c>
      <c r="B3300" t="s">
        <v>2293</v>
      </c>
      <c r="C3300" t="s">
        <v>2294</v>
      </c>
      <c r="D3300">
        <v>262260</v>
      </c>
      <c r="E3300" t="s">
        <v>14</v>
      </c>
      <c r="F3300">
        <v>58.098599999999998</v>
      </c>
      <c r="G3300">
        <v>23.970300000000002</v>
      </c>
      <c r="H3300">
        <v>2</v>
      </c>
      <c r="I3300">
        <v>4</v>
      </c>
      <c r="J3300" t="str">
        <f>HYPERLINK("https://climate.onebuilding.org/WMO_Region_6_Europe/EST_Estonia/PR_Parnu/EST_PR_Kihnu.Island.Lighthouse.262260_TMYx.zip")</f>
        <v>https://climate.onebuilding.org/WMO_Region_6_Europe/EST_Estonia/PR_Parnu/EST_PR_Kihnu.Island.Lighthouse.262260_TMYx.zip</v>
      </c>
    </row>
    <row r="3301" spans="1:10" x14ac:dyDescent="0.25">
      <c r="A3301" t="s">
        <v>2248</v>
      </c>
      <c r="B3301" t="s">
        <v>2286</v>
      </c>
      <c r="C3301" t="s">
        <v>2296</v>
      </c>
      <c r="D3301">
        <v>262270</v>
      </c>
      <c r="E3301" t="s">
        <v>2297</v>
      </c>
      <c r="F3301">
        <v>57.783299999999997</v>
      </c>
      <c r="G3301">
        <v>23.258900000000001</v>
      </c>
      <c r="H3301">
        <v>2</v>
      </c>
      <c r="I3301">
        <v>3.1</v>
      </c>
      <c r="J3301" t="str">
        <f>HYPERLINK("https://climate.onebuilding.org/WMO_Region_6_Europe/EST_Estonia/SA_Saare/EST_SA_Ruhnu.AP.262270_TMYx.2004-2018.zip")</f>
        <v>https://climate.onebuilding.org/WMO_Region_6_Europe/EST_Estonia/SA_Saare/EST_SA_Ruhnu.AP.262270_TMYx.2004-2018.zip</v>
      </c>
    </row>
    <row r="3302" spans="1:10" x14ac:dyDescent="0.25">
      <c r="A3302" t="s">
        <v>2248</v>
      </c>
      <c r="B3302" t="s">
        <v>2286</v>
      </c>
      <c r="C3302" t="s">
        <v>2296</v>
      </c>
      <c r="D3302">
        <v>262270</v>
      </c>
      <c r="E3302" t="s">
        <v>14</v>
      </c>
      <c r="F3302">
        <v>57.783299999999997</v>
      </c>
      <c r="G3302">
        <v>23.258900000000001</v>
      </c>
      <c r="H3302">
        <v>2</v>
      </c>
      <c r="I3302">
        <v>3.1</v>
      </c>
      <c r="J3302" t="str">
        <f>HYPERLINK("https://climate.onebuilding.org/WMO_Region_6_Europe/EST_Estonia/SA_Saare/EST_SA_Ruhnu.AP.262270_TMYx.2007-2021.zip")</f>
        <v>https://climate.onebuilding.org/WMO_Region_6_Europe/EST_Estonia/SA_Saare/EST_SA_Ruhnu.AP.262270_TMYx.2007-2021.zip</v>
      </c>
    </row>
    <row r="3303" spans="1:10" x14ac:dyDescent="0.25">
      <c r="A3303" t="s">
        <v>2248</v>
      </c>
      <c r="B3303" t="s">
        <v>2286</v>
      </c>
      <c r="C3303" t="s">
        <v>2296</v>
      </c>
      <c r="D3303">
        <v>262270</v>
      </c>
      <c r="E3303" t="s">
        <v>14</v>
      </c>
      <c r="F3303">
        <v>57.783299999999997</v>
      </c>
      <c r="G3303">
        <v>23.258900000000001</v>
      </c>
      <c r="H3303">
        <v>2</v>
      </c>
      <c r="I3303">
        <v>3.1</v>
      </c>
      <c r="J3303" t="str">
        <f>HYPERLINK("https://climate.onebuilding.org/WMO_Region_6_Europe/EST_Estonia/SA_Saare/EST_SA_Ruhnu.AP.262270_TMYx.2009-2023.zip")</f>
        <v>https://climate.onebuilding.org/WMO_Region_6_Europe/EST_Estonia/SA_Saare/EST_SA_Ruhnu.AP.262270_TMYx.2009-2023.zip</v>
      </c>
    </row>
    <row r="3304" spans="1:10" x14ac:dyDescent="0.25">
      <c r="A3304" t="s">
        <v>2248</v>
      </c>
      <c r="B3304" t="s">
        <v>2286</v>
      </c>
      <c r="C3304" t="s">
        <v>2296</v>
      </c>
      <c r="D3304">
        <v>262270</v>
      </c>
      <c r="E3304" t="s">
        <v>14</v>
      </c>
      <c r="F3304">
        <v>57.783299999999997</v>
      </c>
      <c r="G3304">
        <v>23.258900000000001</v>
      </c>
      <c r="H3304">
        <v>2</v>
      </c>
      <c r="I3304">
        <v>3.1</v>
      </c>
      <c r="J3304" t="str">
        <f>HYPERLINK("https://climate.onebuilding.org/WMO_Region_6_Europe/EST_Estonia/SA_Saare/EST_SA_Ruhnu.AP.262270_TMYx.zip")</f>
        <v>https://climate.onebuilding.org/WMO_Region_6_Europe/EST_Estonia/SA_Saare/EST_SA_Ruhnu.AP.262270_TMYx.zip</v>
      </c>
    </row>
    <row r="3305" spans="1:10" x14ac:dyDescent="0.25">
      <c r="A3305" t="s">
        <v>2248</v>
      </c>
      <c r="B3305" t="s">
        <v>2293</v>
      </c>
      <c r="C3305" t="s">
        <v>2298</v>
      </c>
      <c r="D3305">
        <v>262310</v>
      </c>
      <c r="E3305" t="s">
        <v>2299</v>
      </c>
      <c r="F3305">
        <v>58.419699999999999</v>
      </c>
      <c r="G3305">
        <v>24.4697</v>
      </c>
      <c r="H3305">
        <v>2</v>
      </c>
      <c r="I3305">
        <v>13.2</v>
      </c>
      <c r="J3305" t="str">
        <f>HYPERLINK("https://climate.onebuilding.org/WMO_Region_6_Europe/EST_Estonia/PR_Parnu/EST_PR_Parnu.AP.262310_TMYx.2004-2018.zip")</f>
        <v>https://climate.onebuilding.org/WMO_Region_6_Europe/EST_Estonia/PR_Parnu/EST_PR_Parnu.AP.262310_TMYx.2004-2018.zip</v>
      </c>
    </row>
    <row r="3306" spans="1:10" x14ac:dyDescent="0.25">
      <c r="A3306" t="s">
        <v>2248</v>
      </c>
      <c r="B3306" t="s">
        <v>2293</v>
      </c>
      <c r="C3306" t="s">
        <v>2298</v>
      </c>
      <c r="D3306">
        <v>262310</v>
      </c>
      <c r="E3306" t="s">
        <v>14</v>
      </c>
      <c r="F3306">
        <v>58.419699999999999</v>
      </c>
      <c r="G3306">
        <v>24.4697</v>
      </c>
      <c r="H3306">
        <v>2</v>
      </c>
      <c r="I3306">
        <v>13.2</v>
      </c>
      <c r="J3306" t="str">
        <f>HYPERLINK("https://climate.onebuilding.org/WMO_Region_6_Europe/EST_Estonia/PR_Parnu/EST_PR_Parnu.AP.262310_TMYx.2007-2021.zip")</f>
        <v>https://climate.onebuilding.org/WMO_Region_6_Europe/EST_Estonia/PR_Parnu/EST_PR_Parnu.AP.262310_TMYx.2007-2021.zip</v>
      </c>
    </row>
    <row r="3307" spans="1:10" x14ac:dyDescent="0.25">
      <c r="A3307" t="s">
        <v>2248</v>
      </c>
      <c r="B3307" t="s">
        <v>2293</v>
      </c>
      <c r="C3307" t="s">
        <v>2298</v>
      </c>
      <c r="D3307">
        <v>262310</v>
      </c>
      <c r="E3307" t="s">
        <v>14</v>
      </c>
      <c r="F3307">
        <v>58.419699999999999</v>
      </c>
      <c r="G3307">
        <v>24.4697</v>
      </c>
      <c r="H3307">
        <v>2</v>
      </c>
      <c r="I3307">
        <v>13.2</v>
      </c>
      <c r="J3307" t="str">
        <f>HYPERLINK("https://climate.onebuilding.org/WMO_Region_6_Europe/EST_Estonia/PR_Parnu/EST_PR_Parnu.AP.262310_TMYx.2009-2023.zip")</f>
        <v>https://climate.onebuilding.org/WMO_Region_6_Europe/EST_Estonia/PR_Parnu/EST_PR_Parnu.AP.262310_TMYx.2009-2023.zip</v>
      </c>
    </row>
    <row r="3308" spans="1:10" x14ac:dyDescent="0.25">
      <c r="A3308" t="s">
        <v>2248</v>
      </c>
      <c r="B3308" t="s">
        <v>2293</v>
      </c>
      <c r="C3308" t="s">
        <v>2298</v>
      </c>
      <c r="D3308">
        <v>262310</v>
      </c>
      <c r="E3308" t="s">
        <v>14</v>
      </c>
      <c r="F3308">
        <v>58.419699999999999</v>
      </c>
      <c r="G3308">
        <v>24.4697</v>
      </c>
      <c r="H3308">
        <v>2</v>
      </c>
      <c r="I3308">
        <v>13.2</v>
      </c>
      <c r="J3308" t="str">
        <f>HYPERLINK("https://climate.onebuilding.org/WMO_Region_6_Europe/EST_Estonia/PR_Parnu/EST_PR_Parnu.AP.262310_TMYx.zip")</f>
        <v>https://climate.onebuilding.org/WMO_Region_6_Europe/EST_Estonia/PR_Parnu/EST_PR_Parnu.AP.262310_TMYx.zip</v>
      </c>
    </row>
    <row r="3309" spans="1:10" x14ac:dyDescent="0.25">
      <c r="A3309" t="s">
        <v>2248</v>
      </c>
      <c r="B3309" t="s">
        <v>478</v>
      </c>
      <c r="C3309" t="s">
        <v>2300</v>
      </c>
      <c r="D3309">
        <v>262330</v>
      </c>
      <c r="E3309" t="s">
        <v>2301</v>
      </c>
      <c r="F3309">
        <v>58.377800000000001</v>
      </c>
      <c r="G3309">
        <v>25.600300000000001</v>
      </c>
      <c r="H3309">
        <v>2</v>
      </c>
      <c r="I3309">
        <v>87.6</v>
      </c>
      <c r="J3309" t="str">
        <f>HYPERLINK("https://climate.onebuilding.org/WMO_Region_6_Europe/EST_Estonia/VD_Viljandi/EST_VD_Viljandi.262330_TMYx.2004-2018.zip")</f>
        <v>https://climate.onebuilding.org/WMO_Region_6_Europe/EST_Estonia/VD_Viljandi/EST_VD_Viljandi.262330_TMYx.2004-2018.zip</v>
      </c>
    </row>
    <row r="3310" spans="1:10" x14ac:dyDescent="0.25">
      <c r="A3310" t="s">
        <v>2248</v>
      </c>
      <c r="B3310" t="s">
        <v>478</v>
      </c>
      <c r="C3310" t="s">
        <v>2300</v>
      </c>
      <c r="D3310">
        <v>262330</v>
      </c>
      <c r="E3310" t="s">
        <v>14</v>
      </c>
      <c r="F3310">
        <v>58.377800000000001</v>
      </c>
      <c r="G3310">
        <v>25.600300000000001</v>
      </c>
      <c r="H3310">
        <v>2</v>
      </c>
      <c r="I3310">
        <v>87.6</v>
      </c>
      <c r="J3310" t="str">
        <f>HYPERLINK("https://climate.onebuilding.org/WMO_Region_6_Europe/EST_Estonia/VD_Viljandi/EST_VD_Viljandi.262330_TMYx.2007-2021.zip")</f>
        <v>https://climate.onebuilding.org/WMO_Region_6_Europe/EST_Estonia/VD_Viljandi/EST_VD_Viljandi.262330_TMYx.2007-2021.zip</v>
      </c>
    </row>
    <row r="3311" spans="1:10" x14ac:dyDescent="0.25">
      <c r="A3311" t="s">
        <v>2248</v>
      </c>
      <c r="B3311" t="s">
        <v>478</v>
      </c>
      <c r="C3311" t="s">
        <v>2300</v>
      </c>
      <c r="D3311">
        <v>262330</v>
      </c>
      <c r="E3311" t="s">
        <v>14</v>
      </c>
      <c r="F3311">
        <v>58.377800000000001</v>
      </c>
      <c r="G3311">
        <v>25.600300000000001</v>
      </c>
      <c r="H3311">
        <v>2</v>
      </c>
      <c r="I3311">
        <v>87.6</v>
      </c>
      <c r="J3311" t="str">
        <f>HYPERLINK("https://climate.onebuilding.org/WMO_Region_6_Europe/EST_Estonia/VD_Viljandi/EST_VD_Viljandi.262330_TMYx.2009-2023.zip")</f>
        <v>https://climate.onebuilding.org/WMO_Region_6_Europe/EST_Estonia/VD_Viljandi/EST_VD_Viljandi.262330_TMYx.2009-2023.zip</v>
      </c>
    </row>
    <row r="3312" spans="1:10" x14ac:dyDescent="0.25">
      <c r="A3312" t="s">
        <v>2248</v>
      </c>
      <c r="B3312" t="s">
        <v>478</v>
      </c>
      <c r="C3312" t="s">
        <v>2300</v>
      </c>
      <c r="D3312">
        <v>262330</v>
      </c>
      <c r="E3312" t="s">
        <v>14</v>
      </c>
      <c r="F3312">
        <v>58.377800000000001</v>
      </c>
      <c r="G3312">
        <v>25.600300000000001</v>
      </c>
      <c r="H3312">
        <v>2</v>
      </c>
      <c r="I3312">
        <v>87.6</v>
      </c>
      <c r="J3312" t="str">
        <f>HYPERLINK("https://climate.onebuilding.org/WMO_Region_6_Europe/EST_Estonia/VD_Viljandi/EST_VD_Viljandi.262330_TMYx.zip")</f>
        <v>https://climate.onebuilding.org/WMO_Region_6_Europe/EST_Estonia/VD_Viljandi/EST_VD_Viljandi.262330_TMYx.zip</v>
      </c>
    </row>
    <row r="3313" spans="1:10" x14ac:dyDescent="0.25">
      <c r="A3313" t="s">
        <v>2248</v>
      </c>
      <c r="B3313" t="s">
        <v>2302</v>
      </c>
      <c r="C3313" t="s">
        <v>2303</v>
      </c>
      <c r="D3313">
        <v>262420</v>
      </c>
      <c r="E3313" t="s">
        <v>2304</v>
      </c>
      <c r="F3313">
        <v>58.307000000000002</v>
      </c>
      <c r="G3313">
        <v>26.69</v>
      </c>
      <c r="H3313">
        <v>2</v>
      </c>
      <c r="I3313">
        <v>66.8</v>
      </c>
      <c r="J3313" t="str">
        <f>HYPERLINK("https://climate.onebuilding.org/WMO_Region_6_Europe/EST_Estonia/TA_Tartu/EST_TA_Tartu-Lennujaam.AP.262420_TMYx.2004-2018.zip")</f>
        <v>https://climate.onebuilding.org/WMO_Region_6_Europe/EST_Estonia/TA_Tartu/EST_TA_Tartu-Lennujaam.AP.262420_TMYx.2004-2018.zip</v>
      </c>
    </row>
    <row r="3314" spans="1:10" x14ac:dyDescent="0.25">
      <c r="A3314" t="s">
        <v>2248</v>
      </c>
      <c r="B3314" t="s">
        <v>2302</v>
      </c>
      <c r="C3314" t="s">
        <v>2303</v>
      </c>
      <c r="D3314">
        <v>262420</v>
      </c>
      <c r="E3314" t="s">
        <v>14</v>
      </c>
      <c r="F3314">
        <v>58.307000000000002</v>
      </c>
      <c r="G3314">
        <v>26.69</v>
      </c>
      <c r="H3314">
        <v>2</v>
      </c>
      <c r="I3314">
        <v>66.8</v>
      </c>
      <c r="J3314" t="str">
        <f>HYPERLINK("https://climate.onebuilding.org/WMO_Region_6_Europe/EST_Estonia/TA_Tartu/EST_TA_Tartu-Lennujaam.AP.262420_TMYx.2007-2021.zip")</f>
        <v>https://climate.onebuilding.org/WMO_Region_6_Europe/EST_Estonia/TA_Tartu/EST_TA_Tartu-Lennujaam.AP.262420_TMYx.2007-2021.zip</v>
      </c>
    </row>
    <row r="3315" spans="1:10" x14ac:dyDescent="0.25">
      <c r="A3315" t="s">
        <v>2248</v>
      </c>
      <c r="B3315" t="s">
        <v>2302</v>
      </c>
      <c r="C3315" t="s">
        <v>2303</v>
      </c>
      <c r="D3315">
        <v>262420</v>
      </c>
      <c r="E3315" t="s">
        <v>14</v>
      </c>
      <c r="F3315">
        <v>58.307000000000002</v>
      </c>
      <c r="G3315">
        <v>26.69</v>
      </c>
      <c r="H3315">
        <v>2</v>
      </c>
      <c r="I3315">
        <v>66.8</v>
      </c>
      <c r="J3315" t="str">
        <f>HYPERLINK("https://climate.onebuilding.org/WMO_Region_6_Europe/EST_Estonia/TA_Tartu/EST_TA_Tartu-Lennujaam.AP.262420_TMYx.2009-2023.zip")</f>
        <v>https://climate.onebuilding.org/WMO_Region_6_Europe/EST_Estonia/TA_Tartu/EST_TA_Tartu-Lennujaam.AP.262420_TMYx.2009-2023.zip</v>
      </c>
    </row>
    <row r="3316" spans="1:10" x14ac:dyDescent="0.25">
      <c r="A3316" t="s">
        <v>2248</v>
      </c>
      <c r="B3316" t="s">
        <v>2302</v>
      </c>
      <c r="C3316" t="s">
        <v>2303</v>
      </c>
      <c r="D3316">
        <v>262420</v>
      </c>
      <c r="E3316" t="s">
        <v>14</v>
      </c>
      <c r="F3316">
        <v>58.307000000000002</v>
      </c>
      <c r="G3316">
        <v>26.69</v>
      </c>
      <c r="H3316">
        <v>2</v>
      </c>
      <c r="I3316">
        <v>66.8</v>
      </c>
      <c r="J3316" t="str">
        <f>HYPERLINK("https://climate.onebuilding.org/WMO_Region_6_Europe/EST_Estonia/TA_Tartu/EST_TA_Tartu-Lennujaam.AP.262420_TMYx.zip")</f>
        <v>https://climate.onebuilding.org/WMO_Region_6_Europe/EST_Estonia/TA_Tartu/EST_TA_Tartu-Lennujaam.AP.262420_TMYx.zip</v>
      </c>
    </row>
    <row r="3317" spans="1:10" x14ac:dyDescent="0.25">
      <c r="A3317" t="s">
        <v>2248</v>
      </c>
      <c r="B3317" t="s">
        <v>2305</v>
      </c>
      <c r="C3317" t="s">
        <v>2306</v>
      </c>
      <c r="D3317">
        <v>262470</v>
      </c>
      <c r="E3317" t="s">
        <v>2307</v>
      </c>
      <c r="F3317">
        <v>57.79</v>
      </c>
      <c r="G3317">
        <v>26.037800000000001</v>
      </c>
      <c r="H3317">
        <v>2</v>
      </c>
      <c r="I3317">
        <v>65.599999999999994</v>
      </c>
      <c r="J3317" t="str">
        <f>HYPERLINK("https://climate.onebuilding.org/WMO_Region_6_Europe/EST_Estonia/VG_Valga/EST_VG_Valga.262470_TMYx.2004-2018.zip")</f>
        <v>https://climate.onebuilding.org/WMO_Region_6_Europe/EST_Estonia/VG_Valga/EST_VG_Valga.262470_TMYx.2004-2018.zip</v>
      </c>
    </row>
    <row r="3318" spans="1:10" x14ac:dyDescent="0.25">
      <c r="A3318" t="s">
        <v>2248</v>
      </c>
      <c r="B3318" t="s">
        <v>2305</v>
      </c>
      <c r="C3318" t="s">
        <v>2306</v>
      </c>
      <c r="D3318">
        <v>262470</v>
      </c>
      <c r="E3318" t="s">
        <v>14</v>
      </c>
      <c r="F3318">
        <v>57.79</v>
      </c>
      <c r="G3318">
        <v>26.037800000000001</v>
      </c>
      <c r="H3318">
        <v>2</v>
      </c>
      <c r="I3318">
        <v>65.599999999999994</v>
      </c>
      <c r="J3318" t="str">
        <f>HYPERLINK("https://climate.onebuilding.org/WMO_Region_6_Europe/EST_Estonia/VG_Valga/EST_VG_Valga.262470_TMYx.2007-2021.zip")</f>
        <v>https://climate.onebuilding.org/WMO_Region_6_Europe/EST_Estonia/VG_Valga/EST_VG_Valga.262470_TMYx.2007-2021.zip</v>
      </c>
    </row>
    <row r="3319" spans="1:10" x14ac:dyDescent="0.25">
      <c r="A3319" t="s">
        <v>2248</v>
      </c>
      <c r="B3319" t="s">
        <v>2305</v>
      </c>
      <c r="C3319" t="s">
        <v>2306</v>
      </c>
      <c r="D3319">
        <v>262470</v>
      </c>
      <c r="E3319" t="s">
        <v>14</v>
      </c>
      <c r="F3319">
        <v>57.79</v>
      </c>
      <c r="G3319">
        <v>26.037800000000001</v>
      </c>
      <c r="H3319">
        <v>2</v>
      </c>
      <c r="I3319">
        <v>65.599999999999994</v>
      </c>
      <c r="J3319" t="str">
        <f>HYPERLINK("https://climate.onebuilding.org/WMO_Region_6_Europe/EST_Estonia/VG_Valga/EST_VG_Valga.262470_TMYx.2009-2023.zip")</f>
        <v>https://climate.onebuilding.org/WMO_Region_6_Europe/EST_Estonia/VG_Valga/EST_VG_Valga.262470_TMYx.2009-2023.zip</v>
      </c>
    </row>
    <row r="3320" spans="1:10" x14ac:dyDescent="0.25">
      <c r="A3320" t="s">
        <v>2248</v>
      </c>
      <c r="B3320" t="s">
        <v>2305</v>
      </c>
      <c r="C3320" t="s">
        <v>2306</v>
      </c>
      <c r="D3320">
        <v>262470</v>
      </c>
      <c r="E3320" t="s">
        <v>14</v>
      </c>
      <c r="F3320">
        <v>57.79</v>
      </c>
      <c r="G3320">
        <v>26.037800000000001</v>
      </c>
      <c r="H3320">
        <v>2</v>
      </c>
      <c r="I3320">
        <v>65.599999999999994</v>
      </c>
      <c r="J3320" t="str">
        <f>HYPERLINK("https://climate.onebuilding.org/WMO_Region_6_Europe/EST_Estonia/VG_Valga/EST_VG_Valga.262470_TMYx.zip")</f>
        <v>https://climate.onebuilding.org/WMO_Region_6_Europe/EST_Estonia/VG_Valga/EST_VG_Valga.262470_TMYx.zip</v>
      </c>
    </row>
    <row r="3321" spans="1:10" x14ac:dyDescent="0.25">
      <c r="A3321" t="s">
        <v>2248</v>
      </c>
      <c r="B3321" t="s">
        <v>60</v>
      </c>
      <c r="C3321" t="s">
        <v>2308</v>
      </c>
      <c r="D3321">
        <v>262490</v>
      </c>
      <c r="E3321" t="s">
        <v>2309</v>
      </c>
      <c r="F3321">
        <v>57.846400000000003</v>
      </c>
      <c r="G3321">
        <v>27.019400000000001</v>
      </c>
      <c r="H3321">
        <v>2</v>
      </c>
      <c r="I3321">
        <v>83.5</v>
      </c>
      <c r="J3321" t="str">
        <f>HYPERLINK("https://climate.onebuilding.org/WMO_Region_6_Europe/EST_Estonia/VR_Voru/EST_VR_Voru.262490_TMYx.2004-2018.zip")</f>
        <v>https://climate.onebuilding.org/WMO_Region_6_Europe/EST_Estonia/VR_Voru/EST_VR_Voru.262490_TMYx.2004-2018.zip</v>
      </c>
    </row>
    <row r="3322" spans="1:10" x14ac:dyDescent="0.25">
      <c r="A3322" t="s">
        <v>2248</v>
      </c>
      <c r="B3322" t="s">
        <v>60</v>
      </c>
      <c r="C3322" t="s">
        <v>2308</v>
      </c>
      <c r="D3322">
        <v>262490</v>
      </c>
      <c r="E3322" t="s">
        <v>14</v>
      </c>
      <c r="F3322">
        <v>57.846400000000003</v>
      </c>
      <c r="G3322">
        <v>27.019400000000001</v>
      </c>
      <c r="H3322">
        <v>2</v>
      </c>
      <c r="I3322">
        <v>83.5</v>
      </c>
      <c r="J3322" t="str">
        <f>HYPERLINK("https://climate.onebuilding.org/WMO_Region_6_Europe/EST_Estonia/VR_Voru/EST_VR_Voru.262490_TMYx.2007-2021.zip")</f>
        <v>https://climate.onebuilding.org/WMO_Region_6_Europe/EST_Estonia/VR_Voru/EST_VR_Voru.262490_TMYx.2007-2021.zip</v>
      </c>
    </row>
    <row r="3323" spans="1:10" x14ac:dyDescent="0.25">
      <c r="A3323" t="s">
        <v>2248</v>
      </c>
      <c r="B3323" t="s">
        <v>60</v>
      </c>
      <c r="C3323" t="s">
        <v>2308</v>
      </c>
      <c r="D3323">
        <v>262490</v>
      </c>
      <c r="E3323" t="s">
        <v>14</v>
      </c>
      <c r="F3323">
        <v>57.846400000000003</v>
      </c>
      <c r="G3323">
        <v>27.019400000000001</v>
      </c>
      <c r="H3323">
        <v>2</v>
      </c>
      <c r="I3323">
        <v>83.5</v>
      </c>
      <c r="J3323" t="str">
        <f>HYPERLINK("https://climate.onebuilding.org/WMO_Region_6_Europe/EST_Estonia/VR_Voru/EST_VR_Voru.262490_TMYx.2009-2023.zip")</f>
        <v>https://climate.onebuilding.org/WMO_Region_6_Europe/EST_Estonia/VR_Voru/EST_VR_Voru.262490_TMYx.2009-2023.zip</v>
      </c>
    </row>
    <row r="3324" spans="1:10" x14ac:dyDescent="0.25">
      <c r="A3324" t="s">
        <v>2248</v>
      </c>
      <c r="B3324" t="s">
        <v>60</v>
      </c>
      <c r="C3324" t="s">
        <v>2308</v>
      </c>
      <c r="D3324">
        <v>262490</v>
      </c>
      <c r="E3324" t="s">
        <v>14</v>
      </c>
      <c r="F3324">
        <v>57.846400000000003</v>
      </c>
      <c r="G3324">
        <v>27.019400000000001</v>
      </c>
      <c r="H3324">
        <v>2</v>
      </c>
      <c r="I3324">
        <v>83.5</v>
      </c>
      <c r="J3324" t="str">
        <f>HYPERLINK("https://climate.onebuilding.org/WMO_Region_6_Europe/EST_Estonia/VR_Voru/EST_VR_Voru.262490_TMYx.zip")</f>
        <v>https://climate.onebuilding.org/WMO_Region_6_Europe/EST_Estonia/VR_Voru/EST_VR_Voru.262490_TMYx.zip</v>
      </c>
    </row>
    <row r="3325" spans="1:10" x14ac:dyDescent="0.25">
      <c r="A3325" t="s">
        <v>2310</v>
      </c>
      <c r="B3325" t="s">
        <v>1184</v>
      </c>
      <c r="C3325" t="s">
        <v>2311</v>
      </c>
      <c r="D3325" s="1" t="s">
        <v>2312</v>
      </c>
      <c r="E3325" t="s">
        <v>2313</v>
      </c>
      <c r="F3325">
        <v>69.0428</v>
      </c>
      <c r="G3325">
        <v>20.851400000000002</v>
      </c>
      <c r="H3325">
        <v>2</v>
      </c>
      <c r="I3325">
        <v>1009</v>
      </c>
      <c r="J3325" t="str">
        <f>HYPERLINK("https://climate.onebuilding.org/WMO_Region_6_Europe/FIN_Finland/LA_Lapland/FIN_LA_Kilpisjarvi.Saana.027010_TMYx.2004-2018.zip")</f>
        <v>https://climate.onebuilding.org/WMO_Region_6_Europe/FIN_Finland/LA_Lapland/FIN_LA_Kilpisjarvi.Saana.027010_TMYx.2004-2018.zip</v>
      </c>
    </row>
    <row r="3326" spans="1:10" x14ac:dyDescent="0.25">
      <c r="A3326" t="s">
        <v>2310</v>
      </c>
      <c r="B3326" t="s">
        <v>1184</v>
      </c>
      <c r="C3326" t="s">
        <v>2311</v>
      </c>
      <c r="D3326" s="1" t="s">
        <v>2312</v>
      </c>
      <c r="E3326" t="s">
        <v>14</v>
      </c>
      <c r="F3326">
        <v>69.0428</v>
      </c>
      <c r="G3326">
        <v>20.851400000000002</v>
      </c>
      <c r="H3326">
        <v>2</v>
      </c>
      <c r="I3326">
        <v>1009</v>
      </c>
      <c r="J3326" t="str">
        <f>HYPERLINK("https://climate.onebuilding.org/WMO_Region_6_Europe/FIN_Finland/LA_Lapland/FIN_LA_Kilpisjarvi.Saana.027010_TMYx.2007-2021.zip")</f>
        <v>https://climate.onebuilding.org/WMO_Region_6_Europe/FIN_Finland/LA_Lapland/FIN_LA_Kilpisjarvi.Saana.027010_TMYx.2007-2021.zip</v>
      </c>
    </row>
    <row r="3327" spans="1:10" x14ac:dyDescent="0.25">
      <c r="A3327" t="s">
        <v>2310</v>
      </c>
      <c r="B3327" t="s">
        <v>1184</v>
      </c>
      <c r="C3327" t="s">
        <v>2311</v>
      </c>
      <c r="D3327" s="1" t="s">
        <v>2312</v>
      </c>
      <c r="E3327" t="s">
        <v>14</v>
      </c>
      <c r="F3327">
        <v>69.0428</v>
      </c>
      <c r="G3327">
        <v>20.851400000000002</v>
      </c>
      <c r="H3327">
        <v>2</v>
      </c>
      <c r="I3327">
        <v>1009</v>
      </c>
      <c r="J3327" t="str">
        <f>HYPERLINK("https://climate.onebuilding.org/WMO_Region_6_Europe/FIN_Finland/LA_Lapland/FIN_LA_Kilpisjarvi.Saana.027010_TMYx.2009-2023.zip")</f>
        <v>https://climate.onebuilding.org/WMO_Region_6_Europe/FIN_Finland/LA_Lapland/FIN_LA_Kilpisjarvi.Saana.027010_TMYx.2009-2023.zip</v>
      </c>
    </row>
    <row r="3328" spans="1:10" x14ac:dyDescent="0.25">
      <c r="A3328" t="s">
        <v>2310</v>
      </c>
      <c r="B3328" t="s">
        <v>1184</v>
      </c>
      <c r="C3328" t="s">
        <v>2311</v>
      </c>
      <c r="D3328" s="1" t="s">
        <v>2312</v>
      </c>
      <c r="E3328" t="s">
        <v>14</v>
      </c>
      <c r="F3328">
        <v>69.0428</v>
      </c>
      <c r="G3328">
        <v>20.851400000000002</v>
      </c>
      <c r="H3328">
        <v>2</v>
      </c>
      <c r="I3328">
        <v>1009</v>
      </c>
      <c r="J3328" t="str">
        <f>HYPERLINK("https://climate.onebuilding.org/WMO_Region_6_Europe/FIN_Finland/LA_Lapland/FIN_LA_Kilpisjarvi.Saana.027010_TMYx.zip")</f>
        <v>https://climate.onebuilding.org/WMO_Region_6_Europe/FIN_Finland/LA_Lapland/FIN_LA_Kilpisjarvi.Saana.027010_TMYx.zip</v>
      </c>
    </row>
    <row r="3329" spans="1:10" x14ac:dyDescent="0.25">
      <c r="A3329" t="s">
        <v>2310</v>
      </c>
      <c r="B3329" t="s">
        <v>1184</v>
      </c>
      <c r="C3329" t="s">
        <v>2314</v>
      </c>
      <c r="D3329" s="1" t="s">
        <v>2315</v>
      </c>
      <c r="E3329" t="s">
        <v>2316</v>
      </c>
      <c r="F3329">
        <v>69.140799999999999</v>
      </c>
      <c r="G3329">
        <v>27.265599999999999</v>
      </c>
      <c r="H3329">
        <v>2</v>
      </c>
      <c r="I3329">
        <v>156</v>
      </c>
      <c r="J3329" t="str">
        <f>HYPERLINK("https://climate.onebuilding.org/WMO_Region_6_Europe/FIN_Finland/LA_Lapland/FIN_LA_Inari-Kaamanen.027020_TMYx.2004-2018.zip")</f>
        <v>https://climate.onebuilding.org/WMO_Region_6_Europe/FIN_Finland/LA_Lapland/FIN_LA_Inari-Kaamanen.027020_TMYx.2004-2018.zip</v>
      </c>
    </row>
    <row r="3330" spans="1:10" x14ac:dyDescent="0.25">
      <c r="A3330" t="s">
        <v>2310</v>
      </c>
      <c r="B3330" t="s">
        <v>1184</v>
      </c>
      <c r="C3330" t="s">
        <v>2314</v>
      </c>
      <c r="D3330" s="1" t="s">
        <v>2315</v>
      </c>
      <c r="E3330" t="s">
        <v>14</v>
      </c>
      <c r="F3330">
        <v>69.140799999999999</v>
      </c>
      <c r="G3330">
        <v>27.265599999999999</v>
      </c>
      <c r="H3330">
        <v>2</v>
      </c>
      <c r="I3330">
        <v>156</v>
      </c>
      <c r="J3330" t="str">
        <f>HYPERLINK("https://climate.onebuilding.org/WMO_Region_6_Europe/FIN_Finland/LA_Lapland/FIN_LA_Inari-Kaamanen.027020_TMYx.2007-2021.zip")</f>
        <v>https://climate.onebuilding.org/WMO_Region_6_Europe/FIN_Finland/LA_Lapland/FIN_LA_Inari-Kaamanen.027020_TMYx.2007-2021.zip</v>
      </c>
    </row>
    <row r="3331" spans="1:10" x14ac:dyDescent="0.25">
      <c r="A3331" t="s">
        <v>2310</v>
      </c>
      <c r="B3331" t="s">
        <v>1184</v>
      </c>
      <c r="C3331" t="s">
        <v>2314</v>
      </c>
      <c r="D3331" s="1" t="s">
        <v>2315</v>
      </c>
      <c r="E3331" t="s">
        <v>14</v>
      </c>
      <c r="F3331">
        <v>69.140799999999999</v>
      </c>
      <c r="G3331">
        <v>27.265599999999999</v>
      </c>
      <c r="H3331">
        <v>2</v>
      </c>
      <c r="I3331">
        <v>156</v>
      </c>
      <c r="J3331" t="str">
        <f>HYPERLINK("https://climate.onebuilding.org/WMO_Region_6_Europe/FIN_Finland/LA_Lapland/FIN_LA_Inari-Kaamanen.027020_TMYx.2009-2023.zip")</f>
        <v>https://climate.onebuilding.org/WMO_Region_6_Europe/FIN_Finland/LA_Lapland/FIN_LA_Inari-Kaamanen.027020_TMYx.2009-2023.zip</v>
      </c>
    </row>
    <row r="3332" spans="1:10" x14ac:dyDescent="0.25">
      <c r="A3332" t="s">
        <v>2310</v>
      </c>
      <c r="B3332" t="s">
        <v>1184</v>
      </c>
      <c r="C3332" t="s">
        <v>2314</v>
      </c>
      <c r="D3332" s="1" t="s">
        <v>2315</v>
      </c>
      <c r="E3332" t="s">
        <v>14</v>
      </c>
      <c r="F3332">
        <v>69.140799999999999</v>
      </c>
      <c r="G3332">
        <v>27.265599999999999</v>
      </c>
      <c r="H3332">
        <v>2</v>
      </c>
      <c r="I3332">
        <v>156</v>
      </c>
      <c r="J3332" t="str">
        <f>HYPERLINK("https://climate.onebuilding.org/WMO_Region_6_Europe/FIN_Finland/LA_Lapland/FIN_LA_Inari-Kaamanen.027020_TMYx.zip")</f>
        <v>https://climate.onebuilding.org/WMO_Region_6_Europe/FIN_Finland/LA_Lapland/FIN_LA_Inari-Kaamanen.027020_TMYx.zip</v>
      </c>
    </row>
    <row r="3333" spans="1:10" x14ac:dyDescent="0.25">
      <c r="A3333" t="s">
        <v>2310</v>
      </c>
      <c r="B3333" t="s">
        <v>2317</v>
      </c>
      <c r="C3333" t="s">
        <v>2318</v>
      </c>
      <c r="D3333" s="1" t="s">
        <v>2319</v>
      </c>
      <c r="E3333" t="s">
        <v>2320</v>
      </c>
      <c r="F3333">
        <v>60.2</v>
      </c>
      <c r="G3333">
        <v>24.733000000000001</v>
      </c>
      <c r="H3333">
        <v>2</v>
      </c>
      <c r="I3333">
        <v>31.5</v>
      </c>
      <c r="J3333" t="str">
        <f>HYPERLINK("https://climate.onebuilding.org/WMO_Region_6_Europe/FIN_Finland/US_Uusimaa/FIN_US_Espoo.Sepankyla.027030_TMYx.2004-2018.zip")</f>
        <v>https://climate.onebuilding.org/WMO_Region_6_Europe/FIN_Finland/US_Uusimaa/FIN_US_Espoo.Sepankyla.027030_TMYx.2004-2018.zip</v>
      </c>
    </row>
    <row r="3334" spans="1:10" x14ac:dyDescent="0.25">
      <c r="A3334" t="s">
        <v>2310</v>
      </c>
      <c r="B3334" t="s">
        <v>2317</v>
      </c>
      <c r="C3334" t="s">
        <v>2318</v>
      </c>
      <c r="D3334" s="1" t="s">
        <v>2319</v>
      </c>
      <c r="E3334" t="s">
        <v>14</v>
      </c>
      <c r="F3334">
        <v>60.2</v>
      </c>
      <c r="G3334">
        <v>24.733000000000001</v>
      </c>
      <c r="H3334">
        <v>2</v>
      </c>
      <c r="I3334">
        <v>31.5</v>
      </c>
      <c r="J3334" t="str">
        <f>HYPERLINK("https://climate.onebuilding.org/WMO_Region_6_Europe/FIN_Finland/US_Uusimaa/FIN_US_Espoo.Sepankyla.027030_TMYx.2007-2021.zip")</f>
        <v>https://climate.onebuilding.org/WMO_Region_6_Europe/FIN_Finland/US_Uusimaa/FIN_US_Espoo.Sepankyla.027030_TMYx.2007-2021.zip</v>
      </c>
    </row>
    <row r="3335" spans="1:10" x14ac:dyDescent="0.25">
      <c r="A3335" t="s">
        <v>2310</v>
      </c>
      <c r="B3335" t="s">
        <v>2317</v>
      </c>
      <c r="C3335" t="s">
        <v>2318</v>
      </c>
      <c r="D3335" s="1" t="s">
        <v>2319</v>
      </c>
      <c r="E3335" t="s">
        <v>14</v>
      </c>
      <c r="F3335">
        <v>60.2</v>
      </c>
      <c r="G3335">
        <v>24.733000000000001</v>
      </c>
      <c r="H3335">
        <v>2</v>
      </c>
      <c r="I3335">
        <v>31.5</v>
      </c>
      <c r="J3335" t="str">
        <f>HYPERLINK("https://climate.onebuilding.org/WMO_Region_6_Europe/FIN_Finland/US_Uusimaa/FIN_US_Espoo.Sepankyla.027030_TMYx.2009-2023.zip")</f>
        <v>https://climate.onebuilding.org/WMO_Region_6_Europe/FIN_Finland/US_Uusimaa/FIN_US_Espoo.Sepankyla.027030_TMYx.2009-2023.zip</v>
      </c>
    </row>
    <row r="3336" spans="1:10" x14ac:dyDescent="0.25">
      <c r="A3336" t="s">
        <v>2310</v>
      </c>
      <c r="B3336" t="s">
        <v>2317</v>
      </c>
      <c r="C3336" t="s">
        <v>2318</v>
      </c>
      <c r="D3336" s="1" t="s">
        <v>2319</v>
      </c>
      <c r="E3336" t="s">
        <v>14</v>
      </c>
      <c r="F3336">
        <v>60.2</v>
      </c>
      <c r="G3336">
        <v>24.733000000000001</v>
      </c>
      <c r="H3336">
        <v>2</v>
      </c>
      <c r="I3336">
        <v>31.5</v>
      </c>
      <c r="J3336" t="str">
        <f>HYPERLINK("https://climate.onebuilding.org/WMO_Region_6_Europe/FIN_Finland/US_Uusimaa/FIN_US_Espoo.Sepankyla.027030_TMYx.zip")</f>
        <v>https://climate.onebuilding.org/WMO_Region_6_Europe/FIN_Finland/US_Uusimaa/FIN_US_Espoo.Sepankyla.027030_TMYx.zip</v>
      </c>
    </row>
    <row r="3337" spans="1:10" x14ac:dyDescent="0.25">
      <c r="A3337" t="s">
        <v>2310</v>
      </c>
      <c r="B3337" t="s">
        <v>2321</v>
      </c>
      <c r="C3337" t="s">
        <v>2322</v>
      </c>
      <c r="D3337" s="1" t="s">
        <v>2323</v>
      </c>
      <c r="E3337" t="s">
        <v>2324</v>
      </c>
      <c r="F3337">
        <v>61.114699999999999</v>
      </c>
      <c r="G3337">
        <v>24.324400000000001</v>
      </c>
      <c r="H3337">
        <v>2</v>
      </c>
      <c r="I3337">
        <v>87</v>
      </c>
      <c r="J3337" t="str">
        <f>HYPERLINK("https://climate.onebuilding.org/WMO_Region_6_Europe/FIN_Finland/KH_Kanta-Hame/FIN_KH_Hattula.Lepaa.AWS.027040_TMYx.2004-2018.zip")</f>
        <v>https://climate.onebuilding.org/WMO_Region_6_Europe/FIN_Finland/KH_Kanta-Hame/FIN_KH_Hattula.Lepaa.AWS.027040_TMYx.2004-2018.zip</v>
      </c>
    </row>
    <row r="3338" spans="1:10" x14ac:dyDescent="0.25">
      <c r="A3338" t="s">
        <v>2310</v>
      </c>
      <c r="B3338" t="s">
        <v>2321</v>
      </c>
      <c r="C3338" t="s">
        <v>2322</v>
      </c>
      <c r="D3338" s="1" t="s">
        <v>2323</v>
      </c>
      <c r="E3338" t="s">
        <v>14</v>
      </c>
      <c r="F3338">
        <v>61.114699999999999</v>
      </c>
      <c r="G3338">
        <v>24.324400000000001</v>
      </c>
      <c r="H3338">
        <v>2</v>
      </c>
      <c r="I3338">
        <v>87</v>
      </c>
      <c r="J3338" t="str">
        <f>HYPERLINK("https://climate.onebuilding.org/WMO_Region_6_Europe/FIN_Finland/KH_Kanta-Hame/FIN_KH_Hattula.Lepaa.AWS.027040_TMYx.2007-2021.zip")</f>
        <v>https://climate.onebuilding.org/WMO_Region_6_Europe/FIN_Finland/KH_Kanta-Hame/FIN_KH_Hattula.Lepaa.AWS.027040_TMYx.2007-2021.zip</v>
      </c>
    </row>
    <row r="3339" spans="1:10" x14ac:dyDescent="0.25">
      <c r="A3339" t="s">
        <v>2310</v>
      </c>
      <c r="B3339" t="s">
        <v>2321</v>
      </c>
      <c r="C3339" t="s">
        <v>2322</v>
      </c>
      <c r="D3339" s="1" t="s">
        <v>2323</v>
      </c>
      <c r="E3339" t="s">
        <v>14</v>
      </c>
      <c r="F3339">
        <v>61.114699999999999</v>
      </c>
      <c r="G3339">
        <v>24.324400000000001</v>
      </c>
      <c r="H3339">
        <v>2</v>
      </c>
      <c r="I3339">
        <v>87</v>
      </c>
      <c r="J3339" t="str">
        <f>HYPERLINK("https://climate.onebuilding.org/WMO_Region_6_Europe/FIN_Finland/KH_Kanta-Hame/FIN_KH_Hattula.Lepaa.AWS.027040_TMYx.2009-2023.zip")</f>
        <v>https://climate.onebuilding.org/WMO_Region_6_Europe/FIN_Finland/KH_Kanta-Hame/FIN_KH_Hattula.Lepaa.AWS.027040_TMYx.2009-2023.zip</v>
      </c>
    </row>
    <row r="3340" spans="1:10" x14ac:dyDescent="0.25">
      <c r="A3340" t="s">
        <v>2310</v>
      </c>
      <c r="B3340" t="s">
        <v>2321</v>
      </c>
      <c r="C3340" t="s">
        <v>2322</v>
      </c>
      <c r="D3340" s="1" t="s">
        <v>2323</v>
      </c>
      <c r="E3340" t="s">
        <v>14</v>
      </c>
      <c r="F3340">
        <v>61.114699999999999</v>
      </c>
      <c r="G3340">
        <v>24.324400000000001</v>
      </c>
      <c r="H3340">
        <v>2</v>
      </c>
      <c r="I3340">
        <v>87</v>
      </c>
      <c r="J3340" t="str">
        <f>HYPERLINK("https://climate.onebuilding.org/WMO_Region_6_Europe/FIN_Finland/KH_Kanta-Hame/FIN_KH_Hattula.Lepaa.AWS.027040_TMYx.zip")</f>
        <v>https://climate.onebuilding.org/WMO_Region_6_Europe/FIN_Finland/KH_Kanta-Hame/FIN_KH_Hattula.Lepaa.AWS.027040_TMYx.zip</v>
      </c>
    </row>
    <row r="3341" spans="1:10" x14ac:dyDescent="0.25">
      <c r="A3341" t="s">
        <v>2310</v>
      </c>
      <c r="B3341" t="s">
        <v>1184</v>
      </c>
      <c r="C3341" t="s">
        <v>2325</v>
      </c>
      <c r="D3341" s="1" t="s">
        <v>2326</v>
      </c>
      <c r="E3341" t="s">
        <v>2327</v>
      </c>
      <c r="F3341">
        <v>67.021900000000002</v>
      </c>
      <c r="G3341">
        <v>27.218299999999999</v>
      </c>
      <c r="H3341">
        <v>2</v>
      </c>
      <c r="I3341">
        <v>487.5</v>
      </c>
      <c r="J3341" t="str">
        <f>HYPERLINK("https://climate.onebuilding.org/WMO_Region_6_Europe/FIN_Finland/LA_Lapland/FIN_LA_Pelkosenniemi.Pyhatunturi.027050_TMYx.2004-2018.zip")</f>
        <v>https://climate.onebuilding.org/WMO_Region_6_Europe/FIN_Finland/LA_Lapland/FIN_LA_Pelkosenniemi.Pyhatunturi.027050_TMYx.2004-2018.zip</v>
      </c>
    </row>
    <row r="3342" spans="1:10" x14ac:dyDescent="0.25">
      <c r="A3342" t="s">
        <v>2310</v>
      </c>
      <c r="B3342" t="s">
        <v>1184</v>
      </c>
      <c r="C3342" t="s">
        <v>2325</v>
      </c>
      <c r="D3342" s="1" t="s">
        <v>2326</v>
      </c>
      <c r="E3342" t="s">
        <v>14</v>
      </c>
      <c r="F3342">
        <v>67.021900000000002</v>
      </c>
      <c r="G3342">
        <v>27.218299999999999</v>
      </c>
      <c r="H3342">
        <v>2</v>
      </c>
      <c r="I3342">
        <v>487.5</v>
      </c>
      <c r="J3342" t="str">
        <f>HYPERLINK("https://climate.onebuilding.org/WMO_Region_6_Europe/FIN_Finland/LA_Lapland/FIN_LA_Pelkosenniemi.Pyhatunturi.027050_TMYx.2007-2021.zip")</f>
        <v>https://climate.onebuilding.org/WMO_Region_6_Europe/FIN_Finland/LA_Lapland/FIN_LA_Pelkosenniemi.Pyhatunturi.027050_TMYx.2007-2021.zip</v>
      </c>
    </row>
    <row r="3343" spans="1:10" x14ac:dyDescent="0.25">
      <c r="A3343" t="s">
        <v>2310</v>
      </c>
      <c r="B3343" t="s">
        <v>1184</v>
      </c>
      <c r="C3343" t="s">
        <v>2325</v>
      </c>
      <c r="D3343" s="1" t="s">
        <v>2326</v>
      </c>
      <c r="E3343" t="s">
        <v>14</v>
      </c>
      <c r="F3343">
        <v>67.021900000000002</v>
      </c>
      <c r="G3343">
        <v>27.218299999999999</v>
      </c>
      <c r="H3343">
        <v>2</v>
      </c>
      <c r="I3343">
        <v>487.5</v>
      </c>
      <c r="J3343" t="str">
        <f>HYPERLINK("https://climate.onebuilding.org/WMO_Region_6_Europe/FIN_Finland/LA_Lapland/FIN_LA_Pelkosenniemi.Pyhatunturi.027050_TMYx.2009-2023.zip")</f>
        <v>https://climate.onebuilding.org/WMO_Region_6_Europe/FIN_Finland/LA_Lapland/FIN_LA_Pelkosenniemi.Pyhatunturi.027050_TMYx.2009-2023.zip</v>
      </c>
    </row>
    <row r="3344" spans="1:10" x14ac:dyDescent="0.25">
      <c r="A3344" t="s">
        <v>2310</v>
      </c>
      <c r="B3344" t="s">
        <v>1184</v>
      </c>
      <c r="C3344" t="s">
        <v>2325</v>
      </c>
      <c r="D3344" s="1" t="s">
        <v>2326</v>
      </c>
      <c r="E3344" t="s">
        <v>14</v>
      </c>
      <c r="F3344">
        <v>67.021900000000002</v>
      </c>
      <c r="G3344">
        <v>27.218299999999999</v>
      </c>
      <c r="H3344">
        <v>2</v>
      </c>
      <c r="I3344">
        <v>487.5</v>
      </c>
      <c r="J3344" t="str">
        <f>HYPERLINK("https://climate.onebuilding.org/WMO_Region_6_Europe/FIN_Finland/LA_Lapland/FIN_LA_Pelkosenniemi.Pyhatunturi.027050_TMYx.zip")</f>
        <v>https://climate.onebuilding.org/WMO_Region_6_Europe/FIN_Finland/LA_Lapland/FIN_LA_Pelkosenniemi.Pyhatunturi.027050_TMYx.zip</v>
      </c>
    </row>
    <row r="3345" spans="1:10" x14ac:dyDescent="0.25">
      <c r="A3345" t="s">
        <v>2310</v>
      </c>
      <c r="B3345" t="s">
        <v>2317</v>
      </c>
      <c r="C3345" t="s">
        <v>2328</v>
      </c>
      <c r="D3345" s="1" t="s">
        <v>2329</v>
      </c>
      <c r="E3345" t="s">
        <v>2330</v>
      </c>
      <c r="F3345">
        <v>60.244199999999999</v>
      </c>
      <c r="G3345">
        <v>24.049199999999999</v>
      </c>
      <c r="H3345">
        <v>2</v>
      </c>
      <c r="I3345">
        <v>37</v>
      </c>
      <c r="J3345" t="str">
        <f>HYPERLINK("https://climate.onebuilding.org/WMO_Region_6_Europe/FIN_Finland/US_Uusimaa/FIN_US_Lohja.Porla.027060_TMYx.2004-2018.zip")</f>
        <v>https://climate.onebuilding.org/WMO_Region_6_Europe/FIN_Finland/US_Uusimaa/FIN_US_Lohja.Porla.027060_TMYx.2004-2018.zip</v>
      </c>
    </row>
    <row r="3346" spans="1:10" x14ac:dyDescent="0.25">
      <c r="A3346" t="s">
        <v>2310</v>
      </c>
      <c r="B3346" t="s">
        <v>2317</v>
      </c>
      <c r="C3346" t="s">
        <v>2328</v>
      </c>
      <c r="D3346" s="1" t="s">
        <v>2329</v>
      </c>
      <c r="E3346" t="s">
        <v>14</v>
      </c>
      <c r="F3346">
        <v>60.244199999999999</v>
      </c>
      <c r="G3346">
        <v>24.049199999999999</v>
      </c>
      <c r="H3346">
        <v>2</v>
      </c>
      <c r="I3346">
        <v>37</v>
      </c>
      <c r="J3346" t="str">
        <f>HYPERLINK("https://climate.onebuilding.org/WMO_Region_6_Europe/FIN_Finland/US_Uusimaa/FIN_US_Lohja.Porla.027060_TMYx.2007-2021.zip")</f>
        <v>https://climate.onebuilding.org/WMO_Region_6_Europe/FIN_Finland/US_Uusimaa/FIN_US_Lohja.Porla.027060_TMYx.2007-2021.zip</v>
      </c>
    </row>
    <row r="3347" spans="1:10" x14ac:dyDescent="0.25">
      <c r="A3347" t="s">
        <v>2310</v>
      </c>
      <c r="B3347" t="s">
        <v>2317</v>
      </c>
      <c r="C3347" t="s">
        <v>2328</v>
      </c>
      <c r="D3347" s="1" t="s">
        <v>2329</v>
      </c>
      <c r="E3347" t="s">
        <v>14</v>
      </c>
      <c r="F3347">
        <v>60.244199999999999</v>
      </c>
      <c r="G3347">
        <v>24.049199999999999</v>
      </c>
      <c r="H3347">
        <v>2</v>
      </c>
      <c r="I3347">
        <v>37</v>
      </c>
      <c r="J3347" t="str">
        <f>HYPERLINK("https://climate.onebuilding.org/WMO_Region_6_Europe/FIN_Finland/US_Uusimaa/FIN_US_Lohja.Porla.027060_TMYx.2009-2023.zip")</f>
        <v>https://climate.onebuilding.org/WMO_Region_6_Europe/FIN_Finland/US_Uusimaa/FIN_US_Lohja.Porla.027060_TMYx.2009-2023.zip</v>
      </c>
    </row>
    <row r="3348" spans="1:10" x14ac:dyDescent="0.25">
      <c r="A3348" t="s">
        <v>2310</v>
      </c>
      <c r="B3348" t="s">
        <v>2317</v>
      </c>
      <c r="C3348" t="s">
        <v>2328</v>
      </c>
      <c r="D3348" s="1" t="s">
        <v>2329</v>
      </c>
      <c r="E3348" t="s">
        <v>14</v>
      </c>
      <c r="F3348">
        <v>60.244199999999999</v>
      </c>
      <c r="G3348">
        <v>24.049199999999999</v>
      </c>
      <c r="H3348">
        <v>2</v>
      </c>
      <c r="I3348">
        <v>37</v>
      </c>
      <c r="J3348" t="str">
        <f>HYPERLINK("https://climate.onebuilding.org/WMO_Region_6_Europe/FIN_Finland/US_Uusimaa/FIN_US_Lohja.Porla.027060_TMYx.zip")</f>
        <v>https://climate.onebuilding.org/WMO_Region_6_Europe/FIN_Finland/US_Uusimaa/FIN_US_Lohja.Porla.027060_TMYx.zip</v>
      </c>
    </row>
    <row r="3349" spans="1:10" x14ac:dyDescent="0.25">
      <c r="A3349" t="s">
        <v>2310</v>
      </c>
      <c r="B3349" t="s">
        <v>2286</v>
      </c>
      <c r="C3349" t="s">
        <v>2331</v>
      </c>
      <c r="D3349" s="1" t="s">
        <v>2332</v>
      </c>
      <c r="E3349" t="s">
        <v>2333</v>
      </c>
      <c r="F3349">
        <v>62.183300000000003</v>
      </c>
      <c r="G3349">
        <v>22.799700000000001</v>
      </c>
      <c r="H3349">
        <v>2</v>
      </c>
      <c r="I3349">
        <v>161</v>
      </c>
      <c r="J3349" t="str">
        <f>HYPERLINK("https://climate.onebuilding.org/WMO_Region_6_Europe/FIN_Finland/SA_Satakunta/FIN_SA_Karvia.Alkkia.027080_TMYx.2004-2018.zip")</f>
        <v>https://climate.onebuilding.org/WMO_Region_6_Europe/FIN_Finland/SA_Satakunta/FIN_SA_Karvia.Alkkia.027080_TMYx.2004-2018.zip</v>
      </c>
    </row>
    <row r="3350" spans="1:10" x14ac:dyDescent="0.25">
      <c r="A3350" t="s">
        <v>2310</v>
      </c>
      <c r="B3350" t="s">
        <v>2286</v>
      </c>
      <c r="C3350" t="s">
        <v>2331</v>
      </c>
      <c r="D3350" s="1" t="s">
        <v>2332</v>
      </c>
      <c r="E3350" t="s">
        <v>14</v>
      </c>
      <c r="F3350">
        <v>62.183300000000003</v>
      </c>
      <c r="G3350">
        <v>22.799700000000001</v>
      </c>
      <c r="H3350">
        <v>2</v>
      </c>
      <c r="I3350">
        <v>161</v>
      </c>
      <c r="J3350" t="str">
        <f>HYPERLINK("https://climate.onebuilding.org/WMO_Region_6_Europe/FIN_Finland/SA_Satakunta/FIN_SA_Karvia.Alkkia.027080_TMYx.2007-2021.zip")</f>
        <v>https://climate.onebuilding.org/WMO_Region_6_Europe/FIN_Finland/SA_Satakunta/FIN_SA_Karvia.Alkkia.027080_TMYx.2007-2021.zip</v>
      </c>
    </row>
    <row r="3351" spans="1:10" x14ac:dyDescent="0.25">
      <c r="A3351" t="s">
        <v>2310</v>
      </c>
      <c r="B3351" t="s">
        <v>2286</v>
      </c>
      <c r="C3351" t="s">
        <v>2331</v>
      </c>
      <c r="D3351" s="1" t="s">
        <v>2332</v>
      </c>
      <c r="E3351" t="s">
        <v>14</v>
      </c>
      <c r="F3351">
        <v>62.183300000000003</v>
      </c>
      <c r="G3351">
        <v>22.799700000000001</v>
      </c>
      <c r="H3351">
        <v>2</v>
      </c>
      <c r="I3351">
        <v>161</v>
      </c>
      <c r="J3351" t="str">
        <f>HYPERLINK("https://climate.onebuilding.org/WMO_Region_6_Europe/FIN_Finland/SA_Satakunta/FIN_SA_Karvia.Alkkia.027080_TMYx.2009-2023.zip")</f>
        <v>https://climate.onebuilding.org/WMO_Region_6_Europe/FIN_Finland/SA_Satakunta/FIN_SA_Karvia.Alkkia.027080_TMYx.2009-2023.zip</v>
      </c>
    </row>
    <row r="3352" spans="1:10" x14ac:dyDescent="0.25">
      <c r="A3352" t="s">
        <v>2310</v>
      </c>
      <c r="B3352" t="s">
        <v>2286</v>
      </c>
      <c r="C3352" t="s">
        <v>2331</v>
      </c>
      <c r="D3352" s="1" t="s">
        <v>2332</v>
      </c>
      <c r="E3352" t="s">
        <v>14</v>
      </c>
      <c r="F3352">
        <v>62.183300000000003</v>
      </c>
      <c r="G3352">
        <v>22.799700000000001</v>
      </c>
      <c r="H3352">
        <v>2</v>
      </c>
      <c r="I3352">
        <v>161</v>
      </c>
      <c r="J3352" t="str">
        <f>HYPERLINK("https://climate.onebuilding.org/WMO_Region_6_Europe/FIN_Finland/SA_Satakunta/FIN_SA_Karvia.Alkkia.027080_TMYx.zip")</f>
        <v>https://climate.onebuilding.org/WMO_Region_6_Europe/FIN_Finland/SA_Satakunta/FIN_SA_Karvia.Alkkia.027080_TMYx.zip</v>
      </c>
    </row>
    <row r="3353" spans="1:10" x14ac:dyDescent="0.25">
      <c r="A3353" t="s">
        <v>2310</v>
      </c>
      <c r="B3353" t="s">
        <v>2334</v>
      </c>
      <c r="C3353" t="s">
        <v>2335</v>
      </c>
      <c r="D3353" s="1" t="s">
        <v>2336</v>
      </c>
      <c r="E3353" t="s">
        <v>2337</v>
      </c>
      <c r="F3353">
        <v>62.921700000000001</v>
      </c>
      <c r="G3353">
        <v>26.424700000000001</v>
      </c>
      <c r="H3353">
        <v>2</v>
      </c>
      <c r="I3353">
        <v>120</v>
      </c>
      <c r="J3353" t="str">
        <f>HYPERLINK("https://climate.onebuilding.org/WMO_Region_6_Europe/FIN_Finland/NS_North_Savo/FIN_NS_Vesanto.Sonkari.027100_TMYx.2004-2018.zip")</f>
        <v>https://climate.onebuilding.org/WMO_Region_6_Europe/FIN_Finland/NS_North_Savo/FIN_NS_Vesanto.Sonkari.027100_TMYx.2004-2018.zip</v>
      </c>
    </row>
    <row r="3354" spans="1:10" x14ac:dyDescent="0.25">
      <c r="A3354" t="s">
        <v>2310</v>
      </c>
      <c r="B3354" t="s">
        <v>2334</v>
      </c>
      <c r="C3354" t="s">
        <v>2335</v>
      </c>
      <c r="D3354" s="1" t="s">
        <v>2336</v>
      </c>
      <c r="E3354" t="s">
        <v>14</v>
      </c>
      <c r="F3354">
        <v>62.921700000000001</v>
      </c>
      <c r="G3354">
        <v>26.424700000000001</v>
      </c>
      <c r="H3354">
        <v>2</v>
      </c>
      <c r="I3354">
        <v>120</v>
      </c>
      <c r="J3354" t="str">
        <f>HYPERLINK("https://climate.onebuilding.org/WMO_Region_6_Europe/FIN_Finland/NS_North_Savo/FIN_NS_Vesanto.Sonkari.027100_TMYx.2007-2021.zip")</f>
        <v>https://climate.onebuilding.org/WMO_Region_6_Europe/FIN_Finland/NS_North_Savo/FIN_NS_Vesanto.Sonkari.027100_TMYx.2007-2021.zip</v>
      </c>
    </row>
    <row r="3355" spans="1:10" x14ac:dyDescent="0.25">
      <c r="A3355" t="s">
        <v>2310</v>
      </c>
      <c r="B3355" t="s">
        <v>2334</v>
      </c>
      <c r="C3355" t="s">
        <v>2335</v>
      </c>
      <c r="D3355" s="1" t="s">
        <v>2336</v>
      </c>
      <c r="E3355" t="s">
        <v>14</v>
      </c>
      <c r="F3355">
        <v>62.921700000000001</v>
      </c>
      <c r="G3355">
        <v>26.424700000000001</v>
      </c>
      <c r="H3355">
        <v>2</v>
      </c>
      <c r="I3355">
        <v>120</v>
      </c>
      <c r="J3355" t="str">
        <f>HYPERLINK("https://climate.onebuilding.org/WMO_Region_6_Europe/FIN_Finland/NS_North_Savo/FIN_NS_Vesanto.Sonkari.027100_TMYx.2009-2023.zip")</f>
        <v>https://climate.onebuilding.org/WMO_Region_6_Europe/FIN_Finland/NS_North_Savo/FIN_NS_Vesanto.Sonkari.027100_TMYx.2009-2023.zip</v>
      </c>
    </row>
    <row r="3356" spans="1:10" x14ac:dyDescent="0.25">
      <c r="A3356" t="s">
        <v>2310</v>
      </c>
      <c r="B3356" t="s">
        <v>2334</v>
      </c>
      <c r="C3356" t="s">
        <v>2335</v>
      </c>
      <c r="D3356" s="1" t="s">
        <v>2336</v>
      </c>
      <c r="E3356" t="s">
        <v>14</v>
      </c>
      <c r="F3356">
        <v>62.921700000000001</v>
      </c>
      <c r="G3356">
        <v>26.424700000000001</v>
      </c>
      <c r="H3356">
        <v>2</v>
      </c>
      <c r="I3356">
        <v>120</v>
      </c>
      <c r="J3356" t="str">
        <f>HYPERLINK("https://climate.onebuilding.org/WMO_Region_6_Europe/FIN_Finland/NS_North_Savo/FIN_NS_Vesanto.Sonkari.027100_TMYx.zip")</f>
        <v>https://climate.onebuilding.org/WMO_Region_6_Europe/FIN_Finland/NS_North_Savo/FIN_NS_Vesanto.Sonkari.027100_TMYx.zip</v>
      </c>
    </row>
    <row r="3357" spans="1:10" x14ac:dyDescent="0.25">
      <c r="A3357" t="s">
        <v>2310</v>
      </c>
      <c r="B3357" t="s">
        <v>2321</v>
      </c>
      <c r="C3357" t="s">
        <v>2338</v>
      </c>
      <c r="D3357" s="1" t="s">
        <v>2339</v>
      </c>
      <c r="E3357" t="s">
        <v>2340</v>
      </c>
      <c r="F3357">
        <v>61.216700000000003</v>
      </c>
      <c r="G3357">
        <v>25.1328</v>
      </c>
      <c r="H3357">
        <v>2</v>
      </c>
      <c r="I3357">
        <v>135.5</v>
      </c>
      <c r="J3357" t="str">
        <f>HYPERLINK("https://climate.onebuilding.org/WMO_Region_6_Europe/FIN_Finland/KH_Kanta-Hame/FIN_KH_Hameenlinna.Lammi.Evo.027130_TMYx.2004-2018.zip")</f>
        <v>https://climate.onebuilding.org/WMO_Region_6_Europe/FIN_Finland/KH_Kanta-Hame/FIN_KH_Hameenlinna.Lammi.Evo.027130_TMYx.2004-2018.zip</v>
      </c>
    </row>
    <row r="3358" spans="1:10" x14ac:dyDescent="0.25">
      <c r="A3358" t="s">
        <v>2310</v>
      </c>
      <c r="B3358" t="s">
        <v>2321</v>
      </c>
      <c r="C3358" t="s">
        <v>2338</v>
      </c>
      <c r="D3358" s="1" t="s">
        <v>2339</v>
      </c>
      <c r="E3358" t="s">
        <v>14</v>
      </c>
      <c r="F3358">
        <v>61.216700000000003</v>
      </c>
      <c r="G3358">
        <v>25.1328</v>
      </c>
      <c r="H3358">
        <v>2</v>
      </c>
      <c r="I3358">
        <v>135.5</v>
      </c>
      <c r="J3358" t="str">
        <f>HYPERLINK("https://climate.onebuilding.org/WMO_Region_6_Europe/FIN_Finland/KH_Kanta-Hame/FIN_KH_Hameenlinna.Lammi.Evo.027130_TMYx.2007-2021.zip")</f>
        <v>https://climate.onebuilding.org/WMO_Region_6_Europe/FIN_Finland/KH_Kanta-Hame/FIN_KH_Hameenlinna.Lammi.Evo.027130_TMYx.2007-2021.zip</v>
      </c>
    </row>
    <row r="3359" spans="1:10" x14ac:dyDescent="0.25">
      <c r="A3359" t="s">
        <v>2310</v>
      </c>
      <c r="B3359" t="s">
        <v>2321</v>
      </c>
      <c r="C3359" t="s">
        <v>2338</v>
      </c>
      <c r="D3359" s="1" t="s">
        <v>2339</v>
      </c>
      <c r="E3359" t="s">
        <v>14</v>
      </c>
      <c r="F3359">
        <v>61.216700000000003</v>
      </c>
      <c r="G3359">
        <v>25.1328</v>
      </c>
      <c r="H3359">
        <v>2</v>
      </c>
      <c r="I3359">
        <v>135.5</v>
      </c>
      <c r="J3359" t="str">
        <f>HYPERLINK("https://climate.onebuilding.org/WMO_Region_6_Europe/FIN_Finland/KH_Kanta-Hame/FIN_KH_Hameenlinna.Lammi.Evo.027130_TMYx.2009-2023.zip")</f>
        <v>https://climate.onebuilding.org/WMO_Region_6_Europe/FIN_Finland/KH_Kanta-Hame/FIN_KH_Hameenlinna.Lammi.Evo.027130_TMYx.2009-2023.zip</v>
      </c>
    </row>
    <row r="3360" spans="1:10" x14ac:dyDescent="0.25">
      <c r="A3360" t="s">
        <v>2310</v>
      </c>
      <c r="B3360" t="s">
        <v>2321</v>
      </c>
      <c r="C3360" t="s">
        <v>2338</v>
      </c>
      <c r="D3360" s="1" t="s">
        <v>2339</v>
      </c>
      <c r="E3360" t="s">
        <v>14</v>
      </c>
      <c r="F3360">
        <v>61.216700000000003</v>
      </c>
      <c r="G3360">
        <v>25.1328</v>
      </c>
      <c r="H3360">
        <v>2</v>
      </c>
      <c r="I3360">
        <v>135.5</v>
      </c>
      <c r="J3360" t="str">
        <f>HYPERLINK("https://climate.onebuilding.org/WMO_Region_6_Europe/FIN_Finland/KH_Kanta-Hame/FIN_KH_Hameenlinna.Lammi.Evo.027130_TMYx.zip")</f>
        <v>https://climate.onebuilding.org/WMO_Region_6_Europe/FIN_Finland/KH_Kanta-Hame/FIN_KH_Hameenlinna.Lammi.Evo.027130_TMYx.zip</v>
      </c>
    </row>
    <row r="3361" spans="1:10" x14ac:dyDescent="0.25">
      <c r="A3361" t="s">
        <v>2310</v>
      </c>
      <c r="B3361" t="s">
        <v>246</v>
      </c>
      <c r="C3361" t="s">
        <v>2341</v>
      </c>
      <c r="D3361" s="1" t="s">
        <v>2342</v>
      </c>
      <c r="E3361" t="s">
        <v>2343</v>
      </c>
      <c r="F3361">
        <v>64.501400000000004</v>
      </c>
      <c r="G3361">
        <v>26.440300000000001</v>
      </c>
      <c r="H3361">
        <v>2</v>
      </c>
      <c r="I3361">
        <v>114</v>
      </c>
      <c r="J3361" t="str">
        <f>HYPERLINK("https://climate.onebuilding.org/WMO_Region_6_Europe/FIN_Finland/KA_Kainuu/FIN_KA_Vaala.Pelso.027140_TMYx.2004-2018.zip")</f>
        <v>https://climate.onebuilding.org/WMO_Region_6_Europe/FIN_Finland/KA_Kainuu/FIN_KA_Vaala.Pelso.027140_TMYx.2004-2018.zip</v>
      </c>
    </row>
    <row r="3362" spans="1:10" x14ac:dyDescent="0.25">
      <c r="A3362" t="s">
        <v>2310</v>
      </c>
      <c r="B3362" t="s">
        <v>246</v>
      </c>
      <c r="C3362" t="s">
        <v>2341</v>
      </c>
      <c r="D3362" s="1" t="s">
        <v>2342</v>
      </c>
      <c r="E3362" t="s">
        <v>14</v>
      </c>
      <c r="F3362">
        <v>64.501400000000004</v>
      </c>
      <c r="G3362">
        <v>26.440300000000001</v>
      </c>
      <c r="H3362">
        <v>2</v>
      </c>
      <c r="I3362">
        <v>114</v>
      </c>
      <c r="J3362" t="str">
        <f>HYPERLINK("https://climate.onebuilding.org/WMO_Region_6_Europe/FIN_Finland/KA_Kainuu/FIN_KA_Vaala.Pelso.027140_TMYx.2007-2021.zip")</f>
        <v>https://climate.onebuilding.org/WMO_Region_6_Europe/FIN_Finland/KA_Kainuu/FIN_KA_Vaala.Pelso.027140_TMYx.2007-2021.zip</v>
      </c>
    </row>
    <row r="3363" spans="1:10" x14ac:dyDescent="0.25">
      <c r="A3363" t="s">
        <v>2310</v>
      </c>
      <c r="B3363" t="s">
        <v>246</v>
      </c>
      <c r="C3363" t="s">
        <v>2341</v>
      </c>
      <c r="D3363" s="1" t="s">
        <v>2342</v>
      </c>
      <c r="E3363" t="s">
        <v>14</v>
      </c>
      <c r="F3363">
        <v>64.501400000000004</v>
      </c>
      <c r="G3363">
        <v>26.440300000000001</v>
      </c>
      <c r="H3363">
        <v>2</v>
      </c>
      <c r="I3363">
        <v>114</v>
      </c>
      <c r="J3363" t="str">
        <f>HYPERLINK("https://climate.onebuilding.org/WMO_Region_6_Europe/FIN_Finland/KA_Kainuu/FIN_KA_Vaala.Pelso.027140_TMYx.2009-2023.zip")</f>
        <v>https://climate.onebuilding.org/WMO_Region_6_Europe/FIN_Finland/KA_Kainuu/FIN_KA_Vaala.Pelso.027140_TMYx.2009-2023.zip</v>
      </c>
    </row>
    <row r="3364" spans="1:10" x14ac:dyDescent="0.25">
      <c r="A3364" t="s">
        <v>2310</v>
      </c>
      <c r="B3364" t="s">
        <v>246</v>
      </c>
      <c r="C3364" t="s">
        <v>2341</v>
      </c>
      <c r="D3364" s="1" t="s">
        <v>2342</v>
      </c>
      <c r="E3364" t="s">
        <v>14</v>
      </c>
      <c r="F3364">
        <v>64.501400000000004</v>
      </c>
      <c r="G3364">
        <v>26.440300000000001</v>
      </c>
      <c r="H3364">
        <v>2</v>
      </c>
      <c r="I3364">
        <v>114</v>
      </c>
      <c r="J3364" t="str">
        <f>HYPERLINK("https://climate.onebuilding.org/WMO_Region_6_Europe/FIN_Finland/KA_Kainuu/FIN_KA_Vaala.Pelso.027140_TMYx.zip")</f>
        <v>https://climate.onebuilding.org/WMO_Region_6_Europe/FIN_Finland/KA_Kainuu/FIN_KA_Vaala.Pelso.027140_TMYx.zip</v>
      </c>
    </row>
    <row r="3365" spans="1:10" x14ac:dyDescent="0.25">
      <c r="A3365" t="s">
        <v>2310</v>
      </c>
      <c r="B3365" t="s">
        <v>1184</v>
      </c>
      <c r="C3365" t="s">
        <v>2344</v>
      </c>
      <c r="D3365" s="1" t="s">
        <v>2345</v>
      </c>
      <c r="E3365" t="s">
        <v>2346</v>
      </c>
      <c r="F3365">
        <v>68.169700000000006</v>
      </c>
      <c r="G3365">
        <v>25.783100000000001</v>
      </c>
      <c r="H3365">
        <v>2</v>
      </c>
      <c r="I3365">
        <v>272</v>
      </c>
      <c r="J3365" t="str">
        <f>HYPERLINK("https://climate.onebuilding.org/WMO_Region_6_Europe/FIN_Finland/LA_Lapland/FIN_LA_Kittila.Pokka.AF.027170_TMYx.2004-2018.zip")</f>
        <v>https://climate.onebuilding.org/WMO_Region_6_Europe/FIN_Finland/LA_Lapland/FIN_LA_Kittila.Pokka.AF.027170_TMYx.2004-2018.zip</v>
      </c>
    </row>
    <row r="3366" spans="1:10" x14ac:dyDescent="0.25">
      <c r="A3366" t="s">
        <v>2310</v>
      </c>
      <c r="B3366" t="s">
        <v>1184</v>
      </c>
      <c r="C3366" t="s">
        <v>2344</v>
      </c>
      <c r="D3366" s="1" t="s">
        <v>2345</v>
      </c>
      <c r="E3366" t="s">
        <v>14</v>
      </c>
      <c r="F3366">
        <v>68.169700000000006</v>
      </c>
      <c r="G3366">
        <v>25.783100000000001</v>
      </c>
      <c r="H3366">
        <v>2</v>
      </c>
      <c r="I3366">
        <v>272</v>
      </c>
      <c r="J3366" t="str">
        <f>HYPERLINK("https://climate.onebuilding.org/WMO_Region_6_Europe/FIN_Finland/LA_Lapland/FIN_LA_Kittila.Pokka.AF.027170_TMYx.2007-2021.zip")</f>
        <v>https://climate.onebuilding.org/WMO_Region_6_Europe/FIN_Finland/LA_Lapland/FIN_LA_Kittila.Pokka.AF.027170_TMYx.2007-2021.zip</v>
      </c>
    </row>
    <row r="3367" spans="1:10" x14ac:dyDescent="0.25">
      <c r="A3367" t="s">
        <v>2310</v>
      </c>
      <c r="B3367" t="s">
        <v>1184</v>
      </c>
      <c r="C3367" t="s">
        <v>2344</v>
      </c>
      <c r="D3367" s="1" t="s">
        <v>2345</v>
      </c>
      <c r="E3367" t="s">
        <v>14</v>
      </c>
      <c r="F3367">
        <v>68.169700000000006</v>
      </c>
      <c r="G3367">
        <v>25.783100000000001</v>
      </c>
      <c r="H3367">
        <v>2</v>
      </c>
      <c r="I3367">
        <v>272</v>
      </c>
      <c r="J3367" t="str">
        <f>HYPERLINK("https://climate.onebuilding.org/WMO_Region_6_Europe/FIN_Finland/LA_Lapland/FIN_LA_Kittila.Pokka.AF.027170_TMYx.2009-2023.zip")</f>
        <v>https://climate.onebuilding.org/WMO_Region_6_Europe/FIN_Finland/LA_Lapland/FIN_LA_Kittila.Pokka.AF.027170_TMYx.2009-2023.zip</v>
      </c>
    </row>
    <row r="3368" spans="1:10" x14ac:dyDescent="0.25">
      <c r="A3368" t="s">
        <v>2310</v>
      </c>
      <c r="B3368" t="s">
        <v>1184</v>
      </c>
      <c r="C3368" t="s">
        <v>2344</v>
      </c>
      <c r="D3368" s="1" t="s">
        <v>2345</v>
      </c>
      <c r="E3368" t="s">
        <v>14</v>
      </c>
      <c r="F3368">
        <v>68.169700000000006</v>
      </c>
      <c r="G3368">
        <v>25.783100000000001</v>
      </c>
      <c r="H3368">
        <v>2</v>
      </c>
      <c r="I3368">
        <v>272</v>
      </c>
      <c r="J3368" t="str">
        <f>HYPERLINK("https://climate.onebuilding.org/WMO_Region_6_Europe/FIN_Finland/LA_Lapland/FIN_LA_Kittila.Pokka.AF.027170_TMYx.zip")</f>
        <v>https://climate.onebuilding.org/WMO_Region_6_Europe/FIN_Finland/LA_Lapland/FIN_LA_Kittila.Pokka.AF.027170_TMYx.zip</v>
      </c>
    </row>
    <row r="3369" spans="1:10" x14ac:dyDescent="0.25">
      <c r="A3369" t="s">
        <v>2310</v>
      </c>
      <c r="B3369" t="s">
        <v>2347</v>
      </c>
      <c r="C3369" t="s">
        <v>2348</v>
      </c>
      <c r="D3369" s="1" t="s">
        <v>2349</v>
      </c>
      <c r="E3369" t="s">
        <v>2350</v>
      </c>
      <c r="F3369">
        <v>61.522500000000001</v>
      </c>
      <c r="G3369">
        <v>28.184999999999999</v>
      </c>
      <c r="H3369">
        <v>2</v>
      </c>
      <c r="I3369">
        <v>98</v>
      </c>
      <c r="J3369" t="str">
        <f>HYPERLINK("https://climate.onebuilding.org/WMO_Region_6_Europe/FIN_Finland/SS_South_Savo/FIN_SS_Puumala.KK.Urheilukentta.027180_TMYx.2004-2018.zip")</f>
        <v>https://climate.onebuilding.org/WMO_Region_6_Europe/FIN_Finland/SS_South_Savo/FIN_SS_Puumala.KK.Urheilukentta.027180_TMYx.2004-2018.zip</v>
      </c>
    </row>
    <row r="3370" spans="1:10" x14ac:dyDescent="0.25">
      <c r="A3370" t="s">
        <v>2310</v>
      </c>
      <c r="B3370" t="s">
        <v>2347</v>
      </c>
      <c r="C3370" t="s">
        <v>2348</v>
      </c>
      <c r="D3370" s="1" t="s">
        <v>2349</v>
      </c>
      <c r="E3370" t="s">
        <v>14</v>
      </c>
      <c r="F3370">
        <v>61.522500000000001</v>
      </c>
      <c r="G3370">
        <v>28.184999999999999</v>
      </c>
      <c r="H3370">
        <v>2</v>
      </c>
      <c r="I3370">
        <v>98</v>
      </c>
      <c r="J3370" t="str">
        <f>HYPERLINK("https://climate.onebuilding.org/WMO_Region_6_Europe/FIN_Finland/SS_South_Savo/FIN_SS_Puumala.KK.Urheilukentta.027180_TMYx.2007-2021.zip")</f>
        <v>https://climate.onebuilding.org/WMO_Region_6_Europe/FIN_Finland/SS_South_Savo/FIN_SS_Puumala.KK.Urheilukentta.027180_TMYx.2007-2021.zip</v>
      </c>
    </row>
    <row r="3371" spans="1:10" x14ac:dyDescent="0.25">
      <c r="A3371" t="s">
        <v>2310</v>
      </c>
      <c r="B3371" t="s">
        <v>2347</v>
      </c>
      <c r="C3371" t="s">
        <v>2348</v>
      </c>
      <c r="D3371" s="1" t="s">
        <v>2349</v>
      </c>
      <c r="E3371" t="s">
        <v>14</v>
      </c>
      <c r="F3371">
        <v>61.522500000000001</v>
      </c>
      <c r="G3371">
        <v>28.184999999999999</v>
      </c>
      <c r="H3371">
        <v>2</v>
      </c>
      <c r="I3371">
        <v>98</v>
      </c>
      <c r="J3371" t="str">
        <f>HYPERLINK("https://climate.onebuilding.org/WMO_Region_6_Europe/FIN_Finland/SS_South_Savo/FIN_SS_Puumala.KK.Urheilukentta.027180_TMYx.2009-2023.zip")</f>
        <v>https://climate.onebuilding.org/WMO_Region_6_Europe/FIN_Finland/SS_South_Savo/FIN_SS_Puumala.KK.Urheilukentta.027180_TMYx.2009-2023.zip</v>
      </c>
    </row>
    <row r="3372" spans="1:10" x14ac:dyDescent="0.25">
      <c r="A3372" t="s">
        <v>2310</v>
      </c>
      <c r="B3372" t="s">
        <v>2347</v>
      </c>
      <c r="C3372" t="s">
        <v>2348</v>
      </c>
      <c r="D3372" s="1" t="s">
        <v>2349</v>
      </c>
      <c r="E3372" t="s">
        <v>14</v>
      </c>
      <c r="F3372">
        <v>61.522500000000001</v>
      </c>
      <c r="G3372">
        <v>28.184999999999999</v>
      </c>
      <c r="H3372">
        <v>2</v>
      </c>
      <c r="I3372">
        <v>98</v>
      </c>
      <c r="J3372" t="str">
        <f>HYPERLINK("https://climate.onebuilding.org/WMO_Region_6_Europe/FIN_Finland/SS_South_Savo/FIN_SS_Puumala.KK.Urheilukentta.027180_TMYx.zip")</f>
        <v>https://climate.onebuilding.org/WMO_Region_6_Europe/FIN_Finland/SS_South_Savo/FIN_SS_Puumala.KK.Urheilukentta.027180_TMYx.zip</v>
      </c>
    </row>
    <row r="3373" spans="1:10" x14ac:dyDescent="0.25">
      <c r="A3373" t="s">
        <v>2310</v>
      </c>
      <c r="B3373" t="s">
        <v>1184</v>
      </c>
      <c r="C3373" t="s">
        <v>2351</v>
      </c>
      <c r="D3373" s="1" t="s">
        <v>2352</v>
      </c>
      <c r="E3373" t="s">
        <v>2353</v>
      </c>
      <c r="F3373">
        <v>67.821399999999997</v>
      </c>
      <c r="G3373">
        <v>27.746400000000001</v>
      </c>
      <c r="H3373">
        <v>2</v>
      </c>
      <c r="I3373">
        <v>240</v>
      </c>
      <c r="J3373" t="str">
        <f>HYPERLINK("https://climate.onebuilding.org/WMO_Region_6_Europe/FIN_Finland/LA_Lapland/FIN_LA_Sodankyla.Lokka.027190_TMYx.2004-2018.zip")</f>
        <v>https://climate.onebuilding.org/WMO_Region_6_Europe/FIN_Finland/LA_Lapland/FIN_LA_Sodankyla.Lokka.027190_TMYx.2004-2018.zip</v>
      </c>
    </row>
    <row r="3374" spans="1:10" x14ac:dyDescent="0.25">
      <c r="A3374" t="s">
        <v>2310</v>
      </c>
      <c r="B3374" t="s">
        <v>1184</v>
      </c>
      <c r="C3374" t="s">
        <v>2351</v>
      </c>
      <c r="D3374" s="1" t="s">
        <v>2352</v>
      </c>
      <c r="E3374" t="s">
        <v>14</v>
      </c>
      <c r="F3374">
        <v>67.821399999999997</v>
      </c>
      <c r="G3374">
        <v>27.746400000000001</v>
      </c>
      <c r="H3374">
        <v>2</v>
      </c>
      <c r="I3374">
        <v>240</v>
      </c>
      <c r="J3374" t="str">
        <f>HYPERLINK("https://climate.onebuilding.org/WMO_Region_6_Europe/FIN_Finland/LA_Lapland/FIN_LA_Sodankyla.Lokka.027190_TMYx.2007-2021.zip")</f>
        <v>https://climate.onebuilding.org/WMO_Region_6_Europe/FIN_Finland/LA_Lapland/FIN_LA_Sodankyla.Lokka.027190_TMYx.2007-2021.zip</v>
      </c>
    </row>
    <row r="3375" spans="1:10" x14ac:dyDescent="0.25">
      <c r="A3375" t="s">
        <v>2310</v>
      </c>
      <c r="B3375" t="s">
        <v>1184</v>
      </c>
      <c r="C3375" t="s">
        <v>2351</v>
      </c>
      <c r="D3375" s="1" t="s">
        <v>2352</v>
      </c>
      <c r="E3375" t="s">
        <v>14</v>
      </c>
      <c r="F3375">
        <v>67.821399999999997</v>
      </c>
      <c r="G3375">
        <v>27.746400000000001</v>
      </c>
      <c r="H3375">
        <v>2</v>
      </c>
      <c r="I3375">
        <v>240</v>
      </c>
      <c r="J3375" t="str">
        <f>HYPERLINK("https://climate.onebuilding.org/WMO_Region_6_Europe/FIN_Finland/LA_Lapland/FIN_LA_Sodankyla.Lokka.027190_TMYx.2009-2023.zip")</f>
        <v>https://climate.onebuilding.org/WMO_Region_6_Europe/FIN_Finland/LA_Lapland/FIN_LA_Sodankyla.Lokka.027190_TMYx.2009-2023.zip</v>
      </c>
    </row>
    <row r="3376" spans="1:10" x14ac:dyDescent="0.25">
      <c r="A3376" t="s">
        <v>2310</v>
      </c>
      <c r="B3376" t="s">
        <v>1184</v>
      </c>
      <c r="C3376" t="s">
        <v>2351</v>
      </c>
      <c r="D3376" s="1" t="s">
        <v>2352</v>
      </c>
      <c r="E3376" t="s">
        <v>14</v>
      </c>
      <c r="F3376">
        <v>67.821399999999997</v>
      </c>
      <c r="G3376">
        <v>27.746400000000001</v>
      </c>
      <c r="H3376">
        <v>2</v>
      </c>
      <c r="I3376">
        <v>240</v>
      </c>
      <c r="J3376" t="str">
        <f>HYPERLINK("https://climate.onebuilding.org/WMO_Region_6_Europe/FIN_Finland/LA_Lapland/FIN_LA_Sodankyla.Lokka.027190_TMYx.zip")</f>
        <v>https://climate.onebuilding.org/WMO_Region_6_Europe/FIN_Finland/LA_Lapland/FIN_LA_Sodankyla.Lokka.027190_TMYx.zip</v>
      </c>
    </row>
    <row r="3377" spans="1:10" x14ac:dyDescent="0.25">
      <c r="A3377" t="s">
        <v>2310</v>
      </c>
      <c r="B3377" t="s">
        <v>1184</v>
      </c>
      <c r="C3377" t="s">
        <v>2354</v>
      </c>
      <c r="D3377" s="1" t="s">
        <v>2355</v>
      </c>
      <c r="E3377" t="s">
        <v>2356</v>
      </c>
      <c r="F3377">
        <v>67.696100000000001</v>
      </c>
      <c r="G3377">
        <v>24.8581</v>
      </c>
      <c r="H3377">
        <v>2</v>
      </c>
      <c r="I3377">
        <v>196.3</v>
      </c>
      <c r="J3377" t="str">
        <f>HYPERLINK("https://climate.onebuilding.org/WMO_Region_6_Europe/FIN_Finland/LA_Lapland/FIN_LA_Kittila.AP.027200_TMYx.2004-2018.zip")</f>
        <v>https://climate.onebuilding.org/WMO_Region_6_Europe/FIN_Finland/LA_Lapland/FIN_LA_Kittila.AP.027200_TMYx.2004-2018.zip</v>
      </c>
    </row>
    <row r="3378" spans="1:10" x14ac:dyDescent="0.25">
      <c r="A3378" t="s">
        <v>2310</v>
      </c>
      <c r="B3378" t="s">
        <v>1184</v>
      </c>
      <c r="C3378" t="s">
        <v>2354</v>
      </c>
      <c r="D3378" s="1" t="s">
        <v>2355</v>
      </c>
      <c r="E3378" t="s">
        <v>14</v>
      </c>
      <c r="F3378">
        <v>67.696100000000001</v>
      </c>
      <c r="G3378">
        <v>24.8581</v>
      </c>
      <c r="H3378">
        <v>2</v>
      </c>
      <c r="I3378">
        <v>196.3</v>
      </c>
      <c r="J3378" t="str">
        <f>HYPERLINK("https://climate.onebuilding.org/WMO_Region_6_Europe/FIN_Finland/LA_Lapland/FIN_LA_Kittila.AP.027200_TMYx.2007-2021.zip")</f>
        <v>https://climate.onebuilding.org/WMO_Region_6_Europe/FIN_Finland/LA_Lapland/FIN_LA_Kittila.AP.027200_TMYx.2007-2021.zip</v>
      </c>
    </row>
    <row r="3379" spans="1:10" x14ac:dyDescent="0.25">
      <c r="A3379" t="s">
        <v>2310</v>
      </c>
      <c r="B3379" t="s">
        <v>1184</v>
      </c>
      <c r="C3379" t="s">
        <v>2354</v>
      </c>
      <c r="D3379" s="1" t="s">
        <v>2355</v>
      </c>
      <c r="E3379" t="s">
        <v>14</v>
      </c>
      <c r="F3379">
        <v>67.696100000000001</v>
      </c>
      <c r="G3379">
        <v>24.8581</v>
      </c>
      <c r="H3379">
        <v>2</v>
      </c>
      <c r="I3379">
        <v>196.3</v>
      </c>
      <c r="J3379" t="str">
        <f>HYPERLINK("https://climate.onebuilding.org/WMO_Region_6_Europe/FIN_Finland/LA_Lapland/FIN_LA_Kittila.AP.027200_TMYx.2009-2023.zip")</f>
        <v>https://climate.onebuilding.org/WMO_Region_6_Europe/FIN_Finland/LA_Lapland/FIN_LA_Kittila.AP.027200_TMYx.2009-2023.zip</v>
      </c>
    </row>
    <row r="3380" spans="1:10" x14ac:dyDescent="0.25">
      <c r="A3380" t="s">
        <v>2310</v>
      </c>
      <c r="B3380" t="s">
        <v>1184</v>
      </c>
      <c r="C3380" t="s">
        <v>2354</v>
      </c>
      <c r="D3380" s="1" t="s">
        <v>2355</v>
      </c>
      <c r="E3380" t="s">
        <v>14</v>
      </c>
      <c r="F3380">
        <v>67.696100000000001</v>
      </c>
      <c r="G3380">
        <v>24.8581</v>
      </c>
      <c r="H3380">
        <v>2</v>
      </c>
      <c r="I3380">
        <v>196.3</v>
      </c>
      <c r="J3380" t="str">
        <f>HYPERLINK("https://climate.onebuilding.org/WMO_Region_6_Europe/FIN_Finland/LA_Lapland/FIN_LA_Kittila.AP.027200_TMYx.zip")</f>
        <v>https://climate.onebuilding.org/WMO_Region_6_Europe/FIN_Finland/LA_Lapland/FIN_LA_Kittila.AP.027200_TMYx.zip</v>
      </c>
    </row>
    <row r="3381" spans="1:10" x14ac:dyDescent="0.25">
      <c r="A3381" t="s">
        <v>2310</v>
      </c>
      <c r="B3381" t="s">
        <v>2357</v>
      </c>
      <c r="C3381" t="s">
        <v>2358</v>
      </c>
      <c r="D3381" s="1" t="s">
        <v>2359</v>
      </c>
      <c r="E3381" t="s">
        <v>2360</v>
      </c>
      <c r="F3381">
        <v>63.950800000000001</v>
      </c>
      <c r="G3381">
        <v>22.8444</v>
      </c>
      <c r="H3381">
        <v>2</v>
      </c>
      <c r="I3381">
        <v>6.3</v>
      </c>
      <c r="J3381" t="str">
        <f>HYPERLINK("https://climate.onebuilding.org/WMO_Region_6_Europe/FIN_Finland/CO_Central_Ostrobothnia/FIN_CO_Kokkola.Tankar.027210_TMYx.2004-2018.zip")</f>
        <v>https://climate.onebuilding.org/WMO_Region_6_Europe/FIN_Finland/CO_Central_Ostrobothnia/FIN_CO_Kokkola.Tankar.027210_TMYx.2004-2018.zip</v>
      </c>
    </row>
    <row r="3382" spans="1:10" x14ac:dyDescent="0.25">
      <c r="A3382" t="s">
        <v>2310</v>
      </c>
      <c r="B3382" t="s">
        <v>2357</v>
      </c>
      <c r="C3382" t="s">
        <v>2358</v>
      </c>
      <c r="D3382" s="1" t="s">
        <v>2359</v>
      </c>
      <c r="E3382" t="s">
        <v>14</v>
      </c>
      <c r="F3382">
        <v>63.950800000000001</v>
      </c>
      <c r="G3382">
        <v>22.8444</v>
      </c>
      <c r="H3382">
        <v>2</v>
      </c>
      <c r="I3382">
        <v>6.3</v>
      </c>
      <c r="J3382" t="str">
        <f>HYPERLINK("https://climate.onebuilding.org/WMO_Region_6_Europe/FIN_Finland/CO_Central_Ostrobothnia/FIN_CO_Kokkola.Tankar.027210_TMYx.2007-2021.zip")</f>
        <v>https://climate.onebuilding.org/WMO_Region_6_Europe/FIN_Finland/CO_Central_Ostrobothnia/FIN_CO_Kokkola.Tankar.027210_TMYx.2007-2021.zip</v>
      </c>
    </row>
    <row r="3383" spans="1:10" x14ac:dyDescent="0.25">
      <c r="A3383" t="s">
        <v>2310</v>
      </c>
      <c r="B3383" t="s">
        <v>2357</v>
      </c>
      <c r="C3383" t="s">
        <v>2358</v>
      </c>
      <c r="D3383" s="1" t="s">
        <v>2359</v>
      </c>
      <c r="E3383" t="s">
        <v>14</v>
      </c>
      <c r="F3383">
        <v>63.950800000000001</v>
      </c>
      <c r="G3383">
        <v>22.8444</v>
      </c>
      <c r="H3383">
        <v>2</v>
      </c>
      <c r="I3383">
        <v>6.3</v>
      </c>
      <c r="J3383" t="str">
        <f>HYPERLINK("https://climate.onebuilding.org/WMO_Region_6_Europe/FIN_Finland/CO_Central_Ostrobothnia/FIN_CO_Kokkola.Tankar.027210_TMYx.2009-2023.zip")</f>
        <v>https://climate.onebuilding.org/WMO_Region_6_Europe/FIN_Finland/CO_Central_Ostrobothnia/FIN_CO_Kokkola.Tankar.027210_TMYx.2009-2023.zip</v>
      </c>
    </row>
    <row r="3384" spans="1:10" x14ac:dyDescent="0.25">
      <c r="A3384" t="s">
        <v>2310</v>
      </c>
      <c r="B3384" t="s">
        <v>2357</v>
      </c>
      <c r="C3384" t="s">
        <v>2358</v>
      </c>
      <c r="D3384" s="1" t="s">
        <v>2359</v>
      </c>
      <c r="E3384" t="s">
        <v>14</v>
      </c>
      <c r="F3384">
        <v>63.950800000000001</v>
      </c>
      <c r="G3384">
        <v>22.8444</v>
      </c>
      <c r="H3384">
        <v>2</v>
      </c>
      <c r="I3384">
        <v>6.3</v>
      </c>
      <c r="J3384" t="str">
        <f>HYPERLINK("https://climate.onebuilding.org/WMO_Region_6_Europe/FIN_Finland/CO_Central_Ostrobothnia/FIN_CO_Kokkola.Tankar.027210_TMYx.zip")</f>
        <v>https://climate.onebuilding.org/WMO_Region_6_Europe/FIN_Finland/CO_Central_Ostrobothnia/FIN_CO_Kokkola.Tankar.027210_TMYx.zip</v>
      </c>
    </row>
    <row r="3385" spans="1:10" x14ac:dyDescent="0.25">
      <c r="A3385" t="s">
        <v>2310</v>
      </c>
      <c r="B3385" t="s">
        <v>1184</v>
      </c>
      <c r="C3385" t="s">
        <v>2361</v>
      </c>
      <c r="D3385" s="1" t="s">
        <v>2362</v>
      </c>
      <c r="E3385" t="s">
        <v>2363</v>
      </c>
      <c r="F3385">
        <v>68.415000000000006</v>
      </c>
      <c r="G3385">
        <v>27.4133</v>
      </c>
      <c r="H3385">
        <v>2</v>
      </c>
      <c r="I3385">
        <v>302</v>
      </c>
      <c r="J3385" t="str">
        <f>HYPERLINK("https://climate.onebuilding.org/WMO_Region_6_Europe/FIN_Finland/LA_Lapland/FIN_LA_Inari-Saariselka.027220_TMYx.2004-2018.zip")</f>
        <v>https://climate.onebuilding.org/WMO_Region_6_Europe/FIN_Finland/LA_Lapland/FIN_LA_Inari-Saariselka.027220_TMYx.2004-2018.zip</v>
      </c>
    </row>
    <row r="3386" spans="1:10" x14ac:dyDescent="0.25">
      <c r="A3386" t="s">
        <v>2310</v>
      </c>
      <c r="B3386" t="s">
        <v>1184</v>
      </c>
      <c r="C3386" t="s">
        <v>2361</v>
      </c>
      <c r="D3386" s="1" t="s">
        <v>2362</v>
      </c>
      <c r="E3386" t="s">
        <v>14</v>
      </c>
      <c r="F3386">
        <v>68.415000000000006</v>
      </c>
      <c r="G3386">
        <v>27.4133</v>
      </c>
      <c r="H3386">
        <v>2</v>
      </c>
      <c r="I3386">
        <v>302</v>
      </c>
      <c r="J3386" t="str">
        <f>HYPERLINK("https://climate.onebuilding.org/WMO_Region_6_Europe/FIN_Finland/LA_Lapland/FIN_LA_Inari-Saariselka.027220_TMYx.2007-2021.zip")</f>
        <v>https://climate.onebuilding.org/WMO_Region_6_Europe/FIN_Finland/LA_Lapland/FIN_LA_Inari-Saariselka.027220_TMYx.2007-2021.zip</v>
      </c>
    </row>
    <row r="3387" spans="1:10" x14ac:dyDescent="0.25">
      <c r="A3387" t="s">
        <v>2310</v>
      </c>
      <c r="B3387" t="s">
        <v>1184</v>
      </c>
      <c r="C3387" t="s">
        <v>2361</v>
      </c>
      <c r="D3387" s="1" t="s">
        <v>2362</v>
      </c>
      <c r="E3387" t="s">
        <v>14</v>
      </c>
      <c r="F3387">
        <v>68.415000000000006</v>
      </c>
      <c r="G3387">
        <v>27.4133</v>
      </c>
      <c r="H3387">
        <v>2</v>
      </c>
      <c r="I3387">
        <v>302</v>
      </c>
      <c r="J3387" t="str">
        <f>HYPERLINK("https://climate.onebuilding.org/WMO_Region_6_Europe/FIN_Finland/LA_Lapland/FIN_LA_Inari-Saariselka.027220_TMYx.2009-2023.zip")</f>
        <v>https://climate.onebuilding.org/WMO_Region_6_Europe/FIN_Finland/LA_Lapland/FIN_LA_Inari-Saariselka.027220_TMYx.2009-2023.zip</v>
      </c>
    </row>
    <row r="3388" spans="1:10" x14ac:dyDescent="0.25">
      <c r="A3388" t="s">
        <v>2310</v>
      </c>
      <c r="B3388" t="s">
        <v>1184</v>
      </c>
      <c r="C3388" t="s">
        <v>2361</v>
      </c>
      <c r="D3388" s="1" t="s">
        <v>2362</v>
      </c>
      <c r="E3388" t="s">
        <v>14</v>
      </c>
      <c r="F3388">
        <v>68.415000000000006</v>
      </c>
      <c r="G3388">
        <v>27.4133</v>
      </c>
      <c r="H3388">
        <v>2</v>
      </c>
      <c r="I3388">
        <v>302</v>
      </c>
      <c r="J3388" t="str">
        <f>HYPERLINK("https://climate.onebuilding.org/WMO_Region_6_Europe/FIN_Finland/LA_Lapland/FIN_LA_Inari-Saariselka.027220_TMYx.zip")</f>
        <v>https://climate.onebuilding.org/WMO_Region_6_Europe/FIN_Finland/LA_Lapland/FIN_LA_Inari-Saariselka.027220_TMYx.zip</v>
      </c>
    </row>
    <row r="3389" spans="1:10" x14ac:dyDescent="0.25">
      <c r="A3389" t="s">
        <v>2310</v>
      </c>
      <c r="B3389" t="s">
        <v>1184</v>
      </c>
      <c r="C3389" t="s">
        <v>2364</v>
      </c>
      <c r="D3389" s="1" t="s">
        <v>2365</v>
      </c>
      <c r="E3389" t="s">
        <v>2366</v>
      </c>
      <c r="F3389">
        <v>67.784700000000001</v>
      </c>
      <c r="G3389">
        <v>24.853100000000001</v>
      </c>
      <c r="H3389">
        <v>2</v>
      </c>
      <c r="I3389">
        <v>200</v>
      </c>
      <c r="J3389" t="str">
        <f>HYPERLINK("https://climate.onebuilding.org/WMO_Region_6_Europe/FIN_Finland/LA_Lapland/FIN_LA_Kittila.Levitunturi.027230_TMYx.2004-2018.zip")</f>
        <v>https://climate.onebuilding.org/WMO_Region_6_Europe/FIN_Finland/LA_Lapland/FIN_LA_Kittila.Levitunturi.027230_TMYx.2004-2018.zip</v>
      </c>
    </row>
    <row r="3390" spans="1:10" x14ac:dyDescent="0.25">
      <c r="A3390" t="s">
        <v>2310</v>
      </c>
      <c r="B3390" t="s">
        <v>1184</v>
      </c>
      <c r="C3390" t="s">
        <v>2364</v>
      </c>
      <c r="D3390" s="1" t="s">
        <v>2365</v>
      </c>
      <c r="E3390" t="s">
        <v>14</v>
      </c>
      <c r="F3390">
        <v>67.784700000000001</v>
      </c>
      <c r="G3390">
        <v>24.853100000000001</v>
      </c>
      <c r="H3390">
        <v>2</v>
      </c>
      <c r="I3390">
        <v>200</v>
      </c>
      <c r="J3390" t="str">
        <f>HYPERLINK("https://climate.onebuilding.org/WMO_Region_6_Europe/FIN_Finland/LA_Lapland/FIN_LA_Kittila.Levitunturi.027230_TMYx.2007-2021.zip")</f>
        <v>https://climate.onebuilding.org/WMO_Region_6_Europe/FIN_Finland/LA_Lapland/FIN_LA_Kittila.Levitunturi.027230_TMYx.2007-2021.zip</v>
      </c>
    </row>
    <row r="3391" spans="1:10" x14ac:dyDescent="0.25">
      <c r="A3391" t="s">
        <v>2310</v>
      </c>
      <c r="B3391" t="s">
        <v>1184</v>
      </c>
      <c r="C3391" t="s">
        <v>2364</v>
      </c>
      <c r="D3391" s="1" t="s">
        <v>2365</v>
      </c>
      <c r="E3391" t="s">
        <v>14</v>
      </c>
      <c r="F3391">
        <v>67.784700000000001</v>
      </c>
      <c r="G3391">
        <v>24.853100000000001</v>
      </c>
      <c r="H3391">
        <v>2</v>
      </c>
      <c r="I3391">
        <v>200</v>
      </c>
      <c r="J3391" t="str">
        <f>HYPERLINK("https://climate.onebuilding.org/WMO_Region_6_Europe/FIN_Finland/LA_Lapland/FIN_LA_Kittila.Levitunturi.027230_TMYx.2009-2023.zip")</f>
        <v>https://climate.onebuilding.org/WMO_Region_6_Europe/FIN_Finland/LA_Lapland/FIN_LA_Kittila.Levitunturi.027230_TMYx.2009-2023.zip</v>
      </c>
    </row>
    <row r="3392" spans="1:10" x14ac:dyDescent="0.25">
      <c r="A3392" t="s">
        <v>2310</v>
      </c>
      <c r="B3392" t="s">
        <v>1184</v>
      </c>
      <c r="C3392" t="s">
        <v>2364</v>
      </c>
      <c r="D3392" s="1" t="s">
        <v>2365</v>
      </c>
      <c r="E3392" t="s">
        <v>14</v>
      </c>
      <c r="F3392">
        <v>67.784700000000001</v>
      </c>
      <c r="G3392">
        <v>24.853100000000001</v>
      </c>
      <c r="H3392">
        <v>2</v>
      </c>
      <c r="I3392">
        <v>200</v>
      </c>
      <c r="J3392" t="str">
        <f>HYPERLINK("https://climate.onebuilding.org/WMO_Region_6_Europe/FIN_Finland/LA_Lapland/FIN_LA_Kittila.Levitunturi.027230_TMYx.zip")</f>
        <v>https://climate.onebuilding.org/WMO_Region_6_Europe/FIN_Finland/LA_Lapland/FIN_LA_Kittila.Levitunturi.027230_TMYx.zip</v>
      </c>
    </row>
    <row r="3393" spans="1:10" x14ac:dyDescent="0.25">
      <c r="A3393" t="s">
        <v>2310</v>
      </c>
      <c r="B3393" t="s">
        <v>2357</v>
      </c>
      <c r="C3393" t="s">
        <v>2367</v>
      </c>
      <c r="D3393" s="1" t="s">
        <v>2368</v>
      </c>
      <c r="E3393" t="s">
        <v>2369</v>
      </c>
      <c r="F3393">
        <v>63.445599999999999</v>
      </c>
      <c r="G3393">
        <v>24.444199999999999</v>
      </c>
      <c r="H3393">
        <v>2</v>
      </c>
      <c r="I3393">
        <v>153</v>
      </c>
      <c r="J3393" t="str">
        <f>HYPERLINK("https://climate.onebuilding.org/WMO_Region_6_Europe/FIN_Finland/CO_Central_Ostrobothnia/FIN_CO_Halsua.Kanala.Purola.027250_TMYx.2004-2018.zip")</f>
        <v>https://climate.onebuilding.org/WMO_Region_6_Europe/FIN_Finland/CO_Central_Ostrobothnia/FIN_CO_Halsua.Kanala.Purola.027250_TMYx.2004-2018.zip</v>
      </c>
    </row>
    <row r="3394" spans="1:10" x14ac:dyDescent="0.25">
      <c r="A3394" t="s">
        <v>2310</v>
      </c>
      <c r="B3394" t="s">
        <v>2357</v>
      </c>
      <c r="C3394" t="s">
        <v>2367</v>
      </c>
      <c r="D3394" s="1" t="s">
        <v>2368</v>
      </c>
      <c r="E3394" t="s">
        <v>14</v>
      </c>
      <c r="F3394">
        <v>63.445599999999999</v>
      </c>
      <c r="G3394">
        <v>24.444199999999999</v>
      </c>
      <c r="H3394">
        <v>2</v>
      </c>
      <c r="I3394">
        <v>153</v>
      </c>
      <c r="J3394" t="str">
        <f>HYPERLINK("https://climate.onebuilding.org/WMO_Region_6_Europe/FIN_Finland/CO_Central_Ostrobothnia/FIN_CO_Halsua.Kanala.Purola.027250_TMYx.2007-2021.zip")</f>
        <v>https://climate.onebuilding.org/WMO_Region_6_Europe/FIN_Finland/CO_Central_Ostrobothnia/FIN_CO_Halsua.Kanala.Purola.027250_TMYx.2007-2021.zip</v>
      </c>
    </row>
    <row r="3395" spans="1:10" x14ac:dyDescent="0.25">
      <c r="A3395" t="s">
        <v>2310</v>
      </c>
      <c r="B3395" t="s">
        <v>2357</v>
      </c>
      <c r="C3395" t="s">
        <v>2367</v>
      </c>
      <c r="D3395" s="1" t="s">
        <v>2368</v>
      </c>
      <c r="E3395" t="s">
        <v>14</v>
      </c>
      <c r="F3395">
        <v>63.445599999999999</v>
      </c>
      <c r="G3395">
        <v>24.444199999999999</v>
      </c>
      <c r="H3395">
        <v>2</v>
      </c>
      <c r="I3395">
        <v>153</v>
      </c>
      <c r="J3395" t="str">
        <f>HYPERLINK("https://climate.onebuilding.org/WMO_Region_6_Europe/FIN_Finland/CO_Central_Ostrobothnia/FIN_CO_Halsua.Kanala.Purola.027250_TMYx.2009-2023.zip")</f>
        <v>https://climate.onebuilding.org/WMO_Region_6_Europe/FIN_Finland/CO_Central_Ostrobothnia/FIN_CO_Halsua.Kanala.Purola.027250_TMYx.2009-2023.zip</v>
      </c>
    </row>
    <row r="3396" spans="1:10" x14ac:dyDescent="0.25">
      <c r="A3396" t="s">
        <v>2310</v>
      </c>
      <c r="B3396" t="s">
        <v>2357</v>
      </c>
      <c r="C3396" t="s">
        <v>2367</v>
      </c>
      <c r="D3396" s="1" t="s">
        <v>2368</v>
      </c>
      <c r="E3396" t="s">
        <v>14</v>
      </c>
      <c r="F3396">
        <v>63.445599999999999</v>
      </c>
      <c r="G3396">
        <v>24.444199999999999</v>
      </c>
      <c r="H3396">
        <v>2</v>
      </c>
      <c r="I3396">
        <v>153</v>
      </c>
      <c r="J3396" t="str">
        <f>HYPERLINK("https://climate.onebuilding.org/WMO_Region_6_Europe/FIN_Finland/CO_Central_Ostrobothnia/FIN_CO_Halsua.Kanala.Purola.027250_TMYx.zip")</f>
        <v>https://climate.onebuilding.org/WMO_Region_6_Europe/FIN_Finland/CO_Central_Ostrobothnia/FIN_CO_Halsua.Kanala.Purola.027250_TMYx.zip</v>
      </c>
    </row>
    <row r="3397" spans="1:10" x14ac:dyDescent="0.25">
      <c r="A3397" t="s">
        <v>2310</v>
      </c>
      <c r="B3397" t="s">
        <v>1184</v>
      </c>
      <c r="C3397" t="s">
        <v>2370</v>
      </c>
      <c r="D3397" s="1" t="s">
        <v>2371</v>
      </c>
      <c r="E3397" t="s">
        <v>2372</v>
      </c>
      <c r="F3397">
        <v>68.603099999999998</v>
      </c>
      <c r="G3397">
        <v>23.5761</v>
      </c>
      <c r="H3397">
        <v>2</v>
      </c>
      <c r="I3397">
        <v>374</v>
      </c>
      <c r="J3397" t="str">
        <f>HYPERLINK("https://climate.onebuilding.org/WMO_Region_6_Europe/FIN_Finland/LA_Lapland/FIN_LA_Enontekio.Nakkala.027260_TMYx.2004-2018.zip")</f>
        <v>https://climate.onebuilding.org/WMO_Region_6_Europe/FIN_Finland/LA_Lapland/FIN_LA_Enontekio.Nakkala.027260_TMYx.2004-2018.zip</v>
      </c>
    </row>
    <row r="3398" spans="1:10" x14ac:dyDescent="0.25">
      <c r="A3398" t="s">
        <v>2310</v>
      </c>
      <c r="B3398" t="s">
        <v>1184</v>
      </c>
      <c r="C3398" t="s">
        <v>2370</v>
      </c>
      <c r="D3398" s="1" t="s">
        <v>2371</v>
      </c>
      <c r="E3398" t="s">
        <v>14</v>
      </c>
      <c r="F3398">
        <v>68.603099999999998</v>
      </c>
      <c r="G3398">
        <v>23.5761</v>
      </c>
      <c r="H3398">
        <v>2</v>
      </c>
      <c r="I3398">
        <v>374</v>
      </c>
      <c r="J3398" t="str">
        <f>HYPERLINK("https://climate.onebuilding.org/WMO_Region_6_Europe/FIN_Finland/LA_Lapland/FIN_LA_Enontekio.Nakkala.027260_TMYx.2007-2021.zip")</f>
        <v>https://climate.onebuilding.org/WMO_Region_6_Europe/FIN_Finland/LA_Lapland/FIN_LA_Enontekio.Nakkala.027260_TMYx.2007-2021.zip</v>
      </c>
    </row>
    <row r="3399" spans="1:10" x14ac:dyDescent="0.25">
      <c r="A3399" t="s">
        <v>2310</v>
      </c>
      <c r="B3399" t="s">
        <v>1184</v>
      </c>
      <c r="C3399" t="s">
        <v>2370</v>
      </c>
      <c r="D3399" s="1" t="s">
        <v>2371</v>
      </c>
      <c r="E3399" t="s">
        <v>14</v>
      </c>
      <c r="F3399">
        <v>68.603099999999998</v>
      </c>
      <c r="G3399">
        <v>23.5761</v>
      </c>
      <c r="H3399">
        <v>2</v>
      </c>
      <c r="I3399">
        <v>374</v>
      </c>
      <c r="J3399" t="str">
        <f>HYPERLINK("https://climate.onebuilding.org/WMO_Region_6_Europe/FIN_Finland/LA_Lapland/FIN_LA_Enontekio.Nakkala.027260_TMYx.2009-2023.zip")</f>
        <v>https://climate.onebuilding.org/WMO_Region_6_Europe/FIN_Finland/LA_Lapland/FIN_LA_Enontekio.Nakkala.027260_TMYx.2009-2023.zip</v>
      </c>
    </row>
    <row r="3400" spans="1:10" x14ac:dyDescent="0.25">
      <c r="A3400" t="s">
        <v>2310</v>
      </c>
      <c r="B3400" t="s">
        <v>1184</v>
      </c>
      <c r="C3400" t="s">
        <v>2370</v>
      </c>
      <c r="D3400" s="1" t="s">
        <v>2371</v>
      </c>
      <c r="E3400" t="s">
        <v>14</v>
      </c>
      <c r="F3400">
        <v>68.603099999999998</v>
      </c>
      <c r="G3400">
        <v>23.5761</v>
      </c>
      <c r="H3400">
        <v>2</v>
      </c>
      <c r="I3400">
        <v>374</v>
      </c>
      <c r="J3400" t="str">
        <f>HYPERLINK("https://climate.onebuilding.org/WMO_Region_6_Europe/FIN_Finland/LA_Lapland/FIN_LA_Enontekio.Nakkala.027260_TMYx.zip")</f>
        <v>https://climate.onebuilding.org/WMO_Region_6_Europe/FIN_Finland/LA_Lapland/FIN_LA_Enontekio.Nakkala.027260_TMYx.zip</v>
      </c>
    </row>
    <row r="3401" spans="1:10" x14ac:dyDescent="0.25">
      <c r="A3401" t="s">
        <v>2310</v>
      </c>
      <c r="B3401" t="s">
        <v>2373</v>
      </c>
      <c r="C3401" t="s">
        <v>2374</v>
      </c>
      <c r="D3401" s="1" t="s">
        <v>2375</v>
      </c>
      <c r="E3401" t="s">
        <v>2376</v>
      </c>
      <c r="F3401">
        <v>61.265300000000003</v>
      </c>
      <c r="G3401">
        <v>25.520299999999999</v>
      </c>
      <c r="H3401">
        <v>2</v>
      </c>
      <c r="I3401">
        <v>76</v>
      </c>
      <c r="J3401" t="str">
        <f>HYPERLINK("https://climate.onebuilding.org/WMO_Region_6_Europe/FIN_Finland/PH_Paijat-Hame/FIN_PH_Asikkala.Pulkkilanharju.027270_TMYx.2004-2018.zip")</f>
        <v>https://climate.onebuilding.org/WMO_Region_6_Europe/FIN_Finland/PH_Paijat-Hame/FIN_PH_Asikkala.Pulkkilanharju.027270_TMYx.2004-2018.zip</v>
      </c>
    </row>
    <row r="3402" spans="1:10" x14ac:dyDescent="0.25">
      <c r="A3402" t="s">
        <v>2310</v>
      </c>
      <c r="B3402" t="s">
        <v>2373</v>
      </c>
      <c r="C3402" t="s">
        <v>2374</v>
      </c>
      <c r="D3402" s="1" t="s">
        <v>2375</v>
      </c>
      <c r="E3402" t="s">
        <v>14</v>
      </c>
      <c r="F3402">
        <v>61.265300000000003</v>
      </c>
      <c r="G3402">
        <v>25.520299999999999</v>
      </c>
      <c r="H3402">
        <v>2</v>
      </c>
      <c r="I3402">
        <v>76</v>
      </c>
      <c r="J3402" t="str">
        <f>HYPERLINK("https://climate.onebuilding.org/WMO_Region_6_Europe/FIN_Finland/PH_Paijat-Hame/FIN_PH_Asikkala.Pulkkilanharju.027270_TMYx.2007-2021.zip")</f>
        <v>https://climate.onebuilding.org/WMO_Region_6_Europe/FIN_Finland/PH_Paijat-Hame/FIN_PH_Asikkala.Pulkkilanharju.027270_TMYx.2007-2021.zip</v>
      </c>
    </row>
    <row r="3403" spans="1:10" x14ac:dyDescent="0.25">
      <c r="A3403" t="s">
        <v>2310</v>
      </c>
      <c r="B3403" t="s">
        <v>2373</v>
      </c>
      <c r="C3403" t="s">
        <v>2374</v>
      </c>
      <c r="D3403" s="1" t="s">
        <v>2375</v>
      </c>
      <c r="E3403" t="s">
        <v>14</v>
      </c>
      <c r="F3403">
        <v>61.265300000000003</v>
      </c>
      <c r="G3403">
        <v>25.520299999999999</v>
      </c>
      <c r="H3403">
        <v>2</v>
      </c>
      <c r="I3403">
        <v>76</v>
      </c>
      <c r="J3403" t="str">
        <f>HYPERLINK("https://climate.onebuilding.org/WMO_Region_6_Europe/FIN_Finland/PH_Paijat-Hame/FIN_PH_Asikkala.Pulkkilanharju.027270_TMYx.2009-2023.zip")</f>
        <v>https://climate.onebuilding.org/WMO_Region_6_Europe/FIN_Finland/PH_Paijat-Hame/FIN_PH_Asikkala.Pulkkilanharju.027270_TMYx.2009-2023.zip</v>
      </c>
    </row>
    <row r="3404" spans="1:10" x14ac:dyDescent="0.25">
      <c r="A3404" t="s">
        <v>2310</v>
      </c>
      <c r="B3404" t="s">
        <v>2373</v>
      </c>
      <c r="C3404" t="s">
        <v>2374</v>
      </c>
      <c r="D3404" s="1" t="s">
        <v>2375</v>
      </c>
      <c r="E3404" t="s">
        <v>14</v>
      </c>
      <c r="F3404">
        <v>61.265300000000003</v>
      </c>
      <c r="G3404">
        <v>25.520299999999999</v>
      </c>
      <c r="H3404">
        <v>2</v>
      </c>
      <c r="I3404">
        <v>76</v>
      </c>
      <c r="J3404" t="str">
        <f>HYPERLINK("https://climate.onebuilding.org/WMO_Region_6_Europe/FIN_Finland/PH_Paijat-Hame/FIN_PH_Asikkala.Pulkkilanharju.027270_TMYx.zip")</f>
        <v>https://climate.onebuilding.org/WMO_Region_6_Europe/FIN_Finland/PH_Paijat-Hame/FIN_PH_Asikkala.Pulkkilanharju.027270_TMYx.zip</v>
      </c>
    </row>
    <row r="3405" spans="1:10" x14ac:dyDescent="0.25">
      <c r="A3405" t="s">
        <v>2310</v>
      </c>
      <c r="B3405" t="s">
        <v>2334</v>
      </c>
      <c r="C3405" t="s">
        <v>2377</v>
      </c>
      <c r="D3405" s="1" t="s">
        <v>2378</v>
      </c>
      <c r="E3405" t="s">
        <v>2379</v>
      </c>
      <c r="F3405">
        <v>62.798900000000003</v>
      </c>
      <c r="G3405">
        <v>27.905000000000001</v>
      </c>
      <c r="H3405">
        <v>2</v>
      </c>
      <c r="I3405">
        <v>87</v>
      </c>
      <c r="J3405" t="str">
        <f>HYPERLINK("https://climate.onebuilding.org/WMO_Region_6_Europe/FIN_Finland/NS_North_Savo/FIN_NS_Kuopio.Ritoniemi.027320_TMYx.2004-2018.zip")</f>
        <v>https://climate.onebuilding.org/WMO_Region_6_Europe/FIN_Finland/NS_North_Savo/FIN_NS_Kuopio.Ritoniemi.027320_TMYx.2004-2018.zip</v>
      </c>
    </row>
    <row r="3406" spans="1:10" x14ac:dyDescent="0.25">
      <c r="A3406" t="s">
        <v>2310</v>
      </c>
      <c r="B3406" t="s">
        <v>2334</v>
      </c>
      <c r="C3406" t="s">
        <v>2377</v>
      </c>
      <c r="D3406" s="1" t="s">
        <v>2378</v>
      </c>
      <c r="E3406" t="s">
        <v>14</v>
      </c>
      <c r="F3406">
        <v>62.798900000000003</v>
      </c>
      <c r="G3406">
        <v>27.905000000000001</v>
      </c>
      <c r="H3406">
        <v>2</v>
      </c>
      <c r="I3406">
        <v>87</v>
      </c>
      <c r="J3406" t="str">
        <f>HYPERLINK("https://climate.onebuilding.org/WMO_Region_6_Europe/FIN_Finland/NS_North_Savo/FIN_NS_Kuopio.Ritoniemi.027320_TMYx.2007-2021.zip")</f>
        <v>https://climate.onebuilding.org/WMO_Region_6_Europe/FIN_Finland/NS_North_Savo/FIN_NS_Kuopio.Ritoniemi.027320_TMYx.2007-2021.zip</v>
      </c>
    </row>
    <row r="3407" spans="1:10" x14ac:dyDescent="0.25">
      <c r="A3407" t="s">
        <v>2310</v>
      </c>
      <c r="B3407" t="s">
        <v>2334</v>
      </c>
      <c r="C3407" t="s">
        <v>2377</v>
      </c>
      <c r="D3407" s="1" t="s">
        <v>2378</v>
      </c>
      <c r="E3407" t="s">
        <v>14</v>
      </c>
      <c r="F3407">
        <v>62.798900000000003</v>
      </c>
      <c r="G3407">
        <v>27.905000000000001</v>
      </c>
      <c r="H3407">
        <v>2</v>
      </c>
      <c r="I3407">
        <v>87</v>
      </c>
      <c r="J3407" t="str">
        <f>HYPERLINK("https://climate.onebuilding.org/WMO_Region_6_Europe/FIN_Finland/NS_North_Savo/FIN_NS_Kuopio.Ritoniemi.027320_TMYx.2009-2023.zip")</f>
        <v>https://climate.onebuilding.org/WMO_Region_6_Europe/FIN_Finland/NS_North_Savo/FIN_NS_Kuopio.Ritoniemi.027320_TMYx.2009-2023.zip</v>
      </c>
    </row>
    <row r="3408" spans="1:10" x14ac:dyDescent="0.25">
      <c r="A3408" t="s">
        <v>2310</v>
      </c>
      <c r="B3408" t="s">
        <v>2334</v>
      </c>
      <c r="C3408" t="s">
        <v>2377</v>
      </c>
      <c r="D3408" s="1" t="s">
        <v>2378</v>
      </c>
      <c r="E3408" t="s">
        <v>14</v>
      </c>
      <c r="F3408">
        <v>62.798900000000003</v>
      </c>
      <c r="G3408">
        <v>27.905000000000001</v>
      </c>
      <c r="H3408">
        <v>2</v>
      </c>
      <c r="I3408">
        <v>87</v>
      </c>
      <c r="J3408" t="str">
        <f>HYPERLINK("https://climate.onebuilding.org/WMO_Region_6_Europe/FIN_Finland/NS_North_Savo/FIN_NS_Kuopio.Ritoniemi.027320_TMYx.zip")</f>
        <v>https://climate.onebuilding.org/WMO_Region_6_Europe/FIN_Finland/NS_North_Savo/FIN_NS_Kuopio.Ritoniemi.027320_TMYx.zip</v>
      </c>
    </row>
    <row r="3409" spans="1:10" x14ac:dyDescent="0.25">
      <c r="A3409" t="s">
        <v>2310</v>
      </c>
      <c r="B3409" t="s">
        <v>1239</v>
      </c>
      <c r="C3409" t="s">
        <v>2380</v>
      </c>
      <c r="D3409" s="1" t="s">
        <v>2381</v>
      </c>
      <c r="E3409" t="s">
        <v>2382</v>
      </c>
      <c r="F3409">
        <v>61.038899999999998</v>
      </c>
      <c r="G3409">
        <v>28.5639</v>
      </c>
      <c r="H3409">
        <v>2</v>
      </c>
      <c r="I3409">
        <v>46.4</v>
      </c>
      <c r="J3409" t="str">
        <f>HYPERLINK("https://climate.onebuilding.org/WMO_Region_6_Europe/FIN_Finland/SK_South_Karelia/FIN_SK_Lappeenranta.Konnunsuo.027330_TMYx.2004-2018.zip")</f>
        <v>https://climate.onebuilding.org/WMO_Region_6_Europe/FIN_Finland/SK_South_Karelia/FIN_SK_Lappeenranta.Konnunsuo.027330_TMYx.2004-2018.zip</v>
      </c>
    </row>
    <row r="3410" spans="1:10" x14ac:dyDescent="0.25">
      <c r="A3410" t="s">
        <v>2310</v>
      </c>
      <c r="B3410" t="s">
        <v>1239</v>
      </c>
      <c r="C3410" t="s">
        <v>2380</v>
      </c>
      <c r="D3410" s="1" t="s">
        <v>2381</v>
      </c>
      <c r="E3410" t="s">
        <v>14</v>
      </c>
      <c r="F3410">
        <v>61.038899999999998</v>
      </c>
      <c r="G3410">
        <v>28.5639</v>
      </c>
      <c r="H3410">
        <v>2</v>
      </c>
      <c r="I3410">
        <v>46.4</v>
      </c>
      <c r="J3410" t="str">
        <f>HYPERLINK("https://climate.onebuilding.org/WMO_Region_6_Europe/FIN_Finland/SK_South_Karelia/FIN_SK_Lappeenranta.Konnunsuo.027330_TMYx.2007-2021.zip")</f>
        <v>https://climate.onebuilding.org/WMO_Region_6_Europe/FIN_Finland/SK_South_Karelia/FIN_SK_Lappeenranta.Konnunsuo.027330_TMYx.2007-2021.zip</v>
      </c>
    </row>
    <row r="3411" spans="1:10" x14ac:dyDescent="0.25">
      <c r="A3411" t="s">
        <v>2310</v>
      </c>
      <c r="B3411" t="s">
        <v>1239</v>
      </c>
      <c r="C3411" t="s">
        <v>2380</v>
      </c>
      <c r="D3411" s="1" t="s">
        <v>2381</v>
      </c>
      <c r="E3411" t="s">
        <v>14</v>
      </c>
      <c r="F3411">
        <v>61.038899999999998</v>
      </c>
      <c r="G3411">
        <v>28.5639</v>
      </c>
      <c r="H3411">
        <v>2</v>
      </c>
      <c r="I3411">
        <v>46.4</v>
      </c>
      <c r="J3411" t="str">
        <f>HYPERLINK("https://climate.onebuilding.org/WMO_Region_6_Europe/FIN_Finland/SK_South_Karelia/FIN_SK_Lappeenranta.Konnunsuo.027330_TMYx.2009-2023.zip")</f>
        <v>https://climate.onebuilding.org/WMO_Region_6_Europe/FIN_Finland/SK_South_Karelia/FIN_SK_Lappeenranta.Konnunsuo.027330_TMYx.2009-2023.zip</v>
      </c>
    </row>
    <row r="3412" spans="1:10" x14ac:dyDescent="0.25">
      <c r="A3412" t="s">
        <v>2310</v>
      </c>
      <c r="B3412" t="s">
        <v>1239</v>
      </c>
      <c r="C3412" t="s">
        <v>2380</v>
      </c>
      <c r="D3412" s="1" t="s">
        <v>2381</v>
      </c>
      <c r="E3412" t="s">
        <v>14</v>
      </c>
      <c r="F3412">
        <v>61.038899999999998</v>
      </c>
      <c r="G3412">
        <v>28.5639</v>
      </c>
      <c r="H3412">
        <v>2</v>
      </c>
      <c r="I3412">
        <v>46.4</v>
      </c>
      <c r="J3412" t="str">
        <f>HYPERLINK("https://climate.onebuilding.org/WMO_Region_6_Europe/FIN_Finland/SK_South_Karelia/FIN_SK_Lappeenranta.Konnunsuo.027330_TMYx.zip")</f>
        <v>https://climate.onebuilding.org/WMO_Region_6_Europe/FIN_Finland/SK_South_Karelia/FIN_SK_Lappeenranta.Konnunsuo.027330_TMYx.zip</v>
      </c>
    </row>
    <row r="3413" spans="1:10" x14ac:dyDescent="0.25">
      <c r="A3413" t="s">
        <v>2310</v>
      </c>
      <c r="B3413" t="s">
        <v>1239</v>
      </c>
      <c r="C3413" t="s">
        <v>2383</v>
      </c>
      <c r="D3413" s="1" t="s">
        <v>2384</v>
      </c>
      <c r="E3413" t="s">
        <v>2385</v>
      </c>
      <c r="F3413">
        <v>61.444699999999997</v>
      </c>
      <c r="G3413">
        <v>29.461099999999998</v>
      </c>
      <c r="H3413">
        <v>2</v>
      </c>
      <c r="I3413">
        <v>75</v>
      </c>
      <c r="J3413" t="str">
        <f>HYPERLINK("https://climate.onebuilding.org/WMO_Region_6_Europe/FIN_Finland/SK_South_Karelia/FIN_SK_Parikkala.Koitsanlahti.027340_TMYx.2004-2018.zip")</f>
        <v>https://climate.onebuilding.org/WMO_Region_6_Europe/FIN_Finland/SK_South_Karelia/FIN_SK_Parikkala.Koitsanlahti.027340_TMYx.2004-2018.zip</v>
      </c>
    </row>
    <row r="3414" spans="1:10" x14ac:dyDescent="0.25">
      <c r="A3414" t="s">
        <v>2310</v>
      </c>
      <c r="B3414" t="s">
        <v>1239</v>
      </c>
      <c r="C3414" t="s">
        <v>2383</v>
      </c>
      <c r="D3414" s="1" t="s">
        <v>2384</v>
      </c>
      <c r="E3414" t="s">
        <v>14</v>
      </c>
      <c r="F3414">
        <v>61.444699999999997</v>
      </c>
      <c r="G3414">
        <v>29.461099999999998</v>
      </c>
      <c r="H3414">
        <v>2</v>
      </c>
      <c r="I3414">
        <v>75</v>
      </c>
      <c r="J3414" t="str">
        <f>HYPERLINK("https://climate.onebuilding.org/WMO_Region_6_Europe/FIN_Finland/SK_South_Karelia/FIN_SK_Parikkala.Koitsanlahti.027340_TMYx.2007-2021.zip")</f>
        <v>https://climate.onebuilding.org/WMO_Region_6_Europe/FIN_Finland/SK_South_Karelia/FIN_SK_Parikkala.Koitsanlahti.027340_TMYx.2007-2021.zip</v>
      </c>
    </row>
    <row r="3415" spans="1:10" x14ac:dyDescent="0.25">
      <c r="A3415" t="s">
        <v>2310</v>
      </c>
      <c r="B3415" t="s">
        <v>1239</v>
      </c>
      <c r="C3415" t="s">
        <v>2383</v>
      </c>
      <c r="D3415" s="1" t="s">
        <v>2384</v>
      </c>
      <c r="E3415" t="s">
        <v>14</v>
      </c>
      <c r="F3415">
        <v>61.444699999999997</v>
      </c>
      <c r="G3415">
        <v>29.461099999999998</v>
      </c>
      <c r="H3415">
        <v>2</v>
      </c>
      <c r="I3415">
        <v>75</v>
      </c>
      <c r="J3415" t="str">
        <f>HYPERLINK("https://climate.onebuilding.org/WMO_Region_6_Europe/FIN_Finland/SK_South_Karelia/FIN_SK_Parikkala.Koitsanlahti.027340_TMYx.2009-2023.zip")</f>
        <v>https://climate.onebuilding.org/WMO_Region_6_Europe/FIN_Finland/SK_South_Karelia/FIN_SK_Parikkala.Koitsanlahti.027340_TMYx.2009-2023.zip</v>
      </c>
    </row>
    <row r="3416" spans="1:10" x14ac:dyDescent="0.25">
      <c r="A3416" t="s">
        <v>2310</v>
      </c>
      <c r="B3416" t="s">
        <v>1239</v>
      </c>
      <c r="C3416" t="s">
        <v>2383</v>
      </c>
      <c r="D3416" s="1" t="s">
        <v>2384</v>
      </c>
      <c r="E3416" t="s">
        <v>14</v>
      </c>
      <c r="F3416">
        <v>61.444699999999997</v>
      </c>
      <c r="G3416">
        <v>29.461099999999998</v>
      </c>
      <c r="H3416">
        <v>2</v>
      </c>
      <c r="I3416">
        <v>75</v>
      </c>
      <c r="J3416" t="str">
        <f>HYPERLINK("https://climate.onebuilding.org/WMO_Region_6_Europe/FIN_Finland/SK_South_Karelia/FIN_SK_Parikkala.Koitsanlahti.027340_TMYx.zip")</f>
        <v>https://climate.onebuilding.org/WMO_Region_6_Europe/FIN_Finland/SK_South_Karelia/FIN_SK_Parikkala.Koitsanlahti.027340_TMYx.zip</v>
      </c>
    </row>
    <row r="3417" spans="1:10" x14ac:dyDescent="0.25">
      <c r="A3417" t="s">
        <v>2310</v>
      </c>
      <c r="B3417" t="s">
        <v>155</v>
      </c>
      <c r="C3417" t="s">
        <v>2386</v>
      </c>
      <c r="D3417" s="1" t="s">
        <v>2387</v>
      </c>
      <c r="E3417" t="s">
        <v>2388</v>
      </c>
      <c r="F3417">
        <v>62.327800000000003</v>
      </c>
      <c r="G3417">
        <v>23.542200000000001</v>
      </c>
      <c r="H3417">
        <v>2</v>
      </c>
      <c r="I3417">
        <v>139.5</v>
      </c>
      <c r="J3417" t="str">
        <f>HYPERLINK("https://climate.onebuilding.org/WMO_Region_6_Europe/FIN_Finland/TR_Tampere_Region/FIN_TR_Virrat.Aijanneva.027350_TMYx.2004-2018.zip")</f>
        <v>https://climate.onebuilding.org/WMO_Region_6_Europe/FIN_Finland/TR_Tampere_Region/FIN_TR_Virrat.Aijanneva.027350_TMYx.2004-2018.zip</v>
      </c>
    </row>
    <row r="3418" spans="1:10" x14ac:dyDescent="0.25">
      <c r="A3418" t="s">
        <v>2310</v>
      </c>
      <c r="B3418" t="s">
        <v>155</v>
      </c>
      <c r="C3418" t="s">
        <v>2386</v>
      </c>
      <c r="D3418" s="1" t="s">
        <v>2387</v>
      </c>
      <c r="E3418" t="s">
        <v>14</v>
      </c>
      <c r="F3418">
        <v>62.327800000000003</v>
      </c>
      <c r="G3418">
        <v>23.542200000000001</v>
      </c>
      <c r="H3418">
        <v>2</v>
      </c>
      <c r="I3418">
        <v>139.5</v>
      </c>
      <c r="J3418" t="str">
        <f>HYPERLINK("https://climate.onebuilding.org/WMO_Region_6_Europe/FIN_Finland/TR_Tampere_Region/FIN_TR_Virrat.Aijanneva.027350_TMYx.2007-2021.zip")</f>
        <v>https://climate.onebuilding.org/WMO_Region_6_Europe/FIN_Finland/TR_Tampere_Region/FIN_TR_Virrat.Aijanneva.027350_TMYx.2007-2021.zip</v>
      </c>
    </row>
    <row r="3419" spans="1:10" x14ac:dyDescent="0.25">
      <c r="A3419" t="s">
        <v>2310</v>
      </c>
      <c r="B3419" t="s">
        <v>155</v>
      </c>
      <c r="C3419" t="s">
        <v>2386</v>
      </c>
      <c r="D3419" s="1" t="s">
        <v>2387</v>
      </c>
      <c r="E3419" t="s">
        <v>14</v>
      </c>
      <c r="F3419">
        <v>62.327800000000003</v>
      </c>
      <c r="G3419">
        <v>23.542200000000001</v>
      </c>
      <c r="H3419">
        <v>2</v>
      </c>
      <c r="I3419">
        <v>139.5</v>
      </c>
      <c r="J3419" t="str">
        <f>HYPERLINK("https://climate.onebuilding.org/WMO_Region_6_Europe/FIN_Finland/TR_Tampere_Region/FIN_TR_Virrat.Aijanneva.027350_TMYx.2009-2023.zip")</f>
        <v>https://climate.onebuilding.org/WMO_Region_6_Europe/FIN_Finland/TR_Tampere_Region/FIN_TR_Virrat.Aijanneva.027350_TMYx.2009-2023.zip</v>
      </c>
    </row>
    <row r="3420" spans="1:10" x14ac:dyDescent="0.25">
      <c r="A3420" t="s">
        <v>2310</v>
      </c>
      <c r="B3420" t="s">
        <v>155</v>
      </c>
      <c r="C3420" t="s">
        <v>2386</v>
      </c>
      <c r="D3420" s="1" t="s">
        <v>2387</v>
      </c>
      <c r="E3420" t="s">
        <v>14</v>
      </c>
      <c r="F3420">
        <v>62.327800000000003</v>
      </c>
      <c r="G3420">
        <v>23.542200000000001</v>
      </c>
      <c r="H3420">
        <v>2</v>
      </c>
      <c r="I3420">
        <v>139.5</v>
      </c>
      <c r="J3420" t="str">
        <f>HYPERLINK("https://climate.onebuilding.org/WMO_Region_6_Europe/FIN_Finland/TR_Tampere_Region/FIN_TR_Virrat.Aijanneva.027350_TMYx.zip")</f>
        <v>https://climate.onebuilding.org/WMO_Region_6_Europe/FIN_Finland/TR_Tampere_Region/FIN_TR_Virrat.Aijanneva.027350_TMYx.zip</v>
      </c>
    </row>
    <row r="3421" spans="1:10" x14ac:dyDescent="0.25">
      <c r="A3421" t="s">
        <v>2310</v>
      </c>
      <c r="B3421" t="s">
        <v>2347</v>
      </c>
      <c r="C3421" t="s">
        <v>2389</v>
      </c>
      <c r="D3421" s="1" t="s">
        <v>2390</v>
      </c>
      <c r="E3421" t="s">
        <v>2391</v>
      </c>
      <c r="F3421">
        <v>61.892200000000003</v>
      </c>
      <c r="G3421">
        <v>27.885300000000001</v>
      </c>
      <c r="H3421">
        <v>2</v>
      </c>
      <c r="I3421">
        <v>111.5</v>
      </c>
      <c r="J3421" t="str">
        <f>HYPERLINK("https://climate.onebuilding.org/WMO_Region_6_Europe/FIN_Finland/SS_South_Savo/FIN_SS_Juva.Partala.027360_TMYx.2004-2018.zip")</f>
        <v>https://climate.onebuilding.org/WMO_Region_6_Europe/FIN_Finland/SS_South_Savo/FIN_SS_Juva.Partala.027360_TMYx.2004-2018.zip</v>
      </c>
    </row>
    <row r="3422" spans="1:10" x14ac:dyDescent="0.25">
      <c r="A3422" t="s">
        <v>2310</v>
      </c>
      <c r="B3422" t="s">
        <v>2347</v>
      </c>
      <c r="C3422" t="s">
        <v>2389</v>
      </c>
      <c r="D3422" s="1" t="s">
        <v>2390</v>
      </c>
      <c r="E3422" t="s">
        <v>14</v>
      </c>
      <c r="F3422">
        <v>61.892200000000003</v>
      </c>
      <c r="G3422">
        <v>27.885300000000001</v>
      </c>
      <c r="H3422">
        <v>2</v>
      </c>
      <c r="I3422">
        <v>111.5</v>
      </c>
      <c r="J3422" t="str">
        <f>HYPERLINK("https://climate.onebuilding.org/WMO_Region_6_Europe/FIN_Finland/SS_South_Savo/FIN_SS_Juva.Partala.027360_TMYx.2007-2021.zip")</f>
        <v>https://climate.onebuilding.org/WMO_Region_6_Europe/FIN_Finland/SS_South_Savo/FIN_SS_Juva.Partala.027360_TMYx.2007-2021.zip</v>
      </c>
    </row>
    <row r="3423" spans="1:10" x14ac:dyDescent="0.25">
      <c r="A3423" t="s">
        <v>2310</v>
      </c>
      <c r="B3423" t="s">
        <v>2347</v>
      </c>
      <c r="C3423" t="s">
        <v>2389</v>
      </c>
      <c r="D3423" s="1" t="s">
        <v>2390</v>
      </c>
      <c r="E3423" t="s">
        <v>14</v>
      </c>
      <c r="F3423">
        <v>61.892200000000003</v>
      </c>
      <c r="G3423">
        <v>27.885300000000001</v>
      </c>
      <c r="H3423">
        <v>2</v>
      </c>
      <c r="I3423">
        <v>111.5</v>
      </c>
      <c r="J3423" t="str">
        <f>HYPERLINK("https://climate.onebuilding.org/WMO_Region_6_Europe/FIN_Finland/SS_South_Savo/FIN_SS_Juva.Partala.027360_TMYx.2009-2023.zip")</f>
        <v>https://climate.onebuilding.org/WMO_Region_6_Europe/FIN_Finland/SS_South_Savo/FIN_SS_Juva.Partala.027360_TMYx.2009-2023.zip</v>
      </c>
    </row>
    <row r="3424" spans="1:10" x14ac:dyDescent="0.25">
      <c r="A3424" t="s">
        <v>2310</v>
      </c>
      <c r="B3424" t="s">
        <v>2347</v>
      </c>
      <c r="C3424" t="s">
        <v>2389</v>
      </c>
      <c r="D3424" s="1" t="s">
        <v>2390</v>
      </c>
      <c r="E3424" t="s">
        <v>14</v>
      </c>
      <c r="F3424">
        <v>61.892200000000003</v>
      </c>
      <c r="G3424">
        <v>27.885300000000001</v>
      </c>
      <c r="H3424">
        <v>2</v>
      </c>
      <c r="I3424">
        <v>111.5</v>
      </c>
      <c r="J3424" t="str">
        <f>HYPERLINK("https://climate.onebuilding.org/WMO_Region_6_Europe/FIN_Finland/SS_South_Savo/FIN_SS_Juva.Partala.027360_TMYx.zip")</f>
        <v>https://climate.onebuilding.org/WMO_Region_6_Europe/FIN_Finland/SS_South_Savo/FIN_SS_Juva.Partala.027360_TMYx.zip</v>
      </c>
    </row>
    <row r="3425" spans="1:10" x14ac:dyDescent="0.25">
      <c r="A3425" t="s">
        <v>2310</v>
      </c>
      <c r="B3425" t="s">
        <v>2357</v>
      </c>
      <c r="C3425" t="s">
        <v>2392</v>
      </c>
      <c r="D3425" s="1" t="s">
        <v>2393</v>
      </c>
      <c r="E3425" t="s">
        <v>2394</v>
      </c>
      <c r="F3425">
        <v>63.821399999999997</v>
      </c>
      <c r="G3425">
        <v>24.1633</v>
      </c>
      <c r="H3425">
        <v>2</v>
      </c>
      <c r="I3425">
        <v>84.5</v>
      </c>
      <c r="J3425" t="str">
        <f>HYPERLINK("https://climate.onebuilding.org/WMO_Region_6_Europe/FIN_Finland/CO_Central_Ostrobothnia/FIN_CO_Toholampi.Laitala.027370_TMYx.2004-2018.zip")</f>
        <v>https://climate.onebuilding.org/WMO_Region_6_Europe/FIN_Finland/CO_Central_Ostrobothnia/FIN_CO_Toholampi.Laitala.027370_TMYx.2004-2018.zip</v>
      </c>
    </row>
    <row r="3426" spans="1:10" x14ac:dyDescent="0.25">
      <c r="A3426" t="s">
        <v>2310</v>
      </c>
      <c r="B3426" t="s">
        <v>2357</v>
      </c>
      <c r="C3426" t="s">
        <v>2392</v>
      </c>
      <c r="D3426" s="1" t="s">
        <v>2393</v>
      </c>
      <c r="E3426" t="s">
        <v>14</v>
      </c>
      <c r="F3426">
        <v>63.821399999999997</v>
      </c>
      <c r="G3426">
        <v>24.1633</v>
      </c>
      <c r="H3426">
        <v>2</v>
      </c>
      <c r="I3426">
        <v>84.5</v>
      </c>
      <c r="J3426" t="str">
        <f>HYPERLINK("https://climate.onebuilding.org/WMO_Region_6_Europe/FIN_Finland/CO_Central_Ostrobothnia/FIN_CO_Toholampi.Laitala.027370_TMYx.2007-2021.zip")</f>
        <v>https://climate.onebuilding.org/WMO_Region_6_Europe/FIN_Finland/CO_Central_Ostrobothnia/FIN_CO_Toholampi.Laitala.027370_TMYx.2007-2021.zip</v>
      </c>
    </row>
    <row r="3427" spans="1:10" x14ac:dyDescent="0.25">
      <c r="A3427" t="s">
        <v>2310</v>
      </c>
      <c r="B3427" t="s">
        <v>2357</v>
      </c>
      <c r="C3427" t="s">
        <v>2392</v>
      </c>
      <c r="D3427" s="1" t="s">
        <v>2393</v>
      </c>
      <c r="E3427" t="s">
        <v>14</v>
      </c>
      <c r="F3427">
        <v>63.821399999999997</v>
      </c>
      <c r="G3427">
        <v>24.1633</v>
      </c>
      <c r="H3427">
        <v>2</v>
      </c>
      <c r="I3427">
        <v>84.5</v>
      </c>
      <c r="J3427" t="str">
        <f>HYPERLINK("https://climate.onebuilding.org/WMO_Region_6_Europe/FIN_Finland/CO_Central_Ostrobothnia/FIN_CO_Toholampi.Laitala.027370_TMYx.2009-2023.zip")</f>
        <v>https://climate.onebuilding.org/WMO_Region_6_Europe/FIN_Finland/CO_Central_Ostrobothnia/FIN_CO_Toholampi.Laitala.027370_TMYx.2009-2023.zip</v>
      </c>
    </row>
    <row r="3428" spans="1:10" x14ac:dyDescent="0.25">
      <c r="A3428" t="s">
        <v>2310</v>
      </c>
      <c r="B3428" t="s">
        <v>2357</v>
      </c>
      <c r="C3428" t="s">
        <v>2392</v>
      </c>
      <c r="D3428" s="1" t="s">
        <v>2393</v>
      </c>
      <c r="E3428" t="s">
        <v>14</v>
      </c>
      <c r="F3428">
        <v>63.821399999999997</v>
      </c>
      <c r="G3428">
        <v>24.1633</v>
      </c>
      <c r="H3428">
        <v>2</v>
      </c>
      <c r="I3428">
        <v>84.5</v>
      </c>
      <c r="J3428" t="str">
        <f>HYPERLINK("https://climate.onebuilding.org/WMO_Region_6_Europe/FIN_Finland/CO_Central_Ostrobothnia/FIN_CO_Toholampi.Laitala.027370_TMYx.zip")</f>
        <v>https://climate.onebuilding.org/WMO_Region_6_Europe/FIN_Finland/CO_Central_Ostrobothnia/FIN_CO_Toholampi.Laitala.027370_TMYx.zip</v>
      </c>
    </row>
    <row r="3429" spans="1:10" x14ac:dyDescent="0.25">
      <c r="A3429" t="s">
        <v>2310</v>
      </c>
      <c r="B3429" t="s">
        <v>93</v>
      </c>
      <c r="C3429" t="s">
        <v>2395</v>
      </c>
      <c r="D3429" s="1" t="s">
        <v>2396</v>
      </c>
      <c r="E3429" t="s">
        <v>2397</v>
      </c>
      <c r="F3429">
        <v>63.735799999999998</v>
      </c>
      <c r="G3429">
        <v>25.7058</v>
      </c>
      <c r="H3429">
        <v>2</v>
      </c>
      <c r="I3429">
        <v>153.30000000000001</v>
      </c>
      <c r="J3429" t="str">
        <f>HYPERLINK("https://climate.onebuilding.org/WMO_Region_6_Europe/FIN_Finland/NO_North_Ostrobothnia/FIN_NO_Pyhajarvi.Ojakyla.027380_TMYx.2004-2018.zip")</f>
        <v>https://climate.onebuilding.org/WMO_Region_6_Europe/FIN_Finland/NO_North_Ostrobothnia/FIN_NO_Pyhajarvi.Ojakyla.027380_TMYx.2004-2018.zip</v>
      </c>
    </row>
    <row r="3430" spans="1:10" x14ac:dyDescent="0.25">
      <c r="A3430" t="s">
        <v>2310</v>
      </c>
      <c r="B3430" t="s">
        <v>93</v>
      </c>
      <c r="C3430" t="s">
        <v>2395</v>
      </c>
      <c r="D3430" s="1" t="s">
        <v>2396</v>
      </c>
      <c r="E3430" t="s">
        <v>14</v>
      </c>
      <c r="F3430">
        <v>63.735799999999998</v>
      </c>
      <c r="G3430">
        <v>25.7058</v>
      </c>
      <c r="H3430">
        <v>2</v>
      </c>
      <c r="I3430">
        <v>153.30000000000001</v>
      </c>
      <c r="J3430" t="str">
        <f>HYPERLINK("https://climate.onebuilding.org/WMO_Region_6_Europe/FIN_Finland/NO_North_Ostrobothnia/FIN_NO_Pyhajarvi.Ojakyla.027380_TMYx.2007-2021.zip")</f>
        <v>https://climate.onebuilding.org/WMO_Region_6_Europe/FIN_Finland/NO_North_Ostrobothnia/FIN_NO_Pyhajarvi.Ojakyla.027380_TMYx.2007-2021.zip</v>
      </c>
    </row>
    <row r="3431" spans="1:10" x14ac:dyDescent="0.25">
      <c r="A3431" t="s">
        <v>2310</v>
      </c>
      <c r="B3431" t="s">
        <v>93</v>
      </c>
      <c r="C3431" t="s">
        <v>2395</v>
      </c>
      <c r="D3431" s="1" t="s">
        <v>2396</v>
      </c>
      <c r="E3431" t="s">
        <v>14</v>
      </c>
      <c r="F3431">
        <v>63.735799999999998</v>
      </c>
      <c r="G3431">
        <v>25.7058</v>
      </c>
      <c r="H3431">
        <v>2</v>
      </c>
      <c r="I3431">
        <v>153.30000000000001</v>
      </c>
      <c r="J3431" t="str">
        <f>HYPERLINK("https://climate.onebuilding.org/WMO_Region_6_Europe/FIN_Finland/NO_North_Ostrobothnia/FIN_NO_Pyhajarvi.Ojakyla.027380_TMYx.2009-2023.zip")</f>
        <v>https://climate.onebuilding.org/WMO_Region_6_Europe/FIN_Finland/NO_North_Ostrobothnia/FIN_NO_Pyhajarvi.Ojakyla.027380_TMYx.2009-2023.zip</v>
      </c>
    </row>
    <row r="3432" spans="1:10" x14ac:dyDescent="0.25">
      <c r="A3432" t="s">
        <v>2310</v>
      </c>
      <c r="B3432" t="s">
        <v>93</v>
      </c>
      <c r="C3432" t="s">
        <v>2395</v>
      </c>
      <c r="D3432" s="1" t="s">
        <v>2396</v>
      </c>
      <c r="E3432" t="s">
        <v>14</v>
      </c>
      <c r="F3432">
        <v>63.735799999999998</v>
      </c>
      <c r="G3432">
        <v>25.7058</v>
      </c>
      <c r="H3432">
        <v>2</v>
      </c>
      <c r="I3432">
        <v>153.30000000000001</v>
      </c>
      <c r="J3432" t="str">
        <f>HYPERLINK("https://climate.onebuilding.org/WMO_Region_6_Europe/FIN_Finland/NO_North_Ostrobothnia/FIN_NO_Pyhajarvi.Ojakyla.027380_TMYx.zip")</f>
        <v>https://climate.onebuilding.org/WMO_Region_6_Europe/FIN_Finland/NO_North_Ostrobothnia/FIN_NO_Pyhajarvi.Ojakyla.027380_TMYx.zip</v>
      </c>
    </row>
    <row r="3433" spans="1:10" x14ac:dyDescent="0.25">
      <c r="A3433" t="s">
        <v>2310</v>
      </c>
      <c r="B3433" t="s">
        <v>246</v>
      </c>
      <c r="C3433" t="s">
        <v>2398</v>
      </c>
      <c r="D3433" s="1" t="s">
        <v>2399</v>
      </c>
      <c r="E3433" t="s">
        <v>2400</v>
      </c>
      <c r="F3433">
        <v>64.111999999999995</v>
      </c>
      <c r="G3433">
        <v>28.336400000000001</v>
      </c>
      <c r="H3433">
        <v>2</v>
      </c>
      <c r="I3433">
        <v>162.5</v>
      </c>
      <c r="J3433" t="str">
        <f>HYPERLINK("https://climate.onebuilding.org/WMO_Region_6_Europe/FIN_Finland/KA_Kainuu/FIN_KA_Sotkamo.Kuolaniemi.027390_TMYx.2004-2018.zip")</f>
        <v>https://climate.onebuilding.org/WMO_Region_6_Europe/FIN_Finland/KA_Kainuu/FIN_KA_Sotkamo.Kuolaniemi.027390_TMYx.2004-2018.zip</v>
      </c>
    </row>
    <row r="3434" spans="1:10" x14ac:dyDescent="0.25">
      <c r="A3434" t="s">
        <v>2310</v>
      </c>
      <c r="B3434" t="s">
        <v>246</v>
      </c>
      <c r="C3434" t="s">
        <v>2398</v>
      </c>
      <c r="D3434" s="1" t="s">
        <v>2399</v>
      </c>
      <c r="E3434" t="s">
        <v>14</v>
      </c>
      <c r="F3434">
        <v>64.111999999999995</v>
      </c>
      <c r="G3434">
        <v>28.336400000000001</v>
      </c>
      <c r="H3434">
        <v>2</v>
      </c>
      <c r="I3434">
        <v>162.5</v>
      </c>
      <c r="J3434" t="str">
        <f>HYPERLINK("https://climate.onebuilding.org/WMO_Region_6_Europe/FIN_Finland/KA_Kainuu/FIN_KA_Sotkamo.Kuolaniemi.027390_TMYx.2007-2021.zip")</f>
        <v>https://climate.onebuilding.org/WMO_Region_6_Europe/FIN_Finland/KA_Kainuu/FIN_KA_Sotkamo.Kuolaniemi.027390_TMYx.2007-2021.zip</v>
      </c>
    </row>
    <row r="3435" spans="1:10" x14ac:dyDescent="0.25">
      <c r="A3435" t="s">
        <v>2310</v>
      </c>
      <c r="B3435" t="s">
        <v>246</v>
      </c>
      <c r="C3435" t="s">
        <v>2398</v>
      </c>
      <c r="D3435" s="1" t="s">
        <v>2399</v>
      </c>
      <c r="E3435" t="s">
        <v>14</v>
      </c>
      <c r="F3435">
        <v>64.111999999999995</v>
      </c>
      <c r="G3435">
        <v>28.336400000000001</v>
      </c>
      <c r="H3435">
        <v>2</v>
      </c>
      <c r="I3435">
        <v>162.5</v>
      </c>
      <c r="J3435" t="str">
        <f>HYPERLINK("https://climate.onebuilding.org/WMO_Region_6_Europe/FIN_Finland/KA_Kainuu/FIN_KA_Sotkamo.Kuolaniemi.027390_TMYx.2009-2023.zip")</f>
        <v>https://climate.onebuilding.org/WMO_Region_6_Europe/FIN_Finland/KA_Kainuu/FIN_KA_Sotkamo.Kuolaniemi.027390_TMYx.2009-2023.zip</v>
      </c>
    </row>
    <row r="3436" spans="1:10" x14ac:dyDescent="0.25">
      <c r="A3436" t="s">
        <v>2310</v>
      </c>
      <c r="B3436" t="s">
        <v>246</v>
      </c>
      <c r="C3436" t="s">
        <v>2398</v>
      </c>
      <c r="D3436" s="1" t="s">
        <v>2399</v>
      </c>
      <c r="E3436" t="s">
        <v>14</v>
      </c>
      <c r="F3436">
        <v>64.111999999999995</v>
      </c>
      <c r="G3436">
        <v>28.336400000000001</v>
      </c>
      <c r="H3436">
        <v>2</v>
      </c>
      <c r="I3436">
        <v>162.5</v>
      </c>
      <c r="J3436" t="str">
        <f>HYPERLINK("https://climate.onebuilding.org/WMO_Region_6_Europe/FIN_Finland/KA_Kainuu/FIN_KA_Sotkamo.Kuolaniemi.027390_TMYx.zip")</f>
        <v>https://climate.onebuilding.org/WMO_Region_6_Europe/FIN_Finland/KA_Kainuu/FIN_KA_Sotkamo.Kuolaniemi.027390_TMYx.zip</v>
      </c>
    </row>
    <row r="3437" spans="1:10" x14ac:dyDescent="0.25">
      <c r="A3437" t="s">
        <v>2310</v>
      </c>
      <c r="B3437" t="s">
        <v>527</v>
      </c>
      <c r="C3437" t="s">
        <v>2401</v>
      </c>
      <c r="D3437" s="1" t="s">
        <v>2402</v>
      </c>
      <c r="E3437" t="s">
        <v>2403</v>
      </c>
      <c r="F3437">
        <v>59.869399999999999</v>
      </c>
      <c r="G3437">
        <v>22.193300000000001</v>
      </c>
      <c r="H3437">
        <v>2</v>
      </c>
      <c r="I3437">
        <v>8</v>
      </c>
      <c r="J3437" t="str">
        <f>HYPERLINK("https://climate.onebuilding.org/WMO_Region_6_Europe/FIN_Finland/SF_Southwest_Finland/FIN_SF_Kemionsaari.Vano.027430_TMYx.2004-2018.zip")</f>
        <v>https://climate.onebuilding.org/WMO_Region_6_Europe/FIN_Finland/SF_Southwest_Finland/FIN_SF_Kemionsaari.Vano.027430_TMYx.2004-2018.zip</v>
      </c>
    </row>
    <row r="3438" spans="1:10" x14ac:dyDescent="0.25">
      <c r="A3438" t="s">
        <v>2310</v>
      </c>
      <c r="B3438" t="s">
        <v>527</v>
      </c>
      <c r="C3438" t="s">
        <v>2401</v>
      </c>
      <c r="D3438" s="1" t="s">
        <v>2402</v>
      </c>
      <c r="E3438" t="s">
        <v>14</v>
      </c>
      <c r="F3438">
        <v>59.869399999999999</v>
      </c>
      <c r="G3438">
        <v>22.193300000000001</v>
      </c>
      <c r="H3438">
        <v>2</v>
      </c>
      <c r="I3438">
        <v>8</v>
      </c>
      <c r="J3438" t="str">
        <f>HYPERLINK("https://climate.onebuilding.org/WMO_Region_6_Europe/FIN_Finland/SF_Southwest_Finland/FIN_SF_Kemionsaari.Vano.027430_TMYx.2007-2021.zip")</f>
        <v>https://climate.onebuilding.org/WMO_Region_6_Europe/FIN_Finland/SF_Southwest_Finland/FIN_SF_Kemionsaari.Vano.027430_TMYx.2007-2021.zip</v>
      </c>
    </row>
    <row r="3439" spans="1:10" x14ac:dyDescent="0.25">
      <c r="A3439" t="s">
        <v>2310</v>
      </c>
      <c r="B3439" t="s">
        <v>527</v>
      </c>
      <c r="C3439" t="s">
        <v>2401</v>
      </c>
      <c r="D3439" s="1" t="s">
        <v>2402</v>
      </c>
      <c r="E3439" t="s">
        <v>14</v>
      </c>
      <c r="F3439">
        <v>59.869399999999999</v>
      </c>
      <c r="G3439">
        <v>22.193300000000001</v>
      </c>
      <c r="H3439">
        <v>2</v>
      </c>
      <c r="I3439">
        <v>8</v>
      </c>
      <c r="J3439" t="str">
        <f>HYPERLINK("https://climate.onebuilding.org/WMO_Region_6_Europe/FIN_Finland/SF_Southwest_Finland/FIN_SF_Kemionsaari.Vano.027430_TMYx.2009-2023.zip")</f>
        <v>https://climate.onebuilding.org/WMO_Region_6_Europe/FIN_Finland/SF_Southwest_Finland/FIN_SF_Kemionsaari.Vano.027430_TMYx.2009-2023.zip</v>
      </c>
    </row>
    <row r="3440" spans="1:10" x14ac:dyDescent="0.25">
      <c r="A3440" t="s">
        <v>2310</v>
      </c>
      <c r="B3440" t="s">
        <v>527</v>
      </c>
      <c r="C3440" t="s">
        <v>2401</v>
      </c>
      <c r="D3440" s="1" t="s">
        <v>2402</v>
      </c>
      <c r="E3440" t="s">
        <v>14</v>
      </c>
      <c r="F3440">
        <v>59.869399999999999</v>
      </c>
      <c r="G3440">
        <v>22.193300000000001</v>
      </c>
      <c r="H3440">
        <v>2</v>
      </c>
      <c r="I3440">
        <v>8</v>
      </c>
      <c r="J3440" t="str">
        <f>HYPERLINK("https://climate.onebuilding.org/WMO_Region_6_Europe/FIN_Finland/SF_Southwest_Finland/FIN_SF_Kemionsaari.Vano.027430_TMYx.zip")</f>
        <v>https://climate.onebuilding.org/WMO_Region_6_Europe/FIN_Finland/SF_Southwest_Finland/FIN_SF_Kemionsaari.Vano.027430_TMYx.zip</v>
      </c>
    </row>
    <row r="3441" spans="1:10" x14ac:dyDescent="0.25">
      <c r="A3441" t="s">
        <v>2310</v>
      </c>
      <c r="B3441" t="s">
        <v>155</v>
      </c>
      <c r="C3441" t="s">
        <v>2404</v>
      </c>
      <c r="D3441" s="1" t="s">
        <v>2405</v>
      </c>
      <c r="E3441" t="s">
        <v>2406</v>
      </c>
      <c r="F3441">
        <v>61.501100000000001</v>
      </c>
      <c r="G3441">
        <v>23.764700000000001</v>
      </c>
      <c r="H3441">
        <v>2</v>
      </c>
      <c r="I3441">
        <v>92</v>
      </c>
      <c r="J3441" t="str">
        <f>HYPERLINK("https://climate.onebuilding.org/WMO_Region_6_Europe/FIN_Finland/TR_Tampere_Region/FIN_TR_Tampere.Satakunnankatu.027440_TMYx.2004-2018.zip")</f>
        <v>https://climate.onebuilding.org/WMO_Region_6_Europe/FIN_Finland/TR_Tampere_Region/FIN_TR_Tampere.Satakunnankatu.027440_TMYx.2004-2018.zip</v>
      </c>
    </row>
    <row r="3442" spans="1:10" x14ac:dyDescent="0.25">
      <c r="A3442" t="s">
        <v>2310</v>
      </c>
      <c r="B3442" t="s">
        <v>155</v>
      </c>
      <c r="C3442" t="s">
        <v>2404</v>
      </c>
      <c r="D3442" s="1" t="s">
        <v>2405</v>
      </c>
      <c r="E3442" t="s">
        <v>14</v>
      </c>
      <c r="F3442">
        <v>61.501100000000001</v>
      </c>
      <c r="G3442">
        <v>23.764700000000001</v>
      </c>
      <c r="H3442">
        <v>2</v>
      </c>
      <c r="I3442">
        <v>92</v>
      </c>
      <c r="J3442" t="str">
        <f>HYPERLINK("https://climate.onebuilding.org/WMO_Region_6_Europe/FIN_Finland/TR_Tampere_Region/FIN_TR_Tampere.Satakunnankatu.027440_TMYx.2007-2021.zip")</f>
        <v>https://climate.onebuilding.org/WMO_Region_6_Europe/FIN_Finland/TR_Tampere_Region/FIN_TR_Tampere.Satakunnankatu.027440_TMYx.2007-2021.zip</v>
      </c>
    </row>
    <row r="3443" spans="1:10" x14ac:dyDescent="0.25">
      <c r="A3443" t="s">
        <v>2310</v>
      </c>
      <c r="B3443" t="s">
        <v>155</v>
      </c>
      <c r="C3443" t="s">
        <v>2404</v>
      </c>
      <c r="D3443" s="1" t="s">
        <v>2405</v>
      </c>
      <c r="E3443" t="s">
        <v>14</v>
      </c>
      <c r="F3443">
        <v>61.501100000000001</v>
      </c>
      <c r="G3443">
        <v>23.764700000000001</v>
      </c>
      <c r="H3443">
        <v>2</v>
      </c>
      <c r="I3443">
        <v>92</v>
      </c>
      <c r="J3443" t="str">
        <f>HYPERLINK("https://climate.onebuilding.org/WMO_Region_6_Europe/FIN_Finland/TR_Tampere_Region/FIN_TR_Tampere.Satakunnankatu.027440_TMYx.2009-2023.zip")</f>
        <v>https://climate.onebuilding.org/WMO_Region_6_Europe/FIN_Finland/TR_Tampere_Region/FIN_TR_Tampere.Satakunnankatu.027440_TMYx.2009-2023.zip</v>
      </c>
    </row>
    <row r="3444" spans="1:10" x14ac:dyDescent="0.25">
      <c r="A3444" t="s">
        <v>2310</v>
      </c>
      <c r="B3444" t="s">
        <v>155</v>
      </c>
      <c r="C3444" t="s">
        <v>2404</v>
      </c>
      <c r="D3444" s="1" t="s">
        <v>2405</v>
      </c>
      <c r="E3444" t="s">
        <v>14</v>
      </c>
      <c r="F3444">
        <v>61.501100000000001</v>
      </c>
      <c r="G3444">
        <v>23.764700000000001</v>
      </c>
      <c r="H3444">
        <v>2</v>
      </c>
      <c r="I3444">
        <v>92</v>
      </c>
      <c r="J3444" t="str">
        <f>HYPERLINK("https://climate.onebuilding.org/WMO_Region_6_Europe/FIN_Finland/TR_Tampere_Region/FIN_TR_Tampere.Satakunnankatu.027440_TMYx.zip")</f>
        <v>https://climate.onebuilding.org/WMO_Region_6_Europe/FIN_Finland/TR_Tampere_Region/FIN_TR_Tampere.Satakunnankatu.027440_TMYx.zip</v>
      </c>
    </row>
    <row r="3445" spans="1:10" x14ac:dyDescent="0.25">
      <c r="A3445" t="s">
        <v>2310</v>
      </c>
      <c r="B3445" t="s">
        <v>1184</v>
      </c>
      <c r="C3445" t="s">
        <v>2407</v>
      </c>
      <c r="D3445" s="1" t="s">
        <v>2408</v>
      </c>
      <c r="E3445" t="s">
        <v>2409</v>
      </c>
      <c r="F3445">
        <v>67.162199999999999</v>
      </c>
      <c r="G3445">
        <v>29.177800000000001</v>
      </c>
      <c r="H3445">
        <v>2</v>
      </c>
      <c r="I3445">
        <v>214.7</v>
      </c>
      <c r="J3445" t="str">
        <f>HYPERLINK("https://climate.onebuilding.org/WMO_Region_6_Europe/FIN_Finland/LA_Lapland/FIN_LA_Salla.Naruska.027450_TMYx.2004-2018.zip")</f>
        <v>https://climate.onebuilding.org/WMO_Region_6_Europe/FIN_Finland/LA_Lapland/FIN_LA_Salla.Naruska.027450_TMYx.2004-2018.zip</v>
      </c>
    </row>
    <row r="3446" spans="1:10" x14ac:dyDescent="0.25">
      <c r="A3446" t="s">
        <v>2310</v>
      </c>
      <c r="B3446" t="s">
        <v>1184</v>
      </c>
      <c r="C3446" t="s">
        <v>2407</v>
      </c>
      <c r="D3446" s="1" t="s">
        <v>2408</v>
      </c>
      <c r="E3446" t="s">
        <v>14</v>
      </c>
      <c r="F3446">
        <v>67.162199999999999</v>
      </c>
      <c r="G3446">
        <v>29.177800000000001</v>
      </c>
      <c r="H3446">
        <v>2</v>
      </c>
      <c r="I3446">
        <v>214.7</v>
      </c>
      <c r="J3446" t="str">
        <f>HYPERLINK("https://climate.onebuilding.org/WMO_Region_6_Europe/FIN_Finland/LA_Lapland/FIN_LA_Salla.Naruska.027450_TMYx.2007-2021.zip")</f>
        <v>https://climate.onebuilding.org/WMO_Region_6_Europe/FIN_Finland/LA_Lapland/FIN_LA_Salla.Naruska.027450_TMYx.2007-2021.zip</v>
      </c>
    </row>
    <row r="3447" spans="1:10" x14ac:dyDescent="0.25">
      <c r="A3447" t="s">
        <v>2310</v>
      </c>
      <c r="B3447" t="s">
        <v>1184</v>
      </c>
      <c r="C3447" t="s">
        <v>2407</v>
      </c>
      <c r="D3447" s="1" t="s">
        <v>2408</v>
      </c>
      <c r="E3447" t="s">
        <v>14</v>
      </c>
      <c r="F3447">
        <v>67.162199999999999</v>
      </c>
      <c r="G3447">
        <v>29.177800000000001</v>
      </c>
      <c r="H3447">
        <v>2</v>
      </c>
      <c r="I3447">
        <v>214.7</v>
      </c>
      <c r="J3447" t="str">
        <f>HYPERLINK("https://climate.onebuilding.org/WMO_Region_6_Europe/FIN_Finland/LA_Lapland/FIN_LA_Salla.Naruska.027450_TMYx.2009-2023.zip")</f>
        <v>https://climate.onebuilding.org/WMO_Region_6_Europe/FIN_Finland/LA_Lapland/FIN_LA_Salla.Naruska.027450_TMYx.2009-2023.zip</v>
      </c>
    </row>
    <row r="3448" spans="1:10" x14ac:dyDescent="0.25">
      <c r="A3448" t="s">
        <v>2310</v>
      </c>
      <c r="B3448" t="s">
        <v>1184</v>
      </c>
      <c r="C3448" t="s">
        <v>2407</v>
      </c>
      <c r="D3448" s="1" t="s">
        <v>2408</v>
      </c>
      <c r="E3448" t="s">
        <v>14</v>
      </c>
      <c r="F3448">
        <v>67.162199999999999</v>
      </c>
      <c r="G3448">
        <v>29.177800000000001</v>
      </c>
      <c r="H3448">
        <v>2</v>
      </c>
      <c r="I3448">
        <v>214.7</v>
      </c>
      <c r="J3448" t="str">
        <f>HYPERLINK("https://climate.onebuilding.org/WMO_Region_6_Europe/FIN_Finland/LA_Lapland/FIN_LA_Salla.Naruska.027450_TMYx.zip")</f>
        <v>https://climate.onebuilding.org/WMO_Region_6_Europe/FIN_Finland/LA_Lapland/FIN_LA_Salla.Naruska.027450_TMYx.zip</v>
      </c>
    </row>
    <row r="3449" spans="1:10" x14ac:dyDescent="0.25">
      <c r="A3449" t="s">
        <v>2310</v>
      </c>
      <c r="B3449" t="s">
        <v>2317</v>
      </c>
      <c r="C3449" t="s">
        <v>2410</v>
      </c>
      <c r="D3449" s="1" t="s">
        <v>2411</v>
      </c>
      <c r="E3449" t="s">
        <v>2412</v>
      </c>
      <c r="F3449">
        <v>59.808599999999998</v>
      </c>
      <c r="G3449">
        <v>22.915800000000001</v>
      </c>
      <c r="H3449">
        <v>2</v>
      </c>
      <c r="I3449">
        <v>27.5</v>
      </c>
      <c r="J3449" t="str">
        <f>HYPERLINK("https://climate.onebuilding.org/WMO_Region_6_Europe/FIN_Finland/US_Uusimaa/FIN_US_Hanko.Tulliniemi.027460_TMYx.2004-2018.zip")</f>
        <v>https://climate.onebuilding.org/WMO_Region_6_Europe/FIN_Finland/US_Uusimaa/FIN_US_Hanko.Tulliniemi.027460_TMYx.2004-2018.zip</v>
      </c>
    </row>
    <row r="3450" spans="1:10" x14ac:dyDescent="0.25">
      <c r="A3450" t="s">
        <v>2310</v>
      </c>
      <c r="B3450" t="s">
        <v>2317</v>
      </c>
      <c r="C3450" t="s">
        <v>2410</v>
      </c>
      <c r="D3450" s="1" t="s">
        <v>2411</v>
      </c>
      <c r="E3450" t="s">
        <v>14</v>
      </c>
      <c r="F3450">
        <v>59.808599999999998</v>
      </c>
      <c r="G3450">
        <v>22.915800000000001</v>
      </c>
      <c r="H3450">
        <v>2</v>
      </c>
      <c r="I3450">
        <v>27.5</v>
      </c>
      <c r="J3450" t="str">
        <f>HYPERLINK("https://climate.onebuilding.org/WMO_Region_6_Europe/FIN_Finland/US_Uusimaa/FIN_US_Hanko.Tulliniemi.027460_TMYx.2007-2021.zip")</f>
        <v>https://climate.onebuilding.org/WMO_Region_6_Europe/FIN_Finland/US_Uusimaa/FIN_US_Hanko.Tulliniemi.027460_TMYx.2007-2021.zip</v>
      </c>
    </row>
    <row r="3451" spans="1:10" x14ac:dyDescent="0.25">
      <c r="A3451" t="s">
        <v>2310</v>
      </c>
      <c r="B3451" t="s">
        <v>2317</v>
      </c>
      <c r="C3451" t="s">
        <v>2410</v>
      </c>
      <c r="D3451" s="1" t="s">
        <v>2411</v>
      </c>
      <c r="E3451" t="s">
        <v>14</v>
      </c>
      <c r="F3451">
        <v>59.808599999999998</v>
      </c>
      <c r="G3451">
        <v>22.915800000000001</v>
      </c>
      <c r="H3451">
        <v>2</v>
      </c>
      <c r="I3451">
        <v>27.5</v>
      </c>
      <c r="J3451" t="str">
        <f>HYPERLINK("https://climate.onebuilding.org/WMO_Region_6_Europe/FIN_Finland/US_Uusimaa/FIN_US_Hanko.Tulliniemi.027460_TMYx.2009-2023.zip")</f>
        <v>https://climate.onebuilding.org/WMO_Region_6_Europe/FIN_Finland/US_Uusimaa/FIN_US_Hanko.Tulliniemi.027460_TMYx.2009-2023.zip</v>
      </c>
    </row>
    <row r="3452" spans="1:10" x14ac:dyDescent="0.25">
      <c r="A3452" t="s">
        <v>2310</v>
      </c>
      <c r="B3452" t="s">
        <v>2317</v>
      </c>
      <c r="C3452" t="s">
        <v>2410</v>
      </c>
      <c r="D3452" s="1" t="s">
        <v>2411</v>
      </c>
      <c r="E3452" t="s">
        <v>14</v>
      </c>
      <c r="F3452">
        <v>59.808599999999998</v>
      </c>
      <c r="G3452">
        <v>22.915800000000001</v>
      </c>
      <c r="H3452">
        <v>2</v>
      </c>
      <c r="I3452">
        <v>27.5</v>
      </c>
      <c r="J3452" t="str">
        <f>HYPERLINK("https://climate.onebuilding.org/WMO_Region_6_Europe/FIN_Finland/US_Uusimaa/FIN_US_Hanko.Tulliniemi.027460_TMYx.zip")</f>
        <v>https://climate.onebuilding.org/WMO_Region_6_Europe/FIN_Finland/US_Uusimaa/FIN_US_Hanko.Tulliniemi.027460_TMYx.zip</v>
      </c>
    </row>
    <row r="3453" spans="1:10" x14ac:dyDescent="0.25">
      <c r="A3453" t="s">
        <v>2310</v>
      </c>
      <c r="B3453" t="s">
        <v>527</v>
      </c>
      <c r="C3453" t="s">
        <v>2413</v>
      </c>
      <c r="D3453" s="1" t="s">
        <v>2414</v>
      </c>
      <c r="E3453" t="s">
        <v>2415</v>
      </c>
      <c r="F3453">
        <v>60.377800000000001</v>
      </c>
      <c r="G3453">
        <v>22.096399999999999</v>
      </c>
      <c r="H3453">
        <v>2</v>
      </c>
      <c r="I3453">
        <v>5.5</v>
      </c>
      <c r="J3453" t="str">
        <f>HYPERLINK("https://climate.onebuilding.org/WMO_Region_6_Europe/FIN_Finland/SF_Southwest_Finland/FIN_SF_Turku.Rajakari.027470_TMYx.2004-2018.zip")</f>
        <v>https://climate.onebuilding.org/WMO_Region_6_Europe/FIN_Finland/SF_Southwest_Finland/FIN_SF_Turku.Rajakari.027470_TMYx.2004-2018.zip</v>
      </c>
    </row>
    <row r="3454" spans="1:10" x14ac:dyDescent="0.25">
      <c r="A3454" t="s">
        <v>2310</v>
      </c>
      <c r="B3454" t="s">
        <v>527</v>
      </c>
      <c r="C3454" t="s">
        <v>2413</v>
      </c>
      <c r="D3454" s="1" t="s">
        <v>2414</v>
      </c>
      <c r="E3454" t="s">
        <v>14</v>
      </c>
      <c r="F3454">
        <v>60.377800000000001</v>
      </c>
      <c r="G3454">
        <v>22.096399999999999</v>
      </c>
      <c r="H3454">
        <v>2</v>
      </c>
      <c r="I3454">
        <v>5.5</v>
      </c>
      <c r="J3454" t="str">
        <f>HYPERLINK("https://climate.onebuilding.org/WMO_Region_6_Europe/FIN_Finland/SF_Southwest_Finland/FIN_SF_Turku.Rajakari.027470_TMYx.2007-2021.zip")</f>
        <v>https://climate.onebuilding.org/WMO_Region_6_Europe/FIN_Finland/SF_Southwest_Finland/FIN_SF_Turku.Rajakari.027470_TMYx.2007-2021.zip</v>
      </c>
    </row>
    <row r="3455" spans="1:10" x14ac:dyDescent="0.25">
      <c r="A3455" t="s">
        <v>2310</v>
      </c>
      <c r="B3455" t="s">
        <v>527</v>
      </c>
      <c r="C3455" t="s">
        <v>2413</v>
      </c>
      <c r="D3455" s="1" t="s">
        <v>2414</v>
      </c>
      <c r="E3455" t="s">
        <v>14</v>
      </c>
      <c r="F3455">
        <v>60.377800000000001</v>
      </c>
      <c r="G3455">
        <v>22.096399999999999</v>
      </c>
      <c r="H3455">
        <v>2</v>
      </c>
      <c r="I3455">
        <v>5.5</v>
      </c>
      <c r="J3455" t="str">
        <f>HYPERLINK("https://climate.onebuilding.org/WMO_Region_6_Europe/FIN_Finland/SF_Southwest_Finland/FIN_SF_Turku.Rajakari.027470_TMYx.2009-2023.zip")</f>
        <v>https://climate.onebuilding.org/WMO_Region_6_Europe/FIN_Finland/SF_Southwest_Finland/FIN_SF_Turku.Rajakari.027470_TMYx.2009-2023.zip</v>
      </c>
    </row>
    <row r="3456" spans="1:10" x14ac:dyDescent="0.25">
      <c r="A3456" t="s">
        <v>2310</v>
      </c>
      <c r="B3456" t="s">
        <v>527</v>
      </c>
      <c r="C3456" t="s">
        <v>2413</v>
      </c>
      <c r="D3456" s="1" t="s">
        <v>2414</v>
      </c>
      <c r="E3456" t="s">
        <v>14</v>
      </c>
      <c r="F3456">
        <v>60.377800000000001</v>
      </c>
      <c r="G3456">
        <v>22.096399999999999</v>
      </c>
      <c r="H3456">
        <v>2</v>
      </c>
      <c r="I3456">
        <v>5.5</v>
      </c>
      <c r="J3456" t="str">
        <f>HYPERLINK("https://climate.onebuilding.org/WMO_Region_6_Europe/FIN_Finland/SF_Southwest_Finland/FIN_SF_Turku.Rajakari.027470_TMYx.zip")</f>
        <v>https://climate.onebuilding.org/WMO_Region_6_Europe/FIN_Finland/SF_Southwest_Finland/FIN_SF_Turku.Rajakari.027470_TMYx.zip</v>
      </c>
    </row>
    <row r="3457" spans="1:10" x14ac:dyDescent="0.25">
      <c r="A3457" t="s">
        <v>2310</v>
      </c>
      <c r="B3457" t="s">
        <v>2347</v>
      </c>
      <c r="C3457" t="s">
        <v>2416</v>
      </c>
      <c r="D3457" s="1" t="s">
        <v>2417</v>
      </c>
      <c r="E3457" t="s">
        <v>2418</v>
      </c>
      <c r="F3457">
        <v>62.173900000000003</v>
      </c>
      <c r="G3457">
        <v>27.860299999999999</v>
      </c>
      <c r="H3457">
        <v>2</v>
      </c>
      <c r="I3457">
        <v>87.2</v>
      </c>
      <c r="J3457" t="str">
        <f>HYPERLINK("https://climate.onebuilding.org/WMO_Region_6_Europe/FIN_Finland/SS_South_Savo/FIN_SS_Joroinen.Varkaus.AP.027480_TMYx.2004-2018.zip")</f>
        <v>https://climate.onebuilding.org/WMO_Region_6_Europe/FIN_Finland/SS_South_Savo/FIN_SS_Joroinen.Varkaus.AP.027480_TMYx.2004-2018.zip</v>
      </c>
    </row>
    <row r="3458" spans="1:10" x14ac:dyDescent="0.25">
      <c r="A3458" t="s">
        <v>2310</v>
      </c>
      <c r="B3458" t="s">
        <v>2347</v>
      </c>
      <c r="C3458" t="s">
        <v>2416</v>
      </c>
      <c r="D3458" s="1" t="s">
        <v>2417</v>
      </c>
      <c r="E3458" t="s">
        <v>14</v>
      </c>
      <c r="F3458">
        <v>62.173900000000003</v>
      </c>
      <c r="G3458">
        <v>27.860299999999999</v>
      </c>
      <c r="H3458">
        <v>2</v>
      </c>
      <c r="I3458">
        <v>87.2</v>
      </c>
      <c r="J3458" t="str">
        <f>HYPERLINK("https://climate.onebuilding.org/WMO_Region_6_Europe/FIN_Finland/SS_South_Savo/FIN_SS_Joroinen.Varkaus.AP.027480_TMYx.2007-2021.zip")</f>
        <v>https://climate.onebuilding.org/WMO_Region_6_Europe/FIN_Finland/SS_South_Savo/FIN_SS_Joroinen.Varkaus.AP.027480_TMYx.2007-2021.zip</v>
      </c>
    </row>
    <row r="3459" spans="1:10" x14ac:dyDescent="0.25">
      <c r="A3459" t="s">
        <v>2310</v>
      </c>
      <c r="B3459" t="s">
        <v>2347</v>
      </c>
      <c r="C3459" t="s">
        <v>2416</v>
      </c>
      <c r="D3459" s="1" t="s">
        <v>2417</v>
      </c>
      <c r="E3459" t="s">
        <v>14</v>
      </c>
      <c r="F3459">
        <v>62.173900000000003</v>
      </c>
      <c r="G3459">
        <v>27.860299999999999</v>
      </c>
      <c r="H3459">
        <v>2</v>
      </c>
      <c r="I3459">
        <v>87.2</v>
      </c>
      <c r="J3459" t="str">
        <f>HYPERLINK("https://climate.onebuilding.org/WMO_Region_6_Europe/FIN_Finland/SS_South_Savo/FIN_SS_Joroinen.Varkaus.AP.027480_TMYx.2009-2023.zip")</f>
        <v>https://climate.onebuilding.org/WMO_Region_6_Europe/FIN_Finland/SS_South_Savo/FIN_SS_Joroinen.Varkaus.AP.027480_TMYx.2009-2023.zip</v>
      </c>
    </row>
    <row r="3460" spans="1:10" x14ac:dyDescent="0.25">
      <c r="A3460" t="s">
        <v>2310</v>
      </c>
      <c r="B3460" t="s">
        <v>2347</v>
      </c>
      <c r="C3460" t="s">
        <v>2416</v>
      </c>
      <c r="D3460" s="1" t="s">
        <v>2417</v>
      </c>
      <c r="E3460" t="s">
        <v>14</v>
      </c>
      <c r="F3460">
        <v>62.173900000000003</v>
      </c>
      <c r="G3460">
        <v>27.860299999999999</v>
      </c>
      <c r="H3460">
        <v>2</v>
      </c>
      <c r="I3460">
        <v>87.2</v>
      </c>
      <c r="J3460" t="str">
        <f>HYPERLINK("https://climate.onebuilding.org/WMO_Region_6_Europe/FIN_Finland/SS_South_Savo/FIN_SS_Joroinen.Varkaus.AP.027480_TMYx.zip")</f>
        <v>https://climate.onebuilding.org/WMO_Region_6_Europe/FIN_Finland/SS_South_Savo/FIN_SS_Joroinen.Varkaus.AP.027480_TMYx.zip</v>
      </c>
    </row>
    <row r="3461" spans="1:10" x14ac:dyDescent="0.25">
      <c r="A3461" t="s">
        <v>2310</v>
      </c>
      <c r="B3461" t="s">
        <v>2317</v>
      </c>
      <c r="C3461" t="s">
        <v>2419</v>
      </c>
      <c r="D3461" s="1" t="s">
        <v>2420</v>
      </c>
      <c r="E3461" t="s">
        <v>2421</v>
      </c>
      <c r="F3461">
        <v>59.843899999999998</v>
      </c>
      <c r="G3461">
        <v>23.2483</v>
      </c>
      <c r="H3461">
        <v>2</v>
      </c>
      <c r="I3461">
        <v>3</v>
      </c>
      <c r="J3461" t="str">
        <f>HYPERLINK("https://climate.onebuilding.org/WMO_Region_6_Europe/FIN_Finland/US_Uusimaa/FIN_US_Hanko.Tvarminne.027500_TMYx.2004-2018.zip")</f>
        <v>https://climate.onebuilding.org/WMO_Region_6_Europe/FIN_Finland/US_Uusimaa/FIN_US_Hanko.Tvarminne.027500_TMYx.2004-2018.zip</v>
      </c>
    </row>
    <row r="3462" spans="1:10" x14ac:dyDescent="0.25">
      <c r="A3462" t="s">
        <v>2310</v>
      </c>
      <c r="B3462" t="s">
        <v>2317</v>
      </c>
      <c r="C3462" t="s">
        <v>2419</v>
      </c>
      <c r="D3462" s="1" t="s">
        <v>2420</v>
      </c>
      <c r="E3462" t="s">
        <v>14</v>
      </c>
      <c r="F3462">
        <v>59.843899999999998</v>
      </c>
      <c r="G3462">
        <v>23.2483</v>
      </c>
      <c r="H3462">
        <v>2</v>
      </c>
      <c r="I3462">
        <v>3</v>
      </c>
      <c r="J3462" t="str">
        <f>HYPERLINK("https://climate.onebuilding.org/WMO_Region_6_Europe/FIN_Finland/US_Uusimaa/FIN_US_Hanko.Tvarminne.027500_TMYx.2007-2021.zip")</f>
        <v>https://climate.onebuilding.org/WMO_Region_6_Europe/FIN_Finland/US_Uusimaa/FIN_US_Hanko.Tvarminne.027500_TMYx.2007-2021.zip</v>
      </c>
    </row>
    <row r="3463" spans="1:10" x14ac:dyDescent="0.25">
      <c r="A3463" t="s">
        <v>2310</v>
      </c>
      <c r="B3463" t="s">
        <v>2317</v>
      </c>
      <c r="C3463" t="s">
        <v>2419</v>
      </c>
      <c r="D3463" s="1" t="s">
        <v>2420</v>
      </c>
      <c r="E3463" t="s">
        <v>14</v>
      </c>
      <c r="F3463">
        <v>59.843899999999998</v>
      </c>
      <c r="G3463">
        <v>23.2483</v>
      </c>
      <c r="H3463">
        <v>2</v>
      </c>
      <c r="I3463">
        <v>3</v>
      </c>
      <c r="J3463" t="str">
        <f>HYPERLINK("https://climate.onebuilding.org/WMO_Region_6_Europe/FIN_Finland/US_Uusimaa/FIN_US_Hanko.Tvarminne.027500_TMYx.2009-2023.zip")</f>
        <v>https://climate.onebuilding.org/WMO_Region_6_Europe/FIN_Finland/US_Uusimaa/FIN_US_Hanko.Tvarminne.027500_TMYx.2009-2023.zip</v>
      </c>
    </row>
    <row r="3464" spans="1:10" x14ac:dyDescent="0.25">
      <c r="A3464" t="s">
        <v>2310</v>
      </c>
      <c r="B3464" t="s">
        <v>2317</v>
      </c>
      <c r="C3464" t="s">
        <v>2419</v>
      </c>
      <c r="D3464" s="1" t="s">
        <v>2420</v>
      </c>
      <c r="E3464" t="s">
        <v>14</v>
      </c>
      <c r="F3464">
        <v>59.843899999999998</v>
      </c>
      <c r="G3464">
        <v>23.2483</v>
      </c>
      <c r="H3464">
        <v>2</v>
      </c>
      <c r="I3464">
        <v>3</v>
      </c>
      <c r="J3464" t="str">
        <f>HYPERLINK("https://climate.onebuilding.org/WMO_Region_6_Europe/FIN_Finland/US_Uusimaa/FIN_US_Hanko.Tvarminne.027500_TMYx.zip")</f>
        <v>https://climate.onebuilding.org/WMO_Region_6_Europe/FIN_Finland/US_Uusimaa/FIN_US_Hanko.Tvarminne.027500_TMYx.zip</v>
      </c>
    </row>
    <row r="3465" spans="1:10" x14ac:dyDescent="0.25">
      <c r="A3465" t="s">
        <v>2310</v>
      </c>
      <c r="B3465" t="s">
        <v>2286</v>
      </c>
      <c r="C3465" t="s">
        <v>2422</v>
      </c>
      <c r="D3465" s="1" t="s">
        <v>2423</v>
      </c>
      <c r="E3465" t="s">
        <v>2424</v>
      </c>
      <c r="F3465">
        <v>61.630299999999998</v>
      </c>
      <c r="G3465">
        <v>21.375800000000002</v>
      </c>
      <c r="H3465">
        <v>2</v>
      </c>
      <c r="I3465">
        <v>4.5999999999999996</v>
      </c>
      <c r="J3465" t="str">
        <f>HYPERLINK("https://climate.onebuilding.org/WMO_Region_6_Europe/FIN_Finland/SA_Satakunta/FIN_SA_Pori.Tahkoluoto.Harbour.027510_TMYx.2004-2018.zip")</f>
        <v>https://climate.onebuilding.org/WMO_Region_6_Europe/FIN_Finland/SA_Satakunta/FIN_SA_Pori.Tahkoluoto.Harbour.027510_TMYx.2004-2018.zip</v>
      </c>
    </row>
    <row r="3466" spans="1:10" x14ac:dyDescent="0.25">
      <c r="A3466" t="s">
        <v>2310</v>
      </c>
      <c r="B3466" t="s">
        <v>2286</v>
      </c>
      <c r="C3466" t="s">
        <v>2422</v>
      </c>
      <c r="D3466" s="1" t="s">
        <v>2423</v>
      </c>
      <c r="E3466" t="s">
        <v>14</v>
      </c>
      <c r="F3466">
        <v>61.630299999999998</v>
      </c>
      <c r="G3466">
        <v>21.375800000000002</v>
      </c>
      <c r="H3466">
        <v>2</v>
      </c>
      <c r="I3466">
        <v>4.5999999999999996</v>
      </c>
      <c r="J3466" t="str">
        <f>HYPERLINK("https://climate.onebuilding.org/WMO_Region_6_Europe/FIN_Finland/SA_Satakunta/FIN_SA_Pori.Tahkoluoto.Harbour.027510_TMYx.2007-2021.zip")</f>
        <v>https://climate.onebuilding.org/WMO_Region_6_Europe/FIN_Finland/SA_Satakunta/FIN_SA_Pori.Tahkoluoto.Harbour.027510_TMYx.2007-2021.zip</v>
      </c>
    </row>
    <row r="3467" spans="1:10" x14ac:dyDescent="0.25">
      <c r="A3467" t="s">
        <v>2310</v>
      </c>
      <c r="B3467" t="s">
        <v>2286</v>
      </c>
      <c r="C3467" t="s">
        <v>2422</v>
      </c>
      <c r="D3467" s="1" t="s">
        <v>2423</v>
      </c>
      <c r="E3467" t="s">
        <v>14</v>
      </c>
      <c r="F3467">
        <v>61.630299999999998</v>
      </c>
      <c r="G3467">
        <v>21.375800000000002</v>
      </c>
      <c r="H3467">
        <v>2</v>
      </c>
      <c r="I3467">
        <v>4.5999999999999996</v>
      </c>
      <c r="J3467" t="str">
        <f>HYPERLINK("https://climate.onebuilding.org/WMO_Region_6_Europe/FIN_Finland/SA_Satakunta/FIN_SA_Pori.Tahkoluoto.Harbour.027510_TMYx.2009-2023.zip")</f>
        <v>https://climate.onebuilding.org/WMO_Region_6_Europe/FIN_Finland/SA_Satakunta/FIN_SA_Pori.Tahkoluoto.Harbour.027510_TMYx.2009-2023.zip</v>
      </c>
    </row>
    <row r="3468" spans="1:10" x14ac:dyDescent="0.25">
      <c r="A3468" t="s">
        <v>2310</v>
      </c>
      <c r="B3468" t="s">
        <v>2286</v>
      </c>
      <c r="C3468" t="s">
        <v>2422</v>
      </c>
      <c r="D3468" s="1" t="s">
        <v>2423</v>
      </c>
      <c r="E3468" t="s">
        <v>14</v>
      </c>
      <c r="F3468">
        <v>61.630299999999998</v>
      </c>
      <c r="G3468">
        <v>21.375800000000002</v>
      </c>
      <c r="H3468">
        <v>2</v>
      </c>
      <c r="I3468">
        <v>4.5999999999999996</v>
      </c>
      <c r="J3468" t="str">
        <f>HYPERLINK("https://climate.onebuilding.org/WMO_Region_6_Europe/FIN_Finland/SA_Satakunta/FIN_SA_Pori.Tahkoluoto.Harbour.027510_TMYx.zip")</f>
        <v>https://climate.onebuilding.org/WMO_Region_6_Europe/FIN_Finland/SA_Satakunta/FIN_SA_Pori.Tahkoluoto.Harbour.027510_TMYx.zip</v>
      </c>
    </row>
    <row r="3469" spans="1:10" x14ac:dyDescent="0.25">
      <c r="A3469" t="s">
        <v>2310</v>
      </c>
      <c r="B3469" t="s">
        <v>2425</v>
      </c>
      <c r="C3469" t="s">
        <v>2426</v>
      </c>
      <c r="D3469" s="1" t="s">
        <v>2427</v>
      </c>
      <c r="E3469" t="s">
        <v>2428</v>
      </c>
      <c r="F3469">
        <v>62.203600000000002</v>
      </c>
      <c r="G3469">
        <v>21.169699999999999</v>
      </c>
      <c r="H3469">
        <v>2</v>
      </c>
      <c r="I3469">
        <v>21.7</v>
      </c>
      <c r="J3469" t="str">
        <f>HYPERLINK("https://climate.onebuilding.org/WMO_Region_6_Europe/FIN_Finland/OS_Ostrobothnia/FIN_OS_Kristiinankaupunki.Lighthouse.027520_TMYx.2004-2018.zip")</f>
        <v>https://climate.onebuilding.org/WMO_Region_6_Europe/FIN_Finland/OS_Ostrobothnia/FIN_OS_Kristiinankaupunki.Lighthouse.027520_TMYx.2004-2018.zip</v>
      </c>
    </row>
    <row r="3470" spans="1:10" x14ac:dyDescent="0.25">
      <c r="A3470" t="s">
        <v>2310</v>
      </c>
      <c r="B3470" t="s">
        <v>2425</v>
      </c>
      <c r="C3470" t="s">
        <v>2426</v>
      </c>
      <c r="D3470" s="1" t="s">
        <v>2427</v>
      </c>
      <c r="E3470" t="s">
        <v>14</v>
      </c>
      <c r="F3470">
        <v>62.203600000000002</v>
      </c>
      <c r="G3470">
        <v>21.169699999999999</v>
      </c>
      <c r="H3470">
        <v>2</v>
      </c>
      <c r="I3470">
        <v>21.7</v>
      </c>
      <c r="J3470" t="str">
        <f>HYPERLINK("https://climate.onebuilding.org/WMO_Region_6_Europe/FIN_Finland/OS_Ostrobothnia/FIN_OS_Kristiinankaupunki.Lighthouse.027520_TMYx.2007-2021.zip")</f>
        <v>https://climate.onebuilding.org/WMO_Region_6_Europe/FIN_Finland/OS_Ostrobothnia/FIN_OS_Kristiinankaupunki.Lighthouse.027520_TMYx.2007-2021.zip</v>
      </c>
    </row>
    <row r="3471" spans="1:10" x14ac:dyDescent="0.25">
      <c r="A3471" t="s">
        <v>2310</v>
      </c>
      <c r="B3471" t="s">
        <v>2425</v>
      </c>
      <c r="C3471" t="s">
        <v>2426</v>
      </c>
      <c r="D3471" s="1" t="s">
        <v>2427</v>
      </c>
      <c r="E3471" t="s">
        <v>14</v>
      </c>
      <c r="F3471">
        <v>62.203600000000002</v>
      </c>
      <c r="G3471">
        <v>21.169699999999999</v>
      </c>
      <c r="H3471">
        <v>2</v>
      </c>
      <c r="I3471">
        <v>21.7</v>
      </c>
      <c r="J3471" t="str">
        <f>HYPERLINK("https://climate.onebuilding.org/WMO_Region_6_Europe/FIN_Finland/OS_Ostrobothnia/FIN_OS_Kristiinankaupunki.Lighthouse.027520_TMYx.2009-2023.zip")</f>
        <v>https://climate.onebuilding.org/WMO_Region_6_Europe/FIN_Finland/OS_Ostrobothnia/FIN_OS_Kristiinankaupunki.Lighthouse.027520_TMYx.2009-2023.zip</v>
      </c>
    </row>
    <row r="3472" spans="1:10" x14ac:dyDescent="0.25">
      <c r="A3472" t="s">
        <v>2310</v>
      </c>
      <c r="B3472" t="s">
        <v>2425</v>
      </c>
      <c r="C3472" t="s">
        <v>2426</v>
      </c>
      <c r="D3472" s="1" t="s">
        <v>2427</v>
      </c>
      <c r="E3472" t="s">
        <v>14</v>
      </c>
      <c r="F3472">
        <v>62.203600000000002</v>
      </c>
      <c r="G3472">
        <v>21.169699999999999</v>
      </c>
      <c r="H3472">
        <v>2</v>
      </c>
      <c r="I3472">
        <v>21.7</v>
      </c>
      <c r="J3472" t="str">
        <f>HYPERLINK("https://climate.onebuilding.org/WMO_Region_6_Europe/FIN_Finland/OS_Ostrobothnia/FIN_OS_Kristiinankaupunki.Lighthouse.027520_TMYx.zip")</f>
        <v>https://climate.onebuilding.org/WMO_Region_6_Europe/FIN_Finland/OS_Ostrobothnia/FIN_OS_Kristiinankaupunki.Lighthouse.027520_TMYx.zip</v>
      </c>
    </row>
    <row r="3473" spans="1:10" x14ac:dyDescent="0.25">
      <c r="A3473" t="s">
        <v>2310</v>
      </c>
      <c r="B3473" t="s">
        <v>2321</v>
      </c>
      <c r="C3473" t="s">
        <v>2429</v>
      </c>
      <c r="D3473" s="1" t="s">
        <v>2430</v>
      </c>
      <c r="E3473" t="s">
        <v>2431</v>
      </c>
      <c r="F3473">
        <v>60.999200000000002</v>
      </c>
      <c r="G3473">
        <v>24.491700000000002</v>
      </c>
      <c r="H3473">
        <v>2</v>
      </c>
      <c r="I3473">
        <v>85</v>
      </c>
      <c r="J3473" t="str">
        <f>HYPERLINK("https://climate.onebuilding.org/WMO_Region_6_Europe/FIN_Finland/KH_Kanta-Hame/FIN_KH_Hameenlinna.Katinen.027540_TMYx.2004-2018.zip")</f>
        <v>https://climate.onebuilding.org/WMO_Region_6_Europe/FIN_Finland/KH_Kanta-Hame/FIN_KH_Hameenlinna.Katinen.027540_TMYx.2004-2018.zip</v>
      </c>
    </row>
    <row r="3474" spans="1:10" x14ac:dyDescent="0.25">
      <c r="A3474" t="s">
        <v>2310</v>
      </c>
      <c r="B3474" t="s">
        <v>2321</v>
      </c>
      <c r="C3474" t="s">
        <v>2429</v>
      </c>
      <c r="D3474" s="1" t="s">
        <v>2430</v>
      </c>
      <c r="E3474" t="s">
        <v>14</v>
      </c>
      <c r="F3474">
        <v>60.999200000000002</v>
      </c>
      <c r="G3474">
        <v>24.491700000000002</v>
      </c>
      <c r="H3474">
        <v>2</v>
      </c>
      <c r="I3474">
        <v>85</v>
      </c>
      <c r="J3474" t="str">
        <f>HYPERLINK("https://climate.onebuilding.org/WMO_Region_6_Europe/FIN_Finland/KH_Kanta-Hame/FIN_KH_Hameenlinna.Katinen.027540_TMYx.2007-2021.zip")</f>
        <v>https://climate.onebuilding.org/WMO_Region_6_Europe/FIN_Finland/KH_Kanta-Hame/FIN_KH_Hameenlinna.Katinen.027540_TMYx.2007-2021.zip</v>
      </c>
    </row>
    <row r="3475" spans="1:10" x14ac:dyDescent="0.25">
      <c r="A3475" t="s">
        <v>2310</v>
      </c>
      <c r="B3475" t="s">
        <v>2321</v>
      </c>
      <c r="C3475" t="s">
        <v>2429</v>
      </c>
      <c r="D3475" s="1" t="s">
        <v>2430</v>
      </c>
      <c r="E3475" t="s">
        <v>14</v>
      </c>
      <c r="F3475">
        <v>60.999200000000002</v>
      </c>
      <c r="G3475">
        <v>24.491700000000002</v>
      </c>
      <c r="H3475">
        <v>2</v>
      </c>
      <c r="I3475">
        <v>85</v>
      </c>
      <c r="J3475" t="str">
        <f>HYPERLINK("https://climate.onebuilding.org/WMO_Region_6_Europe/FIN_Finland/KH_Kanta-Hame/FIN_KH_Hameenlinna.Katinen.027540_TMYx.2009-2023.zip")</f>
        <v>https://climate.onebuilding.org/WMO_Region_6_Europe/FIN_Finland/KH_Kanta-Hame/FIN_KH_Hameenlinna.Katinen.027540_TMYx.2009-2023.zip</v>
      </c>
    </row>
    <row r="3476" spans="1:10" x14ac:dyDescent="0.25">
      <c r="A3476" t="s">
        <v>2310</v>
      </c>
      <c r="B3476" t="s">
        <v>2321</v>
      </c>
      <c r="C3476" t="s">
        <v>2429</v>
      </c>
      <c r="D3476" s="1" t="s">
        <v>2430</v>
      </c>
      <c r="E3476" t="s">
        <v>14</v>
      </c>
      <c r="F3476">
        <v>60.999200000000002</v>
      </c>
      <c r="G3476">
        <v>24.491700000000002</v>
      </c>
      <c r="H3476">
        <v>2</v>
      </c>
      <c r="I3476">
        <v>85</v>
      </c>
      <c r="J3476" t="str">
        <f>HYPERLINK("https://climate.onebuilding.org/WMO_Region_6_Europe/FIN_Finland/KH_Kanta-Hame/FIN_KH_Hameenlinna.Katinen.027540_TMYx.zip")</f>
        <v>https://climate.onebuilding.org/WMO_Region_6_Europe/FIN_Finland/KH_Kanta-Hame/FIN_KH_Hameenlinna.Katinen.027540_TMYx.zip</v>
      </c>
    </row>
    <row r="3477" spans="1:10" x14ac:dyDescent="0.25">
      <c r="A3477" t="s">
        <v>2310</v>
      </c>
      <c r="B3477" t="s">
        <v>93</v>
      </c>
      <c r="C3477" t="s">
        <v>2432</v>
      </c>
      <c r="D3477" s="1" t="s">
        <v>2433</v>
      </c>
      <c r="E3477" t="s">
        <v>2434</v>
      </c>
      <c r="F3477">
        <v>64.050299999999993</v>
      </c>
      <c r="G3477">
        <v>24.724699999999999</v>
      </c>
      <c r="H3477">
        <v>2</v>
      </c>
      <c r="I3477">
        <v>76</v>
      </c>
      <c r="J3477" t="str">
        <f>HYPERLINK("https://climate.onebuilding.org/WMO_Region_6_Europe/FIN_Finland/NO_North_Ostrobothnia/FIN_NO_Ylivieska.AF.027550_TMYx.2004-2018.zip")</f>
        <v>https://climate.onebuilding.org/WMO_Region_6_Europe/FIN_Finland/NO_North_Ostrobothnia/FIN_NO_Ylivieska.AF.027550_TMYx.2004-2018.zip</v>
      </c>
    </row>
    <row r="3478" spans="1:10" x14ac:dyDescent="0.25">
      <c r="A3478" t="s">
        <v>2310</v>
      </c>
      <c r="B3478" t="s">
        <v>93</v>
      </c>
      <c r="C3478" t="s">
        <v>2432</v>
      </c>
      <c r="D3478" s="1" t="s">
        <v>2433</v>
      </c>
      <c r="E3478" t="s">
        <v>14</v>
      </c>
      <c r="F3478">
        <v>64.050299999999993</v>
      </c>
      <c r="G3478">
        <v>24.724699999999999</v>
      </c>
      <c r="H3478">
        <v>2</v>
      </c>
      <c r="I3478">
        <v>76</v>
      </c>
      <c r="J3478" t="str">
        <f>HYPERLINK("https://climate.onebuilding.org/WMO_Region_6_Europe/FIN_Finland/NO_North_Ostrobothnia/FIN_NO_Ylivieska.AF.027550_TMYx.2007-2021.zip")</f>
        <v>https://climate.onebuilding.org/WMO_Region_6_Europe/FIN_Finland/NO_North_Ostrobothnia/FIN_NO_Ylivieska.AF.027550_TMYx.2007-2021.zip</v>
      </c>
    </row>
    <row r="3479" spans="1:10" x14ac:dyDescent="0.25">
      <c r="A3479" t="s">
        <v>2310</v>
      </c>
      <c r="B3479" t="s">
        <v>93</v>
      </c>
      <c r="C3479" t="s">
        <v>2432</v>
      </c>
      <c r="D3479" s="1" t="s">
        <v>2433</v>
      </c>
      <c r="E3479" t="s">
        <v>14</v>
      </c>
      <c r="F3479">
        <v>64.050299999999993</v>
      </c>
      <c r="G3479">
        <v>24.724699999999999</v>
      </c>
      <c r="H3479">
        <v>2</v>
      </c>
      <c r="I3479">
        <v>76</v>
      </c>
      <c r="J3479" t="str">
        <f>HYPERLINK("https://climate.onebuilding.org/WMO_Region_6_Europe/FIN_Finland/NO_North_Ostrobothnia/FIN_NO_Ylivieska.AF.027550_TMYx.2009-2023.zip")</f>
        <v>https://climate.onebuilding.org/WMO_Region_6_Europe/FIN_Finland/NO_North_Ostrobothnia/FIN_NO_Ylivieska.AF.027550_TMYx.2009-2023.zip</v>
      </c>
    </row>
    <row r="3480" spans="1:10" x14ac:dyDescent="0.25">
      <c r="A3480" t="s">
        <v>2310</v>
      </c>
      <c r="B3480" t="s">
        <v>93</v>
      </c>
      <c r="C3480" t="s">
        <v>2432</v>
      </c>
      <c r="D3480" s="1" t="s">
        <v>2433</v>
      </c>
      <c r="E3480" t="s">
        <v>14</v>
      </c>
      <c r="F3480">
        <v>64.050299999999993</v>
      </c>
      <c r="G3480">
        <v>24.724699999999999</v>
      </c>
      <c r="H3480">
        <v>2</v>
      </c>
      <c r="I3480">
        <v>76</v>
      </c>
      <c r="J3480" t="str">
        <f>HYPERLINK("https://climate.onebuilding.org/WMO_Region_6_Europe/FIN_Finland/NO_North_Ostrobothnia/FIN_NO_Ylivieska.AF.027550_TMYx.zip")</f>
        <v>https://climate.onebuilding.org/WMO_Region_6_Europe/FIN_Finland/NO_North_Ostrobothnia/FIN_NO_Ylivieska.AF.027550_TMYx.zip</v>
      </c>
    </row>
    <row r="3481" spans="1:10" x14ac:dyDescent="0.25">
      <c r="A3481" t="s">
        <v>2310</v>
      </c>
      <c r="B3481" t="s">
        <v>527</v>
      </c>
      <c r="C3481" t="s">
        <v>2435</v>
      </c>
      <c r="D3481" s="1" t="s">
        <v>2436</v>
      </c>
      <c r="E3481" t="s">
        <v>2437</v>
      </c>
      <c r="F3481">
        <v>60.373899999999999</v>
      </c>
      <c r="G3481">
        <v>23.113099999999999</v>
      </c>
      <c r="H3481">
        <v>2</v>
      </c>
      <c r="I3481">
        <v>2</v>
      </c>
      <c r="J3481" t="str">
        <f>HYPERLINK("https://climate.onebuilding.org/WMO_Region_6_Europe/FIN_Finland/SF_Southwest_Finland/FIN_SF_Salo.Karkka.027560_TMYx.2004-2018.zip")</f>
        <v>https://climate.onebuilding.org/WMO_Region_6_Europe/FIN_Finland/SF_Southwest_Finland/FIN_SF_Salo.Karkka.027560_TMYx.2004-2018.zip</v>
      </c>
    </row>
    <row r="3482" spans="1:10" x14ac:dyDescent="0.25">
      <c r="A3482" t="s">
        <v>2310</v>
      </c>
      <c r="B3482" t="s">
        <v>527</v>
      </c>
      <c r="C3482" t="s">
        <v>2435</v>
      </c>
      <c r="D3482" s="1" t="s">
        <v>2436</v>
      </c>
      <c r="E3482" t="s">
        <v>14</v>
      </c>
      <c r="F3482">
        <v>60.373899999999999</v>
      </c>
      <c r="G3482">
        <v>23.113099999999999</v>
      </c>
      <c r="H3482">
        <v>2</v>
      </c>
      <c r="I3482">
        <v>2</v>
      </c>
      <c r="J3482" t="str">
        <f>HYPERLINK("https://climate.onebuilding.org/WMO_Region_6_Europe/FIN_Finland/SF_Southwest_Finland/FIN_SF_Salo.Karkka.027560_TMYx.2007-2021.zip")</f>
        <v>https://climate.onebuilding.org/WMO_Region_6_Europe/FIN_Finland/SF_Southwest_Finland/FIN_SF_Salo.Karkka.027560_TMYx.2007-2021.zip</v>
      </c>
    </row>
    <row r="3483" spans="1:10" x14ac:dyDescent="0.25">
      <c r="A3483" t="s">
        <v>2310</v>
      </c>
      <c r="B3483" t="s">
        <v>527</v>
      </c>
      <c r="C3483" t="s">
        <v>2435</v>
      </c>
      <c r="D3483" s="1" t="s">
        <v>2436</v>
      </c>
      <c r="E3483" t="s">
        <v>14</v>
      </c>
      <c r="F3483">
        <v>60.373899999999999</v>
      </c>
      <c r="G3483">
        <v>23.113099999999999</v>
      </c>
      <c r="H3483">
        <v>2</v>
      </c>
      <c r="I3483">
        <v>2</v>
      </c>
      <c r="J3483" t="str">
        <f>HYPERLINK("https://climate.onebuilding.org/WMO_Region_6_Europe/FIN_Finland/SF_Southwest_Finland/FIN_SF_Salo.Karkka.027560_TMYx.2009-2023.zip")</f>
        <v>https://climate.onebuilding.org/WMO_Region_6_Europe/FIN_Finland/SF_Southwest_Finland/FIN_SF_Salo.Karkka.027560_TMYx.2009-2023.zip</v>
      </c>
    </row>
    <row r="3484" spans="1:10" x14ac:dyDescent="0.25">
      <c r="A3484" t="s">
        <v>2310</v>
      </c>
      <c r="B3484" t="s">
        <v>527</v>
      </c>
      <c r="C3484" t="s">
        <v>2435</v>
      </c>
      <c r="D3484" s="1" t="s">
        <v>2436</v>
      </c>
      <c r="E3484" t="s">
        <v>14</v>
      </c>
      <c r="F3484">
        <v>60.373899999999999</v>
      </c>
      <c r="G3484">
        <v>23.113099999999999</v>
      </c>
      <c r="H3484">
        <v>2</v>
      </c>
      <c r="I3484">
        <v>2</v>
      </c>
      <c r="J3484" t="str">
        <f>HYPERLINK("https://climate.onebuilding.org/WMO_Region_6_Europe/FIN_Finland/SF_Southwest_Finland/FIN_SF_Salo.Karkka.027560_TMYx.zip")</f>
        <v>https://climate.onebuilding.org/WMO_Region_6_Europe/FIN_Finland/SF_Southwest_Finland/FIN_SF_Salo.Karkka.027560_TMYx.zip</v>
      </c>
    </row>
    <row r="3485" spans="1:10" x14ac:dyDescent="0.25">
      <c r="A3485" t="s">
        <v>2310</v>
      </c>
      <c r="B3485" t="s">
        <v>2317</v>
      </c>
      <c r="C3485" t="s">
        <v>2438</v>
      </c>
      <c r="D3485" s="1" t="s">
        <v>2439</v>
      </c>
      <c r="E3485" t="s">
        <v>2440</v>
      </c>
      <c r="F3485">
        <v>59.820500000000003</v>
      </c>
      <c r="G3485">
        <v>23.5764</v>
      </c>
      <c r="H3485">
        <v>2</v>
      </c>
      <c r="I3485">
        <v>22.8</v>
      </c>
      <c r="J3485" t="str">
        <f>HYPERLINK("https://climate.onebuilding.org/WMO_Region_6_Europe/FIN_Finland/US_Uusimaa/FIN_US_Raasepori.Jussaro.027570_TMYx.2004-2018.zip")</f>
        <v>https://climate.onebuilding.org/WMO_Region_6_Europe/FIN_Finland/US_Uusimaa/FIN_US_Raasepori.Jussaro.027570_TMYx.2004-2018.zip</v>
      </c>
    </row>
    <row r="3486" spans="1:10" x14ac:dyDescent="0.25">
      <c r="A3486" t="s">
        <v>2310</v>
      </c>
      <c r="B3486" t="s">
        <v>2317</v>
      </c>
      <c r="C3486" t="s">
        <v>2438</v>
      </c>
      <c r="D3486" s="1" t="s">
        <v>2439</v>
      </c>
      <c r="E3486" t="s">
        <v>14</v>
      </c>
      <c r="F3486">
        <v>59.820500000000003</v>
      </c>
      <c r="G3486">
        <v>23.5764</v>
      </c>
      <c r="H3486">
        <v>2</v>
      </c>
      <c r="I3486">
        <v>22.8</v>
      </c>
      <c r="J3486" t="str">
        <f>HYPERLINK("https://climate.onebuilding.org/WMO_Region_6_Europe/FIN_Finland/US_Uusimaa/FIN_US_Raasepori.Jussaro.027570_TMYx.2007-2021.zip")</f>
        <v>https://climate.onebuilding.org/WMO_Region_6_Europe/FIN_Finland/US_Uusimaa/FIN_US_Raasepori.Jussaro.027570_TMYx.2007-2021.zip</v>
      </c>
    </row>
    <row r="3487" spans="1:10" x14ac:dyDescent="0.25">
      <c r="A3487" t="s">
        <v>2310</v>
      </c>
      <c r="B3487" t="s">
        <v>2317</v>
      </c>
      <c r="C3487" t="s">
        <v>2438</v>
      </c>
      <c r="D3487" s="1" t="s">
        <v>2439</v>
      </c>
      <c r="E3487" t="s">
        <v>14</v>
      </c>
      <c r="F3487">
        <v>59.820500000000003</v>
      </c>
      <c r="G3487">
        <v>23.5764</v>
      </c>
      <c r="H3487">
        <v>2</v>
      </c>
      <c r="I3487">
        <v>22.8</v>
      </c>
      <c r="J3487" t="str">
        <f>HYPERLINK("https://climate.onebuilding.org/WMO_Region_6_Europe/FIN_Finland/US_Uusimaa/FIN_US_Raasepori.Jussaro.027570_TMYx.2009-2023.zip")</f>
        <v>https://climate.onebuilding.org/WMO_Region_6_Europe/FIN_Finland/US_Uusimaa/FIN_US_Raasepori.Jussaro.027570_TMYx.2009-2023.zip</v>
      </c>
    </row>
    <row r="3488" spans="1:10" x14ac:dyDescent="0.25">
      <c r="A3488" t="s">
        <v>2310</v>
      </c>
      <c r="B3488" t="s">
        <v>2317</v>
      </c>
      <c r="C3488" t="s">
        <v>2438</v>
      </c>
      <c r="D3488" s="1" t="s">
        <v>2439</v>
      </c>
      <c r="E3488" t="s">
        <v>14</v>
      </c>
      <c r="F3488">
        <v>59.820500000000003</v>
      </c>
      <c r="G3488">
        <v>23.5764</v>
      </c>
      <c r="H3488">
        <v>2</v>
      </c>
      <c r="I3488">
        <v>22.8</v>
      </c>
      <c r="J3488" t="str">
        <f>HYPERLINK("https://climate.onebuilding.org/WMO_Region_6_Europe/FIN_Finland/US_Uusimaa/FIN_US_Raasepori.Jussaro.027570_TMYx.zip")</f>
        <v>https://climate.onebuilding.org/WMO_Region_6_Europe/FIN_Finland/US_Uusimaa/FIN_US_Raasepori.Jussaro.027570_TMYx.zip</v>
      </c>
    </row>
    <row r="3489" spans="1:10" x14ac:dyDescent="0.25">
      <c r="A3489" t="s">
        <v>2310</v>
      </c>
      <c r="B3489" t="s">
        <v>2317</v>
      </c>
      <c r="C3489" t="s">
        <v>2441</v>
      </c>
      <c r="D3489" s="1" t="s">
        <v>2442</v>
      </c>
      <c r="E3489" t="s">
        <v>2443</v>
      </c>
      <c r="F3489">
        <v>60.418900000000001</v>
      </c>
      <c r="G3489">
        <v>24.398599999999998</v>
      </c>
      <c r="H3489">
        <v>2</v>
      </c>
      <c r="I3489">
        <v>44.2</v>
      </c>
      <c r="J3489" t="str">
        <f>HYPERLINK("https://climate.onebuilding.org/WMO_Region_6_Europe/FIN_Finland/US_Uusimaa/FIN_US_Vihti.Maasoja.027580_TMYx.2004-2018.zip")</f>
        <v>https://climate.onebuilding.org/WMO_Region_6_Europe/FIN_Finland/US_Uusimaa/FIN_US_Vihti.Maasoja.027580_TMYx.2004-2018.zip</v>
      </c>
    </row>
    <row r="3490" spans="1:10" x14ac:dyDescent="0.25">
      <c r="A3490" t="s">
        <v>2310</v>
      </c>
      <c r="B3490" t="s">
        <v>2317</v>
      </c>
      <c r="C3490" t="s">
        <v>2441</v>
      </c>
      <c r="D3490" s="1" t="s">
        <v>2442</v>
      </c>
      <c r="E3490" t="s">
        <v>14</v>
      </c>
      <c r="F3490">
        <v>60.418900000000001</v>
      </c>
      <c r="G3490">
        <v>24.398599999999998</v>
      </c>
      <c r="H3490">
        <v>2</v>
      </c>
      <c r="I3490">
        <v>44.2</v>
      </c>
      <c r="J3490" t="str">
        <f>HYPERLINK("https://climate.onebuilding.org/WMO_Region_6_Europe/FIN_Finland/US_Uusimaa/FIN_US_Vihti.Maasoja.027580_TMYx.2007-2021.zip")</f>
        <v>https://climate.onebuilding.org/WMO_Region_6_Europe/FIN_Finland/US_Uusimaa/FIN_US_Vihti.Maasoja.027580_TMYx.2007-2021.zip</v>
      </c>
    </row>
    <row r="3491" spans="1:10" x14ac:dyDescent="0.25">
      <c r="A3491" t="s">
        <v>2310</v>
      </c>
      <c r="B3491" t="s">
        <v>2317</v>
      </c>
      <c r="C3491" t="s">
        <v>2441</v>
      </c>
      <c r="D3491" s="1" t="s">
        <v>2442</v>
      </c>
      <c r="E3491" t="s">
        <v>14</v>
      </c>
      <c r="F3491">
        <v>60.418900000000001</v>
      </c>
      <c r="G3491">
        <v>24.398599999999998</v>
      </c>
      <c r="H3491">
        <v>2</v>
      </c>
      <c r="I3491">
        <v>44.2</v>
      </c>
      <c r="J3491" t="str">
        <f>HYPERLINK("https://climate.onebuilding.org/WMO_Region_6_Europe/FIN_Finland/US_Uusimaa/FIN_US_Vihti.Maasoja.027580_TMYx.2009-2023.zip")</f>
        <v>https://climate.onebuilding.org/WMO_Region_6_Europe/FIN_Finland/US_Uusimaa/FIN_US_Vihti.Maasoja.027580_TMYx.2009-2023.zip</v>
      </c>
    </row>
    <row r="3492" spans="1:10" x14ac:dyDescent="0.25">
      <c r="A3492" t="s">
        <v>2310</v>
      </c>
      <c r="B3492" t="s">
        <v>2317</v>
      </c>
      <c r="C3492" t="s">
        <v>2441</v>
      </c>
      <c r="D3492" s="1" t="s">
        <v>2442</v>
      </c>
      <c r="E3492" t="s">
        <v>14</v>
      </c>
      <c r="F3492">
        <v>60.418900000000001</v>
      </c>
      <c r="G3492">
        <v>24.398599999999998</v>
      </c>
      <c r="H3492">
        <v>2</v>
      </c>
      <c r="I3492">
        <v>44.2</v>
      </c>
      <c r="J3492" t="str">
        <f>HYPERLINK("https://climate.onebuilding.org/WMO_Region_6_Europe/FIN_Finland/US_Uusimaa/FIN_US_Vihti.Maasoja.027580_TMYx.zip")</f>
        <v>https://climate.onebuilding.org/WMO_Region_6_Europe/FIN_Finland/US_Uusimaa/FIN_US_Vihti.Maasoja.027580_TMYx.zip</v>
      </c>
    </row>
    <row r="3493" spans="1:10" x14ac:dyDescent="0.25">
      <c r="A3493" t="s">
        <v>2310</v>
      </c>
      <c r="B3493" t="s">
        <v>2317</v>
      </c>
      <c r="C3493" t="s">
        <v>2444</v>
      </c>
      <c r="D3493" s="1" t="s">
        <v>2445</v>
      </c>
      <c r="E3493" t="s">
        <v>2446</v>
      </c>
      <c r="F3493">
        <v>60.3917</v>
      </c>
      <c r="G3493">
        <v>25.607199999999999</v>
      </c>
      <c r="H3493">
        <v>2</v>
      </c>
      <c r="I3493">
        <v>23.5</v>
      </c>
      <c r="J3493" t="str">
        <f>HYPERLINK("https://climate.onebuilding.org/WMO_Region_6_Europe/FIN_Finland/US_Uusimaa/FIN_US_Porvoo.Harabacka.027590_TMYx.2004-2018.zip")</f>
        <v>https://climate.onebuilding.org/WMO_Region_6_Europe/FIN_Finland/US_Uusimaa/FIN_US_Porvoo.Harabacka.027590_TMYx.2004-2018.zip</v>
      </c>
    </row>
    <row r="3494" spans="1:10" x14ac:dyDescent="0.25">
      <c r="A3494" t="s">
        <v>2310</v>
      </c>
      <c r="B3494" t="s">
        <v>2317</v>
      </c>
      <c r="C3494" t="s">
        <v>2444</v>
      </c>
      <c r="D3494" s="1" t="s">
        <v>2445</v>
      </c>
      <c r="E3494" t="s">
        <v>14</v>
      </c>
      <c r="F3494">
        <v>60.3917</v>
      </c>
      <c r="G3494">
        <v>25.607199999999999</v>
      </c>
      <c r="H3494">
        <v>2</v>
      </c>
      <c r="I3494">
        <v>23.5</v>
      </c>
      <c r="J3494" t="str">
        <f>HYPERLINK("https://climate.onebuilding.org/WMO_Region_6_Europe/FIN_Finland/US_Uusimaa/FIN_US_Porvoo.Harabacka.027590_TMYx.2007-2021.zip")</f>
        <v>https://climate.onebuilding.org/WMO_Region_6_Europe/FIN_Finland/US_Uusimaa/FIN_US_Porvoo.Harabacka.027590_TMYx.2007-2021.zip</v>
      </c>
    </row>
    <row r="3495" spans="1:10" x14ac:dyDescent="0.25">
      <c r="A3495" t="s">
        <v>2310</v>
      </c>
      <c r="B3495" t="s">
        <v>2317</v>
      </c>
      <c r="C3495" t="s">
        <v>2444</v>
      </c>
      <c r="D3495" s="1" t="s">
        <v>2445</v>
      </c>
      <c r="E3495" t="s">
        <v>14</v>
      </c>
      <c r="F3495">
        <v>60.3917</v>
      </c>
      <c r="G3495">
        <v>25.607199999999999</v>
      </c>
      <c r="H3495">
        <v>2</v>
      </c>
      <c r="I3495">
        <v>23.5</v>
      </c>
      <c r="J3495" t="str">
        <f>HYPERLINK("https://climate.onebuilding.org/WMO_Region_6_Europe/FIN_Finland/US_Uusimaa/FIN_US_Porvoo.Harabacka.027590_TMYx.2009-2023.zip")</f>
        <v>https://climate.onebuilding.org/WMO_Region_6_Europe/FIN_Finland/US_Uusimaa/FIN_US_Porvoo.Harabacka.027590_TMYx.2009-2023.zip</v>
      </c>
    </row>
    <row r="3496" spans="1:10" x14ac:dyDescent="0.25">
      <c r="A3496" t="s">
        <v>2310</v>
      </c>
      <c r="B3496" t="s">
        <v>2317</v>
      </c>
      <c r="C3496" t="s">
        <v>2444</v>
      </c>
      <c r="D3496" s="1" t="s">
        <v>2445</v>
      </c>
      <c r="E3496" t="s">
        <v>14</v>
      </c>
      <c r="F3496">
        <v>60.3917</v>
      </c>
      <c r="G3496">
        <v>25.607199999999999</v>
      </c>
      <c r="H3496">
        <v>2</v>
      </c>
      <c r="I3496">
        <v>23.5</v>
      </c>
      <c r="J3496" t="str">
        <f>HYPERLINK("https://climate.onebuilding.org/WMO_Region_6_Europe/FIN_Finland/US_Uusimaa/FIN_US_Porvoo.Harabacka.027590_TMYx.zip")</f>
        <v>https://climate.onebuilding.org/WMO_Region_6_Europe/FIN_Finland/US_Uusimaa/FIN_US_Porvoo.Harabacka.027590_TMYx.zip</v>
      </c>
    </row>
    <row r="3497" spans="1:10" x14ac:dyDescent="0.25">
      <c r="A3497" t="s">
        <v>2310</v>
      </c>
      <c r="B3497" t="s">
        <v>93</v>
      </c>
      <c r="C3497" t="s">
        <v>2447</v>
      </c>
      <c r="D3497" s="1" t="s">
        <v>2448</v>
      </c>
      <c r="E3497" t="s">
        <v>2449</v>
      </c>
      <c r="F3497">
        <v>66.171400000000006</v>
      </c>
      <c r="G3497">
        <v>29.136399999999998</v>
      </c>
      <c r="H3497">
        <v>2</v>
      </c>
      <c r="I3497">
        <v>306.5</v>
      </c>
      <c r="J3497" t="str">
        <f>HYPERLINK("https://climate.onebuilding.org/WMO_Region_6_Europe/FIN_Finland/NO_North_Ostrobothnia/FIN_NO_Kuusamo.Ruka.Talvijarvi.027600_TMYx.2004-2018.zip")</f>
        <v>https://climate.onebuilding.org/WMO_Region_6_Europe/FIN_Finland/NO_North_Ostrobothnia/FIN_NO_Kuusamo.Ruka.Talvijarvi.027600_TMYx.2004-2018.zip</v>
      </c>
    </row>
    <row r="3498" spans="1:10" x14ac:dyDescent="0.25">
      <c r="A3498" t="s">
        <v>2310</v>
      </c>
      <c r="B3498" t="s">
        <v>93</v>
      </c>
      <c r="C3498" t="s">
        <v>2447</v>
      </c>
      <c r="D3498" s="1" t="s">
        <v>2448</v>
      </c>
      <c r="E3498" t="s">
        <v>14</v>
      </c>
      <c r="F3498">
        <v>66.171400000000006</v>
      </c>
      <c r="G3498">
        <v>29.136399999999998</v>
      </c>
      <c r="H3498">
        <v>2</v>
      </c>
      <c r="I3498">
        <v>306.5</v>
      </c>
      <c r="J3498" t="str">
        <f>HYPERLINK("https://climate.onebuilding.org/WMO_Region_6_Europe/FIN_Finland/NO_North_Ostrobothnia/FIN_NO_Kuusamo.Ruka.Talvijarvi.027600_TMYx.2007-2021.zip")</f>
        <v>https://climate.onebuilding.org/WMO_Region_6_Europe/FIN_Finland/NO_North_Ostrobothnia/FIN_NO_Kuusamo.Ruka.Talvijarvi.027600_TMYx.2007-2021.zip</v>
      </c>
    </row>
    <row r="3499" spans="1:10" x14ac:dyDescent="0.25">
      <c r="A3499" t="s">
        <v>2310</v>
      </c>
      <c r="B3499" t="s">
        <v>93</v>
      </c>
      <c r="C3499" t="s">
        <v>2447</v>
      </c>
      <c r="D3499" s="1" t="s">
        <v>2448</v>
      </c>
      <c r="E3499" t="s">
        <v>14</v>
      </c>
      <c r="F3499">
        <v>66.171400000000006</v>
      </c>
      <c r="G3499">
        <v>29.136399999999998</v>
      </c>
      <c r="H3499">
        <v>2</v>
      </c>
      <c r="I3499">
        <v>306.5</v>
      </c>
      <c r="J3499" t="str">
        <f>HYPERLINK("https://climate.onebuilding.org/WMO_Region_6_Europe/FIN_Finland/NO_North_Ostrobothnia/FIN_NO_Kuusamo.Ruka.Talvijarvi.027600_TMYx.2009-2023.zip")</f>
        <v>https://climate.onebuilding.org/WMO_Region_6_Europe/FIN_Finland/NO_North_Ostrobothnia/FIN_NO_Kuusamo.Ruka.Talvijarvi.027600_TMYx.2009-2023.zip</v>
      </c>
    </row>
    <row r="3500" spans="1:10" x14ac:dyDescent="0.25">
      <c r="A3500" t="s">
        <v>2310</v>
      </c>
      <c r="B3500" t="s">
        <v>93</v>
      </c>
      <c r="C3500" t="s">
        <v>2447</v>
      </c>
      <c r="D3500" s="1" t="s">
        <v>2448</v>
      </c>
      <c r="E3500" t="s">
        <v>14</v>
      </c>
      <c r="F3500">
        <v>66.171400000000006</v>
      </c>
      <c r="G3500">
        <v>29.136399999999998</v>
      </c>
      <c r="H3500">
        <v>2</v>
      </c>
      <c r="I3500">
        <v>306.5</v>
      </c>
      <c r="J3500" t="str">
        <f>HYPERLINK("https://climate.onebuilding.org/WMO_Region_6_Europe/FIN_Finland/NO_North_Ostrobothnia/FIN_NO_Kuusamo.Ruka.Talvijarvi.027600_TMYx.zip")</f>
        <v>https://climate.onebuilding.org/WMO_Region_6_Europe/FIN_Finland/NO_North_Ostrobothnia/FIN_NO_Kuusamo.Ruka.Talvijarvi.027600_TMYx.zip</v>
      </c>
    </row>
    <row r="3501" spans="1:10" x14ac:dyDescent="0.25">
      <c r="A3501" t="s">
        <v>2310</v>
      </c>
      <c r="B3501" t="s">
        <v>2286</v>
      </c>
      <c r="C3501" t="s">
        <v>2450</v>
      </c>
      <c r="D3501" s="1" t="s">
        <v>2451</v>
      </c>
      <c r="E3501" t="s">
        <v>2452</v>
      </c>
      <c r="F3501">
        <v>61.1447</v>
      </c>
      <c r="G3501">
        <v>21.302800000000001</v>
      </c>
      <c r="H3501">
        <v>2</v>
      </c>
      <c r="I3501">
        <v>29</v>
      </c>
      <c r="J3501" t="str">
        <f>HYPERLINK("https://climate.onebuilding.org/WMO_Region_6_Europe/FIN_Finland/SA_Satakunta/FIN_SA_Rauma.Kylmapihlaja.Lighthouse.027610_TMYx.2004-2018.zip")</f>
        <v>https://climate.onebuilding.org/WMO_Region_6_Europe/FIN_Finland/SA_Satakunta/FIN_SA_Rauma.Kylmapihlaja.Lighthouse.027610_TMYx.2004-2018.zip</v>
      </c>
    </row>
    <row r="3502" spans="1:10" x14ac:dyDescent="0.25">
      <c r="A3502" t="s">
        <v>2310</v>
      </c>
      <c r="B3502" t="s">
        <v>2286</v>
      </c>
      <c r="C3502" t="s">
        <v>2450</v>
      </c>
      <c r="D3502" s="1" t="s">
        <v>2451</v>
      </c>
      <c r="E3502" t="s">
        <v>14</v>
      </c>
      <c r="F3502">
        <v>61.1447</v>
      </c>
      <c r="G3502">
        <v>21.302800000000001</v>
      </c>
      <c r="H3502">
        <v>2</v>
      </c>
      <c r="I3502">
        <v>29</v>
      </c>
      <c r="J3502" t="str">
        <f>HYPERLINK("https://climate.onebuilding.org/WMO_Region_6_Europe/FIN_Finland/SA_Satakunta/FIN_SA_Rauma.Kylmapihlaja.Lighthouse.027610_TMYx.2007-2021.zip")</f>
        <v>https://climate.onebuilding.org/WMO_Region_6_Europe/FIN_Finland/SA_Satakunta/FIN_SA_Rauma.Kylmapihlaja.Lighthouse.027610_TMYx.2007-2021.zip</v>
      </c>
    </row>
    <row r="3503" spans="1:10" x14ac:dyDescent="0.25">
      <c r="A3503" t="s">
        <v>2310</v>
      </c>
      <c r="B3503" t="s">
        <v>2286</v>
      </c>
      <c r="C3503" t="s">
        <v>2450</v>
      </c>
      <c r="D3503" s="1" t="s">
        <v>2451</v>
      </c>
      <c r="E3503" t="s">
        <v>14</v>
      </c>
      <c r="F3503">
        <v>61.1447</v>
      </c>
      <c r="G3503">
        <v>21.302800000000001</v>
      </c>
      <c r="H3503">
        <v>2</v>
      </c>
      <c r="I3503">
        <v>29</v>
      </c>
      <c r="J3503" t="str">
        <f>HYPERLINK("https://climate.onebuilding.org/WMO_Region_6_Europe/FIN_Finland/SA_Satakunta/FIN_SA_Rauma.Kylmapihlaja.Lighthouse.027610_TMYx.2009-2023.zip")</f>
        <v>https://climate.onebuilding.org/WMO_Region_6_Europe/FIN_Finland/SA_Satakunta/FIN_SA_Rauma.Kylmapihlaja.Lighthouse.027610_TMYx.2009-2023.zip</v>
      </c>
    </row>
    <row r="3504" spans="1:10" x14ac:dyDescent="0.25">
      <c r="A3504" t="s">
        <v>2310</v>
      </c>
      <c r="B3504" t="s">
        <v>2286</v>
      </c>
      <c r="C3504" t="s">
        <v>2450</v>
      </c>
      <c r="D3504" s="1" t="s">
        <v>2451</v>
      </c>
      <c r="E3504" t="s">
        <v>14</v>
      </c>
      <c r="F3504">
        <v>61.1447</v>
      </c>
      <c r="G3504">
        <v>21.302800000000001</v>
      </c>
      <c r="H3504">
        <v>2</v>
      </c>
      <c r="I3504">
        <v>29</v>
      </c>
      <c r="J3504" t="str">
        <f>HYPERLINK("https://climate.onebuilding.org/WMO_Region_6_Europe/FIN_Finland/SA_Satakunta/FIN_SA_Rauma.Kylmapihlaja.Lighthouse.027610_TMYx.zip")</f>
        <v>https://climate.onebuilding.org/WMO_Region_6_Europe/FIN_Finland/SA_Satakunta/FIN_SA_Rauma.Kylmapihlaja.Lighthouse.027610_TMYx.zip</v>
      </c>
    </row>
    <row r="3505" spans="1:10" x14ac:dyDescent="0.25">
      <c r="A3505" t="s">
        <v>2310</v>
      </c>
      <c r="B3505" t="s">
        <v>155</v>
      </c>
      <c r="C3505" t="s">
        <v>2453</v>
      </c>
      <c r="D3505" s="1" t="s">
        <v>2454</v>
      </c>
      <c r="E3505" t="s">
        <v>2455</v>
      </c>
      <c r="F3505">
        <v>61.465800000000002</v>
      </c>
      <c r="G3505">
        <v>23.746700000000001</v>
      </c>
      <c r="H3505">
        <v>2</v>
      </c>
      <c r="I3505">
        <v>86</v>
      </c>
      <c r="J3505" t="str">
        <f>HYPERLINK("https://climate.onebuilding.org/WMO_Region_6_Europe/FIN_Finland/TR_Tampere_Region/FIN_TR_Tampere.Harmala.027630_TMYx.2004-2018.zip")</f>
        <v>https://climate.onebuilding.org/WMO_Region_6_Europe/FIN_Finland/TR_Tampere_Region/FIN_TR_Tampere.Harmala.027630_TMYx.2004-2018.zip</v>
      </c>
    </row>
    <row r="3506" spans="1:10" x14ac:dyDescent="0.25">
      <c r="A3506" t="s">
        <v>2310</v>
      </c>
      <c r="B3506" t="s">
        <v>155</v>
      </c>
      <c r="C3506" t="s">
        <v>2453</v>
      </c>
      <c r="D3506" s="1" t="s">
        <v>2454</v>
      </c>
      <c r="E3506" t="s">
        <v>14</v>
      </c>
      <c r="F3506">
        <v>61.465800000000002</v>
      </c>
      <c r="G3506">
        <v>23.746700000000001</v>
      </c>
      <c r="H3506">
        <v>2</v>
      </c>
      <c r="I3506">
        <v>86</v>
      </c>
      <c r="J3506" t="str">
        <f>HYPERLINK("https://climate.onebuilding.org/WMO_Region_6_Europe/FIN_Finland/TR_Tampere_Region/FIN_TR_Tampere.Harmala.027630_TMYx.2007-2021.zip")</f>
        <v>https://climate.onebuilding.org/WMO_Region_6_Europe/FIN_Finland/TR_Tampere_Region/FIN_TR_Tampere.Harmala.027630_TMYx.2007-2021.zip</v>
      </c>
    </row>
    <row r="3507" spans="1:10" x14ac:dyDescent="0.25">
      <c r="A3507" t="s">
        <v>2310</v>
      </c>
      <c r="B3507" t="s">
        <v>155</v>
      </c>
      <c r="C3507" t="s">
        <v>2453</v>
      </c>
      <c r="D3507" s="1" t="s">
        <v>2454</v>
      </c>
      <c r="E3507" t="s">
        <v>14</v>
      </c>
      <c r="F3507">
        <v>61.465800000000002</v>
      </c>
      <c r="G3507">
        <v>23.746700000000001</v>
      </c>
      <c r="H3507">
        <v>2</v>
      </c>
      <c r="I3507">
        <v>86</v>
      </c>
      <c r="J3507" t="str">
        <f>HYPERLINK("https://climate.onebuilding.org/WMO_Region_6_Europe/FIN_Finland/TR_Tampere_Region/FIN_TR_Tampere.Harmala.027630_TMYx.2009-2023.zip")</f>
        <v>https://climate.onebuilding.org/WMO_Region_6_Europe/FIN_Finland/TR_Tampere_Region/FIN_TR_Tampere.Harmala.027630_TMYx.2009-2023.zip</v>
      </c>
    </row>
    <row r="3508" spans="1:10" x14ac:dyDescent="0.25">
      <c r="A3508" t="s">
        <v>2310</v>
      </c>
      <c r="B3508" t="s">
        <v>155</v>
      </c>
      <c r="C3508" t="s">
        <v>2453</v>
      </c>
      <c r="D3508" s="1" t="s">
        <v>2454</v>
      </c>
      <c r="E3508" t="s">
        <v>14</v>
      </c>
      <c r="F3508">
        <v>61.465800000000002</v>
      </c>
      <c r="G3508">
        <v>23.746700000000001</v>
      </c>
      <c r="H3508">
        <v>2</v>
      </c>
      <c r="I3508">
        <v>86</v>
      </c>
      <c r="J3508" t="str">
        <f>HYPERLINK("https://climate.onebuilding.org/WMO_Region_6_Europe/FIN_Finland/TR_Tampere_Region/FIN_TR_Tampere.Harmala.027630_TMYx.zip")</f>
        <v>https://climate.onebuilding.org/WMO_Region_6_Europe/FIN_Finland/TR_Tampere_Region/FIN_TR_Tampere.Harmala.027630_TMYx.zip</v>
      </c>
    </row>
    <row r="3509" spans="1:10" x14ac:dyDescent="0.25">
      <c r="A3509" t="s">
        <v>2310</v>
      </c>
      <c r="B3509" t="s">
        <v>1184</v>
      </c>
      <c r="C3509" t="s">
        <v>2456</v>
      </c>
      <c r="D3509" s="1" t="s">
        <v>2457</v>
      </c>
      <c r="E3509" t="s">
        <v>2458</v>
      </c>
      <c r="F3509">
        <v>67.997500000000002</v>
      </c>
      <c r="G3509">
        <v>24.209399999999999</v>
      </c>
      <c r="H3509">
        <v>2</v>
      </c>
      <c r="I3509">
        <v>270</v>
      </c>
      <c r="J3509" t="str">
        <f>HYPERLINK("https://climate.onebuilding.org/WMO_Region_6_Europe/FIN_Finland/LA_Lapland/FIN_LA_Kittila.Lompolonvuoma.027640_TMYx.2004-2018.zip")</f>
        <v>https://climate.onebuilding.org/WMO_Region_6_Europe/FIN_Finland/LA_Lapland/FIN_LA_Kittila.Lompolonvuoma.027640_TMYx.2004-2018.zip</v>
      </c>
    </row>
    <row r="3510" spans="1:10" x14ac:dyDescent="0.25">
      <c r="A3510" t="s">
        <v>2310</v>
      </c>
      <c r="B3510" t="s">
        <v>1184</v>
      </c>
      <c r="C3510" t="s">
        <v>2456</v>
      </c>
      <c r="D3510" s="1" t="s">
        <v>2457</v>
      </c>
      <c r="E3510" t="s">
        <v>14</v>
      </c>
      <c r="F3510">
        <v>67.997500000000002</v>
      </c>
      <c r="G3510">
        <v>24.209399999999999</v>
      </c>
      <c r="H3510">
        <v>2</v>
      </c>
      <c r="I3510">
        <v>270</v>
      </c>
      <c r="J3510" t="str">
        <f>HYPERLINK("https://climate.onebuilding.org/WMO_Region_6_Europe/FIN_Finland/LA_Lapland/FIN_LA_Kittila.Lompolonvuoma.027640_TMYx.2007-2021.zip")</f>
        <v>https://climate.onebuilding.org/WMO_Region_6_Europe/FIN_Finland/LA_Lapland/FIN_LA_Kittila.Lompolonvuoma.027640_TMYx.2007-2021.zip</v>
      </c>
    </row>
    <row r="3511" spans="1:10" x14ac:dyDescent="0.25">
      <c r="A3511" t="s">
        <v>2310</v>
      </c>
      <c r="B3511" t="s">
        <v>1184</v>
      </c>
      <c r="C3511" t="s">
        <v>2456</v>
      </c>
      <c r="D3511" s="1" t="s">
        <v>2457</v>
      </c>
      <c r="E3511" t="s">
        <v>14</v>
      </c>
      <c r="F3511">
        <v>67.997500000000002</v>
      </c>
      <c r="G3511">
        <v>24.209399999999999</v>
      </c>
      <c r="H3511">
        <v>2</v>
      </c>
      <c r="I3511">
        <v>270</v>
      </c>
      <c r="J3511" t="str">
        <f>HYPERLINK("https://climate.onebuilding.org/WMO_Region_6_Europe/FIN_Finland/LA_Lapland/FIN_LA_Kittila.Lompolonvuoma.027640_TMYx.2009-2023.zip")</f>
        <v>https://climate.onebuilding.org/WMO_Region_6_Europe/FIN_Finland/LA_Lapland/FIN_LA_Kittila.Lompolonvuoma.027640_TMYx.2009-2023.zip</v>
      </c>
    </row>
    <row r="3512" spans="1:10" x14ac:dyDescent="0.25">
      <c r="A3512" t="s">
        <v>2310</v>
      </c>
      <c r="B3512" t="s">
        <v>1184</v>
      </c>
      <c r="C3512" t="s">
        <v>2456</v>
      </c>
      <c r="D3512" s="1" t="s">
        <v>2457</v>
      </c>
      <c r="E3512" t="s">
        <v>14</v>
      </c>
      <c r="F3512">
        <v>67.997500000000002</v>
      </c>
      <c r="G3512">
        <v>24.209399999999999</v>
      </c>
      <c r="H3512">
        <v>2</v>
      </c>
      <c r="I3512">
        <v>270</v>
      </c>
      <c r="J3512" t="str">
        <f>HYPERLINK("https://climate.onebuilding.org/WMO_Region_6_Europe/FIN_Finland/LA_Lapland/FIN_LA_Kittila.Lompolonvuoma.027640_TMYx.zip")</f>
        <v>https://climate.onebuilding.org/WMO_Region_6_Europe/FIN_Finland/LA_Lapland/FIN_LA_Kittila.Lompolonvuoma.027640_TMYx.zip</v>
      </c>
    </row>
    <row r="3513" spans="1:10" x14ac:dyDescent="0.25">
      <c r="A3513" t="s">
        <v>2310</v>
      </c>
      <c r="B3513" t="s">
        <v>2459</v>
      </c>
      <c r="C3513" t="s">
        <v>2460</v>
      </c>
      <c r="D3513" s="1" t="s">
        <v>2461</v>
      </c>
      <c r="E3513" t="s">
        <v>2462</v>
      </c>
      <c r="F3513">
        <v>61.7044</v>
      </c>
      <c r="G3513">
        <v>25.505299999999998</v>
      </c>
      <c r="H3513">
        <v>2</v>
      </c>
      <c r="I3513">
        <v>83.2</v>
      </c>
      <c r="J3513" t="str">
        <f>HYPERLINK("https://climate.onebuilding.org/WMO_Region_6_Europe/FIN_Finland/CF_Central_Finland/FIN_CF_Luhanka.Judinsalo.027650_TMYx.2004-2018.zip")</f>
        <v>https://climate.onebuilding.org/WMO_Region_6_Europe/FIN_Finland/CF_Central_Finland/FIN_CF_Luhanka.Judinsalo.027650_TMYx.2004-2018.zip</v>
      </c>
    </row>
    <row r="3514" spans="1:10" x14ac:dyDescent="0.25">
      <c r="A3514" t="s">
        <v>2310</v>
      </c>
      <c r="B3514" t="s">
        <v>2459</v>
      </c>
      <c r="C3514" t="s">
        <v>2460</v>
      </c>
      <c r="D3514" s="1" t="s">
        <v>2461</v>
      </c>
      <c r="E3514" t="s">
        <v>14</v>
      </c>
      <c r="F3514">
        <v>61.7044</v>
      </c>
      <c r="G3514">
        <v>25.505299999999998</v>
      </c>
      <c r="H3514">
        <v>2</v>
      </c>
      <c r="I3514">
        <v>83.2</v>
      </c>
      <c r="J3514" t="str">
        <f>HYPERLINK("https://climate.onebuilding.org/WMO_Region_6_Europe/FIN_Finland/CF_Central_Finland/FIN_CF_Luhanka.Judinsalo.027650_TMYx.2007-2021.zip")</f>
        <v>https://climate.onebuilding.org/WMO_Region_6_Europe/FIN_Finland/CF_Central_Finland/FIN_CF_Luhanka.Judinsalo.027650_TMYx.2007-2021.zip</v>
      </c>
    </row>
    <row r="3515" spans="1:10" x14ac:dyDescent="0.25">
      <c r="A3515" t="s">
        <v>2310</v>
      </c>
      <c r="B3515" t="s">
        <v>2459</v>
      </c>
      <c r="C3515" t="s">
        <v>2460</v>
      </c>
      <c r="D3515" s="1" t="s">
        <v>2461</v>
      </c>
      <c r="E3515" t="s">
        <v>14</v>
      </c>
      <c r="F3515">
        <v>61.7044</v>
      </c>
      <c r="G3515">
        <v>25.505299999999998</v>
      </c>
      <c r="H3515">
        <v>2</v>
      </c>
      <c r="I3515">
        <v>83.2</v>
      </c>
      <c r="J3515" t="str">
        <f>HYPERLINK("https://climate.onebuilding.org/WMO_Region_6_Europe/FIN_Finland/CF_Central_Finland/FIN_CF_Luhanka.Judinsalo.027650_TMYx.2009-2023.zip")</f>
        <v>https://climate.onebuilding.org/WMO_Region_6_Europe/FIN_Finland/CF_Central_Finland/FIN_CF_Luhanka.Judinsalo.027650_TMYx.2009-2023.zip</v>
      </c>
    </row>
    <row r="3516" spans="1:10" x14ac:dyDescent="0.25">
      <c r="A3516" t="s">
        <v>2310</v>
      </c>
      <c r="B3516" t="s">
        <v>2459</v>
      </c>
      <c r="C3516" t="s">
        <v>2460</v>
      </c>
      <c r="D3516" s="1" t="s">
        <v>2461</v>
      </c>
      <c r="E3516" t="s">
        <v>14</v>
      </c>
      <c r="F3516">
        <v>61.7044</v>
      </c>
      <c r="G3516">
        <v>25.505299999999998</v>
      </c>
      <c r="H3516">
        <v>2</v>
      </c>
      <c r="I3516">
        <v>83.2</v>
      </c>
      <c r="J3516" t="str">
        <f>HYPERLINK("https://climate.onebuilding.org/WMO_Region_6_Europe/FIN_Finland/CF_Central_Finland/FIN_CF_Luhanka.Judinsalo.027650_TMYx.zip")</f>
        <v>https://climate.onebuilding.org/WMO_Region_6_Europe/FIN_Finland/CF_Central_Finland/FIN_CF_Luhanka.Judinsalo.027650_TMYx.zip</v>
      </c>
    </row>
    <row r="3517" spans="1:10" x14ac:dyDescent="0.25">
      <c r="A3517" t="s">
        <v>2310</v>
      </c>
      <c r="B3517" t="s">
        <v>2463</v>
      </c>
      <c r="C3517" t="s">
        <v>2464</v>
      </c>
      <c r="D3517" s="1" t="s">
        <v>2465</v>
      </c>
      <c r="E3517" t="s">
        <v>2466</v>
      </c>
      <c r="F3517">
        <v>63.1417</v>
      </c>
      <c r="G3517">
        <v>31.0444</v>
      </c>
      <c r="H3517">
        <v>2</v>
      </c>
      <c r="I3517">
        <v>236.5</v>
      </c>
      <c r="J3517" t="str">
        <f>HYPERLINK("https://climate.onebuilding.org/WMO_Region_6_Europe/FIN_Finland/NK_North_Karelia/FIN_NK_Ilomantsi.Potsonvaara.027660_TMYx.2004-2018.zip")</f>
        <v>https://climate.onebuilding.org/WMO_Region_6_Europe/FIN_Finland/NK_North_Karelia/FIN_NK_Ilomantsi.Potsonvaara.027660_TMYx.2004-2018.zip</v>
      </c>
    </row>
    <row r="3518" spans="1:10" x14ac:dyDescent="0.25">
      <c r="A3518" t="s">
        <v>2310</v>
      </c>
      <c r="B3518" t="s">
        <v>2463</v>
      </c>
      <c r="C3518" t="s">
        <v>2464</v>
      </c>
      <c r="D3518" s="1" t="s">
        <v>2465</v>
      </c>
      <c r="E3518" t="s">
        <v>14</v>
      </c>
      <c r="F3518">
        <v>63.1417</v>
      </c>
      <c r="G3518">
        <v>31.0444</v>
      </c>
      <c r="H3518">
        <v>2</v>
      </c>
      <c r="I3518">
        <v>236.5</v>
      </c>
      <c r="J3518" t="str">
        <f>HYPERLINK("https://climate.onebuilding.org/WMO_Region_6_Europe/FIN_Finland/NK_North_Karelia/FIN_NK_Ilomantsi.Potsonvaara.027660_TMYx.2007-2021.zip")</f>
        <v>https://climate.onebuilding.org/WMO_Region_6_Europe/FIN_Finland/NK_North_Karelia/FIN_NK_Ilomantsi.Potsonvaara.027660_TMYx.2007-2021.zip</v>
      </c>
    </row>
    <row r="3519" spans="1:10" x14ac:dyDescent="0.25">
      <c r="A3519" t="s">
        <v>2310</v>
      </c>
      <c r="B3519" t="s">
        <v>2463</v>
      </c>
      <c r="C3519" t="s">
        <v>2464</v>
      </c>
      <c r="D3519" s="1" t="s">
        <v>2465</v>
      </c>
      <c r="E3519" t="s">
        <v>14</v>
      </c>
      <c r="F3519">
        <v>63.1417</v>
      </c>
      <c r="G3519">
        <v>31.0444</v>
      </c>
      <c r="H3519">
        <v>2</v>
      </c>
      <c r="I3519">
        <v>236.5</v>
      </c>
      <c r="J3519" t="str">
        <f>HYPERLINK("https://climate.onebuilding.org/WMO_Region_6_Europe/FIN_Finland/NK_North_Karelia/FIN_NK_Ilomantsi.Potsonvaara.027660_TMYx.2009-2023.zip")</f>
        <v>https://climate.onebuilding.org/WMO_Region_6_Europe/FIN_Finland/NK_North_Karelia/FIN_NK_Ilomantsi.Potsonvaara.027660_TMYx.2009-2023.zip</v>
      </c>
    </row>
    <row r="3520" spans="1:10" x14ac:dyDescent="0.25">
      <c r="A3520" t="s">
        <v>2310</v>
      </c>
      <c r="B3520" t="s">
        <v>2463</v>
      </c>
      <c r="C3520" t="s">
        <v>2464</v>
      </c>
      <c r="D3520" s="1" t="s">
        <v>2465</v>
      </c>
      <c r="E3520" t="s">
        <v>14</v>
      </c>
      <c r="F3520">
        <v>63.1417</v>
      </c>
      <c r="G3520">
        <v>31.0444</v>
      </c>
      <c r="H3520">
        <v>2</v>
      </c>
      <c r="I3520">
        <v>236.5</v>
      </c>
      <c r="J3520" t="str">
        <f>HYPERLINK("https://climate.onebuilding.org/WMO_Region_6_Europe/FIN_Finland/NK_North_Karelia/FIN_NK_Ilomantsi.Potsonvaara.027660_TMYx.zip")</f>
        <v>https://climate.onebuilding.org/WMO_Region_6_Europe/FIN_Finland/NK_North_Karelia/FIN_NK_Ilomantsi.Potsonvaara.027660_TMYx.zip</v>
      </c>
    </row>
    <row r="3521" spans="1:10" x14ac:dyDescent="0.25">
      <c r="A3521" t="s">
        <v>2310</v>
      </c>
      <c r="B3521" t="s">
        <v>2321</v>
      </c>
      <c r="C3521" t="s">
        <v>2467</v>
      </c>
      <c r="D3521" s="1" t="s">
        <v>2468</v>
      </c>
      <c r="E3521" t="s">
        <v>2469</v>
      </c>
      <c r="F3521">
        <v>61.054200000000002</v>
      </c>
      <c r="G3521">
        <v>25.0383</v>
      </c>
      <c r="H3521">
        <v>2</v>
      </c>
      <c r="I3521">
        <v>125</v>
      </c>
      <c r="J3521" t="str">
        <f>HYPERLINK("https://climate.onebuilding.org/WMO_Region_6_Europe/FIN_Finland/KH_Kanta-Hame/FIN_KH_Hameenlinna.Lammi.Pappila.027670_TMYx.2004-2018.zip")</f>
        <v>https://climate.onebuilding.org/WMO_Region_6_Europe/FIN_Finland/KH_Kanta-Hame/FIN_KH_Hameenlinna.Lammi.Pappila.027670_TMYx.2004-2018.zip</v>
      </c>
    </row>
    <row r="3522" spans="1:10" x14ac:dyDescent="0.25">
      <c r="A3522" t="s">
        <v>2310</v>
      </c>
      <c r="B3522" t="s">
        <v>2321</v>
      </c>
      <c r="C3522" t="s">
        <v>2467</v>
      </c>
      <c r="D3522" s="1" t="s">
        <v>2468</v>
      </c>
      <c r="E3522" t="s">
        <v>14</v>
      </c>
      <c r="F3522">
        <v>61.054200000000002</v>
      </c>
      <c r="G3522">
        <v>25.0383</v>
      </c>
      <c r="H3522">
        <v>2</v>
      </c>
      <c r="I3522">
        <v>125</v>
      </c>
      <c r="J3522" t="str">
        <f>HYPERLINK("https://climate.onebuilding.org/WMO_Region_6_Europe/FIN_Finland/KH_Kanta-Hame/FIN_KH_Hameenlinna.Lammi.Pappila.027670_TMYx.2007-2021.zip")</f>
        <v>https://climate.onebuilding.org/WMO_Region_6_Europe/FIN_Finland/KH_Kanta-Hame/FIN_KH_Hameenlinna.Lammi.Pappila.027670_TMYx.2007-2021.zip</v>
      </c>
    </row>
    <row r="3523" spans="1:10" x14ac:dyDescent="0.25">
      <c r="A3523" t="s">
        <v>2310</v>
      </c>
      <c r="B3523" t="s">
        <v>2321</v>
      </c>
      <c r="C3523" t="s">
        <v>2467</v>
      </c>
      <c r="D3523" s="1" t="s">
        <v>2468</v>
      </c>
      <c r="E3523" t="s">
        <v>14</v>
      </c>
      <c r="F3523">
        <v>61.054200000000002</v>
      </c>
      <c r="G3523">
        <v>25.0383</v>
      </c>
      <c r="H3523">
        <v>2</v>
      </c>
      <c r="I3523">
        <v>125</v>
      </c>
      <c r="J3523" t="str">
        <f>HYPERLINK("https://climate.onebuilding.org/WMO_Region_6_Europe/FIN_Finland/KH_Kanta-Hame/FIN_KH_Hameenlinna.Lammi.Pappila.027670_TMYx.2009-2023.zip")</f>
        <v>https://climate.onebuilding.org/WMO_Region_6_Europe/FIN_Finland/KH_Kanta-Hame/FIN_KH_Hameenlinna.Lammi.Pappila.027670_TMYx.2009-2023.zip</v>
      </c>
    </row>
    <row r="3524" spans="1:10" x14ac:dyDescent="0.25">
      <c r="A3524" t="s">
        <v>2310</v>
      </c>
      <c r="B3524" t="s">
        <v>2321</v>
      </c>
      <c r="C3524" t="s">
        <v>2467</v>
      </c>
      <c r="D3524" s="1" t="s">
        <v>2468</v>
      </c>
      <c r="E3524" t="s">
        <v>14</v>
      </c>
      <c r="F3524">
        <v>61.054200000000002</v>
      </c>
      <c r="G3524">
        <v>25.0383</v>
      </c>
      <c r="H3524">
        <v>2</v>
      </c>
      <c r="I3524">
        <v>125</v>
      </c>
      <c r="J3524" t="str">
        <f>HYPERLINK("https://climate.onebuilding.org/WMO_Region_6_Europe/FIN_Finland/KH_Kanta-Hame/FIN_KH_Hameenlinna.Lammi.Pappila.027670_TMYx.zip")</f>
        <v>https://climate.onebuilding.org/WMO_Region_6_Europe/FIN_Finland/KH_Kanta-Hame/FIN_KH_Hameenlinna.Lammi.Pappila.027670_TMYx.zip</v>
      </c>
    </row>
    <row r="3525" spans="1:10" x14ac:dyDescent="0.25">
      <c r="A3525" t="s">
        <v>2310</v>
      </c>
      <c r="B3525" t="s">
        <v>2373</v>
      </c>
      <c r="C3525" t="s">
        <v>2470</v>
      </c>
      <c r="D3525" s="1" t="s">
        <v>2471</v>
      </c>
      <c r="E3525" t="s">
        <v>2472</v>
      </c>
      <c r="F3525">
        <v>61.2</v>
      </c>
      <c r="G3525">
        <v>26.049399999999999</v>
      </c>
      <c r="H3525">
        <v>2</v>
      </c>
      <c r="I3525">
        <v>92</v>
      </c>
      <c r="J3525" t="str">
        <f>HYPERLINK("https://climate.onebuilding.org/WMO_Region_6_Europe/FIN_Finland/PH_Paijat-Hame/FIN_PH_Heinola.Asemantaus.027680_TMYx.2004-2018.zip")</f>
        <v>https://climate.onebuilding.org/WMO_Region_6_Europe/FIN_Finland/PH_Paijat-Hame/FIN_PH_Heinola.Asemantaus.027680_TMYx.2004-2018.zip</v>
      </c>
    </row>
    <row r="3526" spans="1:10" x14ac:dyDescent="0.25">
      <c r="A3526" t="s">
        <v>2310</v>
      </c>
      <c r="B3526" t="s">
        <v>2373</v>
      </c>
      <c r="C3526" t="s">
        <v>2470</v>
      </c>
      <c r="D3526" s="1" t="s">
        <v>2471</v>
      </c>
      <c r="E3526" t="s">
        <v>14</v>
      </c>
      <c r="F3526">
        <v>61.2</v>
      </c>
      <c r="G3526">
        <v>26.049399999999999</v>
      </c>
      <c r="H3526">
        <v>2</v>
      </c>
      <c r="I3526">
        <v>92</v>
      </c>
      <c r="J3526" t="str">
        <f>HYPERLINK("https://climate.onebuilding.org/WMO_Region_6_Europe/FIN_Finland/PH_Paijat-Hame/FIN_PH_Heinola.Asemantaus.027680_TMYx.2007-2021.zip")</f>
        <v>https://climate.onebuilding.org/WMO_Region_6_Europe/FIN_Finland/PH_Paijat-Hame/FIN_PH_Heinola.Asemantaus.027680_TMYx.2007-2021.zip</v>
      </c>
    </row>
    <row r="3527" spans="1:10" x14ac:dyDescent="0.25">
      <c r="A3527" t="s">
        <v>2310</v>
      </c>
      <c r="B3527" t="s">
        <v>2373</v>
      </c>
      <c r="C3527" t="s">
        <v>2470</v>
      </c>
      <c r="D3527" s="1" t="s">
        <v>2471</v>
      </c>
      <c r="E3527" t="s">
        <v>14</v>
      </c>
      <c r="F3527">
        <v>61.2</v>
      </c>
      <c r="G3527">
        <v>26.049399999999999</v>
      </c>
      <c r="H3527">
        <v>2</v>
      </c>
      <c r="I3527">
        <v>92</v>
      </c>
      <c r="J3527" t="str">
        <f>HYPERLINK("https://climate.onebuilding.org/WMO_Region_6_Europe/FIN_Finland/PH_Paijat-Hame/FIN_PH_Heinola.Asemantaus.027680_TMYx.2009-2023.zip")</f>
        <v>https://climate.onebuilding.org/WMO_Region_6_Europe/FIN_Finland/PH_Paijat-Hame/FIN_PH_Heinola.Asemantaus.027680_TMYx.2009-2023.zip</v>
      </c>
    </row>
    <row r="3528" spans="1:10" x14ac:dyDescent="0.25">
      <c r="A3528" t="s">
        <v>2310</v>
      </c>
      <c r="B3528" t="s">
        <v>2373</v>
      </c>
      <c r="C3528" t="s">
        <v>2470</v>
      </c>
      <c r="D3528" s="1" t="s">
        <v>2471</v>
      </c>
      <c r="E3528" t="s">
        <v>14</v>
      </c>
      <c r="F3528">
        <v>61.2</v>
      </c>
      <c r="G3528">
        <v>26.049399999999999</v>
      </c>
      <c r="H3528">
        <v>2</v>
      </c>
      <c r="I3528">
        <v>92</v>
      </c>
      <c r="J3528" t="str">
        <f>HYPERLINK("https://climate.onebuilding.org/WMO_Region_6_Europe/FIN_Finland/PH_Paijat-Hame/FIN_PH_Heinola.Asemantaus.027680_TMYx.zip")</f>
        <v>https://climate.onebuilding.org/WMO_Region_6_Europe/FIN_Finland/PH_Paijat-Hame/FIN_PH_Heinola.Asemantaus.027680_TMYx.zip</v>
      </c>
    </row>
    <row r="3529" spans="1:10" x14ac:dyDescent="0.25">
      <c r="A3529" t="s">
        <v>2310</v>
      </c>
      <c r="B3529" t="s">
        <v>774</v>
      </c>
      <c r="C3529" t="s">
        <v>2473</v>
      </c>
      <c r="D3529" s="1" t="s">
        <v>2474</v>
      </c>
      <c r="E3529" t="s">
        <v>2475</v>
      </c>
      <c r="F3529">
        <v>62.4133</v>
      </c>
      <c r="G3529">
        <v>22.183599999999998</v>
      </c>
      <c r="H3529">
        <v>2</v>
      </c>
      <c r="I3529">
        <v>94.5</v>
      </c>
      <c r="J3529" t="str">
        <f>HYPERLINK("https://climate.onebuilding.org/WMO_Region_6_Europe/FIN_Finland/SO_South_Ostrobothnia/FIN_SO_Kauhajoki.Kuja.Kokko.027690_TMYx.2004-2018.zip")</f>
        <v>https://climate.onebuilding.org/WMO_Region_6_Europe/FIN_Finland/SO_South_Ostrobothnia/FIN_SO_Kauhajoki.Kuja.Kokko.027690_TMYx.2004-2018.zip</v>
      </c>
    </row>
    <row r="3530" spans="1:10" x14ac:dyDescent="0.25">
      <c r="A3530" t="s">
        <v>2310</v>
      </c>
      <c r="B3530" t="s">
        <v>774</v>
      </c>
      <c r="C3530" t="s">
        <v>2473</v>
      </c>
      <c r="D3530" s="1" t="s">
        <v>2474</v>
      </c>
      <c r="E3530" t="s">
        <v>14</v>
      </c>
      <c r="F3530">
        <v>62.4133</v>
      </c>
      <c r="G3530">
        <v>22.183599999999998</v>
      </c>
      <c r="H3530">
        <v>2</v>
      </c>
      <c r="I3530">
        <v>94.5</v>
      </c>
      <c r="J3530" t="str">
        <f>HYPERLINK("https://climate.onebuilding.org/WMO_Region_6_Europe/FIN_Finland/SO_South_Ostrobothnia/FIN_SO_Kauhajoki.Kuja.Kokko.027690_TMYx.2007-2021.zip")</f>
        <v>https://climate.onebuilding.org/WMO_Region_6_Europe/FIN_Finland/SO_South_Ostrobothnia/FIN_SO_Kauhajoki.Kuja.Kokko.027690_TMYx.2007-2021.zip</v>
      </c>
    </row>
    <row r="3531" spans="1:10" x14ac:dyDescent="0.25">
      <c r="A3531" t="s">
        <v>2310</v>
      </c>
      <c r="B3531" t="s">
        <v>774</v>
      </c>
      <c r="C3531" t="s">
        <v>2473</v>
      </c>
      <c r="D3531" s="1" t="s">
        <v>2474</v>
      </c>
      <c r="E3531" t="s">
        <v>14</v>
      </c>
      <c r="F3531">
        <v>62.4133</v>
      </c>
      <c r="G3531">
        <v>22.183599999999998</v>
      </c>
      <c r="H3531">
        <v>2</v>
      </c>
      <c r="I3531">
        <v>94.5</v>
      </c>
      <c r="J3531" t="str">
        <f>HYPERLINK("https://climate.onebuilding.org/WMO_Region_6_Europe/FIN_Finland/SO_South_Ostrobothnia/FIN_SO_Kauhajoki.Kuja.Kokko.027690_TMYx.2009-2023.zip")</f>
        <v>https://climate.onebuilding.org/WMO_Region_6_Europe/FIN_Finland/SO_South_Ostrobothnia/FIN_SO_Kauhajoki.Kuja.Kokko.027690_TMYx.2009-2023.zip</v>
      </c>
    </row>
    <row r="3532" spans="1:10" x14ac:dyDescent="0.25">
      <c r="A3532" t="s">
        <v>2310</v>
      </c>
      <c r="B3532" t="s">
        <v>774</v>
      </c>
      <c r="C3532" t="s">
        <v>2473</v>
      </c>
      <c r="D3532" s="1" t="s">
        <v>2474</v>
      </c>
      <c r="E3532" t="s">
        <v>14</v>
      </c>
      <c r="F3532">
        <v>62.4133</v>
      </c>
      <c r="G3532">
        <v>22.183599999999998</v>
      </c>
      <c r="H3532">
        <v>2</v>
      </c>
      <c r="I3532">
        <v>94.5</v>
      </c>
      <c r="J3532" t="str">
        <f>HYPERLINK("https://climate.onebuilding.org/WMO_Region_6_Europe/FIN_Finland/SO_South_Ostrobothnia/FIN_SO_Kauhajoki.Kuja.Kokko.027690_TMYx.zip")</f>
        <v>https://climate.onebuilding.org/WMO_Region_6_Europe/FIN_Finland/SO_South_Ostrobothnia/FIN_SO_Kauhajoki.Kuja.Kokko.027690_TMYx.zip</v>
      </c>
    </row>
    <row r="3533" spans="1:10" x14ac:dyDescent="0.25">
      <c r="A3533" t="s">
        <v>2310</v>
      </c>
      <c r="B3533" t="s">
        <v>155</v>
      </c>
      <c r="C3533" t="s">
        <v>2476</v>
      </c>
      <c r="D3533" s="1" t="s">
        <v>2477</v>
      </c>
      <c r="E3533" t="s">
        <v>2478</v>
      </c>
      <c r="F3533">
        <v>61.845799999999997</v>
      </c>
      <c r="G3533">
        <v>24.286899999999999</v>
      </c>
      <c r="H3533">
        <v>2</v>
      </c>
      <c r="I3533">
        <v>153</v>
      </c>
      <c r="J3533" t="str">
        <f>HYPERLINK("https://climate.onebuilding.org/WMO_Region_6_Europe/FIN_Finland/TR_Tampere_Region/FIN_TR_Juupajoki.Hyytiala.027700_TMYx.2004-2018.zip")</f>
        <v>https://climate.onebuilding.org/WMO_Region_6_Europe/FIN_Finland/TR_Tampere_Region/FIN_TR_Juupajoki.Hyytiala.027700_TMYx.2004-2018.zip</v>
      </c>
    </row>
    <row r="3534" spans="1:10" x14ac:dyDescent="0.25">
      <c r="A3534" t="s">
        <v>2310</v>
      </c>
      <c r="B3534" t="s">
        <v>155</v>
      </c>
      <c r="C3534" t="s">
        <v>2476</v>
      </c>
      <c r="D3534" s="1" t="s">
        <v>2477</v>
      </c>
      <c r="E3534" t="s">
        <v>14</v>
      </c>
      <c r="F3534">
        <v>61.845799999999997</v>
      </c>
      <c r="G3534">
        <v>24.286899999999999</v>
      </c>
      <c r="H3534">
        <v>2</v>
      </c>
      <c r="I3534">
        <v>153</v>
      </c>
      <c r="J3534" t="str">
        <f>HYPERLINK("https://climate.onebuilding.org/WMO_Region_6_Europe/FIN_Finland/TR_Tampere_Region/FIN_TR_Juupajoki.Hyytiala.027700_TMYx.2007-2021.zip")</f>
        <v>https://climate.onebuilding.org/WMO_Region_6_Europe/FIN_Finland/TR_Tampere_Region/FIN_TR_Juupajoki.Hyytiala.027700_TMYx.2007-2021.zip</v>
      </c>
    </row>
    <row r="3535" spans="1:10" x14ac:dyDescent="0.25">
      <c r="A3535" t="s">
        <v>2310</v>
      </c>
      <c r="B3535" t="s">
        <v>155</v>
      </c>
      <c r="C3535" t="s">
        <v>2476</v>
      </c>
      <c r="D3535" s="1" t="s">
        <v>2477</v>
      </c>
      <c r="E3535" t="s">
        <v>14</v>
      </c>
      <c r="F3535">
        <v>61.845799999999997</v>
      </c>
      <c r="G3535">
        <v>24.286899999999999</v>
      </c>
      <c r="H3535">
        <v>2</v>
      </c>
      <c r="I3535">
        <v>153</v>
      </c>
      <c r="J3535" t="str">
        <f>HYPERLINK("https://climate.onebuilding.org/WMO_Region_6_Europe/FIN_Finland/TR_Tampere_Region/FIN_TR_Juupajoki.Hyytiala.027700_TMYx.2009-2023.zip")</f>
        <v>https://climate.onebuilding.org/WMO_Region_6_Europe/FIN_Finland/TR_Tampere_Region/FIN_TR_Juupajoki.Hyytiala.027700_TMYx.2009-2023.zip</v>
      </c>
    </row>
    <row r="3536" spans="1:10" x14ac:dyDescent="0.25">
      <c r="A3536" t="s">
        <v>2310</v>
      </c>
      <c r="B3536" t="s">
        <v>155</v>
      </c>
      <c r="C3536" t="s">
        <v>2476</v>
      </c>
      <c r="D3536" s="1" t="s">
        <v>2477</v>
      </c>
      <c r="E3536" t="s">
        <v>14</v>
      </c>
      <c r="F3536">
        <v>61.845799999999997</v>
      </c>
      <c r="G3536">
        <v>24.286899999999999</v>
      </c>
      <c r="H3536">
        <v>2</v>
      </c>
      <c r="I3536">
        <v>153</v>
      </c>
      <c r="J3536" t="str">
        <f>HYPERLINK("https://climate.onebuilding.org/WMO_Region_6_Europe/FIN_Finland/TR_Tampere_Region/FIN_TR_Juupajoki.Hyytiala.027700_TMYx.zip")</f>
        <v>https://climate.onebuilding.org/WMO_Region_6_Europe/FIN_Finland/TR_Tampere_Region/FIN_TR_Juupajoki.Hyytiala.027700_TMYx.zip</v>
      </c>
    </row>
    <row r="3537" spans="1:10" x14ac:dyDescent="0.25">
      <c r="A3537" t="s">
        <v>2310</v>
      </c>
      <c r="B3537" t="s">
        <v>2459</v>
      </c>
      <c r="C3537" t="s">
        <v>2479</v>
      </c>
      <c r="D3537" s="1" t="s">
        <v>2480</v>
      </c>
      <c r="E3537" t="s">
        <v>2481</v>
      </c>
      <c r="F3537">
        <v>61.879399999999997</v>
      </c>
      <c r="G3537">
        <v>26.0947</v>
      </c>
      <c r="H3537">
        <v>2</v>
      </c>
      <c r="I3537">
        <v>146</v>
      </c>
      <c r="J3537" t="str">
        <f>HYPERLINK("https://climate.onebuilding.org/WMO_Region_6_Europe/FIN_Finland/CF_Central_Finland/FIN_CF_Joutsa.Leivonmaki.Savenaho.027710_TMYx.2004-2018.zip")</f>
        <v>https://climate.onebuilding.org/WMO_Region_6_Europe/FIN_Finland/CF_Central_Finland/FIN_CF_Joutsa.Leivonmaki.Savenaho.027710_TMYx.2004-2018.zip</v>
      </c>
    </row>
    <row r="3538" spans="1:10" x14ac:dyDescent="0.25">
      <c r="A3538" t="s">
        <v>2310</v>
      </c>
      <c r="B3538" t="s">
        <v>2459</v>
      </c>
      <c r="C3538" t="s">
        <v>2479</v>
      </c>
      <c r="D3538" s="1" t="s">
        <v>2480</v>
      </c>
      <c r="E3538" t="s">
        <v>14</v>
      </c>
      <c r="F3538">
        <v>61.879399999999997</v>
      </c>
      <c r="G3538">
        <v>26.0947</v>
      </c>
      <c r="H3538">
        <v>2</v>
      </c>
      <c r="I3538">
        <v>146</v>
      </c>
      <c r="J3538" t="str">
        <f>HYPERLINK("https://climate.onebuilding.org/WMO_Region_6_Europe/FIN_Finland/CF_Central_Finland/FIN_CF_Joutsa.Leivonmaki.Savenaho.027710_TMYx.2007-2021.zip")</f>
        <v>https://climate.onebuilding.org/WMO_Region_6_Europe/FIN_Finland/CF_Central_Finland/FIN_CF_Joutsa.Leivonmaki.Savenaho.027710_TMYx.2007-2021.zip</v>
      </c>
    </row>
    <row r="3539" spans="1:10" x14ac:dyDescent="0.25">
      <c r="A3539" t="s">
        <v>2310</v>
      </c>
      <c r="B3539" t="s">
        <v>2459</v>
      </c>
      <c r="C3539" t="s">
        <v>2479</v>
      </c>
      <c r="D3539" s="1" t="s">
        <v>2480</v>
      </c>
      <c r="E3539" t="s">
        <v>14</v>
      </c>
      <c r="F3539">
        <v>61.879399999999997</v>
      </c>
      <c r="G3539">
        <v>26.0947</v>
      </c>
      <c r="H3539">
        <v>2</v>
      </c>
      <c r="I3539">
        <v>146</v>
      </c>
      <c r="J3539" t="str">
        <f>HYPERLINK("https://climate.onebuilding.org/WMO_Region_6_Europe/FIN_Finland/CF_Central_Finland/FIN_CF_Joutsa.Leivonmaki.Savenaho.027710_TMYx.2009-2023.zip")</f>
        <v>https://climate.onebuilding.org/WMO_Region_6_Europe/FIN_Finland/CF_Central_Finland/FIN_CF_Joutsa.Leivonmaki.Savenaho.027710_TMYx.2009-2023.zip</v>
      </c>
    </row>
    <row r="3540" spans="1:10" x14ac:dyDescent="0.25">
      <c r="A3540" t="s">
        <v>2310</v>
      </c>
      <c r="B3540" t="s">
        <v>2459</v>
      </c>
      <c r="C3540" t="s">
        <v>2479</v>
      </c>
      <c r="D3540" s="1" t="s">
        <v>2480</v>
      </c>
      <c r="E3540" t="s">
        <v>14</v>
      </c>
      <c r="F3540">
        <v>61.879399999999997</v>
      </c>
      <c r="G3540">
        <v>26.0947</v>
      </c>
      <c r="H3540">
        <v>2</v>
      </c>
      <c r="I3540">
        <v>146</v>
      </c>
      <c r="J3540" t="str">
        <f>HYPERLINK("https://climate.onebuilding.org/WMO_Region_6_Europe/FIN_Finland/CF_Central_Finland/FIN_CF_Joutsa.Leivonmaki.Savenaho.027710_TMYx.zip")</f>
        <v>https://climate.onebuilding.org/WMO_Region_6_Europe/FIN_Finland/CF_Central_Finland/FIN_CF_Joutsa.Leivonmaki.Savenaho.027710_TMYx.zip</v>
      </c>
    </row>
    <row r="3541" spans="1:10" x14ac:dyDescent="0.25">
      <c r="A3541" t="s">
        <v>2310</v>
      </c>
      <c r="B3541" t="s">
        <v>2347</v>
      </c>
      <c r="C3541" t="s">
        <v>2482</v>
      </c>
      <c r="D3541" s="1" t="s">
        <v>2483</v>
      </c>
      <c r="E3541" t="s">
        <v>2484</v>
      </c>
      <c r="F3541">
        <v>62.063000000000002</v>
      </c>
      <c r="G3541">
        <v>28.566099999999999</v>
      </c>
      <c r="H3541">
        <v>2</v>
      </c>
      <c r="I3541">
        <v>80</v>
      </c>
      <c r="J3541" t="str">
        <f>HYPERLINK("https://climate.onebuilding.org/WMO_Region_6_Europe/FIN_Finland/SS_South_Savo/FIN_SS_Rantasalmi.Rukkasluoto.027720_TMYx.2004-2018.zip")</f>
        <v>https://climate.onebuilding.org/WMO_Region_6_Europe/FIN_Finland/SS_South_Savo/FIN_SS_Rantasalmi.Rukkasluoto.027720_TMYx.2004-2018.zip</v>
      </c>
    </row>
    <row r="3542" spans="1:10" x14ac:dyDescent="0.25">
      <c r="A3542" t="s">
        <v>2310</v>
      </c>
      <c r="B3542" t="s">
        <v>2347</v>
      </c>
      <c r="C3542" t="s">
        <v>2482</v>
      </c>
      <c r="D3542" s="1" t="s">
        <v>2483</v>
      </c>
      <c r="E3542" t="s">
        <v>14</v>
      </c>
      <c r="F3542">
        <v>62.063000000000002</v>
      </c>
      <c r="G3542">
        <v>28.566099999999999</v>
      </c>
      <c r="H3542">
        <v>2</v>
      </c>
      <c r="I3542">
        <v>80</v>
      </c>
      <c r="J3542" t="str">
        <f>HYPERLINK("https://climate.onebuilding.org/WMO_Region_6_Europe/FIN_Finland/SS_South_Savo/FIN_SS_Rantasalmi.Rukkasluoto.027720_TMYx.2007-2021.zip")</f>
        <v>https://climate.onebuilding.org/WMO_Region_6_Europe/FIN_Finland/SS_South_Savo/FIN_SS_Rantasalmi.Rukkasluoto.027720_TMYx.2007-2021.zip</v>
      </c>
    </row>
    <row r="3543" spans="1:10" x14ac:dyDescent="0.25">
      <c r="A3543" t="s">
        <v>2310</v>
      </c>
      <c r="B3543" t="s">
        <v>2347</v>
      </c>
      <c r="C3543" t="s">
        <v>2482</v>
      </c>
      <c r="D3543" s="1" t="s">
        <v>2483</v>
      </c>
      <c r="E3543" t="s">
        <v>14</v>
      </c>
      <c r="F3543">
        <v>62.063000000000002</v>
      </c>
      <c r="G3543">
        <v>28.566099999999999</v>
      </c>
      <c r="H3543">
        <v>2</v>
      </c>
      <c r="I3543">
        <v>80</v>
      </c>
      <c r="J3543" t="str">
        <f>HYPERLINK("https://climate.onebuilding.org/WMO_Region_6_Europe/FIN_Finland/SS_South_Savo/FIN_SS_Rantasalmi.Rukkasluoto.027720_TMYx.2009-2023.zip")</f>
        <v>https://climate.onebuilding.org/WMO_Region_6_Europe/FIN_Finland/SS_South_Savo/FIN_SS_Rantasalmi.Rukkasluoto.027720_TMYx.2009-2023.zip</v>
      </c>
    </row>
    <row r="3544" spans="1:10" x14ac:dyDescent="0.25">
      <c r="A3544" t="s">
        <v>2310</v>
      </c>
      <c r="B3544" t="s">
        <v>2347</v>
      </c>
      <c r="C3544" t="s">
        <v>2482</v>
      </c>
      <c r="D3544" s="1" t="s">
        <v>2483</v>
      </c>
      <c r="E3544" t="s">
        <v>14</v>
      </c>
      <c r="F3544">
        <v>62.063000000000002</v>
      </c>
      <c r="G3544">
        <v>28.566099999999999</v>
      </c>
      <c r="H3544">
        <v>2</v>
      </c>
      <c r="I3544">
        <v>80</v>
      </c>
      <c r="J3544" t="str">
        <f>HYPERLINK("https://climate.onebuilding.org/WMO_Region_6_Europe/FIN_Finland/SS_South_Savo/FIN_SS_Rantasalmi.Rukkasluoto.027720_TMYx.zip")</f>
        <v>https://climate.onebuilding.org/WMO_Region_6_Europe/FIN_Finland/SS_South_Savo/FIN_SS_Rantasalmi.Rukkasluoto.027720_TMYx.zip</v>
      </c>
    </row>
    <row r="3545" spans="1:10" x14ac:dyDescent="0.25">
      <c r="A3545" t="s">
        <v>2310</v>
      </c>
      <c r="B3545" t="s">
        <v>527</v>
      </c>
      <c r="C3545" t="s">
        <v>2485</v>
      </c>
      <c r="D3545" s="1" t="s">
        <v>2486</v>
      </c>
      <c r="E3545" t="s">
        <v>2487</v>
      </c>
      <c r="F3545">
        <v>60.4544</v>
      </c>
      <c r="G3545">
        <v>22.178599999999999</v>
      </c>
      <c r="H3545">
        <v>2</v>
      </c>
      <c r="I3545">
        <v>9.1</v>
      </c>
      <c r="J3545" t="str">
        <f>HYPERLINK("https://climate.onebuilding.org/WMO_Region_6_Europe/FIN_Finland/SF_Southwest_Finland/FIN_SF_Turku.Artukainen.027730_TMYx.2004-2018.zip")</f>
        <v>https://climate.onebuilding.org/WMO_Region_6_Europe/FIN_Finland/SF_Southwest_Finland/FIN_SF_Turku.Artukainen.027730_TMYx.2004-2018.zip</v>
      </c>
    </row>
    <row r="3546" spans="1:10" x14ac:dyDescent="0.25">
      <c r="A3546" t="s">
        <v>2310</v>
      </c>
      <c r="B3546" t="s">
        <v>527</v>
      </c>
      <c r="C3546" t="s">
        <v>2485</v>
      </c>
      <c r="D3546" s="1" t="s">
        <v>2486</v>
      </c>
      <c r="E3546" t="s">
        <v>14</v>
      </c>
      <c r="F3546">
        <v>60.4544</v>
      </c>
      <c r="G3546">
        <v>22.178599999999999</v>
      </c>
      <c r="H3546">
        <v>2</v>
      </c>
      <c r="I3546">
        <v>9.1</v>
      </c>
      <c r="J3546" t="str">
        <f>HYPERLINK("https://climate.onebuilding.org/WMO_Region_6_Europe/FIN_Finland/SF_Southwest_Finland/FIN_SF_Turku.Artukainen.027730_TMYx.2007-2021.zip")</f>
        <v>https://climate.onebuilding.org/WMO_Region_6_Europe/FIN_Finland/SF_Southwest_Finland/FIN_SF_Turku.Artukainen.027730_TMYx.2007-2021.zip</v>
      </c>
    </row>
    <row r="3547" spans="1:10" x14ac:dyDescent="0.25">
      <c r="A3547" t="s">
        <v>2310</v>
      </c>
      <c r="B3547" t="s">
        <v>527</v>
      </c>
      <c r="C3547" t="s">
        <v>2485</v>
      </c>
      <c r="D3547" s="1" t="s">
        <v>2486</v>
      </c>
      <c r="E3547" t="s">
        <v>14</v>
      </c>
      <c r="F3547">
        <v>60.4544</v>
      </c>
      <c r="G3547">
        <v>22.178599999999999</v>
      </c>
      <c r="H3547">
        <v>2</v>
      </c>
      <c r="I3547">
        <v>9.1</v>
      </c>
      <c r="J3547" t="str">
        <f>HYPERLINK("https://climate.onebuilding.org/WMO_Region_6_Europe/FIN_Finland/SF_Southwest_Finland/FIN_SF_Turku.Artukainen.027730_TMYx.2009-2023.zip")</f>
        <v>https://climate.onebuilding.org/WMO_Region_6_Europe/FIN_Finland/SF_Southwest_Finland/FIN_SF_Turku.Artukainen.027730_TMYx.2009-2023.zip</v>
      </c>
    </row>
    <row r="3548" spans="1:10" x14ac:dyDescent="0.25">
      <c r="A3548" t="s">
        <v>2310</v>
      </c>
      <c r="B3548" t="s">
        <v>527</v>
      </c>
      <c r="C3548" t="s">
        <v>2485</v>
      </c>
      <c r="D3548" s="1" t="s">
        <v>2486</v>
      </c>
      <c r="E3548" t="s">
        <v>14</v>
      </c>
      <c r="F3548">
        <v>60.4544</v>
      </c>
      <c r="G3548">
        <v>22.178599999999999</v>
      </c>
      <c r="H3548">
        <v>2</v>
      </c>
      <c r="I3548">
        <v>9.1</v>
      </c>
      <c r="J3548" t="str">
        <f>HYPERLINK("https://climate.onebuilding.org/WMO_Region_6_Europe/FIN_Finland/SF_Southwest_Finland/FIN_SF_Turku.Artukainen.027730_TMYx.zip")</f>
        <v>https://climate.onebuilding.org/WMO_Region_6_Europe/FIN_Finland/SF_Southwest_Finland/FIN_SF_Turku.Artukainen.027730_TMYx.zip</v>
      </c>
    </row>
    <row r="3549" spans="1:10" x14ac:dyDescent="0.25">
      <c r="A3549" t="s">
        <v>2310</v>
      </c>
      <c r="B3549" t="s">
        <v>527</v>
      </c>
      <c r="C3549" t="s">
        <v>2488</v>
      </c>
      <c r="D3549" s="1" t="s">
        <v>2489</v>
      </c>
      <c r="E3549" t="s">
        <v>2490</v>
      </c>
      <c r="F3549">
        <v>60.464199999999998</v>
      </c>
      <c r="G3549">
        <v>23.649699999999999</v>
      </c>
      <c r="H3549">
        <v>2</v>
      </c>
      <c r="I3549">
        <v>117</v>
      </c>
      <c r="J3549" t="str">
        <f>HYPERLINK("https://climate.onebuilding.org/WMO_Region_6_Europe/FIN_Finland/SF_Southwest_Finland/FIN_SF_Salo.Kiikala.AF.027770_TMYx.2004-2018.zip")</f>
        <v>https://climate.onebuilding.org/WMO_Region_6_Europe/FIN_Finland/SF_Southwest_Finland/FIN_SF_Salo.Kiikala.AF.027770_TMYx.2004-2018.zip</v>
      </c>
    </row>
    <row r="3550" spans="1:10" x14ac:dyDescent="0.25">
      <c r="A3550" t="s">
        <v>2310</v>
      </c>
      <c r="B3550" t="s">
        <v>527</v>
      </c>
      <c r="C3550" t="s">
        <v>2488</v>
      </c>
      <c r="D3550" s="1" t="s">
        <v>2489</v>
      </c>
      <c r="E3550" t="s">
        <v>14</v>
      </c>
      <c r="F3550">
        <v>60.464199999999998</v>
      </c>
      <c r="G3550">
        <v>23.649699999999999</v>
      </c>
      <c r="H3550">
        <v>2</v>
      </c>
      <c r="I3550">
        <v>117</v>
      </c>
      <c r="J3550" t="str">
        <f>HYPERLINK("https://climate.onebuilding.org/WMO_Region_6_Europe/FIN_Finland/SF_Southwest_Finland/FIN_SF_Salo.Kiikala.AF.027770_TMYx.2007-2021.zip")</f>
        <v>https://climate.onebuilding.org/WMO_Region_6_Europe/FIN_Finland/SF_Southwest_Finland/FIN_SF_Salo.Kiikala.AF.027770_TMYx.2007-2021.zip</v>
      </c>
    </row>
    <row r="3551" spans="1:10" x14ac:dyDescent="0.25">
      <c r="A3551" t="s">
        <v>2310</v>
      </c>
      <c r="B3551" t="s">
        <v>527</v>
      </c>
      <c r="C3551" t="s">
        <v>2488</v>
      </c>
      <c r="D3551" s="1" t="s">
        <v>2489</v>
      </c>
      <c r="E3551" t="s">
        <v>14</v>
      </c>
      <c r="F3551">
        <v>60.464199999999998</v>
      </c>
      <c r="G3551">
        <v>23.649699999999999</v>
      </c>
      <c r="H3551">
        <v>2</v>
      </c>
      <c r="I3551">
        <v>117</v>
      </c>
      <c r="J3551" t="str">
        <f>HYPERLINK("https://climate.onebuilding.org/WMO_Region_6_Europe/FIN_Finland/SF_Southwest_Finland/FIN_SF_Salo.Kiikala.AF.027770_TMYx.2009-2023.zip")</f>
        <v>https://climate.onebuilding.org/WMO_Region_6_Europe/FIN_Finland/SF_Southwest_Finland/FIN_SF_Salo.Kiikala.AF.027770_TMYx.2009-2023.zip</v>
      </c>
    </row>
    <row r="3552" spans="1:10" x14ac:dyDescent="0.25">
      <c r="A3552" t="s">
        <v>2310</v>
      </c>
      <c r="B3552" t="s">
        <v>527</v>
      </c>
      <c r="C3552" t="s">
        <v>2488</v>
      </c>
      <c r="D3552" s="1" t="s">
        <v>2489</v>
      </c>
      <c r="E3552" t="s">
        <v>14</v>
      </c>
      <c r="F3552">
        <v>60.464199999999998</v>
      </c>
      <c r="G3552">
        <v>23.649699999999999</v>
      </c>
      <c r="H3552">
        <v>2</v>
      </c>
      <c r="I3552">
        <v>117</v>
      </c>
      <c r="J3552" t="str">
        <f>HYPERLINK("https://climate.onebuilding.org/WMO_Region_6_Europe/FIN_Finland/SF_Southwest_Finland/FIN_SF_Salo.Kiikala.AF.027770_TMYx.zip")</f>
        <v>https://climate.onebuilding.org/WMO_Region_6_Europe/FIN_Finland/SF_Southwest_Finland/FIN_SF_Salo.Kiikala.AF.027770_TMYx.zip</v>
      </c>
    </row>
    <row r="3553" spans="1:10" x14ac:dyDescent="0.25">
      <c r="A3553" t="s">
        <v>2310</v>
      </c>
      <c r="B3553" t="s">
        <v>2347</v>
      </c>
      <c r="C3553" t="s">
        <v>2491</v>
      </c>
      <c r="D3553" s="1" t="s">
        <v>2492</v>
      </c>
      <c r="E3553" t="s">
        <v>2493</v>
      </c>
      <c r="F3553">
        <v>61.801900000000003</v>
      </c>
      <c r="G3553">
        <v>29.315300000000001</v>
      </c>
      <c r="H3553">
        <v>2</v>
      </c>
      <c r="I3553">
        <v>79.5</v>
      </c>
      <c r="J3553" t="str">
        <f>HYPERLINK("https://climate.onebuilding.org/WMO_Region_6_Europe/FIN_Finland/SS_South_Savo/FIN_SS_Savonlinna.Punkaharju.027780_TMYx.2004-2018.zip")</f>
        <v>https://climate.onebuilding.org/WMO_Region_6_Europe/FIN_Finland/SS_South_Savo/FIN_SS_Savonlinna.Punkaharju.027780_TMYx.2004-2018.zip</v>
      </c>
    </row>
    <row r="3554" spans="1:10" x14ac:dyDescent="0.25">
      <c r="A3554" t="s">
        <v>2310</v>
      </c>
      <c r="B3554" t="s">
        <v>2347</v>
      </c>
      <c r="C3554" t="s">
        <v>2491</v>
      </c>
      <c r="D3554" s="1" t="s">
        <v>2492</v>
      </c>
      <c r="E3554" t="s">
        <v>14</v>
      </c>
      <c r="F3554">
        <v>61.801900000000003</v>
      </c>
      <c r="G3554">
        <v>29.315300000000001</v>
      </c>
      <c r="H3554">
        <v>2</v>
      </c>
      <c r="I3554">
        <v>79.5</v>
      </c>
      <c r="J3554" t="str">
        <f>HYPERLINK("https://climate.onebuilding.org/WMO_Region_6_Europe/FIN_Finland/SS_South_Savo/FIN_SS_Savonlinna.Punkaharju.027780_TMYx.2007-2021.zip")</f>
        <v>https://climate.onebuilding.org/WMO_Region_6_Europe/FIN_Finland/SS_South_Savo/FIN_SS_Savonlinna.Punkaharju.027780_TMYx.2007-2021.zip</v>
      </c>
    </row>
    <row r="3555" spans="1:10" x14ac:dyDescent="0.25">
      <c r="A3555" t="s">
        <v>2310</v>
      </c>
      <c r="B3555" t="s">
        <v>2347</v>
      </c>
      <c r="C3555" t="s">
        <v>2491</v>
      </c>
      <c r="D3555" s="1" t="s">
        <v>2492</v>
      </c>
      <c r="E3555" t="s">
        <v>14</v>
      </c>
      <c r="F3555">
        <v>61.801900000000003</v>
      </c>
      <c r="G3555">
        <v>29.315300000000001</v>
      </c>
      <c r="H3555">
        <v>2</v>
      </c>
      <c r="I3555">
        <v>79.5</v>
      </c>
      <c r="J3555" t="str">
        <f>HYPERLINK("https://climate.onebuilding.org/WMO_Region_6_Europe/FIN_Finland/SS_South_Savo/FIN_SS_Savonlinna.Punkaharju.027780_TMYx.2009-2023.zip")</f>
        <v>https://climate.onebuilding.org/WMO_Region_6_Europe/FIN_Finland/SS_South_Savo/FIN_SS_Savonlinna.Punkaharju.027780_TMYx.2009-2023.zip</v>
      </c>
    </row>
    <row r="3556" spans="1:10" x14ac:dyDescent="0.25">
      <c r="A3556" t="s">
        <v>2310</v>
      </c>
      <c r="B3556" t="s">
        <v>2347</v>
      </c>
      <c r="C3556" t="s">
        <v>2491</v>
      </c>
      <c r="D3556" s="1" t="s">
        <v>2492</v>
      </c>
      <c r="E3556" t="s">
        <v>14</v>
      </c>
      <c r="F3556">
        <v>61.801900000000003</v>
      </c>
      <c r="G3556">
        <v>29.315300000000001</v>
      </c>
      <c r="H3556">
        <v>2</v>
      </c>
      <c r="I3556">
        <v>79.5</v>
      </c>
      <c r="J3556" t="str">
        <f>HYPERLINK("https://climate.onebuilding.org/WMO_Region_6_Europe/FIN_Finland/SS_South_Savo/FIN_SS_Savonlinna.Punkaharju.027780_TMYx.zip")</f>
        <v>https://climate.onebuilding.org/WMO_Region_6_Europe/FIN_Finland/SS_South_Savo/FIN_SS_Savonlinna.Punkaharju.027780_TMYx.zip</v>
      </c>
    </row>
    <row r="3557" spans="1:10" x14ac:dyDescent="0.25">
      <c r="A3557" t="s">
        <v>2310</v>
      </c>
      <c r="B3557" t="s">
        <v>2425</v>
      </c>
      <c r="C3557" t="s">
        <v>2494</v>
      </c>
      <c r="D3557" s="1" t="s">
        <v>2495</v>
      </c>
      <c r="E3557" t="s">
        <v>2496</v>
      </c>
      <c r="F3557">
        <v>62.934399999999997</v>
      </c>
      <c r="G3557">
        <v>21.185300000000002</v>
      </c>
      <c r="H3557">
        <v>2</v>
      </c>
      <c r="I3557">
        <v>2.8</v>
      </c>
      <c r="J3557" t="str">
        <f>HYPERLINK("https://climate.onebuilding.org/WMO_Region_6_Europe/FIN_Finland/OS_Ostrobothnia/FIN_OS_Korsnas.Bredskaret.027800_TMYx.2004-2018.zip")</f>
        <v>https://climate.onebuilding.org/WMO_Region_6_Europe/FIN_Finland/OS_Ostrobothnia/FIN_OS_Korsnas.Bredskaret.027800_TMYx.2004-2018.zip</v>
      </c>
    </row>
    <row r="3558" spans="1:10" x14ac:dyDescent="0.25">
      <c r="A3558" t="s">
        <v>2310</v>
      </c>
      <c r="B3558" t="s">
        <v>2425</v>
      </c>
      <c r="C3558" t="s">
        <v>2494</v>
      </c>
      <c r="D3558" s="1" t="s">
        <v>2495</v>
      </c>
      <c r="E3558" t="s">
        <v>14</v>
      </c>
      <c r="F3558">
        <v>62.934399999999997</v>
      </c>
      <c r="G3558">
        <v>21.185300000000002</v>
      </c>
      <c r="H3558">
        <v>2</v>
      </c>
      <c r="I3558">
        <v>2.8</v>
      </c>
      <c r="J3558" t="str">
        <f>HYPERLINK("https://climate.onebuilding.org/WMO_Region_6_Europe/FIN_Finland/OS_Ostrobothnia/FIN_OS_Korsnas.Bredskaret.027800_TMYx.2007-2021.zip")</f>
        <v>https://climate.onebuilding.org/WMO_Region_6_Europe/FIN_Finland/OS_Ostrobothnia/FIN_OS_Korsnas.Bredskaret.027800_TMYx.2007-2021.zip</v>
      </c>
    </row>
    <row r="3559" spans="1:10" x14ac:dyDescent="0.25">
      <c r="A3559" t="s">
        <v>2310</v>
      </c>
      <c r="B3559" t="s">
        <v>2425</v>
      </c>
      <c r="C3559" t="s">
        <v>2494</v>
      </c>
      <c r="D3559" s="1" t="s">
        <v>2495</v>
      </c>
      <c r="E3559" t="s">
        <v>14</v>
      </c>
      <c r="F3559">
        <v>62.934399999999997</v>
      </c>
      <c r="G3559">
        <v>21.185300000000002</v>
      </c>
      <c r="H3559">
        <v>2</v>
      </c>
      <c r="I3559">
        <v>2.8</v>
      </c>
      <c r="J3559" t="str">
        <f>HYPERLINK("https://climate.onebuilding.org/WMO_Region_6_Europe/FIN_Finland/OS_Ostrobothnia/FIN_OS_Korsnas.Bredskaret.027800_TMYx.2009-2023.zip")</f>
        <v>https://climate.onebuilding.org/WMO_Region_6_Europe/FIN_Finland/OS_Ostrobothnia/FIN_OS_Korsnas.Bredskaret.027800_TMYx.2009-2023.zip</v>
      </c>
    </row>
    <row r="3560" spans="1:10" x14ac:dyDescent="0.25">
      <c r="A3560" t="s">
        <v>2310</v>
      </c>
      <c r="B3560" t="s">
        <v>2425</v>
      </c>
      <c r="C3560" t="s">
        <v>2494</v>
      </c>
      <c r="D3560" s="1" t="s">
        <v>2495</v>
      </c>
      <c r="E3560" t="s">
        <v>14</v>
      </c>
      <c r="F3560">
        <v>62.934399999999997</v>
      </c>
      <c r="G3560">
        <v>21.185300000000002</v>
      </c>
      <c r="H3560">
        <v>2</v>
      </c>
      <c r="I3560">
        <v>2.8</v>
      </c>
      <c r="J3560" t="str">
        <f>HYPERLINK("https://climate.onebuilding.org/WMO_Region_6_Europe/FIN_Finland/OS_Ostrobothnia/FIN_OS_Korsnas.Bredskaret.027800_TMYx.zip")</f>
        <v>https://climate.onebuilding.org/WMO_Region_6_Europe/FIN_Finland/OS_Ostrobothnia/FIN_OS_Korsnas.Bredskaret.027800_TMYx.zip</v>
      </c>
    </row>
    <row r="3561" spans="1:10" x14ac:dyDescent="0.25">
      <c r="A3561" t="s">
        <v>2310</v>
      </c>
      <c r="B3561" t="s">
        <v>2425</v>
      </c>
      <c r="C3561" t="s">
        <v>2497</v>
      </c>
      <c r="D3561" s="1" t="s">
        <v>2498</v>
      </c>
      <c r="E3561" t="s">
        <v>2499</v>
      </c>
      <c r="F3561">
        <v>62.9786</v>
      </c>
      <c r="G3561">
        <v>20.74</v>
      </c>
      <c r="H3561">
        <v>2</v>
      </c>
      <c r="I3561">
        <v>3.7</v>
      </c>
      <c r="J3561" t="str">
        <f>HYPERLINK("https://climate.onebuilding.org/WMO_Region_6_Europe/FIN_Finland/OS_Ostrobothnia/FIN_OS_Strommingsbadn.027810_TMYx.2004-2018.zip")</f>
        <v>https://climate.onebuilding.org/WMO_Region_6_Europe/FIN_Finland/OS_Ostrobothnia/FIN_OS_Strommingsbadn.027810_TMYx.2004-2018.zip</v>
      </c>
    </row>
    <row r="3562" spans="1:10" x14ac:dyDescent="0.25">
      <c r="A3562" t="s">
        <v>2310</v>
      </c>
      <c r="B3562" t="s">
        <v>2425</v>
      </c>
      <c r="C3562" t="s">
        <v>2497</v>
      </c>
      <c r="D3562" s="1" t="s">
        <v>2498</v>
      </c>
      <c r="E3562" t="s">
        <v>14</v>
      </c>
      <c r="F3562">
        <v>62.9786</v>
      </c>
      <c r="G3562">
        <v>20.74</v>
      </c>
      <c r="H3562">
        <v>2</v>
      </c>
      <c r="I3562">
        <v>3.7</v>
      </c>
      <c r="J3562" t="str">
        <f>HYPERLINK("https://climate.onebuilding.org/WMO_Region_6_Europe/FIN_Finland/OS_Ostrobothnia/FIN_OS_Strommingsbadn.027810_TMYx.2007-2021.zip")</f>
        <v>https://climate.onebuilding.org/WMO_Region_6_Europe/FIN_Finland/OS_Ostrobothnia/FIN_OS_Strommingsbadn.027810_TMYx.2007-2021.zip</v>
      </c>
    </row>
    <row r="3563" spans="1:10" x14ac:dyDescent="0.25">
      <c r="A3563" t="s">
        <v>2310</v>
      </c>
      <c r="B3563" t="s">
        <v>2425</v>
      </c>
      <c r="C3563" t="s">
        <v>2497</v>
      </c>
      <c r="D3563" s="1" t="s">
        <v>2498</v>
      </c>
      <c r="E3563" t="s">
        <v>14</v>
      </c>
      <c r="F3563">
        <v>62.9786</v>
      </c>
      <c r="G3563">
        <v>20.74</v>
      </c>
      <c r="H3563">
        <v>2</v>
      </c>
      <c r="I3563">
        <v>3.7</v>
      </c>
      <c r="J3563" t="str">
        <f>HYPERLINK("https://climate.onebuilding.org/WMO_Region_6_Europe/FIN_Finland/OS_Ostrobothnia/FIN_OS_Strommingsbadn.027810_TMYx.2009-2023.zip")</f>
        <v>https://climate.onebuilding.org/WMO_Region_6_Europe/FIN_Finland/OS_Ostrobothnia/FIN_OS_Strommingsbadn.027810_TMYx.2009-2023.zip</v>
      </c>
    </row>
    <row r="3564" spans="1:10" x14ac:dyDescent="0.25">
      <c r="A3564" t="s">
        <v>2310</v>
      </c>
      <c r="B3564" t="s">
        <v>2425</v>
      </c>
      <c r="C3564" t="s">
        <v>2497</v>
      </c>
      <c r="D3564" s="1" t="s">
        <v>2498</v>
      </c>
      <c r="E3564" t="s">
        <v>14</v>
      </c>
      <c r="F3564">
        <v>62.9786</v>
      </c>
      <c r="G3564">
        <v>20.74</v>
      </c>
      <c r="H3564">
        <v>2</v>
      </c>
      <c r="I3564">
        <v>3.7</v>
      </c>
      <c r="J3564" t="str">
        <f>HYPERLINK("https://climate.onebuilding.org/WMO_Region_6_Europe/FIN_Finland/OS_Ostrobothnia/FIN_OS_Strommingsbadn.027810_TMYx.zip")</f>
        <v>https://climate.onebuilding.org/WMO_Region_6_Europe/FIN_Finland/OS_Ostrobothnia/FIN_OS_Strommingsbadn.027810_TMYx.zip</v>
      </c>
    </row>
    <row r="3565" spans="1:10" x14ac:dyDescent="0.25">
      <c r="A3565" t="s">
        <v>2310</v>
      </c>
      <c r="B3565" t="s">
        <v>774</v>
      </c>
      <c r="C3565" t="s">
        <v>2500</v>
      </c>
      <c r="D3565" s="1" t="s">
        <v>2501</v>
      </c>
      <c r="E3565" t="s">
        <v>2502</v>
      </c>
      <c r="F3565">
        <v>63.088900000000002</v>
      </c>
      <c r="G3565">
        <v>24.2608</v>
      </c>
      <c r="H3565">
        <v>2</v>
      </c>
      <c r="I3565">
        <v>171.4</v>
      </c>
      <c r="J3565" t="str">
        <f>HYPERLINK("https://climate.onebuilding.org/WMO_Region_6_Europe/FIN_Finland/SO_South_Ostrobothnia/FIN_SO_Alajarvi.Moksy.027870_TMYx.2004-2018.zip")</f>
        <v>https://climate.onebuilding.org/WMO_Region_6_Europe/FIN_Finland/SO_South_Ostrobothnia/FIN_SO_Alajarvi.Moksy.027870_TMYx.2004-2018.zip</v>
      </c>
    </row>
    <row r="3566" spans="1:10" x14ac:dyDescent="0.25">
      <c r="A3566" t="s">
        <v>2310</v>
      </c>
      <c r="B3566" t="s">
        <v>774</v>
      </c>
      <c r="C3566" t="s">
        <v>2500</v>
      </c>
      <c r="D3566" s="1" t="s">
        <v>2501</v>
      </c>
      <c r="E3566" t="s">
        <v>14</v>
      </c>
      <c r="F3566">
        <v>63.088900000000002</v>
      </c>
      <c r="G3566">
        <v>24.2608</v>
      </c>
      <c r="H3566">
        <v>2</v>
      </c>
      <c r="I3566">
        <v>171.4</v>
      </c>
      <c r="J3566" t="str">
        <f>HYPERLINK("https://climate.onebuilding.org/WMO_Region_6_Europe/FIN_Finland/SO_South_Ostrobothnia/FIN_SO_Alajarvi.Moksy.027870_TMYx.2007-2021.zip")</f>
        <v>https://climate.onebuilding.org/WMO_Region_6_Europe/FIN_Finland/SO_South_Ostrobothnia/FIN_SO_Alajarvi.Moksy.027870_TMYx.2007-2021.zip</v>
      </c>
    </row>
    <row r="3567" spans="1:10" x14ac:dyDescent="0.25">
      <c r="A3567" t="s">
        <v>2310</v>
      </c>
      <c r="B3567" t="s">
        <v>774</v>
      </c>
      <c r="C3567" t="s">
        <v>2500</v>
      </c>
      <c r="D3567" s="1" t="s">
        <v>2501</v>
      </c>
      <c r="E3567" t="s">
        <v>14</v>
      </c>
      <c r="F3567">
        <v>63.088900000000002</v>
      </c>
      <c r="G3567">
        <v>24.2608</v>
      </c>
      <c r="H3567">
        <v>2</v>
      </c>
      <c r="I3567">
        <v>171.4</v>
      </c>
      <c r="J3567" t="str">
        <f>HYPERLINK("https://climate.onebuilding.org/WMO_Region_6_Europe/FIN_Finland/SO_South_Ostrobothnia/FIN_SO_Alajarvi.Moksy.027870_TMYx.2009-2023.zip")</f>
        <v>https://climate.onebuilding.org/WMO_Region_6_Europe/FIN_Finland/SO_South_Ostrobothnia/FIN_SO_Alajarvi.Moksy.027870_TMYx.2009-2023.zip</v>
      </c>
    </row>
    <row r="3568" spans="1:10" x14ac:dyDescent="0.25">
      <c r="A3568" t="s">
        <v>2310</v>
      </c>
      <c r="B3568" t="s">
        <v>774</v>
      </c>
      <c r="C3568" t="s">
        <v>2500</v>
      </c>
      <c r="D3568" s="1" t="s">
        <v>2501</v>
      </c>
      <c r="E3568" t="s">
        <v>14</v>
      </c>
      <c r="F3568">
        <v>63.088900000000002</v>
      </c>
      <c r="G3568">
        <v>24.2608</v>
      </c>
      <c r="H3568">
        <v>2</v>
      </c>
      <c r="I3568">
        <v>171.4</v>
      </c>
      <c r="J3568" t="str">
        <f>HYPERLINK("https://climate.onebuilding.org/WMO_Region_6_Europe/FIN_Finland/SO_South_Ostrobothnia/FIN_SO_Alajarvi.Moksy.027870_TMYx.zip")</f>
        <v>https://climate.onebuilding.org/WMO_Region_6_Europe/FIN_Finland/SO_South_Ostrobothnia/FIN_SO_Alajarvi.Moksy.027870_TMYx.zip</v>
      </c>
    </row>
    <row r="3569" spans="1:10" x14ac:dyDescent="0.25">
      <c r="A3569" t="s">
        <v>2310</v>
      </c>
      <c r="B3569" t="s">
        <v>2334</v>
      </c>
      <c r="C3569" t="s">
        <v>2503</v>
      </c>
      <c r="D3569" s="1" t="s">
        <v>2504</v>
      </c>
      <c r="E3569" t="s">
        <v>2505</v>
      </c>
      <c r="F3569">
        <v>63.143300000000004</v>
      </c>
      <c r="G3569">
        <v>27.313099999999999</v>
      </c>
      <c r="H3569">
        <v>2</v>
      </c>
      <c r="I3569">
        <v>91.3</v>
      </c>
      <c r="J3569" t="str">
        <f>HYPERLINK("https://climate.onebuilding.org/WMO_Region_6_Europe/FIN_Finland/NS_North_Savo/FIN_NS_Kuopio.Maaninka.027880_TMYx.2004-2018.zip")</f>
        <v>https://climate.onebuilding.org/WMO_Region_6_Europe/FIN_Finland/NS_North_Savo/FIN_NS_Kuopio.Maaninka.027880_TMYx.2004-2018.zip</v>
      </c>
    </row>
    <row r="3570" spans="1:10" x14ac:dyDescent="0.25">
      <c r="A3570" t="s">
        <v>2310</v>
      </c>
      <c r="B3570" t="s">
        <v>2334</v>
      </c>
      <c r="C3570" t="s">
        <v>2503</v>
      </c>
      <c r="D3570" s="1" t="s">
        <v>2504</v>
      </c>
      <c r="E3570" t="s">
        <v>14</v>
      </c>
      <c r="F3570">
        <v>63.143300000000004</v>
      </c>
      <c r="G3570">
        <v>27.313099999999999</v>
      </c>
      <c r="H3570">
        <v>2</v>
      </c>
      <c r="I3570">
        <v>91.3</v>
      </c>
      <c r="J3570" t="str">
        <f>HYPERLINK("https://climate.onebuilding.org/WMO_Region_6_Europe/FIN_Finland/NS_North_Savo/FIN_NS_Kuopio.Maaninka.027880_TMYx.2007-2021.zip")</f>
        <v>https://climate.onebuilding.org/WMO_Region_6_Europe/FIN_Finland/NS_North_Savo/FIN_NS_Kuopio.Maaninka.027880_TMYx.2007-2021.zip</v>
      </c>
    </row>
    <row r="3571" spans="1:10" x14ac:dyDescent="0.25">
      <c r="A3571" t="s">
        <v>2310</v>
      </c>
      <c r="B3571" t="s">
        <v>2334</v>
      </c>
      <c r="C3571" t="s">
        <v>2503</v>
      </c>
      <c r="D3571" s="1" t="s">
        <v>2504</v>
      </c>
      <c r="E3571" t="s">
        <v>14</v>
      </c>
      <c r="F3571">
        <v>63.143300000000004</v>
      </c>
      <c r="G3571">
        <v>27.313099999999999</v>
      </c>
      <c r="H3571">
        <v>2</v>
      </c>
      <c r="I3571">
        <v>91.3</v>
      </c>
      <c r="J3571" t="str">
        <f>HYPERLINK("https://climate.onebuilding.org/WMO_Region_6_Europe/FIN_Finland/NS_North_Savo/FIN_NS_Kuopio.Maaninka.027880_TMYx.2009-2023.zip")</f>
        <v>https://climate.onebuilding.org/WMO_Region_6_Europe/FIN_Finland/NS_North_Savo/FIN_NS_Kuopio.Maaninka.027880_TMYx.2009-2023.zip</v>
      </c>
    </row>
    <row r="3572" spans="1:10" x14ac:dyDescent="0.25">
      <c r="A3572" t="s">
        <v>2310</v>
      </c>
      <c r="B3572" t="s">
        <v>2334</v>
      </c>
      <c r="C3572" t="s">
        <v>2503</v>
      </c>
      <c r="D3572" s="1" t="s">
        <v>2504</v>
      </c>
      <c r="E3572" t="s">
        <v>14</v>
      </c>
      <c r="F3572">
        <v>63.143300000000004</v>
      </c>
      <c r="G3572">
        <v>27.313099999999999</v>
      </c>
      <c r="H3572">
        <v>2</v>
      </c>
      <c r="I3572">
        <v>91.3</v>
      </c>
      <c r="J3572" t="str">
        <f>HYPERLINK("https://climate.onebuilding.org/WMO_Region_6_Europe/FIN_Finland/NS_North_Savo/FIN_NS_Kuopio.Maaninka.027880_TMYx.zip")</f>
        <v>https://climate.onebuilding.org/WMO_Region_6_Europe/FIN_Finland/NS_North_Savo/FIN_NS_Kuopio.Maaninka.027880_TMYx.zip</v>
      </c>
    </row>
    <row r="3573" spans="1:10" x14ac:dyDescent="0.25">
      <c r="A3573" t="s">
        <v>2310</v>
      </c>
      <c r="B3573" t="s">
        <v>2334</v>
      </c>
      <c r="C3573" t="s">
        <v>2506</v>
      </c>
      <c r="D3573" s="1" t="s">
        <v>2507</v>
      </c>
      <c r="E3573" t="s">
        <v>2508</v>
      </c>
      <c r="F3573">
        <v>63.378100000000003</v>
      </c>
      <c r="G3573">
        <v>28.6617</v>
      </c>
      <c r="H3573">
        <v>2</v>
      </c>
      <c r="I3573">
        <v>165.5</v>
      </c>
      <c r="J3573" t="str">
        <f>HYPERLINK("https://climate.onebuilding.org/WMO_Region_6_Europe/FIN_Finland/NS_North_Savo/FIN_NS_Rautavaara.Yla-Luosta.027890_TMYx.2004-2018.zip")</f>
        <v>https://climate.onebuilding.org/WMO_Region_6_Europe/FIN_Finland/NS_North_Savo/FIN_NS_Rautavaara.Yla-Luosta.027890_TMYx.2004-2018.zip</v>
      </c>
    </row>
    <row r="3574" spans="1:10" x14ac:dyDescent="0.25">
      <c r="A3574" t="s">
        <v>2310</v>
      </c>
      <c r="B3574" t="s">
        <v>2334</v>
      </c>
      <c r="C3574" t="s">
        <v>2506</v>
      </c>
      <c r="D3574" s="1" t="s">
        <v>2507</v>
      </c>
      <c r="E3574" t="s">
        <v>14</v>
      </c>
      <c r="F3574">
        <v>63.378100000000003</v>
      </c>
      <c r="G3574">
        <v>28.6617</v>
      </c>
      <c r="H3574">
        <v>2</v>
      </c>
      <c r="I3574">
        <v>165.5</v>
      </c>
      <c r="J3574" t="str">
        <f>HYPERLINK("https://climate.onebuilding.org/WMO_Region_6_Europe/FIN_Finland/NS_North_Savo/FIN_NS_Rautavaara.Yla-Luosta.027890_TMYx.2007-2021.zip")</f>
        <v>https://climate.onebuilding.org/WMO_Region_6_Europe/FIN_Finland/NS_North_Savo/FIN_NS_Rautavaara.Yla-Luosta.027890_TMYx.2007-2021.zip</v>
      </c>
    </row>
    <row r="3575" spans="1:10" x14ac:dyDescent="0.25">
      <c r="A3575" t="s">
        <v>2310</v>
      </c>
      <c r="B3575" t="s">
        <v>2334</v>
      </c>
      <c r="C3575" t="s">
        <v>2506</v>
      </c>
      <c r="D3575" s="1" t="s">
        <v>2507</v>
      </c>
      <c r="E3575" t="s">
        <v>14</v>
      </c>
      <c r="F3575">
        <v>63.378100000000003</v>
      </c>
      <c r="G3575">
        <v>28.6617</v>
      </c>
      <c r="H3575">
        <v>2</v>
      </c>
      <c r="I3575">
        <v>165.5</v>
      </c>
      <c r="J3575" t="str">
        <f>HYPERLINK("https://climate.onebuilding.org/WMO_Region_6_Europe/FIN_Finland/NS_North_Savo/FIN_NS_Rautavaara.Yla-Luosta.027890_TMYx.2009-2023.zip")</f>
        <v>https://climate.onebuilding.org/WMO_Region_6_Europe/FIN_Finland/NS_North_Savo/FIN_NS_Rautavaara.Yla-Luosta.027890_TMYx.2009-2023.zip</v>
      </c>
    </row>
    <row r="3576" spans="1:10" x14ac:dyDescent="0.25">
      <c r="A3576" t="s">
        <v>2310</v>
      </c>
      <c r="B3576" t="s">
        <v>2334</v>
      </c>
      <c r="C3576" t="s">
        <v>2506</v>
      </c>
      <c r="D3576" s="1" t="s">
        <v>2507</v>
      </c>
      <c r="E3576" t="s">
        <v>14</v>
      </c>
      <c r="F3576">
        <v>63.378100000000003</v>
      </c>
      <c r="G3576">
        <v>28.6617</v>
      </c>
      <c r="H3576">
        <v>2</v>
      </c>
      <c r="I3576">
        <v>165.5</v>
      </c>
      <c r="J3576" t="str">
        <f>HYPERLINK("https://climate.onebuilding.org/WMO_Region_6_Europe/FIN_Finland/NS_North_Savo/FIN_NS_Rautavaara.Yla-Luosta.027890_TMYx.zip")</f>
        <v>https://climate.onebuilding.org/WMO_Region_6_Europe/FIN_Finland/NS_North_Savo/FIN_NS_Rautavaara.Yla-Luosta.027890_TMYx.zip</v>
      </c>
    </row>
    <row r="3577" spans="1:10" x14ac:dyDescent="0.25">
      <c r="A3577" t="s">
        <v>2310</v>
      </c>
      <c r="B3577" t="s">
        <v>2463</v>
      </c>
      <c r="C3577" t="s">
        <v>2509</v>
      </c>
      <c r="D3577" s="1" t="s">
        <v>2510</v>
      </c>
      <c r="E3577" t="s">
        <v>2511</v>
      </c>
      <c r="F3577">
        <v>63.232500000000002</v>
      </c>
      <c r="G3577">
        <v>29.233899999999998</v>
      </c>
      <c r="H3577">
        <v>2</v>
      </c>
      <c r="I3577">
        <v>115</v>
      </c>
      <c r="J3577" t="str">
        <f>HYPERLINK("https://climate.onebuilding.org/WMO_Region_6_Europe/FIN_Finland/NK_North_Karelia/FIN_NK_Juuka.Niemela.027910_TMYx.2004-2018.zip")</f>
        <v>https://climate.onebuilding.org/WMO_Region_6_Europe/FIN_Finland/NK_North_Karelia/FIN_NK_Juuka.Niemela.027910_TMYx.2004-2018.zip</v>
      </c>
    </row>
    <row r="3578" spans="1:10" x14ac:dyDescent="0.25">
      <c r="A3578" t="s">
        <v>2310</v>
      </c>
      <c r="B3578" t="s">
        <v>2463</v>
      </c>
      <c r="C3578" t="s">
        <v>2509</v>
      </c>
      <c r="D3578" s="1" t="s">
        <v>2510</v>
      </c>
      <c r="E3578" t="s">
        <v>14</v>
      </c>
      <c r="F3578">
        <v>63.232500000000002</v>
      </c>
      <c r="G3578">
        <v>29.233899999999998</v>
      </c>
      <c r="H3578">
        <v>2</v>
      </c>
      <c r="I3578">
        <v>115</v>
      </c>
      <c r="J3578" t="str">
        <f>HYPERLINK("https://climate.onebuilding.org/WMO_Region_6_Europe/FIN_Finland/NK_North_Karelia/FIN_NK_Juuka.Niemela.027910_TMYx.2007-2021.zip")</f>
        <v>https://climate.onebuilding.org/WMO_Region_6_Europe/FIN_Finland/NK_North_Karelia/FIN_NK_Juuka.Niemela.027910_TMYx.2007-2021.zip</v>
      </c>
    </row>
    <row r="3579" spans="1:10" x14ac:dyDescent="0.25">
      <c r="A3579" t="s">
        <v>2310</v>
      </c>
      <c r="B3579" t="s">
        <v>2463</v>
      </c>
      <c r="C3579" t="s">
        <v>2509</v>
      </c>
      <c r="D3579" s="1" t="s">
        <v>2510</v>
      </c>
      <c r="E3579" t="s">
        <v>14</v>
      </c>
      <c r="F3579">
        <v>63.232500000000002</v>
      </c>
      <c r="G3579">
        <v>29.233899999999998</v>
      </c>
      <c r="H3579">
        <v>2</v>
      </c>
      <c r="I3579">
        <v>115</v>
      </c>
      <c r="J3579" t="str">
        <f>HYPERLINK("https://climate.onebuilding.org/WMO_Region_6_Europe/FIN_Finland/NK_North_Karelia/FIN_NK_Juuka.Niemela.027910_TMYx.2009-2023.zip")</f>
        <v>https://climate.onebuilding.org/WMO_Region_6_Europe/FIN_Finland/NK_North_Karelia/FIN_NK_Juuka.Niemela.027910_TMYx.2009-2023.zip</v>
      </c>
    </row>
    <row r="3580" spans="1:10" x14ac:dyDescent="0.25">
      <c r="A3580" t="s">
        <v>2310</v>
      </c>
      <c r="B3580" t="s">
        <v>2463</v>
      </c>
      <c r="C3580" t="s">
        <v>2509</v>
      </c>
      <c r="D3580" s="1" t="s">
        <v>2510</v>
      </c>
      <c r="E3580" t="s">
        <v>14</v>
      </c>
      <c r="F3580">
        <v>63.232500000000002</v>
      </c>
      <c r="G3580">
        <v>29.233899999999998</v>
      </c>
      <c r="H3580">
        <v>2</v>
      </c>
      <c r="I3580">
        <v>115</v>
      </c>
      <c r="J3580" t="str">
        <f>HYPERLINK("https://climate.onebuilding.org/WMO_Region_6_Europe/FIN_Finland/NK_North_Karelia/FIN_NK_Juuka.Niemela.027910_TMYx.zip")</f>
        <v>https://climate.onebuilding.org/WMO_Region_6_Europe/FIN_Finland/NK_North_Karelia/FIN_NK_Juuka.Niemela.027910_TMYx.zip</v>
      </c>
    </row>
    <row r="3581" spans="1:10" x14ac:dyDescent="0.25">
      <c r="A3581" t="s">
        <v>2310</v>
      </c>
      <c r="B3581" t="s">
        <v>2463</v>
      </c>
      <c r="C3581" t="s">
        <v>2512</v>
      </c>
      <c r="D3581" s="1" t="s">
        <v>2513</v>
      </c>
      <c r="E3581" t="s">
        <v>2514</v>
      </c>
      <c r="F3581">
        <v>62.546100000000003</v>
      </c>
      <c r="G3581">
        <v>29.668199999999999</v>
      </c>
      <c r="H3581">
        <v>2</v>
      </c>
      <c r="I3581">
        <v>79.5</v>
      </c>
      <c r="J3581" t="str">
        <f>HYPERLINK("https://climate.onebuilding.org/WMO_Region_6_Europe/FIN_Finland/NK_North_Karelia/FIN_NK_Liperi.Tuiskavanluoto.027930_TMYx.2004-2018.zip")</f>
        <v>https://climate.onebuilding.org/WMO_Region_6_Europe/FIN_Finland/NK_North_Karelia/FIN_NK_Liperi.Tuiskavanluoto.027930_TMYx.2004-2018.zip</v>
      </c>
    </row>
    <row r="3582" spans="1:10" x14ac:dyDescent="0.25">
      <c r="A3582" t="s">
        <v>2310</v>
      </c>
      <c r="B3582" t="s">
        <v>2463</v>
      </c>
      <c r="C3582" t="s">
        <v>2512</v>
      </c>
      <c r="D3582" s="1" t="s">
        <v>2513</v>
      </c>
      <c r="E3582" t="s">
        <v>14</v>
      </c>
      <c r="F3582">
        <v>62.546100000000003</v>
      </c>
      <c r="G3582">
        <v>29.668199999999999</v>
      </c>
      <c r="H3582">
        <v>2</v>
      </c>
      <c r="I3582">
        <v>79.5</v>
      </c>
      <c r="J3582" t="str">
        <f>HYPERLINK("https://climate.onebuilding.org/WMO_Region_6_Europe/FIN_Finland/NK_North_Karelia/FIN_NK_Liperi.Tuiskavanluoto.027930_TMYx.2007-2021.zip")</f>
        <v>https://climate.onebuilding.org/WMO_Region_6_Europe/FIN_Finland/NK_North_Karelia/FIN_NK_Liperi.Tuiskavanluoto.027930_TMYx.2007-2021.zip</v>
      </c>
    </row>
    <row r="3583" spans="1:10" x14ac:dyDescent="0.25">
      <c r="A3583" t="s">
        <v>2310</v>
      </c>
      <c r="B3583" t="s">
        <v>2463</v>
      </c>
      <c r="C3583" t="s">
        <v>2512</v>
      </c>
      <c r="D3583" s="1" t="s">
        <v>2513</v>
      </c>
      <c r="E3583" t="s">
        <v>14</v>
      </c>
      <c r="F3583">
        <v>62.546100000000003</v>
      </c>
      <c r="G3583">
        <v>29.668199999999999</v>
      </c>
      <c r="H3583">
        <v>2</v>
      </c>
      <c r="I3583">
        <v>79.5</v>
      </c>
      <c r="J3583" t="str">
        <f>HYPERLINK("https://climate.onebuilding.org/WMO_Region_6_Europe/FIN_Finland/NK_North_Karelia/FIN_NK_Liperi.Tuiskavanluoto.027930_TMYx.2009-2023.zip")</f>
        <v>https://climate.onebuilding.org/WMO_Region_6_Europe/FIN_Finland/NK_North_Karelia/FIN_NK_Liperi.Tuiskavanluoto.027930_TMYx.2009-2023.zip</v>
      </c>
    </row>
    <row r="3584" spans="1:10" x14ac:dyDescent="0.25">
      <c r="A3584" t="s">
        <v>2310</v>
      </c>
      <c r="B3584" t="s">
        <v>2463</v>
      </c>
      <c r="C3584" t="s">
        <v>2512</v>
      </c>
      <c r="D3584" s="1" t="s">
        <v>2513</v>
      </c>
      <c r="E3584" t="s">
        <v>14</v>
      </c>
      <c r="F3584">
        <v>62.546100000000003</v>
      </c>
      <c r="G3584">
        <v>29.668199999999999</v>
      </c>
      <c r="H3584">
        <v>2</v>
      </c>
      <c r="I3584">
        <v>79.5</v>
      </c>
      <c r="J3584" t="str">
        <f>HYPERLINK("https://climate.onebuilding.org/WMO_Region_6_Europe/FIN_Finland/NK_North_Karelia/FIN_NK_Liperi.Tuiskavanluoto.027930_TMYx.zip")</f>
        <v>https://climate.onebuilding.org/WMO_Region_6_Europe/FIN_Finland/NK_North_Karelia/FIN_NK_Liperi.Tuiskavanluoto.027930_TMYx.zip</v>
      </c>
    </row>
    <row r="3585" spans="1:10" x14ac:dyDescent="0.25">
      <c r="A3585" t="s">
        <v>2310</v>
      </c>
      <c r="B3585" t="s">
        <v>2317</v>
      </c>
      <c r="C3585" t="s">
        <v>2515</v>
      </c>
      <c r="D3585" s="1" t="s">
        <v>2516</v>
      </c>
      <c r="E3585" t="s">
        <v>2517</v>
      </c>
      <c r="F3585">
        <v>59.920299999999997</v>
      </c>
      <c r="G3585">
        <v>24.349399999999999</v>
      </c>
      <c r="H3585">
        <v>2</v>
      </c>
      <c r="I3585">
        <v>2</v>
      </c>
      <c r="J3585" t="str">
        <f>HYPERLINK("https://climate.onebuilding.org/WMO_Region_6_Europe/FIN_Finland/US_Uusimaa/FIN_US_Kirkkonummi.Makiluoto.027940_TMYx.2004-2018.zip")</f>
        <v>https://climate.onebuilding.org/WMO_Region_6_Europe/FIN_Finland/US_Uusimaa/FIN_US_Kirkkonummi.Makiluoto.027940_TMYx.2004-2018.zip</v>
      </c>
    </row>
    <row r="3586" spans="1:10" x14ac:dyDescent="0.25">
      <c r="A3586" t="s">
        <v>2310</v>
      </c>
      <c r="B3586" t="s">
        <v>2317</v>
      </c>
      <c r="C3586" t="s">
        <v>2515</v>
      </c>
      <c r="D3586" s="1" t="s">
        <v>2516</v>
      </c>
      <c r="E3586" t="s">
        <v>14</v>
      </c>
      <c r="F3586">
        <v>59.920299999999997</v>
      </c>
      <c r="G3586">
        <v>24.349399999999999</v>
      </c>
      <c r="H3586">
        <v>2</v>
      </c>
      <c r="I3586">
        <v>2</v>
      </c>
      <c r="J3586" t="str">
        <f>HYPERLINK("https://climate.onebuilding.org/WMO_Region_6_Europe/FIN_Finland/US_Uusimaa/FIN_US_Kirkkonummi.Makiluoto.027940_TMYx.2007-2021.zip")</f>
        <v>https://climate.onebuilding.org/WMO_Region_6_Europe/FIN_Finland/US_Uusimaa/FIN_US_Kirkkonummi.Makiluoto.027940_TMYx.2007-2021.zip</v>
      </c>
    </row>
    <row r="3587" spans="1:10" x14ac:dyDescent="0.25">
      <c r="A3587" t="s">
        <v>2310</v>
      </c>
      <c r="B3587" t="s">
        <v>2317</v>
      </c>
      <c r="C3587" t="s">
        <v>2515</v>
      </c>
      <c r="D3587" s="1" t="s">
        <v>2516</v>
      </c>
      <c r="E3587" t="s">
        <v>14</v>
      </c>
      <c r="F3587">
        <v>59.920299999999997</v>
      </c>
      <c r="G3587">
        <v>24.349399999999999</v>
      </c>
      <c r="H3587">
        <v>2</v>
      </c>
      <c r="I3587">
        <v>2</v>
      </c>
      <c r="J3587" t="str">
        <f>HYPERLINK("https://climate.onebuilding.org/WMO_Region_6_Europe/FIN_Finland/US_Uusimaa/FIN_US_Kirkkonummi.Makiluoto.027940_TMYx.2009-2023.zip")</f>
        <v>https://climate.onebuilding.org/WMO_Region_6_Europe/FIN_Finland/US_Uusimaa/FIN_US_Kirkkonummi.Makiluoto.027940_TMYx.2009-2023.zip</v>
      </c>
    </row>
    <row r="3588" spans="1:10" x14ac:dyDescent="0.25">
      <c r="A3588" t="s">
        <v>2310</v>
      </c>
      <c r="B3588" t="s">
        <v>2317</v>
      </c>
      <c r="C3588" t="s">
        <v>2515</v>
      </c>
      <c r="D3588" s="1" t="s">
        <v>2516</v>
      </c>
      <c r="E3588" t="s">
        <v>14</v>
      </c>
      <c r="F3588">
        <v>59.920299999999997</v>
      </c>
      <c r="G3588">
        <v>24.349399999999999</v>
      </c>
      <c r="H3588">
        <v>2</v>
      </c>
      <c r="I3588">
        <v>2</v>
      </c>
      <c r="J3588" t="str">
        <f>HYPERLINK("https://climate.onebuilding.org/WMO_Region_6_Europe/FIN_Finland/US_Uusimaa/FIN_US_Kirkkonummi.Makiluoto.027940_TMYx.zip")</f>
        <v>https://climate.onebuilding.org/WMO_Region_6_Europe/FIN_Finland/US_Uusimaa/FIN_US_Kirkkonummi.Makiluoto.027940_TMYx.zip</v>
      </c>
    </row>
    <row r="3589" spans="1:10" x14ac:dyDescent="0.25">
      <c r="A3589" t="s">
        <v>2310</v>
      </c>
      <c r="B3589" t="s">
        <v>2317</v>
      </c>
      <c r="C3589" t="s">
        <v>2518</v>
      </c>
      <c r="D3589" s="1" t="s">
        <v>2519</v>
      </c>
      <c r="E3589" t="s">
        <v>2520</v>
      </c>
      <c r="F3589">
        <v>60.104999999999997</v>
      </c>
      <c r="G3589">
        <v>24.9756</v>
      </c>
      <c r="H3589">
        <v>2</v>
      </c>
      <c r="I3589">
        <v>6.4</v>
      </c>
      <c r="J3589" t="str">
        <f>HYPERLINK("https://climate.onebuilding.org/WMO_Region_6_Europe/FIN_Finland/US_Uusimaa/FIN_US_Helsinki-Harmaja.027950_TMYx.2004-2018.zip")</f>
        <v>https://climate.onebuilding.org/WMO_Region_6_Europe/FIN_Finland/US_Uusimaa/FIN_US_Helsinki-Harmaja.027950_TMYx.2004-2018.zip</v>
      </c>
    </row>
    <row r="3590" spans="1:10" x14ac:dyDescent="0.25">
      <c r="A3590" t="s">
        <v>2310</v>
      </c>
      <c r="B3590" t="s">
        <v>2317</v>
      </c>
      <c r="C3590" t="s">
        <v>2518</v>
      </c>
      <c r="D3590" s="1" t="s">
        <v>2519</v>
      </c>
      <c r="E3590" t="s">
        <v>14</v>
      </c>
      <c r="F3590">
        <v>60.104999999999997</v>
      </c>
      <c r="G3590">
        <v>24.9756</v>
      </c>
      <c r="H3590">
        <v>2</v>
      </c>
      <c r="I3590">
        <v>6.4</v>
      </c>
      <c r="J3590" t="str">
        <f>HYPERLINK("https://climate.onebuilding.org/WMO_Region_6_Europe/FIN_Finland/US_Uusimaa/FIN_US_Helsinki-Harmaja.027950_TMYx.2007-2021.zip")</f>
        <v>https://climate.onebuilding.org/WMO_Region_6_Europe/FIN_Finland/US_Uusimaa/FIN_US_Helsinki-Harmaja.027950_TMYx.2007-2021.zip</v>
      </c>
    </row>
    <row r="3591" spans="1:10" x14ac:dyDescent="0.25">
      <c r="A3591" t="s">
        <v>2310</v>
      </c>
      <c r="B3591" t="s">
        <v>2317</v>
      </c>
      <c r="C3591" t="s">
        <v>2518</v>
      </c>
      <c r="D3591" s="1" t="s">
        <v>2519</v>
      </c>
      <c r="E3591" t="s">
        <v>14</v>
      </c>
      <c r="F3591">
        <v>60.104999999999997</v>
      </c>
      <c r="G3591">
        <v>24.9756</v>
      </c>
      <c r="H3591">
        <v>2</v>
      </c>
      <c r="I3591">
        <v>6.4</v>
      </c>
      <c r="J3591" t="str">
        <f>HYPERLINK("https://climate.onebuilding.org/WMO_Region_6_Europe/FIN_Finland/US_Uusimaa/FIN_US_Helsinki-Harmaja.027950_TMYx.2009-2023.zip")</f>
        <v>https://climate.onebuilding.org/WMO_Region_6_Europe/FIN_Finland/US_Uusimaa/FIN_US_Helsinki-Harmaja.027950_TMYx.2009-2023.zip</v>
      </c>
    </row>
    <row r="3592" spans="1:10" x14ac:dyDescent="0.25">
      <c r="A3592" t="s">
        <v>2310</v>
      </c>
      <c r="B3592" t="s">
        <v>2317</v>
      </c>
      <c r="C3592" t="s">
        <v>2518</v>
      </c>
      <c r="D3592" s="1" t="s">
        <v>2519</v>
      </c>
      <c r="E3592" t="s">
        <v>14</v>
      </c>
      <c r="F3592">
        <v>60.104999999999997</v>
      </c>
      <c r="G3592">
        <v>24.9756</v>
      </c>
      <c r="H3592">
        <v>2</v>
      </c>
      <c r="I3592">
        <v>6.4</v>
      </c>
      <c r="J3592" t="str">
        <f>HYPERLINK("https://climate.onebuilding.org/WMO_Region_6_Europe/FIN_Finland/US_Uusimaa/FIN_US_Helsinki-Harmaja.027950_TMYx.zip")</f>
        <v>https://climate.onebuilding.org/WMO_Region_6_Europe/FIN_Finland/US_Uusimaa/FIN_US_Helsinki-Harmaja.027950_TMYx.zip</v>
      </c>
    </row>
    <row r="3593" spans="1:10" x14ac:dyDescent="0.25">
      <c r="A3593" t="s">
        <v>2310</v>
      </c>
      <c r="B3593" t="s">
        <v>2463</v>
      </c>
      <c r="C3593" t="s">
        <v>2521</v>
      </c>
      <c r="D3593" s="1" t="s">
        <v>2522</v>
      </c>
      <c r="E3593" t="s">
        <v>2523</v>
      </c>
      <c r="F3593">
        <v>63.321100000000001</v>
      </c>
      <c r="G3593">
        <v>30.0458</v>
      </c>
      <c r="H3593">
        <v>2</v>
      </c>
      <c r="I3593">
        <v>98</v>
      </c>
      <c r="J3593" t="str">
        <f>HYPERLINK("https://climate.onebuilding.org/WMO_Region_6_Europe/FIN_Finland/NK_North_Karelia/FIN_NK_Lieksa.Lampela.027960_TMYx.2004-2018.zip")</f>
        <v>https://climate.onebuilding.org/WMO_Region_6_Europe/FIN_Finland/NK_North_Karelia/FIN_NK_Lieksa.Lampela.027960_TMYx.2004-2018.zip</v>
      </c>
    </row>
    <row r="3594" spans="1:10" x14ac:dyDescent="0.25">
      <c r="A3594" t="s">
        <v>2310</v>
      </c>
      <c r="B3594" t="s">
        <v>2463</v>
      </c>
      <c r="C3594" t="s">
        <v>2521</v>
      </c>
      <c r="D3594" s="1" t="s">
        <v>2522</v>
      </c>
      <c r="E3594" t="s">
        <v>14</v>
      </c>
      <c r="F3594">
        <v>63.321100000000001</v>
      </c>
      <c r="G3594">
        <v>30.0458</v>
      </c>
      <c r="H3594">
        <v>2</v>
      </c>
      <c r="I3594">
        <v>98</v>
      </c>
      <c r="J3594" t="str">
        <f>HYPERLINK("https://climate.onebuilding.org/WMO_Region_6_Europe/FIN_Finland/NK_North_Karelia/FIN_NK_Lieksa.Lampela.027960_TMYx.2007-2021.zip")</f>
        <v>https://climate.onebuilding.org/WMO_Region_6_Europe/FIN_Finland/NK_North_Karelia/FIN_NK_Lieksa.Lampela.027960_TMYx.2007-2021.zip</v>
      </c>
    </row>
    <row r="3595" spans="1:10" x14ac:dyDescent="0.25">
      <c r="A3595" t="s">
        <v>2310</v>
      </c>
      <c r="B3595" t="s">
        <v>2463</v>
      </c>
      <c r="C3595" t="s">
        <v>2521</v>
      </c>
      <c r="D3595" s="1" t="s">
        <v>2522</v>
      </c>
      <c r="E3595" t="s">
        <v>14</v>
      </c>
      <c r="F3595">
        <v>63.321100000000001</v>
      </c>
      <c r="G3595">
        <v>30.0458</v>
      </c>
      <c r="H3595">
        <v>2</v>
      </c>
      <c r="I3595">
        <v>98</v>
      </c>
      <c r="J3595" t="str">
        <f>HYPERLINK("https://climate.onebuilding.org/WMO_Region_6_Europe/FIN_Finland/NK_North_Karelia/FIN_NK_Lieksa.Lampela.027960_TMYx.2009-2023.zip")</f>
        <v>https://climate.onebuilding.org/WMO_Region_6_Europe/FIN_Finland/NK_North_Karelia/FIN_NK_Lieksa.Lampela.027960_TMYx.2009-2023.zip</v>
      </c>
    </row>
    <row r="3596" spans="1:10" x14ac:dyDescent="0.25">
      <c r="A3596" t="s">
        <v>2310</v>
      </c>
      <c r="B3596" t="s">
        <v>2463</v>
      </c>
      <c r="C3596" t="s">
        <v>2521</v>
      </c>
      <c r="D3596" s="1" t="s">
        <v>2522</v>
      </c>
      <c r="E3596" t="s">
        <v>14</v>
      </c>
      <c r="F3596">
        <v>63.321100000000001</v>
      </c>
      <c r="G3596">
        <v>30.0458</v>
      </c>
      <c r="H3596">
        <v>2</v>
      </c>
      <c r="I3596">
        <v>98</v>
      </c>
      <c r="J3596" t="str">
        <f>HYPERLINK("https://climate.onebuilding.org/WMO_Region_6_Europe/FIN_Finland/NK_North_Karelia/FIN_NK_Lieksa.Lampela.027960_TMYx.zip")</f>
        <v>https://climate.onebuilding.org/WMO_Region_6_Europe/FIN_Finland/NK_North_Karelia/FIN_NK_Lieksa.Lampela.027960_TMYx.zip</v>
      </c>
    </row>
    <row r="3597" spans="1:10" x14ac:dyDescent="0.25">
      <c r="A3597" t="s">
        <v>2310</v>
      </c>
      <c r="B3597" t="s">
        <v>93</v>
      </c>
      <c r="C3597" t="s">
        <v>2524</v>
      </c>
      <c r="D3597" s="1" t="s">
        <v>2525</v>
      </c>
      <c r="E3597" t="s">
        <v>2526</v>
      </c>
      <c r="F3597">
        <v>64.142499999999998</v>
      </c>
      <c r="G3597">
        <v>25.423300000000001</v>
      </c>
      <c r="H3597">
        <v>2</v>
      </c>
      <c r="I3597">
        <v>112</v>
      </c>
      <c r="J3597" t="str">
        <f>HYPERLINK("https://climate.onebuilding.org/WMO_Region_6_Europe/FIN_Finland/NO_North_Ostrobothnia/FIN_NO_Haapavest.Mustikkamaki.027970_TMYx.2004-2018.zip")</f>
        <v>https://climate.onebuilding.org/WMO_Region_6_Europe/FIN_Finland/NO_North_Ostrobothnia/FIN_NO_Haapavest.Mustikkamaki.027970_TMYx.2004-2018.zip</v>
      </c>
    </row>
    <row r="3598" spans="1:10" x14ac:dyDescent="0.25">
      <c r="A3598" t="s">
        <v>2310</v>
      </c>
      <c r="B3598" t="s">
        <v>93</v>
      </c>
      <c r="C3598" t="s">
        <v>2524</v>
      </c>
      <c r="D3598" s="1" t="s">
        <v>2525</v>
      </c>
      <c r="E3598" t="s">
        <v>14</v>
      </c>
      <c r="F3598">
        <v>64.142499999999998</v>
      </c>
      <c r="G3598">
        <v>25.423300000000001</v>
      </c>
      <c r="H3598">
        <v>2</v>
      </c>
      <c r="I3598">
        <v>112</v>
      </c>
      <c r="J3598" t="str">
        <f>HYPERLINK("https://climate.onebuilding.org/WMO_Region_6_Europe/FIN_Finland/NO_North_Ostrobothnia/FIN_NO_Haapavest.Mustikkamaki.027970_TMYx.2007-2021.zip")</f>
        <v>https://climate.onebuilding.org/WMO_Region_6_Europe/FIN_Finland/NO_North_Ostrobothnia/FIN_NO_Haapavest.Mustikkamaki.027970_TMYx.2007-2021.zip</v>
      </c>
    </row>
    <row r="3599" spans="1:10" x14ac:dyDescent="0.25">
      <c r="A3599" t="s">
        <v>2310</v>
      </c>
      <c r="B3599" t="s">
        <v>93</v>
      </c>
      <c r="C3599" t="s">
        <v>2524</v>
      </c>
      <c r="D3599" s="1" t="s">
        <v>2525</v>
      </c>
      <c r="E3599" t="s">
        <v>14</v>
      </c>
      <c r="F3599">
        <v>64.142499999999998</v>
      </c>
      <c r="G3599">
        <v>25.423300000000001</v>
      </c>
      <c r="H3599">
        <v>2</v>
      </c>
      <c r="I3599">
        <v>112</v>
      </c>
      <c r="J3599" t="str">
        <f>HYPERLINK("https://climate.onebuilding.org/WMO_Region_6_Europe/FIN_Finland/NO_North_Ostrobothnia/FIN_NO_Haapavest.Mustikkamaki.027970_TMYx.2009-2023.zip")</f>
        <v>https://climate.onebuilding.org/WMO_Region_6_Europe/FIN_Finland/NO_North_Ostrobothnia/FIN_NO_Haapavest.Mustikkamaki.027970_TMYx.2009-2023.zip</v>
      </c>
    </row>
    <row r="3600" spans="1:10" x14ac:dyDescent="0.25">
      <c r="A3600" t="s">
        <v>2310</v>
      </c>
      <c r="B3600" t="s">
        <v>93</v>
      </c>
      <c r="C3600" t="s">
        <v>2524</v>
      </c>
      <c r="D3600" s="1" t="s">
        <v>2525</v>
      </c>
      <c r="E3600" t="s">
        <v>14</v>
      </c>
      <c r="F3600">
        <v>64.142499999999998</v>
      </c>
      <c r="G3600">
        <v>25.423300000000001</v>
      </c>
      <c r="H3600">
        <v>2</v>
      </c>
      <c r="I3600">
        <v>112</v>
      </c>
      <c r="J3600" t="str">
        <f>HYPERLINK("https://climate.onebuilding.org/WMO_Region_6_Europe/FIN_Finland/NO_North_Ostrobothnia/FIN_NO_Haapavest.Mustikkamaki.027970_TMYx.zip")</f>
        <v>https://climate.onebuilding.org/WMO_Region_6_Europe/FIN_Finland/NO_North_Ostrobothnia/FIN_NO_Haapavest.Mustikkamaki.027970_TMYx.zip</v>
      </c>
    </row>
    <row r="3601" spans="1:10" x14ac:dyDescent="0.25">
      <c r="A3601" t="s">
        <v>2310</v>
      </c>
      <c r="B3601" t="s">
        <v>2463</v>
      </c>
      <c r="C3601" t="s">
        <v>2527</v>
      </c>
      <c r="D3601" s="1" t="s">
        <v>2528</v>
      </c>
      <c r="E3601" t="s">
        <v>2529</v>
      </c>
      <c r="F3601">
        <v>63.667200000000001</v>
      </c>
      <c r="G3601">
        <v>28.8292</v>
      </c>
      <c r="H3601">
        <v>2</v>
      </c>
      <c r="I3601">
        <v>115</v>
      </c>
      <c r="J3601" t="str">
        <f>HYPERLINK("https://climate.onebuilding.org/WMO_Region_6_Europe/FIN_Finland/NK_North_Karelia/FIN_NK_Valtimo.KK.027980_TMYx.2004-2018.zip")</f>
        <v>https://climate.onebuilding.org/WMO_Region_6_Europe/FIN_Finland/NK_North_Karelia/FIN_NK_Valtimo.KK.027980_TMYx.2004-2018.zip</v>
      </c>
    </row>
    <row r="3602" spans="1:10" x14ac:dyDescent="0.25">
      <c r="A3602" t="s">
        <v>2310</v>
      </c>
      <c r="B3602" t="s">
        <v>2463</v>
      </c>
      <c r="C3602" t="s">
        <v>2527</v>
      </c>
      <c r="D3602" s="1" t="s">
        <v>2528</v>
      </c>
      <c r="E3602" t="s">
        <v>14</v>
      </c>
      <c r="F3602">
        <v>63.667200000000001</v>
      </c>
      <c r="G3602">
        <v>28.8292</v>
      </c>
      <c r="H3602">
        <v>2</v>
      </c>
      <c r="I3602">
        <v>115</v>
      </c>
      <c r="J3602" t="str">
        <f>HYPERLINK("https://climate.onebuilding.org/WMO_Region_6_Europe/FIN_Finland/NK_North_Karelia/FIN_NK_Valtimo.KK.027980_TMYx.2007-2021.zip")</f>
        <v>https://climate.onebuilding.org/WMO_Region_6_Europe/FIN_Finland/NK_North_Karelia/FIN_NK_Valtimo.KK.027980_TMYx.2007-2021.zip</v>
      </c>
    </row>
    <row r="3603" spans="1:10" x14ac:dyDescent="0.25">
      <c r="A3603" t="s">
        <v>2310</v>
      </c>
      <c r="B3603" t="s">
        <v>2463</v>
      </c>
      <c r="C3603" t="s">
        <v>2527</v>
      </c>
      <c r="D3603" s="1" t="s">
        <v>2528</v>
      </c>
      <c r="E3603" t="s">
        <v>14</v>
      </c>
      <c r="F3603">
        <v>63.667200000000001</v>
      </c>
      <c r="G3603">
        <v>28.8292</v>
      </c>
      <c r="H3603">
        <v>2</v>
      </c>
      <c r="I3603">
        <v>115</v>
      </c>
      <c r="J3603" t="str">
        <f>HYPERLINK("https://climate.onebuilding.org/WMO_Region_6_Europe/FIN_Finland/NK_North_Karelia/FIN_NK_Valtimo.KK.027980_TMYx.2009-2023.zip")</f>
        <v>https://climate.onebuilding.org/WMO_Region_6_Europe/FIN_Finland/NK_North_Karelia/FIN_NK_Valtimo.KK.027980_TMYx.2009-2023.zip</v>
      </c>
    </row>
    <row r="3604" spans="1:10" x14ac:dyDescent="0.25">
      <c r="A3604" t="s">
        <v>2310</v>
      </c>
      <c r="B3604" t="s">
        <v>2463</v>
      </c>
      <c r="C3604" t="s">
        <v>2527</v>
      </c>
      <c r="D3604" s="1" t="s">
        <v>2528</v>
      </c>
      <c r="E3604" t="s">
        <v>14</v>
      </c>
      <c r="F3604">
        <v>63.667200000000001</v>
      </c>
      <c r="G3604">
        <v>28.8292</v>
      </c>
      <c r="H3604">
        <v>2</v>
      </c>
      <c r="I3604">
        <v>115</v>
      </c>
      <c r="J3604" t="str">
        <f>HYPERLINK("https://climate.onebuilding.org/WMO_Region_6_Europe/FIN_Finland/NK_North_Karelia/FIN_NK_Valtimo.KK.027980_TMYx.zip")</f>
        <v>https://climate.onebuilding.org/WMO_Region_6_Europe/FIN_Finland/NK_North_Karelia/FIN_NK_Valtimo.KK.027980_TMYx.zip</v>
      </c>
    </row>
    <row r="3605" spans="1:10" x14ac:dyDescent="0.25">
      <c r="A3605" t="s">
        <v>2310</v>
      </c>
      <c r="B3605" t="s">
        <v>246</v>
      </c>
      <c r="C3605" t="s">
        <v>2530</v>
      </c>
      <c r="D3605" s="1" t="s">
        <v>2531</v>
      </c>
      <c r="E3605" t="s">
        <v>2532</v>
      </c>
      <c r="F3605">
        <v>64.297799999999995</v>
      </c>
      <c r="G3605">
        <v>30.166399999999999</v>
      </c>
      <c r="H3605">
        <v>2</v>
      </c>
      <c r="I3605">
        <v>198.4</v>
      </c>
      <c r="J3605" t="str">
        <f>HYPERLINK("https://climate.onebuilding.org/WMO_Region_6_Europe/FIN_Finland/KA_Kainuu/FIN_KA_Kuhmo.Kalliojoki.027990_TMYx.2004-2018.zip")</f>
        <v>https://climate.onebuilding.org/WMO_Region_6_Europe/FIN_Finland/KA_Kainuu/FIN_KA_Kuhmo.Kalliojoki.027990_TMYx.2004-2018.zip</v>
      </c>
    </row>
    <row r="3606" spans="1:10" x14ac:dyDescent="0.25">
      <c r="A3606" t="s">
        <v>2310</v>
      </c>
      <c r="B3606" t="s">
        <v>246</v>
      </c>
      <c r="C3606" t="s">
        <v>2530</v>
      </c>
      <c r="D3606" s="1" t="s">
        <v>2531</v>
      </c>
      <c r="E3606" t="s">
        <v>14</v>
      </c>
      <c r="F3606">
        <v>64.297799999999995</v>
      </c>
      <c r="G3606">
        <v>30.166399999999999</v>
      </c>
      <c r="H3606">
        <v>2</v>
      </c>
      <c r="I3606">
        <v>198.4</v>
      </c>
      <c r="J3606" t="str">
        <f>HYPERLINK("https://climate.onebuilding.org/WMO_Region_6_Europe/FIN_Finland/KA_Kainuu/FIN_KA_Kuhmo.Kalliojoki.027990_TMYx.2007-2021.zip")</f>
        <v>https://climate.onebuilding.org/WMO_Region_6_Europe/FIN_Finland/KA_Kainuu/FIN_KA_Kuhmo.Kalliojoki.027990_TMYx.2007-2021.zip</v>
      </c>
    </row>
    <row r="3607" spans="1:10" x14ac:dyDescent="0.25">
      <c r="A3607" t="s">
        <v>2310</v>
      </c>
      <c r="B3607" t="s">
        <v>246</v>
      </c>
      <c r="C3607" t="s">
        <v>2530</v>
      </c>
      <c r="D3607" s="1" t="s">
        <v>2531</v>
      </c>
      <c r="E3607" t="s">
        <v>14</v>
      </c>
      <c r="F3607">
        <v>64.297799999999995</v>
      </c>
      <c r="G3607">
        <v>30.166399999999999</v>
      </c>
      <c r="H3607">
        <v>2</v>
      </c>
      <c r="I3607">
        <v>198.4</v>
      </c>
      <c r="J3607" t="str">
        <f>HYPERLINK("https://climate.onebuilding.org/WMO_Region_6_Europe/FIN_Finland/KA_Kainuu/FIN_KA_Kuhmo.Kalliojoki.027990_TMYx.2009-2023.zip")</f>
        <v>https://climate.onebuilding.org/WMO_Region_6_Europe/FIN_Finland/KA_Kainuu/FIN_KA_Kuhmo.Kalliojoki.027990_TMYx.2009-2023.zip</v>
      </c>
    </row>
    <row r="3608" spans="1:10" x14ac:dyDescent="0.25">
      <c r="A3608" t="s">
        <v>2310</v>
      </c>
      <c r="B3608" t="s">
        <v>246</v>
      </c>
      <c r="C3608" t="s">
        <v>2530</v>
      </c>
      <c r="D3608" s="1" t="s">
        <v>2531</v>
      </c>
      <c r="E3608" t="s">
        <v>14</v>
      </c>
      <c r="F3608">
        <v>64.297799999999995</v>
      </c>
      <c r="G3608">
        <v>30.166399999999999</v>
      </c>
      <c r="H3608">
        <v>2</v>
      </c>
      <c r="I3608">
        <v>198.4</v>
      </c>
      <c r="J3608" t="str">
        <f>HYPERLINK("https://climate.onebuilding.org/WMO_Region_6_Europe/FIN_Finland/KA_Kainuu/FIN_KA_Kuhmo.Kalliojoki.027990_TMYx.zip")</f>
        <v>https://climate.onebuilding.org/WMO_Region_6_Europe/FIN_Finland/KA_Kainuu/FIN_KA_Kuhmo.Kalliojoki.027990_TMYx.zip</v>
      </c>
    </row>
    <row r="3609" spans="1:10" x14ac:dyDescent="0.25">
      <c r="A3609" t="s">
        <v>2310</v>
      </c>
      <c r="B3609" t="s">
        <v>93</v>
      </c>
      <c r="C3609" t="s">
        <v>2533</v>
      </c>
      <c r="D3609" s="1" t="s">
        <v>2534</v>
      </c>
      <c r="E3609" t="s">
        <v>2535</v>
      </c>
      <c r="F3609">
        <v>64.611999999999995</v>
      </c>
      <c r="G3609">
        <v>23.896100000000001</v>
      </c>
      <c r="H3609">
        <v>2</v>
      </c>
      <c r="I3609">
        <v>23.8</v>
      </c>
      <c r="J3609" t="str">
        <f>HYPERLINK("https://climate.onebuilding.org/WMO_Region_6_Europe/FIN_Finland/NO_North_Ostrobothnia/FIN_NO_Raahe.Nahkiainen.028000_TMYx.2004-2018.zip")</f>
        <v>https://climate.onebuilding.org/WMO_Region_6_Europe/FIN_Finland/NO_North_Ostrobothnia/FIN_NO_Raahe.Nahkiainen.028000_TMYx.2004-2018.zip</v>
      </c>
    </row>
    <row r="3610" spans="1:10" x14ac:dyDescent="0.25">
      <c r="A3610" t="s">
        <v>2310</v>
      </c>
      <c r="B3610" t="s">
        <v>93</v>
      </c>
      <c r="C3610" t="s">
        <v>2533</v>
      </c>
      <c r="D3610" s="1" t="s">
        <v>2534</v>
      </c>
      <c r="E3610" t="s">
        <v>14</v>
      </c>
      <c r="F3610">
        <v>64.611999999999995</v>
      </c>
      <c r="G3610">
        <v>23.896100000000001</v>
      </c>
      <c r="H3610">
        <v>2</v>
      </c>
      <c r="I3610">
        <v>23.8</v>
      </c>
      <c r="J3610" t="str">
        <f>HYPERLINK("https://climate.onebuilding.org/WMO_Region_6_Europe/FIN_Finland/NO_North_Ostrobothnia/FIN_NO_Raahe.Nahkiainen.028000_TMYx.2007-2021.zip")</f>
        <v>https://climate.onebuilding.org/WMO_Region_6_Europe/FIN_Finland/NO_North_Ostrobothnia/FIN_NO_Raahe.Nahkiainen.028000_TMYx.2007-2021.zip</v>
      </c>
    </row>
    <row r="3611" spans="1:10" x14ac:dyDescent="0.25">
      <c r="A3611" t="s">
        <v>2310</v>
      </c>
      <c r="B3611" t="s">
        <v>93</v>
      </c>
      <c r="C3611" t="s">
        <v>2533</v>
      </c>
      <c r="D3611" s="1" t="s">
        <v>2534</v>
      </c>
      <c r="E3611" t="s">
        <v>14</v>
      </c>
      <c r="F3611">
        <v>64.611999999999995</v>
      </c>
      <c r="G3611">
        <v>23.896100000000001</v>
      </c>
      <c r="H3611">
        <v>2</v>
      </c>
      <c r="I3611">
        <v>23.8</v>
      </c>
      <c r="J3611" t="str">
        <f>HYPERLINK("https://climate.onebuilding.org/WMO_Region_6_Europe/FIN_Finland/NO_North_Ostrobothnia/FIN_NO_Raahe.Nahkiainen.028000_TMYx.2009-2023.zip")</f>
        <v>https://climate.onebuilding.org/WMO_Region_6_Europe/FIN_Finland/NO_North_Ostrobothnia/FIN_NO_Raahe.Nahkiainen.028000_TMYx.2009-2023.zip</v>
      </c>
    </row>
    <row r="3612" spans="1:10" x14ac:dyDescent="0.25">
      <c r="A3612" t="s">
        <v>2310</v>
      </c>
      <c r="B3612" t="s">
        <v>93</v>
      </c>
      <c r="C3612" t="s">
        <v>2533</v>
      </c>
      <c r="D3612" s="1" t="s">
        <v>2534</v>
      </c>
      <c r="E3612" t="s">
        <v>14</v>
      </c>
      <c r="F3612">
        <v>64.611999999999995</v>
      </c>
      <c r="G3612">
        <v>23.896100000000001</v>
      </c>
      <c r="H3612">
        <v>2</v>
      </c>
      <c r="I3612">
        <v>23.8</v>
      </c>
      <c r="J3612" t="str">
        <f>HYPERLINK("https://climate.onebuilding.org/WMO_Region_6_Europe/FIN_Finland/NO_North_Ostrobothnia/FIN_NO_Raahe.Nahkiainen.028000_TMYx.zip")</f>
        <v>https://climate.onebuilding.org/WMO_Region_6_Europe/FIN_Finland/NO_North_Ostrobothnia/FIN_NO_Raahe.Nahkiainen.028000_TMYx.zip</v>
      </c>
    </row>
    <row r="3613" spans="1:10" x14ac:dyDescent="0.25">
      <c r="A3613" t="s">
        <v>2310</v>
      </c>
      <c r="B3613" t="s">
        <v>1184</v>
      </c>
      <c r="C3613" t="s">
        <v>2536</v>
      </c>
      <c r="D3613" s="1" t="s">
        <v>2537</v>
      </c>
      <c r="E3613" t="s">
        <v>2538</v>
      </c>
      <c r="F3613">
        <v>69.049499999999995</v>
      </c>
      <c r="G3613">
        <v>20.7911</v>
      </c>
      <c r="H3613">
        <v>2</v>
      </c>
      <c r="I3613">
        <v>482.7</v>
      </c>
      <c r="J3613" t="str">
        <f>HYPERLINK("https://climate.onebuilding.org/WMO_Region_6_Europe/FIN_Finland/LA_Lapland/FIN_LA_Enontekio.Kilpisjarvi.028010_TMYx.2004-2018.zip")</f>
        <v>https://climate.onebuilding.org/WMO_Region_6_Europe/FIN_Finland/LA_Lapland/FIN_LA_Enontekio.Kilpisjarvi.028010_TMYx.2004-2018.zip</v>
      </c>
    </row>
    <row r="3614" spans="1:10" x14ac:dyDescent="0.25">
      <c r="A3614" t="s">
        <v>2310</v>
      </c>
      <c r="B3614" t="s">
        <v>1184</v>
      </c>
      <c r="C3614" t="s">
        <v>2536</v>
      </c>
      <c r="D3614" s="1" t="s">
        <v>2537</v>
      </c>
      <c r="E3614" t="s">
        <v>14</v>
      </c>
      <c r="F3614">
        <v>69.049499999999995</v>
      </c>
      <c r="G3614">
        <v>20.7911</v>
      </c>
      <c r="H3614">
        <v>2</v>
      </c>
      <c r="I3614">
        <v>482.7</v>
      </c>
      <c r="J3614" t="str">
        <f>HYPERLINK("https://climate.onebuilding.org/WMO_Region_6_Europe/FIN_Finland/LA_Lapland/FIN_LA_Enontekio.Kilpisjarvi.028010_TMYx.2007-2021.zip")</f>
        <v>https://climate.onebuilding.org/WMO_Region_6_Europe/FIN_Finland/LA_Lapland/FIN_LA_Enontekio.Kilpisjarvi.028010_TMYx.2007-2021.zip</v>
      </c>
    </row>
    <row r="3615" spans="1:10" x14ac:dyDescent="0.25">
      <c r="A3615" t="s">
        <v>2310</v>
      </c>
      <c r="B3615" t="s">
        <v>1184</v>
      </c>
      <c r="C3615" t="s">
        <v>2536</v>
      </c>
      <c r="D3615" s="1" t="s">
        <v>2537</v>
      </c>
      <c r="E3615" t="s">
        <v>14</v>
      </c>
      <c r="F3615">
        <v>69.049499999999995</v>
      </c>
      <c r="G3615">
        <v>20.7911</v>
      </c>
      <c r="H3615">
        <v>2</v>
      </c>
      <c r="I3615">
        <v>482.7</v>
      </c>
      <c r="J3615" t="str">
        <f>HYPERLINK("https://climate.onebuilding.org/WMO_Region_6_Europe/FIN_Finland/LA_Lapland/FIN_LA_Enontekio.Kilpisjarvi.028010_TMYx.2009-2023.zip")</f>
        <v>https://climate.onebuilding.org/WMO_Region_6_Europe/FIN_Finland/LA_Lapland/FIN_LA_Enontekio.Kilpisjarvi.028010_TMYx.2009-2023.zip</v>
      </c>
    </row>
    <row r="3616" spans="1:10" x14ac:dyDescent="0.25">
      <c r="A3616" t="s">
        <v>2310</v>
      </c>
      <c r="B3616" t="s">
        <v>1184</v>
      </c>
      <c r="C3616" t="s">
        <v>2536</v>
      </c>
      <c r="D3616" s="1" t="s">
        <v>2537</v>
      </c>
      <c r="E3616" t="s">
        <v>14</v>
      </c>
      <c r="F3616">
        <v>69.049499999999995</v>
      </c>
      <c r="G3616">
        <v>20.7911</v>
      </c>
      <c r="H3616">
        <v>2</v>
      </c>
      <c r="I3616">
        <v>482.7</v>
      </c>
      <c r="J3616" t="str">
        <f>HYPERLINK("https://climate.onebuilding.org/WMO_Region_6_Europe/FIN_Finland/LA_Lapland/FIN_LA_Enontekio.Kilpisjarvi.028010_TMYx.zip")</f>
        <v>https://climate.onebuilding.org/WMO_Region_6_Europe/FIN_Finland/LA_Lapland/FIN_LA_Enontekio.Kilpisjarvi.028010_TMYx.zip</v>
      </c>
    </row>
    <row r="3617" spans="1:10" x14ac:dyDescent="0.25">
      <c r="A3617" t="s">
        <v>2310</v>
      </c>
      <c r="B3617" t="s">
        <v>93</v>
      </c>
      <c r="C3617" t="s">
        <v>2539</v>
      </c>
      <c r="D3617" s="1" t="s">
        <v>2540</v>
      </c>
      <c r="E3617" t="s">
        <v>2541</v>
      </c>
      <c r="F3617">
        <v>64.683899999999994</v>
      </c>
      <c r="G3617">
        <v>25.088100000000001</v>
      </c>
      <c r="H3617">
        <v>2</v>
      </c>
      <c r="I3617">
        <v>49.5</v>
      </c>
      <c r="J3617" t="str">
        <f>HYPERLINK("https://climate.onebuilding.org/WMO_Region_6_Europe/FIN_Finland/NO_North_Ostrobothnia/FIN_NO_Siikajoki.Revonlahti.028030_TMYx.2004-2018.zip")</f>
        <v>https://climate.onebuilding.org/WMO_Region_6_Europe/FIN_Finland/NO_North_Ostrobothnia/FIN_NO_Siikajoki.Revonlahti.028030_TMYx.2004-2018.zip</v>
      </c>
    </row>
    <row r="3618" spans="1:10" x14ac:dyDescent="0.25">
      <c r="A3618" t="s">
        <v>2310</v>
      </c>
      <c r="B3618" t="s">
        <v>93</v>
      </c>
      <c r="C3618" t="s">
        <v>2539</v>
      </c>
      <c r="D3618" s="1" t="s">
        <v>2540</v>
      </c>
      <c r="E3618" t="s">
        <v>14</v>
      </c>
      <c r="F3618">
        <v>64.683899999999994</v>
      </c>
      <c r="G3618">
        <v>25.088100000000001</v>
      </c>
      <c r="H3618">
        <v>2</v>
      </c>
      <c r="I3618">
        <v>49.5</v>
      </c>
      <c r="J3618" t="str">
        <f>HYPERLINK("https://climate.onebuilding.org/WMO_Region_6_Europe/FIN_Finland/NO_North_Ostrobothnia/FIN_NO_Siikajoki.Revonlahti.028030_TMYx.2007-2021.zip")</f>
        <v>https://climate.onebuilding.org/WMO_Region_6_Europe/FIN_Finland/NO_North_Ostrobothnia/FIN_NO_Siikajoki.Revonlahti.028030_TMYx.2007-2021.zip</v>
      </c>
    </row>
    <row r="3619" spans="1:10" x14ac:dyDescent="0.25">
      <c r="A3619" t="s">
        <v>2310</v>
      </c>
      <c r="B3619" t="s">
        <v>93</v>
      </c>
      <c r="C3619" t="s">
        <v>2539</v>
      </c>
      <c r="D3619" s="1" t="s">
        <v>2540</v>
      </c>
      <c r="E3619" t="s">
        <v>14</v>
      </c>
      <c r="F3619">
        <v>64.683899999999994</v>
      </c>
      <c r="G3619">
        <v>25.088100000000001</v>
      </c>
      <c r="H3619">
        <v>2</v>
      </c>
      <c r="I3619">
        <v>49.5</v>
      </c>
      <c r="J3619" t="str">
        <f>HYPERLINK("https://climate.onebuilding.org/WMO_Region_6_Europe/FIN_Finland/NO_North_Ostrobothnia/FIN_NO_Siikajoki.Revonlahti.028030_TMYx.2009-2023.zip")</f>
        <v>https://climate.onebuilding.org/WMO_Region_6_Europe/FIN_Finland/NO_North_Ostrobothnia/FIN_NO_Siikajoki.Revonlahti.028030_TMYx.2009-2023.zip</v>
      </c>
    </row>
    <row r="3620" spans="1:10" x14ac:dyDescent="0.25">
      <c r="A3620" t="s">
        <v>2310</v>
      </c>
      <c r="B3620" t="s">
        <v>93</v>
      </c>
      <c r="C3620" t="s">
        <v>2539</v>
      </c>
      <c r="D3620" s="1" t="s">
        <v>2540</v>
      </c>
      <c r="E3620" t="s">
        <v>14</v>
      </c>
      <c r="F3620">
        <v>64.683899999999994</v>
      </c>
      <c r="G3620">
        <v>25.088100000000001</v>
      </c>
      <c r="H3620">
        <v>2</v>
      </c>
      <c r="I3620">
        <v>49.5</v>
      </c>
      <c r="J3620" t="str">
        <f>HYPERLINK("https://climate.onebuilding.org/WMO_Region_6_Europe/FIN_Finland/NO_North_Ostrobothnia/FIN_NO_Siikajoki.Revonlahti.028030_TMYx.zip")</f>
        <v>https://climate.onebuilding.org/WMO_Region_6_Europe/FIN_Finland/NO_North_Ostrobothnia/FIN_NO_Siikajoki.Revonlahti.028030_TMYx.zip</v>
      </c>
    </row>
    <row r="3621" spans="1:10" x14ac:dyDescent="0.25">
      <c r="A3621" t="s">
        <v>2310</v>
      </c>
      <c r="B3621" t="s">
        <v>93</v>
      </c>
      <c r="C3621" t="s">
        <v>2542</v>
      </c>
      <c r="D3621" s="1" t="s">
        <v>2543</v>
      </c>
      <c r="E3621" t="s">
        <v>2544</v>
      </c>
      <c r="F3621">
        <v>65.575000000000003</v>
      </c>
      <c r="G3621">
        <v>28.2178</v>
      </c>
      <c r="H3621">
        <v>2</v>
      </c>
      <c r="I3621">
        <v>197</v>
      </c>
      <c r="J3621" t="str">
        <f>HYPERLINK("https://climate.onebuilding.org/WMO_Region_6_Europe/FIN_Finland/NO_North_Ostrobothnia/FIN_NO_Taivalkoski.KK.Urheilutie.028040_TMYx.2004-2018.zip")</f>
        <v>https://climate.onebuilding.org/WMO_Region_6_Europe/FIN_Finland/NO_North_Ostrobothnia/FIN_NO_Taivalkoski.KK.Urheilutie.028040_TMYx.2004-2018.zip</v>
      </c>
    </row>
    <row r="3622" spans="1:10" x14ac:dyDescent="0.25">
      <c r="A3622" t="s">
        <v>2310</v>
      </c>
      <c r="B3622" t="s">
        <v>93</v>
      </c>
      <c r="C3622" t="s">
        <v>2542</v>
      </c>
      <c r="D3622" s="1" t="s">
        <v>2543</v>
      </c>
      <c r="E3622" t="s">
        <v>14</v>
      </c>
      <c r="F3622">
        <v>65.575000000000003</v>
      </c>
      <c r="G3622">
        <v>28.2178</v>
      </c>
      <c r="H3622">
        <v>2</v>
      </c>
      <c r="I3622">
        <v>197</v>
      </c>
      <c r="J3622" t="str">
        <f>HYPERLINK("https://climate.onebuilding.org/WMO_Region_6_Europe/FIN_Finland/NO_North_Ostrobothnia/FIN_NO_Taivalkoski.KK.Urheilutie.028040_TMYx.2007-2021.zip")</f>
        <v>https://climate.onebuilding.org/WMO_Region_6_Europe/FIN_Finland/NO_North_Ostrobothnia/FIN_NO_Taivalkoski.KK.Urheilutie.028040_TMYx.2007-2021.zip</v>
      </c>
    </row>
    <row r="3623" spans="1:10" x14ac:dyDescent="0.25">
      <c r="A3623" t="s">
        <v>2310</v>
      </c>
      <c r="B3623" t="s">
        <v>93</v>
      </c>
      <c r="C3623" t="s">
        <v>2542</v>
      </c>
      <c r="D3623" s="1" t="s">
        <v>2543</v>
      </c>
      <c r="E3623" t="s">
        <v>14</v>
      </c>
      <c r="F3623">
        <v>65.575000000000003</v>
      </c>
      <c r="G3623">
        <v>28.2178</v>
      </c>
      <c r="H3623">
        <v>2</v>
      </c>
      <c r="I3623">
        <v>197</v>
      </c>
      <c r="J3623" t="str">
        <f>HYPERLINK("https://climate.onebuilding.org/WMO_Region_6_Europe/FIN_Finland/NO_North_Ostrobothnia/FIN_NO_Taivalkoski.KK.Urheilutie.028040_TMYx.2009-2023.zip")</f>
        <v>https://climate.onebuilding.org/WMO_Region_6_Europe/FIN_Finland/NO_North_Ostrobothnia/FIN_NO_Taivalkoski.KK.Urheilutie.028040_TMYx.2009-2023.zip</v>
      </c>
    </row>
    <row r="3624" spans="1:10" x14ac:dyDescent="0.25">
      <c r="A3624" t="s">
        <v>2310</v>
      </c>
      <c r="B3624" t="s">
        <v>93</v>
      </c>
      <c r="C3624" t="s">
        <v>2542</v>
      </c>
      <c r="D3624" s="1" t="s">
        <v>2543</v>
      </c>
      <c r="E3624" t="s">
        <v>14</v>
      </c>
      <c r="F3624">
        <v>65.575000000000003</v>
      </c>
      <c r="G3624">
        <v>28.2178</v>
      </c>
      <c r="H3624">
        <v>2</v>
      </c>
      <c r="I3624">
        <v>197</v>
      </c>
      <c r="J3624" t="str">
        <f>HYPERLINK("https://climate.onebuilding.org/WMO_Region_6_Europe/FIN_Finland/NO_North_Ostrobothnia/FIN_NO_Taivalkoski.KK.Urheilutie.028040_TMYx.zip")</f>
        <v>https://climate.onebuilding.org/WMO_Region_6_Europe/FIN_Finland/NO_North_Ostrobothnia/FIN_NO_Taivalkoski.KK.Urheilutie.028040_TMYx.zip</v>
      </c>
    </row>
    <row r="3625" spans="1:10" x14ac:dyDescent="0.25">
      <c r="A3625" t="s">
        <v>2310</v>
      </c>
      <c r="B3625" t="s">
        <v>1184</v>
      </c>
      <c r="C3625" t="s">
        <v>2545</v>
      </c>
      <c r="D3625" s="1" t="s">
        <v>2546</v>
      </c>
      <c r="E3625" t="s">
        <v>2547</v>
      </c>
      <c r="F3625">
        <v>69.75</v>
      </c>
      <c r="G3625">
        <v>27</v>
      </c>
      <c r="H3625">
        <v>2</v>
      </c>
      <c r="I3625">
        <v>106.3</v>
      </c>
      <c r="J3625" t="str">
        <f>HYPERLINK("https://climate.onebuilding.org/WMO_Region_6_Europe/FIN_Finland/LA_Lapland/FIN_LA_Utsjoki.Kevo.028050_TMYx.2004-2018.zip")</f>
        <v>https://climate.onebuilding.org/WMO_Region_6_Europe/FIN_Finland/LA_Lapland/FIN_LA_Utsjoki.Kevo.028050_TMYx.2004-2018.zip</v>
      </c>
    </row>
    <row r="3626" spans="1:10" x14ac:dyDescent="0.25">
      <c r="A3626" t="s">
        <v>2310</v>
      </c>
      <c r="B3626" t="s">
        <v>1184</v>
      </c>
      <c r="C3626" t="s">
        <v>2545</v>
      </c>
      <c r="D3626" s="1" t="s">
        <v>2546</v>
      </c>
      <c r="E3626" t="s">
        <v>14</v>
      </c>
      <c r="F3626">
        <v>69.75</v>
      </c>
      <c r="G3626">
        <v>27</v>
      </c>
      <c r="H3626">
        <v>2</v>
      </c>
      <c r="I3626">
        <v>106.3</v>
      </c>
      <c r="J3626" t="str">
        <f>HYPERLINK("https://climate.onebuilding.org/WMO_Region_6_Europe/FIN_Finland/LA_Lapland/FIN_LA_Utsjoki.Kevo.028050_TMYx.2007-2021.zip")</f>
        <v>https://climate.onebuilding.org/WMO_Region_6_Europe/FIN_Finland/LA_Lapland/FIN_LA_Utsjoki.Kevo.028050_TMYx.2007-2021.zip</v>
      </c>
    </row>
    <row r="3627" spans="1:10" x14ac:dyDescent="0.25">
      <c r="A3627" t="s">
        <v>2310</v>
      </c>
      <c r="B3627" t="s">
        <v>1184</v>
      </c>
      <c r="C3627" t="s">
        <v>2545</v>
      </c>
      <c r="D3627" s="1" t="s">
        <v>2546</v>
      </c>
      <c r="E3627" t="s">
        <v>14</v>
      </c>
      <c r="F3627">
        <v>69.75</v>
      </c>
      <c r="G3627">
        <v>27</v>
      </c>
      <c r="H3627">
        <v>2</v>
      </c>
      <c r="I3627">
        <v>106.3</v>
      </c>
      <c r="J3627" t="str">
        <f>HYPERLINK("https://climate.onebuilding.org/WMO_Region_6_Europe/FIN_Finland/LA_Lapland/FIN_LA_Utsjoki.Kevo.028050_TMYx.2009-2023.zip")</f>
        <v>https://climate.onebuilding.org/WMO_Region_6_Europe/FIN_Finland/LA_Lapland/FIN_LA_Utsjoki.Kevo.028050_TMYx.2009-2023.zip</v>
      </c>
    </row>
    <row r="3628" spans="1:10" x14ac:dyDescent="0.25">
      <c r="A3628" t="s">
        <v>2310</v>
      </c>
      <c r="B3628" t="s">
        <v>1184</v>
      </c>
      <c r="C3628" t="s">
        <v>2545</v>
      </c>
      <c r="D3628" s="1" t="s">
        <v>2546</v>
      </c>
      <c r="E3628" t="s">
        <v>14</v>
      </c>
      <c r="F3628">
        <v>69.75</v>
      </c>
      <c r="G3628">
        <v>27</v>
      </c>
      <c r="H3628">
        <v>2</v>
      </c>
      <c r="I3628">
        <v>106.3</v>
      </c>
      <c r="J3628" t="str">
        <f>HYPERLINK("https://climate.onebuilding.org/WMO_Region_6_Europe/FIN_Finland/LA_Lapland/FIN_LA_Utsjoki.Kevo.028050_TMYx.zip")</f>
        <v>https://climate.onebuilding.org/WMO_Region_6_Europe/FIN_Finland/LA_Lapland/FIN_LA_Utsjoki.Kevo.028050_TMYx.zip</v>
      </c>
    </row>
    <row r="3629" spans="1:10" x14ac:dyDescent="0.25">
      <c r="A3629" t="s">
        <v>2310</v>
      </c>
      <c r="B3629" t="s">
        <v>1184</v>
      </c>
      <c r="C3629" t="s">
        <v>2548</v>
      </c>
      <c r="D3629" s="1" t="s">
        <v>2549</v>
      </c>
      <c r="E3629" t="s">
        <v>2550</v>
      </c>
      <c r="F3629">
        <v>68.606999999999999</v>
      </c>
      <c r="G3629">
        <v>27.405000000000001</v>
      </c>
      <c r="H3629">
        <v>2</v>
      </c>
      <c r="I3629">
        <v>146.6</v>
      </c>
      <c r="J3629" t="str">
        <f>HYPERLINK("https://climate.onebuilding.org/WMO_Region_6_Europe/FIN_Finland/LA_Lapland/FIN_LA_Inari-Ivalo.AP.028070_TMYx.2004-2018.zip")</f>
        <v>https://climate.onebuilding.org/WMO_Region_6_Europe/FIN_Finland/LA_Lapland/FIN_LA_Inari-Ivalo.AP.028070_TMYx.2004-2018.zip</v>
      </c>
    </row>
    <row r="3630" spans="1:10" x14ac:dyDescent="0.25">
      <c r="A3630" t="s">
        <v>2310</v>
      </c>
      <c r="B3630" t="s">
        <v>1184</v>
      </c>
      <c r="C3630" t="s">
        <v>2548</v>
      </c>
      <c r="D3630" s="1" t="s">
        <v>2549</v>
      </c>
      <c r="E3630" t="s">
        <v>14</v>
      </c>
      <c r="F3630">
        <v>68.606999999999999</v>
      </c>
      <c r="G3630">
        <v>27.405000000000001</v>
      </c>
      <c r="H3630">
        <v>2</v>
      </c>
      <c r="I3630">
        <v>146.6</v>
      </c>
      <c r="J3630" t="str">
        <f>HYPERLINK("https://climate.onebuilding.org/WMO_Region_6_Europe/FIN_Finland/LA_Lapland/FIN_LA_Inari-Ivalo.AP.028070_TMYx.2007-2021.zip")</f>
        <v>https://climate.onebuilding.org/WMO_Region_6_Europe/FIN_Finland/LA_Lapland/FIN_LA_Inari-Ivalo.AP.028070_TMYx.2007-2021.zip</v>
      </c>
    </row>
    <row r="3631" spans="1:10" x14ac:dyDescent="0.25">
      <c r="A3631" t="s">
        <v>2310</v>
      </c>
      <c r="B3631" t="s">
        <v>1184</v>
      </c>
      <c r="C3631" t="s">
        <v>2548</v>
      </c>
      <c r="D3631" s="1" t="s">
        <v>2549</v>
      </c>
      <c r="E3631" t="s">
        <v>14</v>
      </c>
      <c r="F3631">
        <v>68.606999999999999</v>
      </c>
      <c r="G3631">
        <v>27.405000000000001</v>
      </c>
      <c r="H3631">
        <v>2</v>
      </c>
      <c r="I3631">
        <v>146.6</v>
      </c>
      <c r="J3631" t="str">
        <f>HYPERLINK("https://climate.onebuilding.org/WMO_Region_6_Europe/FIN_Finland/LA_Lapland/FIN_LA_Inari-Ivalo.AP.028070_TMYx.2009-2023.zip")</f>
        <v>https://climate.onebuilding.org/WMO_Region_6_Europe/FIN_Finland/LA_Lapland/FIN_LA_Inari-Ivalo.AP.028070_TMYx.2009-2023.zip</v>
      </c>
    </row>
    <row r="3632" spans="1:10" x14ac:dyDescent="0.25">
      <c r="A3632" t="s">
        <v>2310</v>
      </c>
      <c r="B3632" t="s">
        <v>1184</v>
      </c>
      <c r="C3632" t="s">
        <v>2548</v>
      </c>
      <c r="D3632" s="1" t="s">
        <v>2549</v>
      </c>
      <c r="E3632" t="s">
        <v>14</v>
      </c>
      <c r="F3632">
        <v>68.606999999999999</v>
      </c>
      <c r="G3632">
        <v>27.405000000000001</v>
      </c>
      <c r="H3632">
        <v>2</v>
      </c>
      <c r="I3632">
        <v>146.6</v>
      </c>
      <c r="J3632" t="str">
        <f>HYPERLINK("https://climate.onebuilding.org/WMO_Region_6_Europe/FIN_Finland/LA_Lapland/FIN_LA_Inari-Ivalo.AP.028070_TMYx.zip")</f>
        <v>https://climate.onebuilding.org/WMO_Region_6_Europe/FIN_Finland/LA_Lapland/FIN_LA_Inari-Ivalo.AP.028070_TMYx.zip</v>
      </c>
    </row>
    <row r="3633" spans="1:10" x14ac:dyDescent="0.25">
      <c r="A3633" t="s">
        <v>2310</v>
      </c>
      <c r="B3633" t="s">
        <v>1184</v>
      </c>
      <c r="C3633" t="s">
        <v>2551</v>
      </c>
      <c r="D3633" s="1" t="s">
        <v>2552</v>
      </c>
      <c r="E3633" t="s">
        <v>2553</v>
      </c>
      <c r="F3633">
        <v>68.363</v>
      </c>
      <c r="G3633">
        <v>23.423999999999999</v>
      </c>
      <c r="H3633">
        <v>2</v>
      </c>
      <c r="I3633">
        <v>306.3</v>
      </c>
      <c r="J3633" t="str">
        <f>HYPERLINK("https://climate.onebuilding.org/WMO_Region_6_Europe/FIN_Finland/LA_Lapland/FIN_LA_Enontekio.AP.028075_TMYx.2004-2018.zip")</f>
        <v>https://climate.onebuilding.org/WMO_Region_6_Europe/FIN_Finland/LA_Lapland/FIN_LA_Enontekio.AP.028075_TMYx.2004-2018.zip</v>
      </c>
    </row>
    <row r="3634" spans="1:10" x14ac:dyDescent="0.25">
      <c r="A3634" t="s">
        <v>2310</v>
      </c>
      <c r="B3634" t="s">
        <v>1184</v>
      </c>
      <c r="C3634" t="s">
        <v>2551</v>
      </c>
      <c r="D3634" s="1" t="s">
        <v>2552</v>
      </c>
      <c r="E3634" t="s">
        <v>14</v>
      </c>
      <c r="F3634">
        <v>68.363</v>
      </c>
      <c r="G3634">
        <v>23.423999999999999</v>
      </c>
      <c r="H3634">
        <v>2</v>
      </c>
      <c r="I3634">
        <v>306.3</v>
      </c>
      <c r="J3634" t="str">
        <f>HYPERLINK("https://climate.onebuilding.org/WMO_Region_6_Europe/FIN_Finland/LA_Lapland/FIN_LA_Enontekio.AP.028075_TMYx.2007-2021.zip")</f>
        <v>https://climate.onebuilding.org/WMO_Region_6_Europe/FIN_Finland/LA_Lapland/FIN_LA_Enontekio.AP.028075_TMYx.2007-2021.zip</v>
      </c>
    </row>
    <row r="3635" spans="1:10" x14ac:dyDescent="0.25">
      <c r="A3635" t="s">
        <v>2310</v>
      </c>
      <c r="B3635" t="s">
        <v>1184</v>
      </c>
      <c r="C3635" t="s">
        <v>2551</v>
      </c>
      <c r="D3635" s="1" t="s">
        <v>2552</v>
      </c>
      <c r="E3635" t="s">
        <v>14</v>
      </c>
      <c r="F3635">
        <v>68.363</v>
      </c>
      <c r="G3635">
        <v>23.423999999999999</v>
      </c>
      <c r="H3635">
        <v>2</v>
      </c>
      <c r="I3635">
        <v>306.3</v>
      </c>
      <c r="J3635" t="str">
        <f>HYPERLINK("https://climate.onebuilding.org/WMO_Region_6_Europe/FIN_Finland/LA_Lapland/FIN_LA_Enontekio.AP.028075_TMYx.2009-2023.zip")</f>
        <v>https://climate.onebuilding.org/WMO_Region_6_Europe/FIN_Finland/LA_Lapland/FIN_LA_Enontekio.AP.028075_TMYx.2009-2023.zip</v>
      </c>
    </row>
    <row r="3636" spans="1:10" x14ac:dyDescent="0.25">
      <c r="A3636" t="s">
        <v>2310</v>
      </c>
      <c r="B3636" t="s">
        <v>1184</v>
      </c>
      <c r="C3636" t="s">
        <v>2551</v>
      </c>
      <c r="D3636" s="1" t="s">
        <v>2552</v>
      </c>
      <c r="E3636" t="s">
        <v>14</v>
      </c>
      <c r="F3636">
        <v>68.363</v>
      </c>
      <c r="G3636">
        <v>23.423999999999999</v>
      </c>
      <c r="H3636">
        <v>2</v>
      </c>
      <c r="I3636">
        <v>306.3</v>
      </c>
      <c r="J3636" t="str">
        <f>HYPERLINK("https://climate.onebuilding.org/WMO_Region_6_Europe/FIN_Finland/LA_Lapland/FIN_LA_Enontekio.AP.028075_TMYx.zip")</f>
        <v>https://climate.onebuilding.org/WMO_Region_6_Europe/FIN_Finland/LA_Lapland/FIN_LA_Enontekio.AP.028075_TMYx.zip</v>
      </c>
    </row>
    <row r="3637" spans="1:10" x14ac:dyDescent="0.25">
      <c r="A3637" t="s">
        <v>2310</v>
      </c>
      <c r="B3637" t="s">
        <v>93</v>
      </c>
      <c r="C3637" t="s">
        <v>2554</v>
      </c>
      <c r="D3637" s="1" t="s">
        <v>2555</v>
      </c>
      <c r="E3637" t="s">
        <v>2556</v>
      </c>
      <c r="F3637">
        <v>66.37</v>
      </c>
      <c r="G3637">
        <v>29.311900000000001</v>
      </c>
      <c r="H3637">
        <v>2</v>
      </c>
      <c r="I3637">
        <v>165</v>
      </c>
      <c r="J3637" t="str">
        <f>HYPERLINK("https://climate.onebuilding.org/WMO_Region_6_Europe/FIN_Finland/NO_North_Ostrobothnia/FIN_NO_Kuusamo.Kiutakongas.028110_TMYx.2004-2018.zip")</f>
        <v>https://climate.onebuilding.org/WMO_Region_6_Europe/FIN_Finland/NO_North_Ostrobothnia/FIN_NO_Kuusamo.Kiutakongas.028110_TMYx.2004-2018.zip</v>
      </c>
    </row>
    <row r="3638" spans="1:10" x14ac:dyDescent="0.25">
      <c r="A3638" t="s">
        <v>2310</v>
      </c>
      <c r="B3638" t="s">
        <v>93</v>
      </c>
      <c r="C3638" t="s">
        <v>2554</v>
      </c>
      <c r="D3638" s="1" t="s">
        <v>2555</v>
      </c>
      <c r="E3638" t="s">
        <v>14</v>
      </c>
      <c r="F3638">
        <v>66.37</v>
      </c>
      <c r="G3638">
        <v>29.311900000000001</v>
      </c>
      <c r="H3638">
        <v>2</v>
      </c>
      <c r="I3638">
        <v>165</v>
      </c>
      <c r="J3638" t="str">
        <f>HYPERLINK("https://climate.onebuilding.org/WMO_Region_6_Europe/FIN_Finland/NO_North_Ostrobothnia/FIN_NO_Kuusamo.Kiutakongas.028110_TMYx.2007-2021.zip")</f>
        <v>https://climate.onebuilding.org/WMO_Region_6_Europe/FIN_Finland/NO_North_Ostrobothnia/FIN_NO_Kuusamo.Kiutakongas.028110_TMYx.2007-2021.zip</v>
      </c>
    </row>
    <row r="3639" spans="1:10" x14ac:dyDescent="0.25">
      <c r="A3639" t="s">
        <v>2310</v>
      </c>
      <c r="B3639" t="s">
        <v>93</v>
      </c>
      <c r="C3639" t="s">
        <v>2554</v>
      </c>
      <c r="D3639" s="1" t="s">
        <v>2555</v>
      </c>
      <c r="E3639" t="s">
        <v>14</v>
      </c>
      <c r="F3639">
        <v>66.37</v>
      </c>
      <c r="G3639">
        <v>29.311900000000001</v>
      </c>
      <c r="H3639">
        <v>2</v>
      </c>
      <c r="I3639">
        <v>165</v>
      </c>
      <c r="J3639" t="str">
        <f>HYPERLINK("https://climate.onebuilding.org/WMO_Region_6_Europe/FIN_Finland/NO_North_Ostrobothnia/FIN_NO_Kuusamo.Kiutakongas.028110_TMYx.2009-2023.zip")</f>
        <v>https://climate.onebuilding.org/WMO_Region_6_Europe/FIN_Finland/NO_North_Ostrobothnia/FIN_NO_Kuusamo.Kiutakongas.028110_TMYx.2009-2023.zip</v>
      </c>
    </row>
    <row r="3640" spans="1:10" x14ac:dyDescent="0.25">
      <c r="A3640" t="s">
        <v>2310</v>
      </c>
      <c r="B3640" t="s">
        <v>93</v>
      </c>
      <c r="C3640" t="s">
        <v>2554</v>
      </c>
      <c r="D3640" s="1" t="s">
        <v>2555</v>
      </c>
      <c r="E3640" t="s">
        <v>14</v>
      </c>
      <c r="F3640">
        <v>66.37</v>
      </c>
      <c r="G3640">
        <v>29.311900000000001</v>
      </c>
      <c r="H3640">
        <v>2</v>
      </c>
      <c r="I3640">
        <v>165</v>
      </c>
      <c r="J3640" t="str">
        <f>HYPERLINK("https://climate.onebuilding.org/WMO_Region_6_Europe/FIN_Finland/NO_North_Ostrobothnia/FIN_NO_Kuusamo.Kiutakongas.028110_TMYx.zip")</f>
        <v>https://climate.onebuilding.org/WMO_Region_6_Europe/FIN_Finland/NO_North_Ostrobothnia/FIN_NO_Kuusamo.Kiutakongas.028110_TMYx.zip</v>
      </c>
    </row>
    <row r="3641" spans="1:10" x14ac:dyDescent="0.25">
      <c r="A3641" t="s">
        <v>2310</v>
      </c>
      <c r="B3641" t="s">
        <v>1184</v>
      </c>
      <c r="C3641" t="s">
        <v>2557</v>
      </c>
      <c r="D3641" s="1" t="s">
        <v>2558</v>
      </c>
      <c r="E3641" t="s">
        <v>2559</v>
      </c>
      <c r="F3641">
        <v>66.529399999999995</v>
      </c>
      <c r="G3641">
        <v>24.649699999999999</v>
      </c>
      <c r="H3641">
        <v>2</v>
      </c>
      <c r="I3641">
        <v>93</v>
      </c>
      <c r="J3641" t="str">
        <f>HYPERLINK("https://climate.onebuilding.org/WMO_Region_6_Europe/FIN_Finland/LA_Lapland/FIN_LA_Ylitornio.Meltosjarvi.028120_TMYx.2004-2018.zip")</f>
        <v>https://climate.onebuilding.org/WMO_Region_6_Europe/FIN_Finland/LA_Lapland/FIN_LA_Ylitornio.Meltosjarvi.028120_TMYx.2004-2018.zip</v>
      </c>
    </row>
    <row r="3642" spans="1:10" x14ac:dyDescent="0.25">
      <c r="A3642" t="s">
        <v>2310</v>
      </c>
      <c r="B3642" t="s">
        <v>1184</v>
      </c>
      <c r="C3642" t="s">
        <v>2557</v>
      </c>
      <c r="D3642" s="1" t="s">
        <v>2558</v>
      </c>
      <c r="E3642" t="s">
        <v>14</v>
      </c>
      <c r="F3642">
        <v>66.529399999999995</v>
      </c>
      <c r="G3642">
        <v>24.649699999999999</v>
      </c>
      <c r="H3642">
        <v>2</v>
      </c>
      <c r="I3642">
        <v>93</v>
      </c>
      <c r="J3642" t="str">
        <f>HYPERLINK("https://climate.onebuilding.org/WMO_Region_6_Europe/FIN_Finland/LA_Lapland/FIN_LA_Ylitornio.Meltosjarvi.028120_TMYx.2007-2021.zip")</f>
        <v>https://climate.onebuilding.org/WMO_Region_6_Europe/FIN_Finland/LA_Lapland/FIN_LA_Ylitornio.Meltosjarvi.028120_TMYx.2007-2021.zip</v>
      </c>
    </row>
    <row r="3643" spans="1:10" x14ac:dyDescent="0.25">
      <c r="A3643" t="s">
        <v>2310</v>
      </c>
      <c r="B3643" t="s">
        <v>1184</v>
      </c>
      <c r="C3643" t="s">
        <v>2557</v>
      </c>
      <c r="D3643" s="1" t="s">
        <v>2558</v>
      </c>
      <c r="E3643" t="s">
        <v>14</v>
      </c>
      <c r="F3643">
        <v>66.529399999999995</v>
      </c>
      <c r="G3643">
        <v>24.649699999999999</v>
      </c>
      <c r="H3643">
        <v>2</v>
      </c>
      <c r="I3643">
        <v>93</v>
      </c>
      <c r="J3643" t="str">
        <f>HYPERLINK("https://climate.onebuilding.org/WMO_Region_6_Europe/FIN_Finland/LA_Lapland/FIN_LA_Ylitornio.Meltosjarvi.028120_TMYx.2009-2023.zip")</f>
        <v>https://climate.onebuilding.org/WMO_Region_6_Europe/FIN_Finland/LA_Lapland/FIN_LA_Ylitornio.Meltosjarvi.028120_TMYx.2009-2023.zip</v>
      </c>
    </row>
    <row r="3644" spans="1:10" x14ac:dyDescent="0.25">
      <c r="A3644" t="s">
        <v>2310</v>
      </c>
      <c r="B3644" t="s">
        <v>1184</v>
      </c>
      <c r="C3644" t="s">
        <v>2557</v>
      </c>
      <c r="D3644" s="1" t="s">
        <v>2558</v>
      </c>
      <c r="E3644" t="s">
        <v>14</v>
      </c>
      <c r="F3644">
        <v>66.529399999999995</v>
      </c>
      <c r="G3644">
        <v>24.649699999999999</v>
      </c>
      <c r="H3644">
        <v>2</v>
      </c>
      <c r="I3644">
        <v>93</v>
      </c>
      <c r="J3644" t="str">
        <f>HYPERLINK("https://climate.onebuilding.org/WMO_Region_6_Europe/FIN_Finland/LA_Lapland/FIN_LA_Ylitornio.Meltosjarvi.028120_TMYx.zip")</f>
        <v>https://climate.onebuilding.org/WMO_Region_6_Europe/FIN_Finland/LA_Lapland/FIN_LA_Ylitornio.Meltosjarvi.028120_TMYx.zip</v>
      </c>
    </row>
    <row r="3645" spans="1:10" x14ac:dyDescent="0.25">
      <c r="A3645" t="s">
        <v>2310</v>
      </c>
      <c r="B3645" t="s">
        <v>1184</v>
      </c>
      <c r="C3645" t="s">
        <v>2560</v>
      </c>
      <c r="D3645" s="1" t="s">
        <v>2561</v>
      </c>
      <c r="E3645" t="s">
        <v>2562</v>
      </c>
      <c r="F3645">
        <v>66.579400000000007</v>
      </c>
      <c r="G3645">
        <v>26.0108</v>
      </c>
      <c r="H3645">
        <v>2</v>
      </c>
      <c r="I3645">
        <v>107.4</v>
      </c>
      <c r="J3645" t="str">
        <f>HYPERLINK("https://climate.onebuilding.org/WMO_Region_6_Europe/FIN_Finland/LA_Lapland/FIN_LA_Rovaniemi.Apukka.028130_TMYx.2004-2018.zip")</f>
        <v>https://climate.onebuilding.org/WMO_Region_6_Europe/FIN_Finland/LA_Lapland/FIN_LA_Rovaniemi.Apukka.028130_TMYx.2004-2018.zip</v>
      </c>
    </row>
    <row r="3646" spans="1:10" x14ac:dyDescent="0.25">
      <c r="A3646" t="s">
        <v>2310</v>
      </c>
      <c r="B3646" t="s">
        <v>1184</v>
      </c>
      <c r="C3646" t="s">
        <v>2560</v>
      </c>
      <c r="D3646" s="1" t="s">
        <v>2561</v>
      </c>
      <c r="E3646" t="s">
        <v>14</v>
      </c>
      <c r="F3646">
        <v>66.579400000000007</v>
      </c>
      <c r="G3646">
        <v>26.0108</v>
      </c>
      <c r="H3646">
        <v>2</v>
      </c>
      <c r="I3646">
        <v>107.4</v>
      </c>
      <c r="J3646" t="str">
        <f>HYPERLINK("https://climate.onebuilding.org/WMO_Region_6_Europe/FIN_Finland/LA_Lapland/FIN_LA_Rovaniemi.Apukka.028130_TMYx.2007-2021.zip")</f>
        <v>https://climate.onebuilding.org/WMO_Region_6_Europe/FIN_Finland/LA_Lapland/FIN_LA_Rovaniemi.Apukka.028130_TMYx.2007-2021.zip</v>
      </c>
    </row>
    <row r="3647" spans="1:10" x14ac:dyDescent="0.25">
      <c r="A3647" t="s">
        <v>2310</v>
      </c>
      <c r="B3647" t="s">
        <v>1184</v>
      </c>
      <c r="C3647" t="s">
        <v>2560</v>
      </c>
      <c r="D3647" s="1" t="s">
        <v>2561</v>
      </c>
      <c r="E3647" t="s">
        <v>14</v>
      </c>
      <c r="F3647">
        <v>66.579400000000007</v>
      </c>
      <c r="G3647">
        <v>26.0108</v>
      </c>
      <c r="H3647">
        <v>2</v>
      </c>
      <c r="I3647">
        <v>107.4</v>
      </c>
      <c r="J3647" t="str">
        <f>HYPERLINK("https://climate.onebuilding.org/WMO_Region_6_Europe/FIN_Finland/LA_Lapland/FIN_LA_Rovaniemi.Apukka.028130_TMYx.2009-2023.zip")</f>
        <v>https://climate.onebuilding.org/WMO_Region_6_Europe/FIN_Finland/LA_Lapland/FIN_LA_Rovaniemi.Apukka.028130_TMYx.2009-2023.zip</v>
      </c>
    </row>
    <row r="3648" spans="1:10" x14ac:dyDescent="0.25">
      <c r="A3648" t="s">
        <v>2310</v>
      </c>
      <c r="B3648" t="s">
        <v>1184</v>
      </c>
      <c r="C3648" t="s">
        <v>2560</v>
      </c>
      <c r="D3648" s="1" t="s">
        <v>2561</v>
      </c>
      <c r="E3648" t="s">
        <v>14</v>
      </c>
      <c r="F3648">
        <v>66.579400000000007</v>
      </c>
      <c r="G3648">
        <v>26.0108</v>
      </c>
      <c r="H3648">
        <v>2</v>
      </c>
      <c r="I3648">
        <v>107.4</v>
      </c>
      <c r="J3648" t="str">
        <f>HYPERLINK("https://climate.onebuilding.org/WMO_Region_6_Europe/FIN_Finland/LA_Lapland/FIN_LA_Rovaniemi.Apukka.028130_TMYx.zip")</f>
        <v>https://climate.onebuilding.org/WMO_Region_6_Europe/FIN_Finland/LA_Lapland/FIN_LA_Rovaniemi.Apukka.028130_TMYx.zip</v>
      </c>
    </row>
    <row r="3649" spans="1:10" x14ac:dyDescent="0.25">
      <c r="A3649" t="s">
        <v>2310</v>
      </c>
      <c r="B3649" t="s">
        <v>1184</v>
      </c>
      <c r="C3649" t="s">
        <v>2563</v>
      </c>
      <c r="D3649" s="1" t="s">
        <v>2564</v>
      </c>
      <c r="E3649" t="s">
        <v>2565</v>
      </c>
      <c r="F3649">
        <v>66.715599999999995</v>
      </c>
      <c r="G3649">
        <v>27.159199999999998</v>
      </c>
      <c r="H3649">
        <v>2</v>
      </c>
      <c r="I3649">
        <v>208</v>
      </c>
      <c r="J3649" t="str">
        <f>HYPERLINK("https://climate.onebuilding.org/WMO_Region_6_Europe/FIN_Finland/LA_Lapland/FIN_LA_Kemijarvi.AF.028140_TMYx.2004-2018.zip")</f>
        <v>https://climate.onebuilding.org/WMO_Region_6_Europe/FIN_Finland/LA_Lapland/FIN_LA_Kemijarvi.AF.028140_TMYx.2004-2018.zip</v>
      </c>
    </row>
    <row r="3650" spans="1:10" x14ac:dyDescent="0.25">
      <c r="A3650" t="s">
        <v>2310</v>
      </c>
      <c r="B3650" t="s">
        <v>1184</v>
      </c>
      <c r="C3650" t="s">
        <v>2563</v>
      </c>
      <c r="D3650" s="1" t="s">
        <v>2564</v>
      </c>
      <c r="E3650" t="s">
        <v>14</v>
      </c>
      <c r="F3650">
        <v>66.715599999999995</v>
      </c>
      <c r="G3650">
        <v>27.159199999999998</v>
      </c>
      <c r="H3650">
        <v>2</v>
      </c>
      <c r="I3650">
        <v>208</v>
      </c>
      <c r="J3650" t="str">
        <f>HYPERLINK("https://climate.onebuilding.org/WMO_Region_6_Europe/FIN_Finland/LA_Lapland/FIN_LA_Kemijarvi.AF.028140_TMYx.2007-2021.zip")</f>
        <v>https://climate.onebuilding.org/WMO_Region_6_Europe/FIN_Finland/LA_Lapland/FIN_LA_Kemijarvi.AF.028140_TMYx.2007-2021.zip</v>
      </c>
    </row>
    <row r="3651" spans="1:10" x14ac:dyDescent="0.25">
      <c r="A3651" t="s">
        <v>2310</v>
      </c>
      <c r="B3651" t="s">
        <v>1184</v>
      </c>
      <c r="C3651" t="s">
        <v>2563</v>
      </c>
      <c r="D3651" s="1" t="s">
        <v>2564</v>
      </c>
      <c r="E3651" t="s">
        <v>14</v>
      </c>
      <c r="F3651">
        <v>66.715599999999995</v>
      </c>
      <c r="G3651">
        <v>27.159199999999998</v>
      </c>
      <c r="H3651">
        <v>2</v>
      </c>
      <c r="I3651">
        <v>208</v>
      </c>
      <c r="J3651" t="str">
        <f>HYPERLINK("https://climate.onebuilding.org/WMO_Region_6_Europe/FIN_Finland/LA_Lapland/FIN_LA_Kemijarvi.AF.028140_TMYx.2009-2023.zip")</f>
        <v>https://climate.onebuilding.org/WMO_Region_6_Europe/FIN_Finland/LA_Lapland/FIN_LA_Kemijarvi.AF.028140_TMYx.2009-2023.zip</v>
      </c>
    </row>
    <row r="3652" spans="1:10" x14ac:dyDescent="0.25">
      <c r="A3652" t="s">
        <v>2310</v>
      </c>
      <c r="B3652" t="s">
        <v>1184</v>
      </c>
      <c r="C3652" t="s">
        <v>2563</v>
      </c>
      <c r="D3652" s="1" t="s">
        <v>2564</v>
      </c>
      <c r="E3652" t="s">
        <v>14</v>
      </c>
      <c r="F3652">
        <v>66.715599999999995</v>
      </c>
      <c r="G3652">
        <v>27.159199999999998</v>
      </c>
      <c r="H3652">
        <v>2</v>
      </c>
      <c r="I3652">
        <v>208</v>
      </c>
      <c r="J3652" t="str">
        <f>HYPERLINK("https://climate.onebuilding.org/WMO_Region_6_Europe/FIN_Finland/LA_Lapland/FIN_LA_Kemijarvi.AF.028140_TMYx.zip")</f>
        <v>https://climate.onebuilding.org/WMO_Region_6_Europe/FIN_Finland/LA_Lapland/FIN_LA_Kemijarvi.AF.028140_TMYx.zip</v>
      </c>
    </row>
    <row r="3653" spans="1:10" x14ac:dyDescent="0.25">
      <c r="A3653" t="s">
        <v>2310</v>
      </c>
      <c r="B3653" t="s">
        <v>1184</v>
      </c>
      <c r="C3653" t="s">
        <v>2566</v>
      </c>
      <c r="D3653" s="1" t="s">
        <v>2567</v>
      </c>
      <c r="E3653" t="s">
        <v>2568</v>
      </c>
      <c r="F3653">
        <v>67.286100000000005</v>
      </c>
      <c r="G3653">
        <v>28.1769</v>
      </c>
      <c r="H3653">
        <v>2</v>
      </c>
      <c r="I3653">
        <v>180</v>
      </c>
      <c r="J3653" t="str">
        <f>HYPERLINK("https://climate.onebuilding.org/WMO_Region_6_Europe/FIN_Finland/LA_Lapland/FIN_LA_Savukoski.KK.028150_TMYx.2004-2018.zip")</f>
        <v>https://climate.onebuilding.org/WMO_Region_6_Europe/FIN_Finland/LA_Lapland/FIN_LA_Savukoski.KK.028150_TMYx.2004-2018.zip</v>
      </c>
    </row>
    <row r="3654" spans="1:10" x14ac:dyDescent="0.25">
      <c r="A3654" t="s">
        <v>2310</v>
      </c>
      <c r="B3654" t="s">
        <v>1184</v>
      </c>
      <c r="C3654" t="s">
        <v>2566</v>
      </c>
      <c r="D3654" s="1" t="s">
        <v>2567</v>
      </c>
      <c r="E3654" t="s">
        <v>14</v>
      </c>
      <c r="F3654">
        <v>67.286100000000005</v>
      </c>
      <c r="G3654">
        <v>28.1769</v>
      </c>
      <c r="H3654">
        <v>2</v>
      </c>
      <c r="I3654">
        <v>180</v>
      </c>
      <c r="J3654" t="str">
        <f>HYPERLINK("https://climate.onebuilding.org/WMO_Region_6_Europe/FIN_Finland/LA_Lapland/FIN_LA_Savukoski.KK.028150_TMYx.2007-2021.zip")</f>
        <v>https://climate.onebuilding.org/WMO_Region_6_Europe/FIN_Finland/LA_Lapland/FIN_LA_Savukoski.KK.028150_TMYx.2007-2021.zip</v>
      </c>
    </row>
    <row r="3655" spans="1:10" x14ac:dyDescent="0.25">
      <c r="A3655" t="s">
        <v>2310</v>
      </c>
      <c r="B3655" t="s">
        <v>1184</v>
      </c>
      <c r="C3655" t="s">
        <v>2566</v>
      </c>
      <c r="D3655" s="1" t="s">
        <v>2567</v>
      </c>
      <c r="E3655" t="s">
        <v>14</v>
      </c>
      <c r="F3655">
        <v>67.286100000000005</v>
      </c>
      <c r="G3655">
        <v>28.1769</v>
      </c>
      <c r="H3655">
        <v>2</v>
      </c>
      <c r="I3655">
        <v>180</v>
      </c>
      <c r="J3655" t="str">
        <f>HYPERLINK("https://climate.onebuilding.org/WMO_Region_6_Europe/FIN_Finland/LA_Lapland/FIN_LA_Savukoski.KK.028150_TMYx.2009-2023.zip")</f>
        <v>https://climate.onebuilding.org/WMO_Region_6_Europe/FIN_Finland/LA_Lapland/FIN_LA_Savukoski.KK.028150_TMYx.2009-2023.zip</v>
      </c>
    </row>
    <row r="3656" spans="1:10" x14ac:dyDescent="0.25">
      <c r="A3656" t="s">
        <v>2310</v>
      </c>
      <c r="B3656" t="s">
        <v>1184</v>
      </c>
      <c r="C3656" t="s">
        <v>2566</v>
      </c>
      <c r="D3656" s="1" t="s">
        <v>2567</v>
      </c>
      <c r="E3656" t="s">
        <v>14</v>
      </c>
      <c r="F3656">
        <v>67.286100000000005</v>
      </c>
      <c r="G3656">
        <v>28.1769</v>
      </c>
      <c r="H3656">
        <v>2</v>
      </c>
      <c r="I3656">
        <v>180</v>
      </c>
      <c r="J3656" t="str">
        <f>HYPERLINK("https://climate.onebuilding.org/WMO_Region_6_Europe/FIN_Finland/LA_Lapland/FIN_LA_Savukoski.KK.028150_TMYx.zip")</f>
        <v>https://climate.onebuilding.org/WMO_Region_6_Europe/FIN_Finland/LA_Lapland/FIN_LA_Savukoski.KK.028150_TMYx.zip</v>
      </c>
    </row>
    <row r="3657" spans="1:10" x14ac:dyDescent="0.25">
      <c r="A3657" t="s">
        <v>2310</v>
      </c>
      <c r="B3657" t="s">
        <v>1184</v>
      </c>
      <c r="C3657" t="s">
        <v>2569</v>
      </c>
      <c r="D3657" s="1" t="s">
        <v>2570</v>
      </c>
      <c r="E3657" t="s">
        <v>2571</v>
      </c>
      <c r="F3657">
        <v>68.084199999999996</v>
      </c>
      <c r="G3657">
        <v>27.184999999999999</v>
      </c>
      <c r="H3657">
        <v>2</v>
      </c>
      <c r="I3657">
        <v>248.8</v>
      </c>
      <c r="J3657" t="str">
        <f>HYPERLINK("https://climate.onebuilding.org/WMO_Region_6_Europe/FIN_Finland/LA_Lapland/FIN_LA_Sodankyla.Vuotso.028160_TMYx.2004-2018.zip")</f>
        <v>https://climate.onebuilding.org/WMO_Region_6_Europe/FIN_Finland/LA_Lapland/FIN_LA_Sodankyla.Vuotso.028160_TMYx.2004-2018.zip</v>
      </c>
    </row>
    <row r="3658" spans="1:10" x14ac:dyDescent="0.25">
      <c r="A3658" t="s">
        <v>2310</v>
      </c>
      <c r="B3658" t="s">
        <v>1184</v>
      </c>
      <c r="C3658" t="s">
        <v>2569</v>
      </c>
      <c r="D3658" s="1" t="s">
        <v>2570</v>
      </c>
      <c r="E3658" t="s">
        <v>14</v>
      </c>
      <c r="F3658">
        <v>68.084199999999996</v>
      </c>
      <c r="G3658">
        <v>27.184999999999999</v>
      </c>
      <c r="H3658">
        <v>2</v>
      </c>
      <c r="I3658">
        <v>248.8</v>
      </c>
      <c r="J3658" t="str">
        <f>HYPERLINK("https://climate.onebuilding.org/WMO_Region_6_Europe/FIN_Finland/LA_Lapland/FIN_LA_Sodankyla.Vuotso.028160_TMYx.2007-2021.zip")</f>
        <v>https://climate.onebuilding.org/WMO_Region_6_Europe/FIN_Finland/LA_Lapland/FIN_LA_Sodankyla.Vuotso.028160_TMYx.2007-2021.zip</v>
      </c>
    </row>
    <row r="3659" spans="1:10" x14ac:dyDescent="0.25">
      <c r="A3659" t="s">
        <v>2310</v>
      </c>
      <c r="B3659" t="s">
        <v>1184</v>
      </c>
      <c r="C3659" t="s">
        <v>2569</v>
      </c>
      <c r="D3659" s="1" t="s">
        <v>2570</v>
      </c>
      <c r="E3659" t="s">
        <v>14</v>
      </c>
      <c r="F3659">
        <v>68.084199999999996</v>
      </c>
      <c r="G3659">
        <v>27.184999999999999</v>
      </c>
      <c r="H3659">
        <v>2</v>
      </c>
      <c r="I3659">
        <v>248.8</v>
      </c>
      <c r="J3659" t="str">
        <f>HYPERLINK("https://climate.onebuilding.org/WMO_Region_6_Europe/FIN_Finland/LA_Lapland/FIN_LA_Sodankyla.Vuotso.028160_TMYx.2009-2023.zip")</f>
        <v>https://climate.onebuilding.org/WMO_Region_6_Europe/FIN_Finland/LA_Lapland/FIN_LA_Sodankyla.Vuotso.028160_TMYx.2009-2023.zip</v>
      </c>
    </row>
    <row r="3660" spans="1:10" x14ac:dyDescent="0.25">
      <c r="A3660" t="s">
        <v>2310</v>
      </c>
      <c r="B3660" t="s">
        <v>1184</v>
      </c>
      <c r="C3660" t="s">
        <v>2569</v>
      </c>
      <c r="D3660" s="1" t="s">
        <v>2570</v>
      </c>
      <c r="E3660" t="s">
        <v>14</v>
      </c>
      <c r="F3660">
        <v>68.084199999999996</v>
      </c>
      <c r="G3660">
        <v>27.184999999999999</v>
      </c>
      <c r="H3660">
        <v>2</v>
      </c>
      <c r="I3660">
        <v>248.8</v>
      </c>
      <c r="J3660" t="str">
        <f>HYPERLINK("https://climate.onebuilding.org/WMO_Region_6_Europe/FIN_Finland/LA_Lapland/FIN_LA_Sodankyla.Vuotso.028160_TMYx.zip")</f>
        <v>https://climate.onebuilding.org/WMO_Region_6_Europe/FIN_Finland/LA_Lapland/FIN_LA_Sodankyla.Vuotso.028160_TMYx.zip</v>
      </c>
    </row>
    <row r="3661" spans="1:10" x14ac:dyDescent="0.25">
      <c r="A3661" t="s">
        <v>2310</v>
      </c>
      <c r="B3661" t="s">
        <v>1184</v>
      </c>
      <c r="C3661" t="s">
        <v>2572</v>
      </c>
      <c r="D3661" s="1" t="s">
        <v>2573</v>
      </c>
      <c r="E3661" t="s">
        <v>2574</v>
      </c>
      <c r="F3661">
        <v>68.433899999999994</v>
      </c>
      <c r="G3661">
        <v>27.444199999999999</v>
      </c>
      <c r="H3661">
        <v>2</v>
      </c>
      <c r="I3661">
        <v>438</v>
      </c>
      <c r="J3661" t="str">
        <f>HYPERLINK("https://climate.onebuilding.org/WMO_Region_6_Europe/FIN_Finland/LA_Lapland/FIN_LA_Saariselka.Kaunispaa.028170_TMYx.2004-2018.zip")</f>
        <v>https://climate.onebuilding.org/WMO_Region_6_Europe/FIN_Finland/LA_Lapland/FIN_LA_Saariselka.Kaunispaa.028170_TMYx.2004-2018.zip</v>
      </c>
    </row>
    <row r="3662" spans="1:10" x14ac:dyDescent="0.25">
      <c r="A3662" t="s">
        <v>2310</v>
      </c>
      <c r="B3662" t="s">
        <v>1184</v>
      </c>
      <c r="C3662" t="s">
        <v>2572</v>
      </c>
      <c r="D3662" s="1" t="s">
        <v>2573</v>
      </c>
      <c r="E3662" t="s">
        <v>14</v>
      </c>
      <c r="F3662">
        <v>68.433899999999994</v>
      </c>
      <c r="G3662">
        <v>27.444199999999999</v>
      </c>
      <c r="H3662">
        <v>2</v>
      </c>
      <c r="I3662">
        <v>438</v>
      </c>
      <c r="J3662" t="str">
        <f>HYPERLINK("https://climate.onebuilding.org/WMO_Region_6_Europe/FIN_Finland/LA_Lapland/FIN_LA_Saariselka.Kaunispaa.028170_TMYx.2007-2021.zip")</f>
        <v>https://climate.onebuilding.org/WMO_Region_6_Europe/FIN_Finland/LA_Lapland/FIN_LA_Saariselka.Kaunispaa.028170_TMYx.2007-2021.zip</v>
      </c>
    </row>
    <row r="3663" spans="1:10" x14ac:dyDescent="0.25">
      <c r="A3663" t="s">
        <v>2310</v>
      </c>
      <c r="B3663" t="s">
        <v>1184</v>
      </c>
      <c r="C3663" t="s">
        <v>2572</v>
      </c>
      <c r="D3663" s="1" t="s">
        <v>2573</v>
      </c>
      <c r="E3663" t="s">
        <v>14</v>
      </c>
      <c r="F3663">
        <v>68.433899999999994</v>
      </c>
      <c r="G3663">
        <v>27.444199999999999</v>
      </c>
      <c r="H3663">
        <v>2</v>
      </c>
      <c r="I3663">
        <v>438</v>
      </c>
      <c r="J3663" t="str">
        <f>HYPERLINK("https://climate.onebuilding.org/WMO_Region_6_Europe/FIN_Finland/LA_Lapland/FIN_LA_Saariselka.Kaunispaa.028170_TMYx.2009-2023.zip")</f>
        <v>https://climate.onebuilding.org/WMO_Region_6_Europe/FIN_Finland/LA_Lapland/FIN_LA_Saariselka.Kaunispaa.028170_TMYx.2009-2023.zip</v>
      </c>
    </row>
    <row r="3664" spans="1:10" x14ac:dyDescent="0.25">
      <c r="A3664" t="s">
        <v>2310</v>
      </c>
      <c r="B3664" t="s">
        <v>1184</v>
      </c>
      <c r="C3664" t="s">
        <v>2572</v>
      </c>
      <c r="D3664" s="1" t="s">
        <v>2573</v>
      </c>
      <c r="E3664" t="s">
        <v>14</v>
      </c>
      <c r="F3664">
        <v>68.433899999999994</v>
      </c>
      <c r="G3664">
        <v>27.444199999999999</v>
      </c>
      <c r="H3664">
        <v>2</v>
      </c>
      <c r="I3664">
        <v>438</v>
      </c>
      <c r="J3664" t="str">
        <f>HYPERLINK("https://climate.onebuilding.org/WMO_Region_6_Europe/FIN_Finland/LA_Lapland/FIN_LA_Saariselka.Kaunispaa.028170_TMYx.zip")</f>
        <v>https://climate.onebuilding.org/WMO_Region_6_Europe/FIN_Finland/LA_Lapland/FIN_LA_Saariselka.Kaunispaa.028170_TMYx.zip</v>
      </c>
    </row>
    <row r="3665" spans="1:10" x14ac:dyDescent="0.25">
      <c r="A3665" t="s">
        <v>2310</v>
      </c>
      <c r="B3665" t="s">
        <v>1184</v>
      </c>
      <c r="C3665" t="s">
        <v>2575</v>
      </c>
      <c r="D3665" s="1" t="s">
        <v>2576</v>
      </c>
      <c r="E3665" t="s">
        <v>2577</v>
      </c>
      <c r="F3665">
        <v>68.478099999999998</v>
      </c>
      <c r="G3665">
        <v>28.301100000000002</v>
      </c>
      <c r="H3665">
        <v>2</v>
      </c>
      <c r="I3665">
        <v>254.9</v>
      </c>
      <c r="J3665" t="str">
        <f>HYPERLINK("https://climate.onebuilding.org/WMO_Region_6_Europe/FIN_Finland/LA_Lapland/FIN_LA_Inari-Rajajooseppi.028180_TMYx.2004-2018.zip")</f>
        <v>https://climate.onebuilding.org/WMO_Region_6_Europe/FIN_Finland/LA_Lapland/FIN_LA_Inari-Rajajooseppi.028180_TMYx.2004-2018.zip</v>
      </c>
    </row>
    <row r="3666" spans="1:10" x14ac:dyDescent="0.25">
      <c r="A3666" t="s">
        <v>2310</v>
      </c>
      <c r="B3666" t="s">
        <v>1184</v>
      </c>
      <c r="C3666" t="s">
        <v>2575</v>
      </c>
      <c r="D3666" s="1" t="s">
        <v>2576</v>
      </c>
      <c r="E3666" t="s">
        <v>14</v>
      </c>
      <c r="F3666">
        <v>68.478099999999998</v>
      </c>
      <c r="G3666">
        <v>28.301100000000002</v>
      </c>
      <c r="H3666">
        <v>2</v>
      </c>
      <c r="I3666">
        <v>254.9</v>
      </c>
      <c r="J3666" t="str">
        <f>HYPERLINK("https://climate.onebuilding.org/WMO_Region_6_Europe/FIN_Finland/LA_Lapland/FIN_LA_Inari-Rajajooseppi.028180_TMYx.2007-2021.zip")</f>
        <v>https://climate.onebuilding.org/WMO_Region_6_Europe/FIN_Finland/LA_Lapland/FIN_LA_Inari-Rajajooseppi.028180_TMYx.2007-2021.zip</v>
      </c>
    </row>
    <row r="3667" spans="1:10" x14ac:dyDescent="0.25">
      <c r="A3667" t="s">
        <v>2310</v>
      </c>
      <c r="B3667" t="s">
        <v>1184</v>
      </c>
      <c r="C3667" t="s">
        <v>2575</v>
      </c>
      <c r="D3667" s="1" t="s">
        <v>2576</v>
      </c>
      <c r="E3667" t="s">
        <v>14</v>
      </c>
      <c r="F3667">
        <v>68.478099999999998</v>
      </c>
      <c r="G3667">
        <v>28.301100000000002</v>
      </c>
      <c r="H3667">
        <v>2</v>
      </c>
      <c r="I3667">
        <v>254.9</v>
      </c>
      <c r="J3667" t="str">
        <f>HYPERLINK("https://climate.onebuilding.org/WMO_Region_6_Europe/FIN_Finland/LA_Lapland/FIN_LA_Inari-Rajajooseppi.028180_TMYx.2009-2023.zip")</f>
        <v>https://climate.onebuilding.org/WMO_Region_6_Europe/FIN_Finland/LA_Lapland/FIN_LA_Inari-Rajajooseppi.028180_TMYx.2009-2023.zip</v>
      </c>
    </row>
    <row r="3668" spans="1:10" x14ac:dyDescent="0.25">
      <c r="A3668" t="s">
        <v>2310</v>
      </c>
      <c r="B3668" t="s">
        <v>1184</v>
      </c>
      <c r="C3668" t="s">
        <v>2575</v>
      </c>
      <c r="D3668" s="1" t="s">
        <v>2576</v>
      </c>
      <c r="E3668" t="s">
        <v>14</v>
      </c>
      <c r="F3668">
        <v>68.478099999999998</v>
      </c>
      <c r="G3668">
        <v>28.301100000000002</v>
      </c>
      <c r="H3668">
        <v>2</v>
      </c>
      <c r="I3668">
        <v>254.9</v>
      </c>
      <c r="J3668" t="str">
        <f>HYPERLINK("https://climate.onebuilding.org/WMO_Region_6_Europe/FIN_Finland/LA_Lapland/FIN_LA_Inari-Rajajooseppi.028180_TMYx.zip")</f>
        <v>https://climate.onebuilding.org/WMO_Region_6_Europe/FIN_Finland/LA_Lapland/FIN_LA_Inari-Rajajooseppi.028180_TMYx.zip</v>
      </c>
    </row>
    <row r="3669" spans="1:10" x14ac:dyDescent="0.25">
      <c r="A3669" t="s">
        <v>2310</v>
      </c>
      <c r="B3669" t="s">
        <v>1184</v>
      </c>
      <c r="C3669" t="s">
        <v>2578</v>
      </c>
      <c r="D3669" s="1" t="s">
        <v>2579</v>
      </c>
      <c r="E3669" t="s">
        <v>2580</v>
      </c>
      <c r="F3669">
        <v>67.748599999999996</v>
      </c>
      <c r="G3669">
        <v>29.6114</v>
      </c>
      <c r="H3669">
        <v>2</v>
      </c>
      <c r="I3669">
        <v>360</v>
      </c>
      <c r="J3669" t="str">
        <f>HYPERLINK("https://climate.onebuilding.org/WMO_Region_6_Europe/FIN_Finland/LA_Lapland/FIN_LA_Salla.Varriotunturi.028190_TMYx.2004-2018.zip")</f>
        <v>https://climate.onebuilding.org/WMO_Region_6_Europe/FIN_Finland/LA_Lapland/FIN_LA_Salla.Varriotunturi.028190_TMYx.2004-2018.zip</v>
      </c>
    </row>
    <row r="3670" spans="1:10" x14ac:dyDescent="0.25">
      <c r="A3670" t="s">
        <v>2310</v>
      </c>
      <c r="B3670" t="s">
        <v>1184</v>
      </c>
      <c r="C3670" t="s">
        <v>2578</v>
      </c>
      <c r="D3670" s="1" t="s">
        <v>2579</v>
      </c>
      <c r="E3670" t="s">
        <v>14</v>
      </c>
      <c r="F3670">
        <v>67.748599999999996</v>
      </c>
      <c r="G3670">
        <v>29.6114</v>
      </c>
      <c r="H3670">
        <v>2</v>
      </c>
      <c r="I3670">
        <v>360</v>
      </c>
      <c r="J3670" t="str">
        <f>HYPERLINK("https://climate.onebuilding.org/WMO_Region_6_Europe/FIN_Finland/LA_Lapland/FIN_LA_Salla.Varriotunturi.028190_TMYx.2007-2021.zip")</f>
        <v>https://climate.onebuilding.org/WMO_Region_6_Europe/FIN_Finland/LA_Lapland/FIN_LA_Salla.Varriotunturi.028190_TMYx.2007-2021.zip</v>
      </c>
    </row>
    <row r="3671" spans="1:10" x14ac:dyDescent="0.25">
      <c r="A3671" t="s">
        <v>2310</v>
      </c>
      <c r="B3671" t="s">
        <v>1184</v>
      </c>
      <c r="C3671" t="s">
        <v>2578</v>
      </c>
      <c r="D3671" s="1" t="s">
        <v>2579</v>
      </c>
      <c r="E3671" t="s">
        <v>14</v>
      </c>
      <c r="F3671">
        <v>67.748599999999996</v>
      </c>
      <c r="G3671">
        <v>29.6114</v>
      </c>
      <c r="H3671">
        <v>2</v>
      </c>
      <c r="I3671">
        <v>360</v>
      </c>
      <c r="J3671" t="str">
        <f>HYPERLINK("https://climate.onebuilding.org/WMO_Region_6_Europe/FIN_Finland/LA_Lapland/FIN_LA_Salla.Varriotunturi.028190_TMYx.2009-2023.zip")</f>
        <v>https://climate.onebuilding.org/WMO_Region_6_Europe/FIN_Finland/LA_Lapland/FIN_LA_Salla.Varriotunturi.028190_TMYx.2009-2023.zip</v>
      </c>
    </row>
    <row r="3672" spans="1:10" x14ac:dyDescent="0.25">
      <c r="A3672" t="s">
        <v>2310</v>
      </c>
      <c r="B3672" t="s">
        <v>1184</v>
      </c>
      <c r="C3672" t="s">
        <v>2578</v>
      </c>
      <c r="D3672" s="1" t="s">
        <v>2579</v>
      </c>
      <c r="E3672" t="s">
        <v>14</v>
      </c>
      <c r="F3672">
        <v>67.748599999999996</v>
      </c>
      <c r="G3672">
        <v>29.6114</v>
      </c>
      <c r="H3672">
        <v>2</v>
      </c>
      <c r="I3672">
        <v>360</v>
      </c>
      <c r="J3672" t="str">
        <f>HYPERLINK("https://climate.onebuilding.org/WMO_Region_6_Europe/FIN_Finland/LA_Lapland/FIN_LA_Salla.Varriotunturi.028190_TMYx.zip")</f>
        <v>https://climate.onebuilding.org/WMO_Region_6_Europe/FIN_Finland/LA_Lapland/FIN_LA_Salla.Varriotunturi.028190_TMYx.zip</v>
      </c>
    </row>
    <row r="3673" spans="1:10" x14ac:dyDescent="0.25">
      <c r="A3673" t="s">
        <v>2310</v>
      </c>
      <c r="B3673" t="s">
        <v>1184</v>
      </c>
      <c r="C3673" t="s">
        <v>2581</v>
      </c>
      <c r="D3673" s="1" t="s">
        <v>2582</v>
      </c>
      <c r="E3673" t="s">
        <v>2583</v>
      </c>
      <c r="F3673">
        <v>68.062799999999996</v>
      </c>
      <c r="G3673">
        <v>24.033300000000001</v>
      </c>
      <c r="H3673">
        <v>2</v>
      </c>
      <c r="I3673">
        <v>762</v>
      </c>
      <c r="J3673" t="str">
        <f>HYPERLINK("https://climate.onebuilding.org/WMO_Region_6_Europe/FIN_Finland/LA_Lapland/FIN_LA_Muonio.Laukukero.028200_TMYx.2004-2018.zip")</f>
        <v>https://climate.onebuilding.org/WMO_Region_6_Europe/FIN_Finland/LA_Lapland/FIN_LA_Muonio.Laukukero.028200_TMYx.2004-2018.zip</v>
      </c>
    </row>
    <row r="3674" spans="1:10" x14ac:dyDescent="0.25">
      <c r="A3674" t="s">
        <v>2310</v>
      </c>
      <c r="B3674" t="s">
        <v>1184</v>
      </c>
      <c r="C3674" t="s">
        <v>2581</v>
      </c>
      <c r="D3674" s="1" t="s">
        <v>2582</v>
      </c>
      <c r="E3674" t="s">
        <v>14</v>
      </c>
      <c r="F3674">
        <v>68.062799999999996</v>
      </c>
      <c r="G3674">
        <v>24.033300000000001</v>
      </c>
      <c r="H3674">
        <v>2</v>
      </c>
      <c r="I3674">
        <v>762</v>
      </c>
      <c r="J3674" t="str">
        <f>HYPERLINK("https://climate.onebuilding.org/WMO_Region_6_Europe/FIN_Finland/LA_Lapland/FIN_LA_Muonio.Laukukero.028200_TMYx.2007-2021.zip")</f>
        <v>https://climate.onebuilding.org/WMO_Region_6_Europe/FIN_Finland/LA_Lapland/FIN_LA_Muonio.Laukukero.028200_TMYx.2007-2021.zip</v>
      </c>
    </row>
    <row r="3675" spans="1:10" x14ac:dyDescent="0.25">
      <c r="A3675" t="s">
        <v>2310</v>
      </c>
      <c r="B3675" t="s">
        <v>1184</v>
      </c>
      <c r="C3675" t="s">
        <v>2581</v>
      </c>
      <c r="D3675" s="1" t="s">
        <v>2582</v>
      </c>
      <c r="E3675" t="s">
        <v>14</v>
      </c>
      <c r="F3675">
        <v>68.062799999999996</v>
      </c>
      <c r="G3675">
        <v>24.033300000000001</v>
      </c>
      <c r="H3675">
        <v>2</v>
      </c>
      <c r="I3675">
        <v>762</v>
      </c>
      <c r="J3675" t="str">
        <f>HYPERLINK("https://climate.onebuilding.org/WMO_Region_6_Europe/FIN_Finland/LA_Lapland/FIN_LA_Muonio.Laukukero.028200_TMYx.2009-2023.zip")</f>
        <v>https://climate.onebuilding.org/WMO_Region_6_Europe/FIN_Finland/LA_Lapland/FIN_LA_Muonio.Laukukero.028200_TMYx.2009-2023.zip</v>
      </c>
    </row>
    <row r="3676" spans="1:10" x14ac:dyDescent="0.25">
      <c r="A3676" t="s">
        <v>2310</v>
      </c>
      <c r="B3676" t="s">
        <v>1184</v>
      </c>
      <c r="C3676" t="s">
        <v>2581</v>
      </c>
      <c r="D3676" s="1" t="s">
        <v>2582</v>
      </c>
      <c r="E3676" t="s">
        <v>14</v>
      </c>
      <c r="F3676">
        <v>68.062799999999996</v>
      </c>
      <c r="G3676">
        <v>24.033300000000001</v>
      </c>
      <c r="H3676">
        <v>2</v>
      </c>
      <c r="I3676">
        <v>762</v>
      </c>
      <c r="J3676" t="str">
        <f>HYPERLINK("https://climate.onebuilding.org/WMO_Region_6_Europe/FIN_Finland/LA_Lapland/FIN_LA_Muonio.Laukukero.028200_TMYx.zip")</f>
        <v>https://climate.onebuilding.org/WMO_Region_6_Europe/FIN_Finland/LA_Lapland/FIN_LA_Muonio.Laukukero.028200_TMYx.zip</v>
      </c>
    </row>
    <row r="3677" spans="1:10" x14ac:dyDescent="0.25">
      <c r="A3677" t="s">
        <v>2310</v>
      </c>
      <c r="B3677" t="s">
        <v>1184</v>
      </c>
      <c r="C3677" t="s">
        <v>2584</v>
      </c>
      <c r="D3677" s="1" t="s">
        <v>2585</v>
      </c>
      <c r="E3677" t="s">
        <v>2586</v>
      </c>
      <c r="F3677">
        <v>67.973299999999995</v>
      </c>
      <c r="G3677">
        <v>24.1158</v>
      </c>
      <c r="H3677">
        <v>2</v>
      </c>
      <c r="I3677">
        <v>565.5</v>
      </c>
      <c r="J3677" t="str">
        <f>HYPERLINK("https://climate.onebuilding.org/WMO_Region_6_Europe/FIN_Finland/LA_Lapland/FIN_LA_Muonio.Sammaltunturi.028210_TMYx.2004-2018.zip")</f>
        <v>https://climate.onebuilding.org/WMO_Region_6_Europe/FIN_Finland/LA_Lapland/FIN_LA_Muonio.Sammaltunturi.028210_TMYx.2004-2018.zip</v>
      </c>
    </row>
    <row r="3678" spans="1:10" x14ac:dyDescent="0.25">
      <c r="A3678" t="s">
        <v>2310</v>
      </c>
      <c r="B3678" t="s">
        <v>1184</v>
      </c>
      <c r="C3678" t="s">
        <v>2584</v>
      </c>
      <c r="D3678" s="1" t="s">
        <v>2585</v>
      </c>
      <c r="E3678" t="s">
        <v>14</v>
      </c>
      <c r="F3678">
        <v>67.973299999999995</v>
      </c>
      <c r="G3678">
        <v>24.1158</v>
      </c>
      <c r="H3678">
        <v>2</v>
      </c>
      <c r="I3678">
        <v>565.5</v>
      </c>
      <c r="J3678" t="str">
        <f>HYPERLINK("https://climate.onebuilding.org/WMO_Region_6_Europe/FIN_Finland/LA_Lapland/FIN_LA_Muonio.Sammaltunturi.028210_TMYx.2007-2021.zip")</f>
        <v>https://climate.onebuilding.org/WMO_Region_6_Europe/FIN_Finland/LA_Lapland/FIN_LA_Muonio.Sammaltunturi.028210_TMYx.2007-2021.zip</v>
      </c>
    </row>
    <row r="3679" spans="1:10" x14ac:dyDescent="0.25">
      <c r="A3679" t="s">
        <v>2310</v>
      </c>
      <c r="B3679" t="s">
        <v>1184</v>
      </c>
      <c r="C3679" t="s">
        <v>2584</v>
      </c>
      <c r="D3679" s="1" t="s">
        <v>2585</v>
      </c>
      <c r="E3679" t="s">
        <v>14</v>
      </c>
      <c r="F3679">
        <v>67.973299999999995</v>
      </c>
      <c r="G3679">
        <v>24.1158</v>
      </c>
      <c r="H3679">
        <v>2</v>
      </c>
      <c r="I3679">
        <v>565.5</v>
      </c>
      <c r="J3679" t="str">
        <f>HYPERLINK("https://climate.onebuilding.org/WMO_Region_6_Europe/FIN_Finland/LA_Lapland/FIN_LA_Muonio.Sammaltunturi.028210_TMYx.2009-2023.zip")</f>
        <v>https://climate.onebuilding.org/WMO_Region_6_Europe/FIN_Finland/LA_Lapland/FIN_LA_Muonio.Sammaltunturi.028210_TMYx.2009-2023.zip</v>
      </c>
    </row>
    <row r="3680" spans="1:10" x14ac:dyDescent="0.25">
      <c r="A3680" t="s">
        <v>2310</v>
      </c>
      <c r="B3680" t="s">
        <v>1184</v>
      </c>
      <c r="C3680" t="s">
        <v>2584</v>
      </c>
      <c r="D3680" s="1" t="s">
        <v>2585</v>
      </c>
      <c r="E3680" t="s">
        <v>14</v>
      </c>
      <c r="F3680">
        <v>67.973299999999995</v>
      </c>
      <c r="G3680">
        <v>24.1158</v>
      </c>
      <c r="H3680">
        <v>2</v>
      </c>
      <c r="I3680">
        <v>565.5</v>
      </c>
      <c r="J3680" t="str">
        <f>HYPERLINK("https://climate.onebuilding.org/WMO_Region_6_Europe/FIN_Finland/LA_Lapland/FIN_LA_Muonio.Sammaltunturi.028210_TMYx.zip")</f>
        <v>https://climate.onebuilding.org/WMO_Region_6_Europe/FIN_Finland/LA_Lapland/FIN_LA_Muonio.Sammaltunturi.028210_TMYx.zip</v>
      </c>
    </row>
    <row r="3681" spans="1:10" x14ac:dyDescent="0.25">
      <c r="A3681" t="s">
        <v>2310</v>
      </c>
      <c r="B3681" t="s">
        <v>1184</v>
      </c>
      <c r="C3681" t="s">
        <v>2587</v>
      </c>
      <c r="D3681" s="1" t="s">
        <v>2588</v>
      </c>
      <c r="E3681" t="s">
        <v>2589</v>
      </c>
      <c r="F3681">
        <v>67.958299999999994</v>
      </c>
      <c r="G3681">
        <v>23.684699999999999</v>
      </c>
      <c r="H3681">
        <v>2</v>
      </c>
      <c r="I3681">
        <v>252.6</v>
      </c>
      <c r="J3681" t="str">
        <f>HYPERLINK("https://climate.onebuilding.org/WMO_Region_6_Europe/FIN_Finland/LA_Lapland/FIN_LA_Muonio.Alamuonio.028230_TMYx.2004-2018.zip")</f>
        <v>https://climate.onebuilding.org/WMO_Region_6_Europe/FIN_Finland/LA_Lapland/FIN_LA_Muonio.Alamuonio.028230_TMYx.2004-2018.zip</v>
      </c>
    </row>
    <row r="3682" spans="1:10" x14ac:dyDescent="0.25">
      <c r="A3682" t="s">
        <v>2310</v>
      </c>
      <c r="B3682" t="s">
        <v>1184</v>
      </c>
      <c r="C3682" t="s">
        <v>2587</v>
      </c>
      <c r="D3682" s="1" t="s">
        <v>2588</v>
      </c>
      <c r="E3682" t="s">
        <v>14</v>
      </c>
      <c r="F3682">
        <v>67.958299999999994</v>
      </c>
      <c r="G3682">
        <v>23.684699999999999</v>
      </c>
      <c r="H3682">
        <v>2</v>
      </c>
      <c r="I3682">
        <v>252.6</v>
      </c>
      <c r="J3682" t="str">
        <f>HYPERLINK("https://climate.onebuilding.org/WMO_Region_6_Europe/FIN_Finland/LA_Lapland/FIN_LA_Muonio.Alamuonio.028230_TMYx.2007-2021.zip")</f>
        <v>https://climate.onebuilding.org/WMO_Region_6_Europe/FIN_Finland/LA_Lapland/FIN_LA_Muonio.Alamuonio.028230_TMYx.2007-2021.zip</v>
      </c>
    </row>
    <row r="3683" spans="1:10" x14ac:dyDescent="0.25">
      <c r="A3683" t="s">
        <v>2310</v>
      </c>
      <c r="B3683" t="s">
        <v>1184</v>
      </c>
      <c r="C3683" t="s">
        <v>2587</v>
      </c>
      <c r="D3683" s="1" t="s">
        <v>2588</v>
      </c>
      <c r="E3683" t="s">
        <v>14</v>
      </c>
      <c r="F3683">
        <v>67.958299999999994</v>
      </c>
      <c r="G3683">
        <v>23.684699999999999</v>
      </c>
      <c r="H3683">
        <v>2</v>
      </c>
      <c r="I3683">
        <v>252.6</v>
      </c>
      <c r="J3683" t="str">
        <f>HYPERLINK("https://climate.onebuilding.org/WMO_Region_6_Europe/FIN_Finland/LA_Lapland/FIN_LA_Muonio.Alamuonio.028230_TMYx.2009-2023.zip")</f>
        <v>https://climate.onebuilding.org/WMO_Region_6_Europe/FIN_Finland/LA_Lapland/FIN_LA_Muonio.Alamuonio.028230_TMYx.2009-2023.zip</v>
      </c>
    </row>
    <row r="3684" spans="1:10" x14ac:dyDescent="0.25">
      <c r="A3684" t="s">
        <v>2310</v>
      </c>
      <c r="B3684" t="s">
        <v>1184</v>
      </c>
      <c r="C3684" t="s">
        <v>2587</v>
      </c>
      <c r="D3684" s="1" t="s">
        <v>2588</v>
      </c>
      <c r="E3684" t="s">
        <v>14</v>
      </c>
      <c r="F3684">
        <v>67.958299999999994</v>
      </c>
      <c r="G3684">
        <v>23.684699999999999</v>
      </c>
      <c r="H3684">
        <v>2</v>
      </c>
      <c r="I3684">
        <v>252.6</v>
      </c>
      <c r="J3684" t="str">
        <f>HYPERLINK("https://climate.onebuilding.org/WMO_Region_6_Europe/FIN_Finland/LA_Lapland/FIN_LA_Muonio.Alamuonio.028230_TMYx.zip")</f>
        <v>https://climate.onebuilding.org/WMO_Region_6_Europe/FIN_Finland/LA_Lapland/FIN_LA_Muonio.Alamuonio.028230_TMYx.zip</v>
      </c>
    </row>
    <row r="3685" spans="1:10" x14ac:dyDescent="0.25">
      <c r="A3685" t="s">
        <v>2310</v>
      </c>
      <c r="B3685" t="s">
        <v>1184</v>
      </c>
      <c r="C3685" t="s">
        <v>2590</v>
      </c>
      <c r="D3685" s="1" t="s">
        <v>2591</v>
      </c>
      <c r="E3685" t="s">
        <v>2592</v>
      </c>
      <c r="F3685">
        <v>67.987200000000001</v>
      </c>
      <c r="G3685">
        <v>24.242799999999999</v>
      </c>
      <c r="H3685">
        <v>2</v>
      </c>
      <c r="I3685">
        <v>349.5</v>
      </c>
      <c r="J3685" t="str">
        <f>HYPERLINK("https://climate.onebuilding.org/WMO_Region_6_Europe/FIN_Finland/LA_Lapland/FIN_LA_Kittila.Kenttarova.028240_TMYx.2004-2018.zip")</f>
        <v>https://climate.onebuilding.org/WMO_Region_6_Europe/FIN_Finland/LA_Lapland/FIN_LA_Kittila.Kenttarova.028240_TMYx.2004-2018.zip</v>
      </c>
    </row>
    <row r="3686" spans="1:10" x14ac:dyDescent="0.25">
      <c r="A3686" t="s">
        <v>2310</v>
      </c>
      <c r="B3686" t="s">
        <v>1184</v>
      </c>
      <c r="C3686" t="s">
        <v>2590</v>
      </c>
      <c r="D3686" s="1" t="s">
        <v>2591</v>
      </c>
      <c r="E3686" t="s">
        <v>14</v>
      </c>
      <c r="F3686">
        <v>67.987200000000001</v>
      </c>
      <c r="G3686">
        <v>24.242799999999999</v>
      </c>
      <c r="H3686">
        <v>2</v>
      </c>
      <c r="I3686">
        <v>349.5</v>
      </c>
      <c r="J3686" t="str">
        <f>HYPERLINK("https://climate.onebuilding.org/WMO_Region_6_Europe/FIN_Finland/LA_Lapland/FIN_LA_Kittila.Kenttarova.028240_TMYx.2007-2021.zip")</f>
        <v>https://climate.onebuilding.org/WMO_Region_6_Europe/FIN_Finland/LA_Lapland/FIN_LA_Kittila.Kenttarova.028240_TMYx.2007-2021.zip</v>
      </c>
    </row>
    <row r="3687" spans="1:10" x14ac:dyDescent="0.25">
      <c r="A3687" t="s">
        <v>2310</v>
      </c>
      <c r="B3687" t="s">
        <v>1184</v>
      </c>
      <c r="C3687" t="s">
        <v>2590</v>
      </c>
      <c r="D3687" s="1" t="s">
        <v>2591</v>
      </c>
      <c r="E3687" t="s">
        <v>14</v>
      </c>
      <c r="F3687">
        <v>67.987200000000001</v>
      </c>
      <c r="G3687">
        <v>24.242799999999999</v>
      </c>
      <c r="H3687">
        <v>2</v>
      </c>
      <c r="I3687">
        <v>349.5</v>
      </c>
      <c r="J3687" t="str">
        <f>HYPERLINK("https://climate.onebuilding.org/WMO_Region_6_Europe/FIN_Finland/LA_Lapland/FIN_LA_Kittila.Kenttarova.028240_TMYx.2009-2023.zip")</f>
        <v>https://climate.onebuilding.org/WMO_Region_6_Europe/FIN_Finland/LA_Lapland/FIN_LA_Kittila.Kenttarova.028240_TMYx.2009-2023.zip</v>
      </c>
    </row>
    <row r="3688" spans="1:10" x14ac:dyDescent="0.25">
      <c r="A3688" t="s">
        <v>2310</v>
      </c>
      <c r="B3688" t="s">
        <v>1184</v>
      </c>
      <c r="C3688" t="s">
        <v>2590</v>
      </c>
      <c r="D3688" s="1" t="s">
        <v>2591</v>
      </c>
      <c r="E3688" t="s">
        <v>14</v>
      </c>
      <c r="F3688">
        <v>67.987200000000001</v>
      </c>
      <c r="G3688">
        <v>24.242799999999999</v>
      </c>
      <c r="H3688">
        <v>2</v>
      </c>
      <c r="I3688">
        <v>349.5</v>
      </c>
      <c r="J3688" t="str">
        <f>HYPERLINK("https://climate.onebuilding.org/WMO_Region_6_Europe/FIN_Finland/LA_Lapland/FIN_LA_Kittila.Kenttarova.028240_TMYx.zip")</f>
        <v>https://climate.onebuilding.org/WMO_Region_6_Europe/FIN_Finland/LA_Lapland/FIN_LA_Kittila.Kenttarova.028240_TMYx.zip</v>
      </c>
    </row>
    <row r="3689" spans="1:10" x14ac:dyDescent="0.25">
      <c r="A3689" t="s">
        <v>2310</v>
      </c>
      <c r="B3689" t="s">
        <v>1184</v>
      </c>
      <c r="C3689" t="s">
        <v>2593</v>
      </c>
      <c r="D3689" s="1" t="s">
        <v>2594</v>
      </c>
      <c r="E3689" t="s">
        <v>2595</v>
      </c>
      <c r="F3689">
        <v>70.081900000000005</v>
      </c>
      <c r="G3689">
        <v>27.8964</v>
      </c>
      <c r="H3689">
        <v>2</v>
      </c>
      <c r="I3689">
        <v>22</v>
      </c>
      <c r="J3689" t="str">
        <f>HYPERLINK("https://climate.onebuilding.org/WMO_Region_6_Europe/FIN_Finland/LA_Lapland/FIN_LA_Utsjoki.Nuorgam.028250_TMYx.2004-2018.zip")</f>
        <v>https://climate.onebuilding.org/WMO_Region_6_Europe/FIN_Finland/LA_Lapland/FIN_LA_Utsjoki.Nuorgam.028250_TMYx.2004-2018.zip</v>
      </c>
    </row>
    <row r="3690" spans="1:10" x14ac:dyDescent="0.25">
      <c r="A3690" t="s">
        <v>2310</v>
      </c>
      <c r="B3690" t="s">
        <v>1184</v>
      </c>
      <c r="C3690" t="s">
        <v>2593</v>
      </c>
      <c r="D3690" s="1" t="s">
        <v>2594</v>
      </c>
      <c r="E3690" t="s">
        <v>14</v>
      </c>
      <c r="F3690">
        <v>70.081900000000005</v>
      </c>
      <c r="G3690">
        <v>27.8964</v>
      </c>
      <c r="H3690">
        <v>2</v>
      </c>
      <c r="I3690">
        <v>22</v>
      </c>
      <c r="J3690" t="str">
        <f>HYPERLINK("https://climate.onebuilding.org/WMO_Region_6_Europe/FIN_Finland/LA_Lapland/FIN_LA_Utsjoki.Nuorgam.028250_TMYx.2007-2021.zip")</f>
        <v>https://climate.onebuilding.org/WMO_Region_6_Europe/FIN_Finland/LA_Lapland/FIN_LA_Utsjoki.Nuorgam.028250_TMYx.2007-2021.zip</v>
      </c>
    </row>
    <row r="3691" spans="1:10" x14ac:dyDescent="0.25">
      <c r="A3691" t="s">
        <v>2310</v>
      </c>
      <c r="B3691" t="s">
        <v>1184</v>
      </c>
      <c r="C3691" t="s">
        <v>2593</v>
      </c>
      <c r="D3691" s="1" t="s">
        <v>2594</v>
      </c>
      <c r="E3691" t="s">
        <v>14</v>
      </c>
      <c r="F3691">
        <v>70.081900000000005</v>
      </c>
      <c r="G3691">
        <v>27.8964</v>
      </c>
      <c r="H3691">
        <v>2</v>
      </c>
      <c r="I3691">
        <v>22</v>
      </c>
      <c r="J3691" t="str">
        <f>HYPERLINK("https://climate.onebuilding.org/WMO_Region_6_Europe/FIN_Finland/LA_Lapland/FIN_LA_Utsjoki.Nuorgam.028250_TMYx.2009-2023.zip")</f>
        <v>https://climate.onebuilding.org/WMO_Region_6_Europe/FIN_Finland/LA_Lapland/FIN_LA_Utsjoki.Nuorgam.028250_TMYx.2009-2023.zip</v>
      </c>
    </row>
    <row r="3692" spans="1:10" x14ac:dyDescent="0.25">
      <c r="A3692" t="s">
        <v>2310</v>
      </c>
      <c r="B3692" t="s">
        <v>1184</v>
      </c>
      <c r="C3692" t="s">
        <v>2593</v>
      </c>
      <c r="D3692" s="1" t="s">
        <v>2594</v>
      </c>
      <c r="E3692" t="s">
        <v>14</v>
      </c>
      <c r="F3692">
        <v>70.081900000000005</v>
      </c>
      <c r="G3692">
        <v>27.8964</v>
      </c>
      <c r="H3692">
        <v>2</v>
      </c>
      <c r="I3692">
        <v>22</v>
      </c>
      <c r="J3692" t="str">
        <f>HYPERLINK("https://climate.onebuilding.org/WMO_Region_6_Europe/FIN_Finland/LA_Lapland/FIN_LA_Utsjoki.Nuorgam.028250_TMYx.zip")</f>
        <v>https://climate.onebuilding.org/WMO_Region_6_Europe/FIN_Finland/LA_Lapland/FIN_LA_Utsjoki.Nuorgam.028250_TMYx.zip</v>
      </c>
    </row>
    <row r="3693" spans="1:10" x14ac:dyDescent="0.25">
      <c r="A3693" t="s">
        <v>2310</v>
      </c>
      <c r="B3693" t="s">
        <v>1184</v>
      </c>
      <c r="C3693" t="s">
        <v>2596</v>
      </c>
      <c r="D3693" s="1" t="s">
        <v>2597</v>
      </c>
      <c r="E3693" t="s">
        <v>2598</v>
      </c>
      <c r="F3693">
        <v>69.072199999999995</v>
      </c>
      <c r="G3693">
        <v>27.4925</v>
      </c>
      <c r="H3693">
        <v>2</v>
      </c>
      <c r="I3693">
        <v>123.5</v>
      </c>
      <c r="J3693" t="str">
        <f>HYPERLINK("https://climate.onebuilding.org/WMO_Region_6_Europe/FIN_Finland/LA_Lapland/FIN_LA_Inari-Vayla.028270_TMYx.2004-2018.zip")</f>
        <v>https://climate.onebuilding.org/WMO_Region_6_Europe/FIN_Finland/LA_Lapland/FIN_LA_Inari-Vayla.028270_TMYx.2004-2018.zip</v>
      </c>
    </row>
    <row r="3694" spans="1:10" x14ac:dyDescent="0.25">
      <c r="A3694" t="s">
        <v>2310</v>
      </c>
      <c r="B3694" t="s">
        <v>1184</v>
      </c>
      <c r="C3694" t="s">
        <v>2596</v>
      </c>
      <c r="D3694" s="1" t="s">
        <v>2597</v>
      </c>
      <c r="E3694" t="s">
        <v>14</v>
      </c>
      <c r="F3694">
        <v>69.072199999999995</v>
      </c>
      <c r="G3694">
        <v>27.4925</v>
      </c>
      <c r="H3694">
        <v>2</v>
      </c>
      <c r="I3694">
        <v>123.5</v>
      </c>
      <c r="J3694" t="str">
        <f>HYPERLINK("https://climate.onebuilding.org/WMO_Region_6_Europe/FIN_Finland/LA_Lapland/FIN_LA_Inari-Vayla.028270_TMYx.2007-2021.zip")</f>
        <v>https://climate.onebuilding.org/WMO_Region_6_Europe/FIN_Finland/LA_Lapland/FIN_LA_Inari-Vayla.028270_TMYx.2007-2021.zip</v>
      </c>
    </row>
    <row r="3695" spans="1:10" x14ac:dyDescent="0.25">
      <c r="A3695" t="s">
        <v>2310</v>
      </c>
      <c r="B3695" t="s">
        <v>1184</v>
      </c>
      <c r="C3695" t="s">
        <v>2596</v>
      </c>
      <c r="D3695" s="1" t="s">
        <v>2597</v>
      </c>
      <c r="E3695" t="s">
        <v>14</v>
      </c>
      <c r="F3695">
        <v>69.072199999999995</v>
      </c>
      <c r="G3695">
        <v>27.4925</v>
      </c>
      <c r="H3695">
        <v>2</v>
      </c>
      <c r="I3695">
        <v>123.5</v>
      </c>
      <c r="J3695" t="str">
        <f>HYPERLINK("https://climate.onebuilding.org/WMO_Region_6_Europe/FIN_Finland/LA_Lapland/FIN_LA_Inari-Vayla.028270_TMYx.2009-2023.zip")</f>
        <v>https://climate.onebuilding.org/WMO_Region_6_Europe/FIN_Finland/LA_Lapland/FIN_LA_Inari-Vayla.028270_TMYx.2009-2023.zip</v>
      </c>
    </row>
    <row r="3696" spans="1:10" x14ac:dyDescent="0.25">
      <c r="A3696" t="s">
        <v>2310</v>
      </c>
      <c r="B3696" t="s">
        <v>1184</v>
      </c>
      <c r="C3696" t="s">
        <v>2596</v>
      </c>
      <c r="D3696" s="1" t="s">
        <v>2597</v>
      </c>
      <c r="E3696" t="s">
        <v>14</v>
      </c>
      <c r="F3696">
        <v>69.072199999999995</v>
      </c>
      <c r="G3696">
        <v>27.4925</v>
      </c>
      <c r="H3696">
        <v>2</v>
      </c>
      <c r="I3696">
        <v>123.5</v>
      </c>
      <c r="J3696" t="str">
        <f>HYPERLINK("https://climate.onebuilding.org/WMO_Region_6_Europe/FIN_Finland/LA_Lapland/FIN_LA_Inari-Vayla.028270_TMYx.zip")</f>
        <v>https://climate.onebuilding.org/WMO_Region_6_Europe/FIN_Finland/LA_Lapland/FIN_LA_Inari-Vayla.028270_TMYx.zip</v>
      </c>
    </row>
    <row r="3697" spans="1:10" x14ac:dyDescent="0.25">
      <c r="A3697" t="s">
        <v>2310</v>
      </c>
      <c r="B3697" t="s">
        <v>527</v>
      </c>
      <c r="C3697" t="s">
        <v>2599</v>
      </c>
      <c r="D3697" s="1" t="s">
        <v>2600</v>
      </c>
      <c r="E3697" t="s">
        <v>2601</v>
      </c>
      <c r="F3697">
        <v>60.386699999999998</v>
      </c>
      <c r="G3697">
        <v>22.551400000000001</v>
      </c>
      <c r="H3697">
        <v>2</v>
      </c>
      <c r="I3697">
        <v>5.2</v>
      </c>
      <c r="J3697" t="str">
        <f>HYPERLINK("https://climate.onebuilding.org/WMO_Region_6_Europe/FIN_Finland/SF_Southwest_Finland/FIN_SF_Kaarina.Yltoinen.028280_TMYx.2004-2018.zip")</f>
        <v>https://climate.onebuilding.org/WMO_Region_6_Europe/FIN_Finland/SF_Southwest_Finland/FIN_SF_Kaarina.Yltoinen.028280_TMYx.2004-2018.zip</v>
      </c>
    </row>
    <row r="3698" spans="1:10" x14ac:dyDescent="0.25">
      <c r="A3698" t="s">
        <v>2310</v>
      </c>
      <c r="B3698" t="s">
        <v>527</v>
      </c>
      <c r="C3698" t="s">
        <v>2599</v>
      </c>
      <c r="D3698" s="1" t="s">
        <v>2600</v>
      </c>
      <c r="E3698" t="s">
        <v>14</v>
      </c>
      <c r="F3698">
        <v>60.386699999999998</v>
      </c>
      <c r="G3698">
        <v>22.551400000000001</v>
      </c>
      <c r="H3698">
        <v>2</v>
      </c>
      <c r="I3698">
        <v>5.2</v>
      </c>
      <c r="J3698" t="str">
        <f>HYPERLINK("https://climate.onebuilding.org/WMO_Region_6_Europe/FIN_Finland/SF_Southwest_Finland/FIN_SF_Kaarina.Yltoinen.028280_TMYx.2007-2021.zip")</f>
        <v>https://climate.onebuilding.org/WMO_Region_6_Europe/FIN_Finland/SF_Southwest_Finland/FIN_SF_Kaarina.Yltoinen.028280_TMYx.2007-2021.zip</v>
      </c>
    </row>
    <row r="3699" spans="1:10" x14ac:dyDescent="0.25">
      <c r="A3699" t="s">
        <v>2310</v>
      </c>
      <c r="B3699" t="s">
        <v>527</v>
      </c>
      <c r="C3699" t="s">
        <v>2599</v>
      </c>
      <c r="D3699" s="1" t="s">
        <v>2600</v>
      </c>
      <c r="E3699" t="s">
        <v>14</v>
      </c>
      <c r="F3699">
        <v>60.386699999999998</v>
      </c>
      <c r="G3699">
        <v>22.551400000000001</v>
      </c>
      <c r="H3699">
        <v>2</v>
      </c>
      <c r="I3699">
        <v>5.2</v>
      </c>
      <c r="J3699" t="str">
        <f>HYPERLINK("https://climate.onebuilding.org/WMO_Region_6_Europe/FIN_Finland/SF_Southwest_Finland/FIN_SF_Kaarina.Yltoinen.028280_TMYx.2009-2023.zip")</f>
        <v>https://climate.onebuilding.org/WMO_Region_6_Europe/FIN_Finland/SF_Southwest_Finland/FIN_SF_Kaarina.Yltoinen.028280_TMYx.2009-2023.zip</v>
      </c>
    </row>
    <row r="3700" spans="1:10" x14ac:dyDescent="0.25">
      <c r="A3700" t="s">
        <v>2310</v>
      </c>
      <c r="B3700" t="s">
        <v>527</v>
      </c>
      <c r="C3700" t="s">
        <v>2599</v>
      </c>
      <c r="D3700" s="1" t="s">
        <v>2600</v>
      </c>
      <c r="E3700" t="s">
        <v>14</v>
      </c>
      <c r="F3700">
        <v>60.386699999999998</v>
      </c>
      <c r="G3700">
        <v>22.551400000000001</v>
      </c>
      <c r="H3700">
        <v>2</v>
      </c>
      <c r="I3700">
        <v>5.2</v>
      </c>
      <c r="J3700" t="str">
        <f>HYPERLINK("https://climate.onebuilding.org/WMO_Region_6_Europe/FIN_Finland/SF_Southwest_Finland/FIN_SF_Kaarina.Yltoinen.028280_TMYx.zip")</f>
        <v>https://climate.onebuilding.org/WMO_Region_6_Europe/FIN_Finland/SF_Southwest_Finland/FIN_SF_Kaarina.Yltoinen.028280_TMYx.zip</v>
      </c>
    </row>
    <row r="3701" spans="1:10" x14ac:dyDescent="0.25">
      <c r="A3701" t="s">
        <v>2310</v>
      </c>
      <c r="B3701" t="s">
        <v>2317</v>
      </c>
      <c r="C3701" t="s">
        <v>2602</v>
      </c>
      <c r="D3701" s="1" t="s">
        <v>2603</v>
      </c>
      <c r="E3701" t="s">
        <v>2604</v>
      </c>
      <c r="F3701">
        <v>60.595799999999997</v>
      </c>
      <c r="G3701">
        <v>24.803000000000001</v>
      </c>
      <c r="H3701">
        <v>2</v>
      </c>
      <c r="I3701">
        <v>87.5</v>
      </c>
      <c r="J3701" t="str">
        <f>HYPERLINK("https://climate.onebuilding.org/WMO_Region_6_Europe/FIN_Finland/US_Uusimaa/FIN_US_Hyvinkaa.Hyvinkaankyla.028290_TMYx.2004-2018.zip")</f>
        <v>https://climate.onebuilding.org/WMO_Region_6_Europe/FIN_Finland/US_Uusimaa/FIN_US_Hyvinkaa.Hyvinkaankyla.028290_TMYx.2004-2018.zip</v>
      </c>
    </row>
    <row r="3702" spans="1:10" x14ac:dyDescent="0.25">
      <c r="A3702" t="s">
        <v>2310</v>
      </c>
      <c r="B3702" t="s">
        <v>2317</v>
      </c>
      <c r="C3702" t="s">
        <v>2602</v>
      </c>
      <c r="D3702" s="1" t="s">
        <v>2603</v>
      </c>
      <c r="E3702" t="s">
        <v>14</v>
      </c>
      <c r="F3702">
        <v>60.595799999999997</v>
      </c>
      <c r="G3702">
        <v>24.803000000000001</v>
      </c>
      <c r="H3702">
        <v>2</v>
      </c>
      <c r="I3702">
        <v>87.5</v>
      </c>
      <c r="J3702" t="str">
        <f>HYPERLINK("https://climate.onebuilding.org/WMO_Region_6_Europe/FIN_Finland/US_Uusimaa/FIN_US_Hyvinkaa.Hyvinkaankyla.028290_TMYx.2007-2021.zip")</f>
        <v>https://climate.onebuilding.org/WMO_Region_6_Europe/FIN_Finland/US_Uusimaa/FIN_US_Hyvinkaa.Hyvinkaankyla.028290_TMYx.2007-2021.zip</v>
      </c>
    </row>
    <row r="3703" spans="1:10" x14ac:dyDescent="0.25">
      <c r="A3703" t="s">
        <v>2310</v>
      </c>
      <c r="B3703" t="s">
        <v>2317</v>
      </c>
      <c r="C3703" t="s">
        <v>2602</v>
      </c>
      <c r="D3703" s="1" t="s">
        <v>2603</v>
      </c>
      <c r="E3703" t="s">
        <v>14</v>
      </c>
      <c r="F3703">
        <v>60.595799999999997</v>
      </c>
      <c r="G3703">
        <v>24.803000000000001</v>
      </c>
      <c r="H3703">
        <v>2</v>
      </c>
      <c r="I3703">
        <v>87.5</v>
      </c>
      <c r="J3703" t="str">
        <f>HYPERLINK("https://climate.onebuilding.org/WMO_Region_6_Europe/FIN_Finland/US_Uusimaa/FIN_US_Hyvinkaa.Hyvinkaankyla.028290_TMYx.2009-2023.zip")</f>
        <v>https://climate.onebuilding.org/WMO_Region_6_Europe/FIN_Finland/US_Uusimaa/FIN_US_Hyvinkaa.Hyvinkaankyla.028290_TMYx.2009-2023.zip</v>
      </c>
    </row>
    <row r="3704" spans="1:10" x14ac:dyDescent="0.25">
      <c r="A3704" t="s">
        <v>2310</v>
      </c>
      <c r="B3704" t="s">
        <v>2317</v>
      </c>
      <c r="C3704" t="s">
        <v>2602</v>
      </c>
      <c r="D3704" s="1" t="s">
        <v>2603</v>
      </c>
      <c r="E3704" t="s">
        <v>14</v>
      </c>
      <c r="F3704">
        <v>60.595799999999997</v>
      </c>
      <c r="G3704">
        <v>24.803000000000001</v>
      </c>
      <c r="H3704">
        <v>2</v>
      </c>
      <c r="I3704">
        <v>87.5</v>
      </c>
      <c r="J3704" t="str">
        <f>HYPERLINK("https://climate.onebuilding.org/WMO_Region_6_Europe/FIN_Finland/US_Uusimaa/FIN_US_Hyvinkaa.Hyvinkaankyla.028290_TMYx.zip")</f>
        <v>https://climate.onebuilding.org/WMO_Region_6_Europe/FIN_Finland/US_Uusimaa/FIN_US_Hyvinkaa.Hyvinkaankyla.028290_TMYx.zip</v>
      </c>
    </row>
    <row r="3705" spans="1:10" x14ac:dyDescent="0.25">
      <c r="A3705" t="s">
        <v>2310</v>
      </c>
      <c r="B3705" t="s">
        <v>530</v>
      </c>
      <c r="C3705" t="s">
        <v>2605</v>
      </c>
      <c r="D3705" s="1" t="s">
        <v>2606</v>
      </c>
      <c r="E3705" t="s">
        <v>2607</v>
      </c>
      <c r="F3705">
        <v>60.696399999999997</v>
      </c>
      <c r="G3705">
        <v>26.8111</v>
      </c>
      <c r="H3705">
        <v>2</v>
      </c>
      <c r="I3705">
        <v>33</v>
      </c>
      <c r="J3705" t="str">
        <f>HYPERLINK("https://climate.onebuilding.org/WMO_Region_6_Europe/FIN_Finland/KY_Kymenlaakso/FIN_KY_Kouvola.Anjala.028300_TMYx.2004-2018.zip")</f>
        <v>https://climate.onebuilding.org/WMO_Region_6_Europe/FIN_Finland/KY_Kymenlaakso/FIN_KY_Kouvola.Anjala.028300_TMYx.2004-2018.zip</v>
      </c>
    </row>
    <row r="3706" spans="1:10" x14ac:dyDescent="0.25">
      <c r="A3706" t="s">
        <v>2310</v>
      </c>
      <c r="B3706" t="s">
        <v>530</v>
      </c>
      <c r="C3706" t="s">
        <v>2605</v>
      </c>
      <c r="D3706" s="1" t="s">
        <v>2606</v>
      </c>
      <c r="E3706" t="s">
        <v>14</v>
      </c>
      <c r="F3706">
        <v>60.696399999999997</v>
      </c>
      <c r="G3706">
        <v>26.8111</v>
      </c>
      <c r="H3706">
        <v>2</v>
      </c>
      <c r="I3706">
        <v>33</v>
      </c>
      <c r="J3706" t="str">
        <f>HYPERLINK("https://climate.onebuilding.org/WMO_Region_6_Europe/FIN_Finland/KY_Kymenlaakso/FIN_KY_Kouvola.Anjala.028300_TMYx.2007-2021.zip")</f>
        <v>https://climate.onebuilding.org/WMO_Region_6_Europe/FIN_Finland/KY_Kymenlaakso/FIN_KY_Kouvola.Anjala.028300_TMYx.2007-2021.zip</v>
      </c>
    </row>
    <row r="3707" spans="1:10" x14ac:dyDescent="0.25">
      <c r="A3707" t="s">
        <v>2310</v>
      </c>
      <c r="B3707" t="s">
        <v>530</v>
      </c>
      <c r="C3707" t="s">
        <v>2605</v>
      </c>
      <c r="D3707" s="1" t="s">
        <v>2606</v>
      </c>
      <c r="E3707" t="s">
        <v>14</v>
      </c>
      <c r="F3707">
        <v>60.696399999999997</v>
      </c>
      <c r="G3707">
        <v>26.8111</v>
      </c>
      <c r="H3707">
        <v>2</v>
      </c>
      <c r="I3707">
        <v>33</v>
      </c>
      <c r="J3707" t="str">
        <f>HYPERLINK("https://climate.onebuilding.org/WMO_Region_6_Europe/FIN_Finland/KY_Kymenlaakso/FIN_KY_Kouvola.Anjala.028300_TMYx.2009-2023.zip")</f>
        <v>https://climate.onebuilding.org/WMO_Region_6_Europe/FIN_Finland/KY_Kymenlaakso/FIN_KY_Kouvola.Anjala.028300_TMYx.2009-2023.zip</v>
      </c>
    </row>
    <row r="3708" spans="1:10" x14ac:dyDescent="0.25">
      <c r="A3708" t="s">
        <v>2310</v>
      </c>
      <c r="B3708" t="s">
        <v>530</v>
      </c>
      <c r="C3708" t="s">
        <v>2605</v>
      </c>
      <c r="D3708" s="1" t="s">
        <v>2606</v>
      </c>
      <c r="E3708" t="s">
        <v>14</v>
      </c>
      <c r="F3708">
        <v>60.696399999999997</v>
      </c>
      <c r="G3708">
        <v>26.8111</v>
      </c>
      <c r="H3708">
        <v>2</v>
      </c>
      <c r="I3708">
        <v>33</v>
      </c>
      <c r="J3708" t="str">
        <f>HYPERLINK("https://climate.onebuilding.org/WMO_Region_6_Europe/FIN_Finland/KY_Kymenlaakso/FIN_KY_Kouvola.Anjala.028300_TMYx.zip")</f>
        <v>https://climate.onebuilding.org/WMO_Region_6_Europe/FIN_Finland/KY_Kymenlaakso/FIN_KY_Kouvola.Anjala.028300_TMYx.zip</v>
      </c>
    </row>
    <row r="3709" spans="1:10" x14ac:dyDescent="0.25">
      <c r="A3709" t="s">
        <v>2310</v>
      </c>
      <c r="B3709" t="s">
        <v>530</v>
      </c>
      <c r="C3709" t="s">
        <v>2608</v>
      </c>
      <c r="D3709" s="1" t="s">
        <v>2609</v>
      </c>
      <c r="E3709" t="s">
        <v>2610</v>
      </c>
      <c r="F3709">
        <v>60.527200000000001</v>
      </c>
      <c r="G3709">
        <v>27.672799999999999</v>
      </c>
      <c r="H3709">
        <v>2</v>
      </c>
      <c r="I3709">
        <v>5</v>
      </c>
      <c r="J3709" t="str">
        <f>HYPERLINK("https://climate.onebuilding.org/WMO_Region_6_Europe/FIN_Finland/KY_Kymenlaakso/FIN_KY_Virolahti.Koivuniemi.028310_TMYx.2004-2018.zip")</f>
        <v>https://climate.onebuilding.org/WMO_Region_6_Europe/FIN_Finland/KY_Kymenlaakso/FIN_KY_Virolahti.Koivuniemi.028310_TMYx.2004-2018.zip</v>
      </c>
    </row>
    <row r="3710" spans="1:10" x14ac:dyDescent="0.25">
      <c r="A3710" t="s">
        <v>2310</v>
      </c>
      <c r="B3710" t="s">
        <v>530</v>
      </c>
      <c r="C3710" t="s">
        <v>2608</v>
      </c>
      <c r="D3710" s="1" t="s">
        <v>2609</v>
      </c>
      <c r="E3710" t="s">
        <v>14</v>
      </c>
      <c r="F3710">
        <v>60.527200000000001</v>
      </c>
      <c r="G3710">
        <v>27.672799999999999</v>
      </c>
      <c r="H3710">
        <v>2</v>
      </c>
      <c r="I3710">
        <v>5</v>
      </c>
      <c r="J3710" t="str">
        <f>HYPERLINK("https://climate.onebuilding.org/WMO_Region_6_Europe/FIN_Finland/KY_Kymenlaakso/FIN_KY_Virolahti.Koivuniemi.028310_TMYx.2007-2021.zip")</f>
        <v>https://climate.onebuilding.org/WMO_Region_6_Europe/FIN_Finland/KY_Kymenlaakso/FIN_KY_Virolahti.Koivuniemi.028310_TMYx.2007-2021.zip</v>
      </c>
    </row>
    <row r="3711" spans="1:10" x14ac:dyDescent="0.25">
      <c r="A3711" t="s">
        <v>2310</v>
      </c>
      <c r="B3711" t="s">
        <v>530</v>
      </c>
      <c r="C3711" t="s">
        <v>2608</v>
      </c>
      <c r="D3711" s="1" t="s">
        <v>2609</v>
      </c>
      <c r="E3711" t="s">
        <v>14</v>
      </c>
      <c r="F3711">
        <v>60.527200000000001</v>
      </c>
      <c r="G3711">
        <v>27.672799999999999</v>
      </c>
      <c r="H3711">
        <v>2</v>
      </c>
      <c r="I3711">
        <v>5</v>
      </c>
      <c r="J3711" t="str">
        <f>HYPERLINK("https://climate.onebuilding.org/WMO_Region_6_Europe/FIN_Finland/KY_Kymenlaakso/FIN_KY_Virolahti.Koivuniemi.028310_TMYx.2009-2023.zip")</f>
        <v>https://climate.onebuilding.org/WMO_Region_6_Europe/FIN_Finland/KY_Kymenlaakso/FIN_KY_Virolahti.Koivuniemi.028310_TMYx.2009-2023.zip</v>
      </c>
    </row>
    <row r="3712" spans="1:10" x14ac:dyDescent="0.25">
      <c r="A3712" t="s">
        <v>2310</v>
      </c>
      <c r="B3712" t="s">
        <v>530</v>
      </c>
      <c r="C3712" t="s">
        <v>2608</v>
      </c>
      <c r="D3712" s="1" t="s">
        <v>2609</v>
      </c>
      <c r="E3712" t="s">
        <v>14</v>
      </c>
      <c r="F3712">
        <v>60.527200000000001</v>
      </c>
      <c r="G3712">
        <v>27.672799999999999</v>
      </c>
      <c r="H3712">
        <v>2</v>
      </c>
      <c r="I3712">
        <v>5</v>
      </c>
      <c r="J3712" t="str">
        <f>HYPERLINK("https://climate.onebuilding.org/WMO_Region_6_Europe/FIN_Finland/KY_Kymenlaakso/FIN_KY_Virolahti.Koivuniemi.028310_TMYx.zip")</f>
        <v>https://climate.onebuilding.org/WMO_Region_6_Europe/FIN_Finland/KY_Kymenlaakso/FIN_KY_Virolahti.Koivuniemi.028310_TMYx.zip</v>
      </c>
    </row>
    <row r="3713" spans="1:10" x14ac:dyDescent="0.25">
      <c r="A3713" t="s">
        <v>2310</v>
      </c>
      <c r="B3713" t="s">
        <v>2463</v>
      </c>
      <c r="C3713" t="s">
        <v>2611</v>
      </c>
      <c r="D3713" s="1" t="s">
        <v>2612</v>
      </c>
      <c r="E3713" t="s">
        <v>2613</v>
      </c>
      <c r="F3713">
        <v>62.235300000000002</v>
      </c>
      <c r="G3713">
        <v>30.346699999999998</v>
      </c>
      <c r="H3713">
        <v>2</v>
      </c>
      <c r="I3713">
        <v>90</v>
      </c>
      <c r="J3713" t="str">
        <f>HYPERLINK("https://climate.onebuilding.org/WMO_Region_6_Europe/FIN_Finland/NK_North_Karelia/FIN_NK_Tohmajarvi.Kemie.028320_TMYx.2004-2018.zip")</f>
        <v>https://climate.onebuilding.org/WMO_Region_6_Europe/FIN_Finland/NK_North_Karelia/FIN_NK_Tohmajarvi.Kemie.028320_TMYx.2004-2018.zip</v>
      </c>
    </row>
    <row r="3714" spans="1:10" x14ac:dyDescent="0.25">
      <c r="A3714" t="s">
        <v>2310</v>
      </c>
      <c r="B3714" t="s">
        <v>2463</v>
      </c>
      <c r="C3714" t="s">
        <v>2611</v>
      </c>
      <c r="D3714" s="1" t="s">
        <v>2612</v>
      </c>
      <c r="E3714" t="s">
        <v>14</v>
      </c>
      <c r="F3714">
        <v>62.235300000000002</v>
      </c>
      <c r="G3714">
        <v>30.346699999999998</v>
      </c>
      <c r="H3714">
        <v>2</v>
      </c>
      <c r="I3714">
        <v>90</v>
      </c>
      <c r="J3714" t="str">
        <f>HYPERLINK("https://climate.onebuilding.org/WMO_Region_6_Europe/FIN_Finland/NK_North_Karelia/FIN_NK_Tohmajarvi.Kemie.028320_TMYx.2007-2021.zip")</f>
        <v>https://climate.onebuilding.org/WMO_Region_6_Europe/FIN_Finland/NK_North_Karelia/FIN_NK_Tohmajarvi.Kemie.028320_TMYx.2007-2021.zip</v>
      </c>
    </row>
    <row r="3715" spans="1:10" x14ac:dyDescent="0.25">
      <c r="A3715" t="s">
        <v>2310</v>
      </c>
      <c r="B3715" t="s">
        <v>2463</v>
      </c>
      <c r="C3715" t="s">
        <v>2611</v>
      </c>
      <c r="D3715" s="1" t="s">
        <v>2612</v>
      </c>
      <c r="E3715" t="s">
        <v>14</v>
      </c>
      <c r="F3715">
        <v>62.235300000000002</v>
      </c>
      <c r="G3715">
        <v>30.346699999999998</v>
      </c>
      <c r="H3715">
        <v>2</v>
      </c>
      <c r="I3715">
        <v>90</v>
      </c>
      <c r="J3715" t="str">
        <f>HYPERLINK("https://climate.onebuilding.org/WMO_Region_6_Europe/FIN_Finland/NK_North_Karelia/FIN_NK_Tohmajarvi.Kemie.028320_TMYx.2009-2023.zip")</f>
        <v>https://climate.onebuilding.org/WMO_Region_6_Europe/FIN_Finland/NK_North_Karelia/FIN_NK_Tohmajarvi.Kemie.028320_TMYx.2009-2023.zip</v>
      </c>
    </row>
    <row r="3716" spans="1:10" x14ac:dyDescent="0.25">
      <c r="A3716" t="s">
        <v>2310</v>
      </c>
      <c r="B3716" t="s">
        <v>2463</v>
      </c>
      <c r="C3716" t="s">
        <v>2611</v>
      </c>
      <c r="D3716" s="1" t="s">
        <v>2612</v>
      </c>
      <c r="E3716" t="s">
        <v>14</v>
      </c>
      <c r="F3716">
        <v>62.235300000000002</v>
      </c>
      <c r="G3716">
        <v>30.346699999999998</v>
      </c>
      <c r="H3716">
        <v>2</v>
      </c>
      <c r="I3716">
        <v>90</v>
      </c>
      <c r="J3716" t="str">
        <f>HYPERLINK("https://climate.onebuilding.org/WMO_Region_6_Europe/FIN_Finland/NK_North_Karelia/FIN_NK_Tohmajarvi.Kemie.028320_TMYx.zip")</f>
        <v>https://climate.onebuilding.org/WMO_Region_6_Europe/FIN_Finland/NK_North_Karelia/FIN_NK_Tohmajarvi.Kemie.028320_TMYx.zip</v>
      </c>
    </row>
    <row r="3717" spans="1:10" x14ac:dyDescent="0.25">
      <c r="A3717" t="s">
        <v>2310</v>
      </c>
      <c r="B3717" t="s">
        <v>774</v>
      </c>
      <c r="C3717" t="s">
        <v>2614</v>
      </c>
      <c r="D3717" s="1" t="s">
        <v>2615</v>
      </c>
      <c r="E3717" t="s">
        <v>2616</v>
      </c>
      <c r="F3717">
        <v>62.938099999999999</v>
      </c>
      <c r="G3717">
        <v>22.488900000000001</v>
      </c>
      <c r="H3717">
        <v>2</v>
      </c>
      <c r="I3717">
        <v>31.7</v>
      </c>
      <c r="J3717" t="str">
        <f>HYPERLINK("https://climate.onebuilding.org/WMO_Region_6_Europe/FIN_Finland/SO_South_Ostrobothnia/FIN_SO_Seinajoki.Pelma.028330_TMYx.2004-2018.zip")</f>
        <v>https://climate.onebuilding.org/WMO_Region_6_Europe/FIN_Finland/SO_South_Ostrobothnia/FIN_SO_Seinajoki.Pelma.028330_TMYx.2004-2018.zip</v>
      </c>
    </row>
    <row r="3718" spans="1:10" x14ac:dyDescent="0.25">
      <c r="A3718" t="s">
        <v>2310</v>
      </c>
      <c r="B3718" t="s">
        <v>774</v>
      </c>
      <c r="C3718" t="s">
        <v>2614</v>
      </c>
      <c r="D3718" s="1" t="s">
        <v>2615</v>
      </c>
      <c r="E3718" t="s">
        <v>14</v>
      </c>
      <c r="F3718">
        <v>62.938099999999999</v>
      </c>
      <c r="G3718">
        <v>22.488900000000001</v>
      </c>
      <c r="H3718">
        <v>2</v>
      </c>
      <c r="I3718">
        <v>31.7</v>
      </c>
      <c r="J3718" t="str">
        <f>HYPERLINK("https://climate.onebuilding.org/WMO_Region_6_Europe/FIN_Finland/SO_South_Ostrobothnia/FIN_SO_Seinajoki.Pelma.028330_TMYx.2007-2021.zip")</f>
        <v>https://climate.onebuilding.org/WMO_Region_6_Europe/FIN_Finland/SO_South_Ostrobothnia/FIN_SO_Seinajoki.Pelma.028330_TMYx.2007-2021.zip</v>
      </c>
    </row>
    <row r="3719" spans="1:10" x14ac:dyDescent="0.25">
      <c r="A3719" t="s">
        <v>2310</v>
      </c>
      <c r="B3719" t="s">
        <v>774</v>
      </c>
      <c r="C3719" t="s">
        <v>2614</v>
      </c>
      <c r="D3719" s="1" t="s">
        <v>2615</v>
      </c>
      <c r="E3719" t="s">
        <v>14</v>
      </c>
      <c r="F3719">
        <v>62.938099999999999</v>
      </c>
      <c r="G3719">
        <v>22.488900000000001</v>
      </c>
      <c r="H3719">
        <v>2</v>
      </c>
      <c r="I3719">
        <v>31.7</v>
      </c>
      <c r="J3719" t="str">
        <f>HYPERLINK("https://climate.onebuilding.org/WMO_Region_6_Europe/FIN_Finland/SO_South_Ostrobothnia/FIN_SO_Seinajoki.Pelma.028330_TMYx.2009-2023.zip")</f>
        <v>https://climate.onebuilding.org/WMO_Region_6_Europe/FIN_Finland/SO_South_Ostrobothnia/FIN_SO_Seinajoki.Pelma.028330_TMYx.2009-2023.zip</v>
      </c>
    </row>
    <row r="3720" spans="1:10" x14ac:dyDescent="0.25">
      <c r="A3720" t="s">
        <v>2310</v>
      </c>
      <c r="B3720" t="s">
        <v>774</v>
      </c>
      <c r="C3720" t="s">
        <v>2614</v>
      </c>
      <c r="D3720" s="1" t="s">
        <v>2615</v>
      </c>
      <c r="E3720" t="s">
        <v>14</v>
      </c>
      <c r="F3720">
        <v>62.938099999999999</v>
      </c>
      <c r="G3720">
        <v>22.488900000000001</v>
      </c>
      <c r="H3720">
        <v>2</v>
      </c>
      <c r="I3720">
        <v>31.7</v>
      </c>
      <c r="J3720" t="str">
        <f>HYPERLINK("https://climate.onebuilding.org/WMO_Region_6_Europe/FIN_Finland/SO_South_Ostrobothnia/FIN_SO_Seinajoki.Pelma.028330_TMYx.zip")</f>
        <v>https://climate.onebuilding.org/WMO_Region_6_Europe/FIN_Finland/SO_South_Ostrobothnia/FIN_SO_Seinajoki.Pelma.028330_TMYx.zip</v>
      </c>
    </row>
    <row r="3721" spans="1:10" x14ac:dyDescent="0.25">
      <c r="A3721" t="s">
        <v>2310</v>
      </c>
      <c r="B3721" t="s">
        <v>2334</v>
      </c>
      <c r="C3721" t="s">
        <v>2617</v>
      </c>
      <c r="D3721" s="1" t="s">
        <v>2618</v>
      </c>
      <c r="E3721" t="s">
        <v>2619</v>
      </c>
      <c r="F3721">
        <v>63.841099999999997</v>
      </c>
      <c r="G3721">
        <v>27.220600000000001</v>
      </c>
      <c r="H3721">
        <v>2</v>
      </c>
      <c r="I3721">
        <v>207.6</v>
      </c>
      <c r="J3721" t="str">
        <f>HYPERLINK("https://climate.onebuilding.org/WMO_Region_6_Europe/FIN_Finland/NS_North_Savo/FIN_NS_Vierema.Kaarakkala.028340_TMYx.2004-2018.zip")</f>
        <v>https://climate.onebuilding.org/WMO_Region_6_Europe/FIN_Finland/NS_North_Savo/FIN_NS_Vierema.Kaarakkala.028340_TMYx.2004-2018.zip</v>
      </c>
    </row>
    <row r="3722" spans="1:10" x14ac:dyDescent="0.25">
      <c r="A3722" t="s">
        <v>2310</v>
      </c>
      <c r="B3722" t="s">
        <v>2334</v>
      </c>
      <c r="C3722" t="s">
        <v>2617</v>
      </c>
      <c r="D3722" s="1" t="s">
        <v>2618</v>
      </c>
      <c r="E3722" t="s">
        <v>14</v>
      </c>
      <c r="F3722">
        <v>63.841099999999997</v>
      </c>
      <c r="G3722">
        <v>27.220600000000001</v>
      </c>
      <c r="H3722">
        <v>2</v>
      </c>
      <c r="I3722">
        <v>207.6</v>
      </c>
      <c r="J3722" t="str">
        <f>HYPERLINK("https://climate.onebuilding.org/WMO_Region_6_Europe/FIN_Finland/NS_North_Savo/FIN_NS_Vierema.Kaarakkala.028340_TMYx.2007-2021.zip")</f>
        <v>https://climate.onebuilding.org/WMO_Region_6_Europe/FIN_Finland/NS_North_Savo/FIN_NS_Vierema.Kaarakkala.028340_TMYx.2007-2021.zip</v>
      </c>
    </row>
    <row r="3723" spans="1:10" x14ac:dyDescent="0.25">
      <c r="A3723" t="s">
        <v>2310</v>
      </c>
      <c r="B3723" t="s">
        <v>2334</v>
      </c>
      <c r="C3723" t="s">
        <v>2617</v>
      </c>
      <c r="D3723" s="1" t="s">
        <v>2618</v>
      </c>
      <c r="E3723" t="s">
        <v>14</v>
      </c>
      <c r="F3723">
        <v>63.841099999999997</v>
      </c>
      <c r="G3723">
        <v>27.220600000000001</v>
      </c>
      <c r="H3723">
        <v>2</v>
      </c>
      <c r="I3723">
        <v>207.6</v>
      </c>
      <c r="J3723" t="str">
        <f>HYPERLINK("https://climate.onebuilding.org/WMO_Region_6_Europe/FIN_Finland/NS_North_Savo/FIN_NS_Vierema.Kaarakkala.028340_TMYx.2009-2023.zip")</f>
        <v>https://climate.onebuilding.org/WMO_Region_6_Europe/FIN_Finland/NS_North_Savo/FIN_NS_Vierema.Kaarakkala.028340_TMYx.2009-2023.zip</v>
      </c>
    </row>
    <row r="3724" spans="1:10" x14ac:dyDescent="0.25">
      <c r="A3724" t="s">
        <v>2310</v>
      </c>
      <c r="B3724" t="s">
        <v>2334</v>
      </c>
      <c r="C3724" t="s">
        <v>2617</v>
      </c>
      <c r="D3724" s="1" t="s">
        <v>2618</v>
      </c>
      <c r="E3724" t="s">
        <v>14</v>
      </c>
      <c r="F3724">
        <v>63.841099999999997</v>
      </c>
      <c r="G3724">
        <v>27.220600000000001</v>
      </c>
      <c r="H3724">
        <v>2</v>
      </c>
      <c r="I3724">
        <v>207.6</v>
      </c>
      <c r="J3724" t="str">
        <f>HYPERLINK("https://climate.onebuilding.org/WMO_Region_6_Europe/FIN_Finland/NS_North_Savo/FIN_NS_Vierema.Kaarakkala.028340_TMYx.zip")</f>
        <v>https://climate.onebuilding.org/WMO_Region_6_Europe/FIN_Finland/NS_North_Savo/FIN_NS_Vierema.Kaarakkala.028340_TMYx.zip</v>
      </c>
    </row>
    <row r="3725" spans="1:10" x14ac:dyDescent="0.25">
      <c r="A3725" t="s">
        <v>2310</v>
      </c>
      <c r="B3725" t="s">
        <v>1184</v>
      </c>
      <c r="C3725" t="s">
        <v>2620</v>
      </c>
      <c r="D3725" s="1" t="s">
        <v>2621</v>
      </c>
      <c r="E3725" t="s">
        <v>2622</v>
      </c>
      <c r="F3725">
        <v>68.849199999999996</v>
      </c>
      <c r="G3725">
        <v>28.299399999999999</v>
      </c>
      <c r="H3725">
        <v>2</v>
      </c>
      <c r="I3725">
        <v>123</v>
      </c>
      <c r="J3725" t="str">
        <f>HYPERLINK("https://climate.onebuilding.org/WMO_Region_6_Europe/FIN_Finland/LA_Lapland/FIN_LA_Inari-Nellim.028350_TMYx.2004-2018.zip")</f>
        <v>https://climate.onebuilding.org/WMO_Region_6_Europe/FIN_Finland/LA_Lapland/FIN_LA_Inari-Nellim.028350_TMYx.2004-2018.zip</v>
      </c>
    </row>
    <row r="3726" spans="1:10" x14ac:dyDescent="0.25">
      <c r="A3726" t="s">
        <v>2310</v>
      </c>
      <c r="B3726" t="s">
        <v>1184</v>
      </c>
      <c r="C3726" t="s">
        <v>2620</v>
      </c>
      <c r="D3726" s="1" t="s">
        <v>2621</v>
      </c>
      <c r="E3726" t="s">
        <v>14</v>
      </c>
      <c r="F3726">
        <v>68.849199999999996</v>
      </c>
      <c r="G3726">
        <v>28.299399999999999</v>
      </c>
      <c r="H3726">
        <v>2</v>
      </c>
      <c r="I3726">
        <v>123</v>
      </c>
      <c r="J3726" t="str">
        <f>HYPERLINK("https://climate.onebuilding.org/WMO_Region_6_Europe/FIN_Finland/LA_Lapland/FIN_LA_Inari-Nellim.028350_TMYx.2007-2021.zip")</f>
        <v>https://climate.onebuilding.org/WMO_Region_6_Europe/FIN_Finland/LA_Lapland/FIN_LA_Inari-Nellim.028350_TMYx.2007-2021.zip</v>
      </c>
    </row>
    <row r="3727" spans="1:10" x14ac:dyDescent="0.25">
      <c r="A3727" t="s">
        <v>2310</v>
      </c>
      <c r="B3727" t="s">
        <v>1184</v>
      </c>
      <c r="C3727" t="s">
        <v>2620</v>
      </c>
      <c r="D3727" s="1" t="s">
        <v>2621</v>
      </c>
      <c r="E3727" t="s">
        <v>14</v>
      </c>
      <c r="F3727">
        <v>68.849199999999996</v>
      </c>
      <c r="G3727">
        <v>28.299399999999999</v>
      </c>
      <c r="H3727">
        <v>2</v>
      </c>
      <c r="I3727">
        <v>123</v>
      </c>
      <c r="J3727" t="str">
        <f>HYPERLINK("https://climate.onebuilding.org/WMO_Region_6_Europe/FIN_Finland/LA_Lapland/FIN_LA_Inari-Nellim.028350_TMYx.2009-2023.zip")</f>
        <v>https://climate.onebuilding.org/WMO_Region_6_Europe/FIN_Finland/LA_Lapland/FIN_LA_Inari-Nellim.028350_TMYx.2009-2023.zip</v>
      </c>
    </row>
    <row r="3728" spans="1:10" x14ac:dyDescent="0.25">
      <c r="A3728" t="s">
        <v>2310</v>
      </c>
      <c r="B3728" t="s">
        <v>1184</v>
      </c>
      <c r="C3728" t="s">
        <v>2620</v>
      </c>
      <c r="D3728" s="1" t="s">
        <v>2621</v>
      </c>
      <c r="E3728" t="s">
        <v>14</v>
      </c>
      <c r="F3728">
        <v>68.849199999999996</v>
      </c>
      <c r="G3728">
        <v>28.299399999999999</v>
      </c>
      <c r="H3728">
        <v>2</v>
      </c>
      <c r="I3728">
        <v>123</v>
      </c>
      <c r="J3728" t="str">
        <f>HYPERLINK("https://climate.onebuilding.org/WMO_Region_6_Europe/FIN_Finland/LA_Lapland/FIN_LA_Inari-Nellim.028350_TMYx.zip")</f>
        <v>https://climate.onebuilding.org/WMO_Region_6_Europe/FIN_Finland/LA_Lapland/FIN_LA_Inari-Nellim.028350_TMYx.zip</v>
      </c>
    </row>
    <row r="3729" spans="1:10" x14ac:dyDescent="0.25">
      <c r="A3729" t="s">
        <v>2310</v>
      </c>
      <c r="B3729" t="s">
        <v>1184</v>
      </c>
      <c r="C3729" t="s">
        <v>2623</v>
      </c>
      <c r="D3729" s="1" t="s">
        <v>2624</v>
      </c>
      <c r="E3729" t="s">
        <v>2625</v>
      </c>
      <c r="F3729">
        <v>67.394999999999996</v>
      </c>
      <c r="G3729">
        <v>26.619</v>
      </c>
      <c r="H3729">
        <v>2</v>
      </c>
      <c r="I3729">
        <v>183.5</v>
      </c>
      <c r="J3729" t="str">
        <f>HYPERLINK("https://climate.onebuilding.org/WMO_Region_6_Europe/FIN_Finland/LA_Lapland/FIN_LA_Sodankyla.AP.028360_TMYx.2004-2018.zip")</f>
        <v>https://climate.onebuilding.org/WMO_Region_6_Europe/FIN_Finland/LA_Lapland/FIN_LA_Sodankyla.AP.028360_TMYx.2004-2018.zip</v>
      </c>
    </row>
    <row r="3730" spans="1:10" x14ac:dyDescent="0.25">
      <c r="A3730" t="s">
        <v>2310</v>
      </c>
      <c r="B3730" t="s">
        <v>1184</v>
      </c>
      <c r="C3730" t="s">
        <v>2623</v>
      </c>
      <c r="D3730" s="1" t="s">
        <v>2624</v>
      </c>
      <c r="E3730" t="s">
        <v>14</v>
      </c>
      <c r="F3730">
        <v>67.394999999999996</v>
      </c>
      <c r="G3730">
        <v>26.619</v>
      </c>
      <c r="H3730">
        <v>2</v>
      </c>
      <c r="I3730">
        <v>183.5</v>
      </c>
      <c r="J3730" t="str">
        <f>HYPERLINK("https://climate.onebuilding.org/WMO_Region_6_Europe/FIN_Finland/LA_Lapland/FIN_LA_Sodankyla.AP.028360_TMYx.2007-2021.zip")</f>
        <v>https://climate.onebuilding.org/WMO_Region_6_Europe/FIN_Finland/LA_Lapland/FIN_LA_Sodankyla.AP.028360_TMYx.2007-2021.zip</v>
      </c>
    </row>
    <row r="3731" spans="1:10" x14ac:dyDescent="0.25">
      <c r="A3731" t="s">
        <v>2310</v>
      </c>
      <c r="B3731" t="s">
        <v>1184</v>
      </c>
      <c r="C3731" t="s">
        <v>2623</v>
      </c>
      <c r="D3731" s="1" t="s">
        <v>2624</v>
      </c>
      <c r="E3731" t="s">
        <v>14</v>
      </c>
      <c r="F3731">
        <v>67.394999999999996</v>
      </c>
      <c r="G3731">
        <v>26.619</v>
      </c>
      <c r="H3731">
        <v>2</v>
      </c>
      <c r="I3731">
        <v>183.5</v>
      </c>
      <c r="J3731" t="str">
        <f>HYPERLINK("https://climate.onebuilding.org/WMO_Region_6_Europe/FIN_Finland/LA_Lapland/FIN_LA_Sodankyla.AP.028360_TMYx.2009-2023.zip")</f>
        <v>https://climate.onebuilding.org/WMO_Region_6_Europe/FIN_Finland/LA_Lapland/FIN_LA_Sodankyla.AP.028360_TMYx.2009-2023.zip</v>
      </c>
    </row>
    <row r="3732" spans="1:10" x14ac:dyDescent="0.25">
      <c r="A3732" t="s">
        <v>2310</v>
      </c>
      <c r="B3732" t="s">
        <v>1184</v>
      </c>
      <c r="C3732" t="s">
        <v>2623</v>
      </c>
      <c r="D3732" s="1" t="s">
        <v>2624</v>
      </c>
      <c r="E3732" t="s">
        <v>14</v>
      </c>
      <c r="F3732">
        <v>67.394999999999996</v>
      </c>
      <c r="G3732">
        <v>26.619</v>
      </c>
      <c r="H3732">
        <v>2</v>
      </c>
      <c r="I3732">
        <v>183.5</v>
      </c>
      <c r="J3732" t="str">
        <f>HYPERLINK("https://climate.onebuilding.org/WMO_Region_6_Europe/FIN_Finland/LA_Lapland/FIN_LA_Sodankyla.AP.028360_TMYx.zip")</f>
        <v>https://climate.onebuilding.org/WMO_Region_6_Europe/FIN_Finland/LA_Lapland/FIN_LA_Sodankyla.AP.028360_TMYx.zip</v>
      </c>
    </row>
    <row r="3733" spans="1:10" x14ac:dyDescent="0.25">
      <c r="A3733" t="s">
        <v>2310</v>
      </c>
      <c r="B3733" t="s">
        <v>1184</v>
      </c>
      <c r="C3733" t="s">
        <v>2626</v>
      </c>
      <c r="D3733" s="1" t="s">
        <v>2627</v>
      </c>
      <c r="E3733" t="s">
        <v>2628</v>
      </c>
      <c r="F3733">
        <v>66.772800000000004</v>
      </c>
      <c r="G3733">
        <v>23.963100000000001</v>
      </c>
      <c r="H3733">
        <v>2</v>
      </c>
      <c r="I3733">
        <v>85.9</v>
      </c>
      <c r="J3733" t="str">
        <f>HYPERLINK("https://climate.onebuilding.org/WMO_Region_6_Europe/FIN_Finland/LA_Lapland/FIN_LA_Pello.028440_TMYx.2004-2018.zip")</f>
        <v>https://climate.onebuilding.org/WMO_Region_6_Europe/FIN_Finland/LA_Lapland/FIN_LA_Pello.028440_TMYx.2004-2018.zip</v>
      </c>
    </row>
    <row r="3734" spans="1:10" x14ac:dyDescent="0.25">
      <c r="A3734" t="s">
        <v>2310</v>
      </c>
      <c r="B3734" t="s">
        <v>1184</v>
      </c>
      <c r="C3734" t="s">
        <v>2626</v>
      </c>
      <c r="D3734" s="1" t="s">
        <v>2627</v>
      </c>
      <c r="E3734" t="s">
        <v>14</v>
      </c>
      <c r="F3734">
        <v>66.772800000000004</v>
      </c>
      <c r="G3734">
        <v>23.963100000000001</v>
      </c>
      <c r="H3734">
        <v>2</v>
      </c>
      <c r="I3734">
        <v>85.9</v>
      </c>
      <c r="J3734" t="str">
        <f>HYPERLINK("https://climate.onebuilding.org/WMO_Region_6_Europe/FIN_Finland/LA_Lapland/FIN_LA_Pello.028440_TMYx.2007-2021.zip")</f>
        <v>https://climate.onebuilding.org/WMO_Region_6_Europe/FIN_Finland/LA_Lapland/FIN_LA_Pello.028440_TMYx.2007-2021.zip</v>
      </c>
    </row>
    <row r="3735" spans="1:10" x14ac:dyDescent="0.25">
      <c r="A3735" t="s">
        <v>2310</v>
      </c>
      <c r="B3735" t="s">
        <v>1184</v>
      </c>
      <c r="C3735" t="s">
        <v>2626</v>
      </c>
      <c r="D3735" s="1" t="s">
        <v>2627</v>
      </c>
      <c r="E3735" t="s">
        <v>14</v>
      </c>
      <c r="F3735">
        <v>66.772800000000004</v>
      </c>
      <c r="G3735">
        <v>23.963100000000001</v>
      </c>
      <c r="H3735">
        <v>2</v>
      </c>
      <c r="I3735">
        <v>85.9</v>
      </c>
      <c r="J3735" t="str">
        <f>HYPERLINK("https://climate.onebuilding.org/WMO_Region_6_Europe/FIN_Finland/LA_Lapland/FIN_LA_Pello.028440_TMYx.2009-2023.zip")</f>
        <v>https://climate.onebuilding.org/WMO_Region_6_Europe/FIN_Finland/LA_Lapland/FIN_LA_Pello.028440_TMYx.2009-2023.zip</v>
      </c>
    </row>
    <row r="3736" spans="1:10" x14ac:dyDescent="0.25">
      <c r="A3736" t="s">
        <v>2310</v>
      </c>
      <c r="B3736" t="s">
        <v>1184</v>
      </c>
      <c r="C3736" t="s">
        <v>2626</v>
      </c>
      <c r="D3736" s="1" t="s">
        <v>2627</v>
      </c>
      <c r="E3736" t="s">
        <v>14</v>
      </c>
      <c r="F3736">
        <v>66.772800000000004</v>
      </c>
      <c r="G3736">
        <v>23.963100000000001</v>
      </c>
      <c r="H3736">
        <v>2</v>
      </c>
      <c r="I3736">
        <v>85.9</v>
      </c>
      <c r="J3736" t="str">
        <f>HYPERLINK("https://climate.onebuilding.org/WMO_Region_6_Europe/FIN_Finland/LA_Lapland/FIN_LA_Pello.028440_TMYx.zip")</f>
        <v>https://climate.onebuilding.org/WMO_Region_6_Europe/FIN_Finland/LA_Lapland/FIN_LA_Pello.028440_TMYx.zip</v>
      </c>
    </row>
    <row r="3737" spans="1:10" x14ac:dyDescent="0.25">
      <c r="A3737" t="s">
        <v>2310</v>
      </c>
      <c r="B3737" t="s">
        <v>1184</v>
      </c>
      <c r="C3737" t="s">
        <v>2629</v>
      </c>
      <c r="D3737" s="1" t="s">
        <v>2630</v>
      </c>
      <c r="E3737" t="s">
        <v>2631</v>
      </c>
      <c r="F3737">
        <v>66.5625</v>
      </c>
      <c r="G3737">
        <v>25.821999999999999</v>
      </c>
      <c r="H3737">
        <v>2</v>
      </c>
      <c r="I3737">
        <v>196.6</v>
      </c>
      <c r="J3737" t="str">
        <f>HYPERLINK("https://climate.onebuilding.org/WMO_Region_6_Europe/FIN_Finland/LA_Lapland/FIN_LA_Rovaniemi.AP.028450_TMYx.2004-2018.zip")</f>
        <v>https://climate.onebuilding.org/WMO_Region_6_Europe/FIN_Finland/LA_Lapland/FIN_LA_Rovaniemi.AP.028450_TMYx.2004-2018.zip</v>
      </c>
    </row>
    <row r="3738" spans="1:10" x14ac:dyDescent="0.25">
      <c r="A3738" t="s">
        <v>2310</v>
      </c>
      <c r="B3738" t="s">
        <v>1184</v>
      </c>
      <c r="C3738" t="s">
        <v>2629</v>
      </c>
      <c r="D3738" s="1" t="s">
        <v>2630</v>
      </c>
      <c r="E3738" t="s">
        <v>14</v>
      </c>
      <c r="F3738">
        <v>66.5625</v>
      </c>
      <c r="G3738">
        <v>25.821999999999999</v>
      </c>
      <c r="H3738">
        <v>2</v>
      </c>
      <c r="I3738">
        <v>196.6</v>
      </c>
      <c r="J3738" t="str">
        <f>HYPERLINK("https://climate.onebuilding.org/WMO_Region_6_Europe/FIN_Finland/LA_Lapland/FIN_LA_Rovaniemi.AP.028450_TMYx.2007-2021.zip")</f>
        <v>https://climate.onebuilding.org/WMO_Region_6_Europe/FIN_Finland/LA_Lapland/FIN_LA_Rovaniemi.AP.028450_TMYx.2007-2021.zip</v>
      </c>
    </row>
    <row r="3739" spans="1:10" x14ac:dyDescent="0.25">
      <c r="A3739" t="s">
        <v>2310</v>
      </c>
      <c r="B3739" t="s">
        <v>1184</v>
      </c>
      <c r="C3739" t="s">
        <v>2629</v>
      </c>
      <c r="D3739" s="1" t="s">
        <v>2630</v>
      </c>
      <c r="E3739" t="s">
        <v>14</v>
      </c>
      <c r="F3739">
        <v>66.5625</v>
      </c>
      <c r="G3739">
        <v>25.821999999999999</v>
      </c>
      <c r="H3739">
        <v>2</v>
      </c>
      <c r="I3739">
        <v>196.6</v>
      </c>
      <c r="J3739" t="str">
        <f>HYPERLINK("https://climate.onebuilding.org/WMO_Region_6_Europe/FIN_Finland/LA_Lapland/FIN_LA_Rovaniemi.AP.028450_TMYx.2009-2023.zip")</f>
        <v>https://climate.onebuilding.org/WMO_Region_6_Europe/FIN_Finland/LA_Lapland/FIN_LA_Rovaniemi.AP.028450_TMYx.2009-2023.zip</v>
      </c>
    </row>
    <row r="3740" spans="1:10" x14ac:dyDescent="0.25">
      <c r="A3740" t="s">
        <v>2310</v>
      </c>
      <c r="B3740" t="s">
        <v>1184</v>
      </c>
      <c r="C3740" t="s">
        <v>2629</v>
      </c>
      <c r="D3740" s="1" t="s">
        <v>2630</v>
      </c>
      <c r="E3740" t="s">
        <v>14</v>
      </c>
      <c r="F3740">
        <v>66.5625</v>
      </c>
      <c r="G3740">
        <v>25.821999999999999</v>
      </c>
      <c r="H3740">
        <v>2</v>
      </c>
      <c r="I3740">
        <v>196.6</v>
      </c>
      <c r="J3740" t="str">
        <f>HYPERLINK("https://climate.onebuilding.org/WMO_Region_6_Europe/FIN_Finland/LA_Lapland/FIN_LA_Rovaniemi.AP.028450_TMYx.zip")</f>
        <v>https://climate.onebuilding.org/WMO_Region_6_Europe/FIN_Finland/LA_Lapland/FIN_LA_Rovaniemi.AP.028450_TMYx.zip</v>
      </c>
    </row>
    <row r="3741" spans="1:10" x14ac:dyDescent="0.25">
      <c r="A3741" t="s">
        <v>2310</v>
      </c>
      <c r="B3741" t="s">
        <v>1184</v>
      </c>
      <c r="C3741" t="s">
        <v>2632</v>
      </c>
      <c r="D3741" s="1" t="s">
        <v>2633</v>
      </c>
      <c r="E3741" t="s">
        <v>2634</v>
      </c>
      <c r="F3741">
        <v>66.4983</v>
      </c>
      <c r="G3741">
        <v>25.708300000000001</v>
      </c>
      <c r="H3741">
        <v>2</v>
      </c>
      <c r="I3741">
        <v>82.3</v>
      </c>
      <c r="J3741" t="str">
        <f>HYPERLINK("https://climate.onebuilding.org/WMO_Region_6_Europe/FIN_Finland/LA_Lapland/FIN_LA_Rovaniemi.Rautatieasema.028470_TMYx.2004-2018.zip")</f>
        <v>https://climate.onebuilding.org/WMO_Region_6_Europe/FIN_Finland/LA_Lapland/FIN_LA_Rovaniemi.Rautatieasema.028470_TMYx.2004-2018.zip</v>
      </c>
    </row>
    <row r="3742" spans="1:10" x14ac:dyDescent="0.25">
      <c r="A3742" t="s">
        <v>2310</v>
      </c>
      <c r="B3742" t="s">
        <v>1184</v>
      </c>
      <c r="C3742" t="s">
        <v>2632</v>
      </c>
      <c r="D3742" s="1" t="s">
        <v>2633</v>
      </c>
      <c r="E3742" t="s">
        <v>14</v>
      </c>
      <c r="F3742">
        <v>66.4983</v>
      </c>
      <c r="G3742">
        <v>25.708300000000001</v>
      </c>
      <c r="H3742">
        <v>2</v>
      </c>
      <c r="I3742">
        <v>82.3</v>
      </c>
      <c r="J3742" t="str">
        <f>HYPERLINK("https://climate.onebuilding.org/WMO_Region_6_Europe/FIN_Finland/LA_Lapland/FIN_LA_Rovaniemi.Rautatieasema.028470_TMYx.2007-2021.zip")</f>
        <v>https://climate.onebuilding.org/WMO_Region_6_Europe/FIN_Finland/LA_Lapland/FIN_LA_Rovaniemi.Rautatieasema.028470_TMYx.2007-2021.zip</v>
      </c>
    </row>
    <row r="3743" spans="1:10" x14ac:dyDescent="0.25">
      <c r="A3743" t="s">
        <v>2310</v>
      </c>
      <c r="B3743" t="s">
        <v>1184</v>
      </c>
      <c r="C3743" t="s">
        <v>2632</v>
      </c>
      <c r="D3743" s="1" t="s">
        <v>2633</v>
      </c>
      <c r="E3743" t="s">
        <v>14</v>
      </c>
      <c r="F3743">
        <v>66.4983</v>
      </c>
      <c r="G3743">
        <v>25.708300000000001</v>
      </c>
      <c r="H3743">
        <v>2</v>
      </c>
      <c r="I3743">
        <v>82.3</v>
      </c>
      <c r="J3743" t="str">
        <f>HYPERLINK("https://climate.onebuilding.org/WMO_Region_6_Europe/FIN_Finland/LA_Lapland/FIN_LA_Rovaniemi.Rautatieasema.028470_TMYx.2009-2023.zip")</f>
        <v>https://climate.onebuilding.org/WMO_Region_6_Europe/FIN_Finland/LA_Lapland/FIN_LA_Rovaniemi.Rautatieasema.028470_TMYx.2009-2023.zip</v>
      </c>
    </row>
    <row r="3744" spans="1:10" x14ac:dyDescent="0.25">
      <c r="A3744" t="s">
        <v>2310</v>
      </c>
      <c r="B3744" t="s">
        <v>1184</v>
      </c>
      <c r="C3744" t="s">
        <v>2632</v>
      </c>
      <c r="D3744" s="1" t="s">
        <v>2633</v>
      </c>
      <c r="E3744" t="s">
        <v>14</v>
      </c>
      <c r="F3744">
        <v>66.4983</v>
      </c>
      <c r="G3744">
        <v>25.708300000000001</v>
      </c>
      <c r="H3744">
        <v>2</v>
      </c>
      <c r="I3744">
        <v>82.3</v>
      </c>
      <c r="J3744" t="str">
        <f>HYPERLINK("https://climate.onebuilding.org/WMO_Region_6_Europe/FIN_Finland/LA_Lapland/FIN_LA_Rovaniemi.Rautatieasema.028470_TMYx.zip")</f>
        <v>https://climate.onebuilding.org/WMO_Region_6_Europe/FIN_Finland/LA_Lapland/FIN_LA_Rovaniemi.Rautatieasema.028470_TMYx.zip</v>
      </c>
    </row>
    <row r="3745" spans="1:10" x14ac:dyDescent="0.25">
      <c r="A3745" t="s">
        <v>2310</v>
      </c>
      <c r="B3745" t="s">
        <v>1184</v>
      </c>
      <c r="C3745" t="s">
        <v>2635</v>
      </c>
      <c r="D3745" s="1" t="s">
        <v>2636</v>
      </c>
      <c r="E3745" t="s">
        <v>2637</v>
      </c>
      <c r="F3745">
        <v>66.834199999999996</v>
      </c>
      <c r="G3745">
        <v>28.674199999999999</v>
      </c>
      <c r="H3745">
        <v>2</v>
      </c>
      <c r="I3745">
        <v>221.7</v>
      </c>
      <c r="J3745" t="str">
        <f>HYPERLINK("https://climate.onebuilding.org/WMO_Region_6_Europe/FIN_Finland/LA_Lapland/FIN_LA_Salla.KK.Myllytie.028490_TMYx.2004-2018.zip")</f>
        <v>https://climate.onebuilding.org/WMO_Region_6_Europe/FIN_Finland/LA_Lapland/FIN_LA_Salla.KK.Myllytie.028490_TMYx.2004-2018.zip</v>
      </c>
    </row>
    <row r="3746" spans="1:10" x14ac:dyDescent="0.25">
      <c r="A3746" t="s">
        <v>2310</v>
      </c>
      <c r="B3746" t="s">
        <v>1184</v>
      </c>
      <c r="C3746" t="s">
        <v>2635</v>
      </c>
      <c r="D3746" s="1" t="s">
        <v>2636</v>
      </c>
      <c r="E3746" t="s">
        <v>14</v>
      </c>
      <c r="F3746">
        <v>66.834199999999996</v>
      </c>
      <c r="G3746">
        <v>28.674199999999999</v>
      </c>
      <c r="H3746">
        <v>2</v>
      </c>
      <c r="I3746">
        <v>221.7</v>
      </c>
      <c r="J3746" t="str">
        <f>HYPERLINK("https://climate.onebuilding.org/WMO_Region_6_Europe/FIN_Finland/LA_Lapland/FIN_LA_Salla.KK.Myllytie.028490_TMYx.2007-2021.zip")</f>
        <v>https://climate.onebuilding.org/WMO_Region_6_Europe/FIN_Finland/LA_Lapland/FIN_LA_Salla.KK.Myllytie.028490_TMYx.2007-2021.zip</v>
      </c>
    </row>
    <row r="3747" spans="1:10" x14ac:dyDescent="0.25">
      <c r="A3747" t="s">
        <v>2310</v>
      </c>
      <c r="B3747" t="s">
        <v>1184</v>
      </c>
      <c r="C3747" t="s">
        <v>2635</v>
      </c>
      <c r="D3747" s="1" t="s">
        <v>2636</v>
      </c>
      <c r="E3747" t="s">
        <v>14</v>
      </c>
      <c r="F3747">
        <v>66.834199999999996</v>
      </c>
      <c r="G3747">
        <v>28.674199999999999</v>
      </c>
      <c r="H3747">
        <v>2</v>
      </c>
      <c r="I3747">
        <v>221.7</v>
      </c>
      <c r="J3747" t="str">
        <f>HYPERLINK("https://climate.onebuilding.org/WMO_Region_6_Europe/FIN_Finland/LA_Lapland/FIN_LA_Salla.KK.Myllytie.028490_TMYx.2009-2023.zip")</f>
        <v>https://climate.onebuilding.org/WMO_Region_6_Europe/FIN_Finland/LA_Lapland/FIN_LA_Salla.KK.Myllytie.028490_TMYx.2009-2023.zip</v>
      </c>
    </row>
    <row r="3748" spans="1:10" x14ac:dyDescent="0.25">
      <c r="A3748" t="s">
        <v>2310</v>
      </c>
      <c r="B3748" t="s">
        <v>1184</v>
      </c>
      <c r="C3748" t="s">
        <v>2635</v>
      </c>
      <c r="D3748" s="1" t="s">
        <v>2636</v>
      </c>
      <c r="E3748" t="s">
        <v>14</v>
      </c>
      <c r="F3748">
        <v>66.834199999999996</v>
      </c>
      <c r="G3748">
        <v>28.674199999999999</v>
      </c>
      <c r="H3748">
        <v>2</v>
      </c>
      <c r="I3748">
        <v>221.7</v>
      </c>
      <c r="J3748" t="str">
        <f>HYPERLINK("https://climate.onebuilding.org/WMO_Region_6_Europe/FIN_Finland/LA_Lapland/FIN_LA_Salla.KK.Myllytie.028490_TMYx.zip")</f>
        <v>https://climate.onebuilding.org/WMO_Region_6_Europe/FIN_Finland/LA_Lapland/FIN_LA_Salla.KK.Myllytie.028490_TMYx.zip</v>
      </c>
    </row>
    <row r="3749" spans="1:10" x14ac:dyDescent="0.25">
      <c r="A3749" t="s">
        <v>2310</v>
      </c>
      <c r="B3749" t="s">
        <v>2334</v>
      </c>
      <c r="C3749" t="s">
        <v>2638</v>
      </c>
      <c r="D3749" s="1" t="s">
        <v>2639</v>
      </c>
      <c r="E3749" t="s">
        <v>2640</v>
      </c>
      <c r="F3749">
        <v>62.322200000000002</v>
      </c>
      <c r="G3749">
        <v>27.907800000000002</v>
      </c>
      <c r="H3749">
        <v>2</v>
      </c>
      <c r="I3749">
        <v>83</v>
      </c>
      <c r="J3749" t="str">
        <f>HYPERLINK("https://climate.onebuilding.org/WMO_Region_6_Europe/FIN_Finland/NS_North_Savo/FIN_NS_Varkaus.Kolsuanniemi.028500_TMYx.2004-2018.zip")</f>
        <v>https://climate.onebuilding.org/WMO_Region_6_Europe/FIN_Finland/NS_North_Savo/FIN_NS_Varkaus.Kolsuanniemi.028500_TMYx.2004-2018.zip</v>
      </c>
    </row>
    <row r="3750" spans="1:10" x14ac:dyDescent="0.25">
      <c r="A3750" t="s">
        <v>2310</v>
      </c>
      <c r="B3750" t="s">
        <v>2334</v>
      </c>
      <c r="C3750" t="s">
        <v>2638</v>
      </c>
      <c r="D3750" s="1" t="s">
        <v>2639</v>
      </c>
      <c r="E3750" t="s">
        <v>14</v>
      </c>
      <c r="F3750">
        <v>62.322200000000002</v>
      </c>
      <c r="G3750">
        <v>27.907800000000002</v>
      </c>
      <c r="H3750">
        <v>2</v>
      </c>
      <c r="I3750">
        <v>83</v>
      </c>
      <c r="J3750" t="str">
        <f>HYPERLINK("https://climate.onebuilding.org/WMO_Region_6_Europe/FIN_Finland/NS_North_Savo/FIN_NS_Varkaus.Kolsuanniemi.028500_TMYx.2007-2021.zip")</f>
        <v>https://climate.onebuilding.org/WMO_Region_6_Europe/FIN_Finland/NS_North_Savo/FIN_NS_Varkaus.Kolsuanniemi.028500_TMYx.2007-2021.zip</v>
      </c>
    </row>
    <row r="3751" spans="1:10" x14ac:dyDescent="0.25">
      <c r="A3751" t="s">
        <v>2310</v>
      </c>
      <c r="B3751" t="s">
        <v>2334</v>
      </c>
      <c r="C3751" t="s">
        <v>2638</v>
      </c>
      <c r="D3751" s="1" t="s">
        <v>2639</v>
      </c>
      <c r="E3751" t="s">
        <v>14</v>
      </c>
      <c r="F3751">
        <v>62.322200000000002</v>
      </c>
      <c r="G3751">
        <v>27.907800000000002</v>
      </c>
      <c r="H3751">
        <v>2</v>
      </c>
      <c r="I3751">
        <v>83</v>
      </c>
      <c r="J3751" t="str">
        <f>HYPERLINK("https://climate.onebuilding.org/WMO_Region_6_Europe/FIN_Finland/NS_North_Savo/FIN_NS_Varkaus.Kolsuanniemi.028500_TMYx.2009-2023.zip")</f>
        <v>https://climate.onebuilding.org/WMO_Region_6_Europe/FIN_Finland/NS_North_Savo/FIN_NS_Varkaus.Kolsuanniemi.028500_TMYx.2009-2023.zip</v>
      </c>
    </row>
    <row r="3752" spans="1:10" x14ac:dyDescent="0.25">
      <c r="A3752" t="s">
        <v>2310</v>
      </c>
      <c r="B3752" t="s">
        <v>2334</v>
      </c>
      <c r="C3752" t="s">
        <v>2638</v>
      </c>
      <c r="D3752" s="1" t="s">
        <v>2639</v>
      </c>
      <c r="E3752" t="s">
        <v>14</v>
      </c>
      <c r="F3752">
        <v>62.322200000000002</v>
      </c>
      <c r="G3752">
        <v>27.907800000000002</v>
      </c>
      <c r="H3752">
        <v>2</v>
      </c>
      <c r="I3752">
        <v>83</v>
      </c>
      <c r="J3752" t="str">
        <f>HYPERLINK("https://climate.onebuilding.org/WMO_Region_6_Europe/FIN_Finland/NS_North_Savo/FIN_NS_Varkaus.Kolsuanniemi.028500_TMYx.zip")</f>
        <v>https://climate.onebuilding.org/WMO_Region_6_Europe/FIN_Finland/NS_North_Savo/FIN_NS_Varkaus.Kolsuanniemi.028500_TMYx.zip</v>
      </c>
    </row>
    <row r="3753" spans="1:10" x14ac:dyDescent="0.25">
      <c r="A3753" t="s">
        <v>2310</v>
      </c>
      <c r="B3753" t="s">
        <v>2357</v>
      </c>
      <c r="C3753" t="s">
        <v>2641</v>
      </c>
      <c r="D3753" s="1" t="s">
        <v>2642</v>
      </c>
      <c r="E3753" t="s">
        <v>14</v>
      </c>
      <c r="F3753">
        <v>63.8444</v>
      </c>
      <c r="G3753">
        <v>23.124400000000001</v>
      </c>
      <c r="H3753">
        <v>2</v>
      </c>
      <c r="I3753">
        <v>8.1</v>
      </c>
      <c r="J3753" t="str">
        <f>HYPERLINK("https://climate.onebuilding.org/WMO_Region_6_Europe/FIN_Finland/CO_Central_Ostrobothnia/FIN_CO_Kokkola.Hollihaka.028520_TMYx.2007-2021.zip")</f>
        <v>https://climate.onebuilding.org/WMO_Region_6_Europe/FIN_Finland/CO_Central_Ostrobothnia/FIN_CO_Kokkola.Hollihaka.028520_TMYx.2007-2021.zip</v>
      </c>
    </row>
    <row r="3754" spans="1:10" x14ac:dyDescent="0.25">
      <c r="A3754" t="s">
        <v>2310</v>
      </c>
      <c r="B3754" t="s">
        <v>2357</v>
      </c>
      <c r="C3754" t="s">
        <v>2641</v>
      </c>
      <c r="D3754" s="1" t="s">
        <v>2642</v>
      </c>
      <c r="E3754" t="s">
        <v>14</v>
      </c>
      <c r="F3754">
        <v>63.8444</v>
      </c>
      <c r="G3754">
        <v>23.124400000000001</v>
      </c>
      <c r="H3754">
        <v>2</v>
      </c>
      <c r="I3754">
        <v>8.1</v>
      </c>
      <c r="J3754" t="str">
        <f>HYPERLINK("https://climate.onebuilding.org/WMO_Region_6_Europe/FIN_Finland/CO_Central_Ostrobothnia/FIN_CO_Kokkola.Hollihaka.028520_TMYx.2009-2023.zip")</f>
        <v>https://climate.onebuilding.org/WMO_Region_6_Europe/FIN_Finland/CO_Central_Ostrobothnia/FIN_CO_Kokkola.Hollihaka.028520_TMYx.2009-2023.zip</v>
      </c>
    </row>
    <row r="3755" spans="1:10" x14ac:dyDescent="0.25">
      <c r="A3755" t="s">
        <v>2310</v>
      </c>
      <c r="B3755" t="s">
        <v>2357</v>
      </c>
      <c r="C3755" t="s">
        <v>2641</v>
      </c>
      <c r="D3755" s="1" t="s">
        <v>2642</v>
      </c>
      <c r="E3755" t="s">
        <v>14</v>
      </c>
      <c r="F3755">
        <v>63.8444</v>
      </c>
      <c r="G3755">
        <v>23.124400000000001</v>
      </c>
      <c r="H3755">
        <v>2</v>
      </c>
      <c r="I3755">
        <v>8.1</v>
      </c>
      <c r="J3755" t="str">
        <f>HYPERLINK("https://climate.onebuilding.org/WMO_Region_6_Europe/FIN_Finland/CO_Central_Ostrobothnia/FIN_CO_Kokkola.Hollihaka.028520_TMYx.zip")</f>
        <v>https://climate.onebuilding.org/WMO_Region_6_Europe/FIN_Finland/CO_Central_Ostrobothnia/FIN_CO_Kokkola.Hollihaka.028520_TMYx.zip</v>
      </c>
    </row>
    <row r="3756" spans="1:10" x14ac:dyDescent="0.25">
      <c r="A3756" t="s">
        <v>2310</v>
      </c>
      <c r="B3756" t="s">
        <v>1184</v>
      </c>
      <c r="C3756" t="s">
        <v>2643</v>
      </c>
      <c r="D3756" s="1" t="s">
        <v>2644</v>
      </c>
      <c r="E3756" t="s">
        <v>2645</v>
      </c>
      <c r="F3756">
        <v>68.903099999999995</v>
      </c>
      <c r="G3756">
        <v>25.7364</v>
      </c>
      <c r="H3756">
        <v>2</v>
      </c>
      <c r="I3756">
        <v>285</v>
      </c>
      <c r="J3756" t="str">
        <f>HYPERLINK("https://climate.onebuilding.org/WMO_Region_6_Europe/FIN_Finland/LA_Lapland/FIN_LA_Inari-Angeli.Lintupuoliselka.028570_TMYx.2004-2018.zip")</f>
        <v>https://climate.onebuilding.org/WMO_Region_6_Europe/FIN_Finland/LA_Lapland/FIN_LA_Inari-Angeli.Lintupuoliselka.028570_TMYx.2004-2018.zip</v>
      </c>
    </row>
    <row r="3757" spans="1:10" x14ac:dyDescent="0.25">
      <c r="A3757" t="s">
        <v>2310</v>
      </c>
      <c r="B3757" t="s">
        <v>1184</v>
      </c>
      <c r="C3757" t="s">
        <v>2643</v>
      </c>
      <c r="D3757" s="1" t="s">
        <v>2644</v>
      </c>
      <c r="E3757" t="s">
        <v>14</v>
      </c>
      <c r="F3757">
        <v>68.903099999999995</v>
      </c>
      <c r="G3757">
        <v>25.7364</v>
      </c>
      <c r="H3757">
        <v>2</v>
      </c>
      <c r="I3757">
        <v>285</v>
      </c>
      <c r="J3757" t="str">
        <f>HYPERLINK("https://climate.onebuilding.org/WMO_Region_6_Europe/FIN_Finland/LA_Lapland/FIN_LA_Inari-Angeli.Lintupuoliselka.028570_TMYx.2007-2021.zip")</f>
        <v>https://climate.onebuilding.org/WMO_Region_6_Europe/FIN_Finland/LA_Lapland/FIN_LA_Inari-Angeli.Lintupuoliselka.028570_TMYx.2007-2021.zip</v>
      </c>
    </row>
    <row r="3758" spans="1:10" x14ac:dyDescent="0.25">
      <c r="A3758" t="s">
        <v>2310</v>
      </c>
      <c r="B3758" t="s">
        <v>1184</v>
      </c>
      <c r="C3758" t="s">
        <v>2643</v>
      </c>
      <c r="D3758" s="1" t="s">
        <v>2644</v>
      </c>
      <c r="E3758" t="s">
        <v>14</v>
      </c>
      <c r="F3758">
        <v>68.903099999999995</v>
      </c>
      <c r="G3758">
        <v>25.7364</v>
      </c>
      <c r="H3758">
        <v>2</v>
      </c>
      <c r="I3758">
        <v>285</v>
      </c>
      <c r="J3758" t="str">
        <f>HYPERLINK("https://climate.onebuilding.org/WMO_Region_6_Europe/FIN_Finland/LA_Lapland/FIN_LA_Inari-Angeli.Lintupuoliselka.028570_TMYx.2009-2023.zip")</f>
        <v>https://climate.onebuilding.org/WMO_Region_6_Europe/FIN_Finland/LA_Lapland/FIN_LA_Inari-Angeli.Lintupuoliselka.028570_TMYx.2009-2023.zip</v>
      </c>
    </row>
    <row r="3759" spans="1:10" x14ac:dyDescent="0.25">
      <c r="A3759" t="s">
        <v>2310</v>
      </c>
      <c r="B3759" t="s">
        <v>1184</v>
      </c>
      <c r="C3759" t="s">
        <v>2643</v>
      </c>
      <c r="D3759" s="1" t="s">
        <v>2644</v>
      </c>
      <c r="E3759" t="s">
        <v>14</v>
      </c>
      <c r="F3759">
        <v>68.903099999999995</v>
      </c>
      <c r="G3759">
        <v>25.7364</v>
      </c>
      <c r="H3759">
        <v>2</v>
      </c>
      <c r="I3759">
        <v>285</v>
      </c>
      <c r="J3759" t="str">
        <f>HYPERLINK("https://climate.onebuilding.org/WMO_Region_6_Europe/FIN_Finland/LA_Lapland/FIN_LA_Inari-Angeli.Lintupuoliselka.028570_TMYx.zip")</f>
        <v>https://climate.onebuilding.org/WMO_Region_6_Europe/FIN_Finland/LA_Lapland/FIN_LA_Inari-Angeli.Lintupuoliselka.028570_TMYx.zip</v>
      </c>
    </row>
    <row r="3760" spans="1:10" x14ac:dyDescent="0.25">
      <c r="A3760" t="s">
        <v>2310</v>
      </c>
      <c r="B3760" t="s">
        <v>1184</v>
      </c>
      <c r="C3760" t="s">
        <v>2646</v>
      </c>
      <c r="D3760" s="1" t="s">
        <v>2647</v>
      </c>
      <c r="E3760" t="s">
        <v>2648</v>
      </c>
      <c r="F3760">
        <v>69.582499999999996</v>
      </c>
      <c r="G3760">
        <v>28.894200000000001</v>
      </c>
      <c r="H3760">
        <v>2</v>
      </c>
      <c r="I3760">
        <v>106</v>
      </c>
      <c r="J3760" t="str">
        <f>HYPERLINK("https://climate.onebuilding.org/WMO_Region_6_Europe/FIN_Finland/LA_Lapland/FIN_LA_Inari-Kirakkajarvi.028580_TMYx.2004-2018.zip")</f>
        <v>https://climate.onebuilding.org/WMO_Region_6_Europe/FIN_Finland/LA_Lapland/FIN_LA_Inari-Kirakkajarvi.028580_TMYx.2004-2018.zip</v>
      </c>
    </row>
    <row r="3761" spans="1:10" x14ac:dyDescent="0.25">
      <c r="A3761" t="s">
        <v>2310</v>
      </c>
      <c r="B3761" t="s">
        <v>1184</v>
      </c>
      <c r="C3761" t="s">
        <v>2646</v>
      </c>
      <c r="D3761" s="1" t="s">
        <v>2647</v>
      </c>
      <c r="E3761" t="s">
        <v>14</v>
      </c>
      <c r="F3761">
        <v>69.582499999999996</v>
      </c>
      <c r="G3761">
        <v>28.894200000000001</v>
      </c>
      <c r="H3761">
        <v>2</v>
      </c>
      <c r="I3761">
        <v>106</v>
      </c>
      <c r="J3761" t="str">
        <f>HYPERLINK("https://climate.onebuilding.org/WMO_Region_6_Europe/FIN_Finland/LA_Lapland/FIN_LA_Inari-Kirakkajarvi.028580_TMYx.2007-2021.zip")</f>
        <v>https://climate.onebuilding.org/WMO_Region_6_Europe/FIN_Finland/LA_Lapland/FIN_LA_Inari-Kirakkajarvi.028580_TMYx.2007-2021.zip</v>
      </c>
    </row>
    <row r="3762" spans="1:10" x14ac:dyDescent="0.25">
      <c r="A3762" t="s">
        <v>2310</v>
      </c>
      <c r="B3762" t="s">
        <v>1184</v>
      </c>
      <c r="C3762" t="s">
        <v>2646</v>
      </c>
      <c r="D3762" s="1" t="s">
        <v>2647</v>
      </c>
      <c r="E3762" t="s">
        <v>14</v>
      </c>
      <c r="F3762">
        <v>69.582499999999996</v>
      </c>
      <c r="G3762">
        <v>28.894200000000001</v>
      </c>
      <c r="H3762">
        <v>2</v>
      </c>
      <c r="I3762">
        <v>106</v>
      </c>
      <c r="J3762" t="str">
        <f>HYPERLINK("https://climate.onebuilding.org/WMO_Region_6_Europe/FIN_Finland/LA_Lapland/FIN_LA_Inari-Kirakkajarvi.028580_TMYx.2009-2023.zip")</f>
        <v>https://climate.onebuilding.org/WMO_Region_6_Europe/FIN_Finland/LA_Lapland/FIN_LA_Inari-Kirakkajarvi.028580_TMYx.2009-2023.zip</v>
      </c>
    </row>
    <row r="3763" spans="1:10" x14ac:dyDescent="0.25">
      <c r="A3763" t="s">
        <v>2310</v>
      </c>
      <c r="B3763" t="s">
        <v>1184</v>
      </c>
      <c r="C3763" t="s">
        <v>2646</v>
      </c>
      <c r="D3763" s="1" t="s">
        <v>2647</v>
      </c>
      <c r="E3763" t="s">
        <v>14</v>
      </c>
      <c r="F3763">
        <v>69.582499999999996</v>
      </c>
      <c r="G3763">
        <v>28.894200000000001</v>
      </c>
      <c r="H3763">
        <v>2</v>
      </c>
      <c r="I3763">
        <v>106</v>
      </c>
      <c r="J3763" t="str">
        <f>HYPERLINK("https://climate.onebuilding.org/WMO_Region_6_Europe/FIN_Finland/LA_Lapland/FIN_LA_Inari-Kirakkajarvi.028580_TMYx.zip")</f>
        <v>https://climate.onebuilding.org/WMO_Region_6_Europe/FIN_Finland/LA_Lapland/FIN_LA_Inari-Kirakkajarvi.028580_TMYx.zip</v>
      </c>
    </row>
    <row r="3764" spans="1:10" x14ac:dyDescent="0.25">
      <c r="A3764" t="s">
        <v>2310</v>
      </c>
      <c r="B3764" t="s">
        <v>246</v>
      </c>
      <c r="C3764" t="s">
        <v>2649</v>
      </c>
      <c r="D3764" s="1" t="s">
        <v>2650</v>
      </c>
      <c r="E3764" t="s">
        <v>2651</v>
      </c>
      <c r="F3764">
        <v>64.664199999999994</v>
      </c>
      <c r="G3764">
        <v>28.056699999999999</v>
      </c>
      <c r="H3764">
        <v>2</v>
      </c>
      <c r="I3764">
        <v>341</v>
      </c>
      <c r="J3764" t="str">
        <f>HYPERLINK("https://climate.onebuilding.org/WMO_Region_6_Europe/FIN_Finland/KA_Kainuu/FIN_KA_Puolanka.Paljakka.028590_TMYx.2004-2018.zip")</f>
        <v>https://climate.onebuilding.org/WMO_Region_6_Europe/FIN_Finland/KA_Kainuu/FIN_KA_Puolanka.Paljakka.028590_TMYx.2004-2018.zip</v>
      </c>
    </row>
    <row r="3765" spans="1:10" x14ac:dyDescent="0.25">
      <c r="A3765" t="s">
        <v>2310</v>
      </c>
      <c r="B3765" t="s">
        <v>246</v>
      </c>
      <c r="C3765" t="s">
        <v>2649</v>
      </c>
      <c r="D3765" s="1" t="s">
        <v>2650</v>
      </c>
      <c r="E3765" t="s">
        <v>14</v>
      </c>
      <c r="F3765">
        <v>64.664199999999994</v>
      </c>
      <c r="G3765">
        <v>28.056699999999999</v>
      </c>
      <c r="H3765">
        <v>2</v>
      </c>
      <c r="I3765">
        <v>341</v>
      </c>
      <c r="J3765" t="str">
        <f>HYPERLINK("https://climate.onebuilding.org/WMO_Region_6_Europe/FIN_Finland/KA_Kainuu/FIN_KA_Puolanka.Paljakka.028590_TMYx.2007-2021.zip")</f>
        <v>https://climate.onebuilding.org/WMO_Region_6_Europe/FIN_Finland/KA_Kainuu/FIN_KA_Puolanka.Paljakka.028590_TMYx.2007-2021.zip</v>
      </c>
    </row>
    <row r="3766" spans="1:10" x14ac:dyDescent="0.25">
      <c r="A3766" t="s">
        <v>2310</v>
      </c>
      <c r="B3766" t="s">
        <v>246</v>
      </c>
      <c r="C3766" t="s">
        <v>2649</v>
      </c>
      <c r="D3766" s="1" t="s">
        <v>2650</v>
      </c>
      <c r="E3766" t="s">
        <v>14</v>
      </c>
      <c r="F3766">
        <v>64.664199999999994</v>
      </c>
      <c r="G3766">
        <v>28.056699999999999</v>
      </c>
      <c r="H3766">
        <v>2</v>
      </c>
      <c r="I3766">
        <v>341</v>
      </c>
      <c r="J3766" t="str">
        <f>HYPERLINK("https://climate.onebuilding.org/WMO_Region_6_Europe/FIN_Finland/KA_Kainuu/FIN_KA_Puolanka.Paljakka.028590_TMYx.2009-2023.zip")</f>
        <v>https://climate.onebuilding.org/WMO_Region_6_Europe/FIN_Finland/KA_Kainuu/FIN_KA_Puolanka.Paljakka.028590_TMYx.2009-2023.zip</v>
      </c>
    </row>
    <row r="3767" spans="1:10" x14ac:dyDescent="0.25">
      <c r="A3767" t="s">
        <v>2310</v>
      </c>
      <c r="B3767" t="s">
        <v>246</v>
      </c>
      <c r="C3767" t="s">
        <v>2649</v>
      </c>
      <c r="D3767" s="1" t="s">
        <v>2650</v>
      </c>
      <c r="E3767" t="s">
        <v>14</v>
      </c>
      <c r="F3767">
        <v>64.664199999999994</v>
      </c>
      <c r="G3767">
        <v>28.056699999999999</v>
      </c>
      <c r="H3767">
        <v>2</v>
      </c>
      <c r="I3767">
        <v>341</v>
      </c>
      <c r="J3767" t="str">
        <f>HYPERLINK("https://climate.onebuilding.org/WMO_Region_6_Europe/FIN_Finland/KA_Kainuu/FIN_KA_Puolanka.Paljakka.028590_TMYx.zip")</f>
        <v>https://climate.onebuilding.org/WMO_Region_6_Europe/FIN_Finland/KA_Kainuu/FIN_KA_Puolanka.Paljakka.028590_TMYx.zip</v>
      </c>
    </row>
    <row r="3768" spans="1:10" x14ac:dyDescent="0.25">
      <c r="A3768" t="s">
        <v>2310</v>
      </c>
      <c r="B3768" t="s">
        <v>1184</v>
      </c>
      <c r="C3768" t="s">
        <v>2652</v>
      </c>
      <c r="D3768" s="1" t="s">
        <v>2653</v>
      </c>
      <c r="E3768" t="s">
        <v>2654</v>
      </c>
      <c r="F3768">
        <v>67.652199999999993</v>
      </c>
      <c r="G3768">
        <v>24.901700000000002</v>
      </c>
      <c r="H3768">
        <v>2</v>
      </c>
      <c r="I3768">
        <v>181</v>
      </c>
      <c r="J3768" t="str">
        <f>HYPERLINK("https://climate.onebuilding.org/WMO_Region_6_Europe/FIN_Finland/LA_Lapland/FIN_LA_Kittila.KK.028600_TMYx.2004-2018.zip")</f>
        <v>https://climate.onebuilding.org/WMO_Region_6_Europe/FIN_Finland/LA_Lapland/FIN_LA_Kittila.KK.028600_TMYx.2004-2018.zip</v>
      </c>
    </row>
    <row r="3769" spans="1:10" x14ac:dyDescent="0.25">
      <c r="A3769" t="s">
        <v>2310</v>
      </c>
      <c r="B3769" t="s">
        <v>1184</v>
      </c>
      <c r="C3769" t="s">
        <v>2652</v>
      </c>
      <c r="D3769" s="1" t="s">
        <v>2653</v>
      </c>
      <c r="E3769" t="s">
        <v>14</v>
      </c>
      <c r="F3769">
        <v>67.652199999999993</v>
      </c>
      <c r="G3769">
        <v>24.901700000000002</v>
      </c>
      <c r="H3769">
        <v>2</v>
      </c>
      <c r="I3769">
        <v>181</v>
      </c>
      <c r="J3769" t="str">
        <f>HYPERLINK("https://climate.onebuilding.org/WMO_Region_6_Europe/FIN_Finland/LA_Lapland/FIN_LA_Kittila.KK.028600_TMYx.2007-2021.zip")</f>
        <v>https://climate.onebuilding.org/WMO_Region_6_Europe/FIN_Finland/LA_Lapland/FIN_LA_Kittila.KK.028600_TMYx.2007-2021.zip</v>
      </c>
    </row>
    <row r="3770" spans="1:10" x14ac:dyDescent="0.25">
      <c r="A3770" t="s">
        <v>2310</v>
      </c>
      <c r="B3770" t="s">
        <v>1184</v>
      </c>
      <c r="C3770" t="s">
        <v>2652</v>
      </c>
      <c r="D3770" s="1" t="s">
        <v>2653</v>
      </c>
      <c r="E3770" t="s">
        <v>14</v>
      </c>
      <c r="F3770">
        <v>67.652199999999993</v>
      </c>
      <c r="G3770">
        <v>24.901700000000002</v>
      </c>
      <c r="H3770">
        <v>2</v>
      </c>
      <c r="I3770">
        <v>181</v>
      </c>
      <c r="J3770" t="str">
        <f>HYPERLINK("https://climate.onebuilding.org/WMO_Region_6_Europe/FIN_Finland/LA_Lapland/FIN_LA_Kittila.KK.028600_TMYx.2009-2023.zip")</f>
        <v>https://climate.onebuilding.org/WMO_Region_6_Europe/FIN_Finland/LA_Lapland/FIN_LA_Kittila.KK.028600_TMYx.2009-2023.zip</v>
      </c>
    </row>
    <row r="3771" spans="1:10" x14ac:dyDescent="0.25">
      <c r="A3771" t="s">
        <v>2310</v>
      </c>
      <c r="B3771" t="s">
        <v>1184</v>
      </c>
      <c r="C3771" t="s">
        <v>2652</v>
      </c>
      <c r="D3771" s="1" t="s">
        <v>2653</v>
      </c>
      <c r="E3771" t="s">
        <v>14</v>
      </c>
      <c r="F3771">
        <v>67.652199999999993</v>
      </c>
      <c r="G3771">
        <v>24.901700000000002</v>
      </c>
      <c r="H3771">
        <v>2</v>
      </c>
      <c r="I3771">
        <v>181</v>
      </c>
      <c r="J3771" t="str">
        <f>HYPERLINK("https://climate.onebuilding.org/WMO_Region_6_Europe/FIN_Finland/LA_Lapland/FIN_LA_Kittila.KK.028600_TMYx.zip")</f>
        <v>https://climate.onebuilding.org/WMO_Region_6_Europe/FIN_Finland/LA_Lapland/FIN_LA_Kittila.KK.028600_TMYx.zip</v>
      </c>
    </row>
    <row r="3772" spans="1:10" x14ac:dyDescent="0.25">
      <c r="A3772" t="s">
        <v>2310</v>
      </c>
      <c r="B3772" t="s">
        <v>1184</v>
      </c>
      <c r="C3772" t="s">
        <v>2655</v>
      </c>
      <c r="D3772" s="1" t="s">
        <v>2656</v>
      </c>
      <c r="E3772" t="s">
        <v>2657</v>
      </c>
      <c r="F3772">
        <v>65.673000000000002</v>
      </c>
      <c r="G3772">
        <v>24.5153</v>
      </c>
      <c r="H3772">
        <v>2</v>
      </c>
      <c r="I3772">
        <v>3.1</v>
      </c>
      <c r="J3772" t="str">
        <f>HYPERLINK("https://climate.onebuilding.org/WMO_Region_6_Europe/FIN_Finland/LA_Lapland/FIN_LA_Kemi.Ajos.028620_TMYx.2004-2018.zip")</f>
        <v>https://climate.onebuilding.org/WMO_Region_6_Europe/FIN_Finland/LA_Lapland/FIN_LA_Kemi.Ajos.028620_TMYx.2004-2018.zip</v>
      </c>
    </row>
    <row r="3773" spans="1:10" x14ac:dyDescent="0.25">
      <c r="A3773" t="s">
        <v>2310</v>
      </c>
      <c r="B3773" t="s">
        <v>1184</v>
      </c>
      <c r="C3773" t="s">
        <v>2655</v>
      </c>
      <c r="D3773" s="1" t="s">
        <v>2656</v>
      </c>
      <c r="E3773" t="s">
        <v>14</v>
      </c>
      <c r="F3773">
        <v>65.673000000000002</v>
      </c>
      <c r="G3773">
        <v>24.5153</v>
      </c>
      <c r="H3773">
        <v>2</v>
      </c>
      <c r="I3773">
        <v>3.1</v>
      </c>
      <c r="J3773" t="str">
        <f>HYPERLINK("https://climate.onebuilding.org/WMO_Region_6_Europe/FIN_Finland/LA_Lapland/FIN_LA_Kemi.Ajos.028620_TMYx.2007-2021.zip")</f>
        <v>https://climate.onebuilding.org/WMO_Region_6_Europe/FIN_Finland/LA_Lapland/FIN_LA_Kemi.Ajos.028620_TMYx.2007-2021.zip</v>
      </c>
    </row>
    <row r="3774" spans="1:10" x14ac:dyDescent="0.25">
      <c r="A3774" t="s">
        <v>2310</v>
      </c>
      <c r="B3774" t="s">
        <v>1184</v>
      </c>
      <c r="C3774" t="s">
        <v>2655</v>
      </c>
      <c r="D3774" s="1" t="s">
        <v>2656</v>
      </c>
      <c r="E3774" t="s">
        <v>14</v>
      </c>
      <c r="F3774">
        <v>65.673000000000002</v>
      </c>
      <c r="G3774">
        <v>24.5153</v>
      </c>
      <c r="H3774">
        <v>2</v>
      </c>
      <c r="I3774">
        <v>3.1</v>
      </c>
      <c r="J3774" t="str">
        <f>HYPERLINK("https://climate.onebuilding.org/WMO_Region_6_Europe/FIN_Finland/LA_Lapland/FIN_LA_Kemi.Ajos.028620_TMYx.2009-2023.zip")</f>
        <v>https://climate.onebuilding.org/WMO_Region_6_Europe/FIN_Finland/LA_Lapland/FIN_LA_Kemi.Ajos.028620_TMYx.2009-2023.zip</v>
      </c>
    </row>
    <row r="3775" spans="1:10" x14ac:dyDescent="0.25">
      <c r="A3775" t="s">
        <v>2310</v>
      </c>
      <c r="B3775" t="s">
        <v>1184</v>
      </c>
      <c r="C3775" t="s">
        <v>2655</v>
      </c>
      <c r="D3775" s="1" t="s">
        <v>2656</v>
      </c>
      <c r="E3775" t="s">
        <v>14</v>
      </c>
      <c r="F3775">
        <v>65.673000000000002</v>
      </c>
      <c r="G3775">
        <v>24.5153</v>
      </c>
      <c r="H3775">
        <v>2</v>
      </c>
      <c r="I3775">
        <v>3.1</v>
      </c>
      <c r="J3775" t="str">
        <f>HYPERLINK("https://climate.onebuilding.org/WMO_Region_6_Europe/FIN_Finland/LA_Lapland/FIN_LA_Kemi.Ajos.028620_TMYx.zip")</f>
        <v>https://climate.onebuilding.org/WMO_Region_6_Europe/FIN_Finland/LA_Lapland/FIN_LA_Kemi.Ajos.028620_TMYx.zip</v>
      </c>
    </row>
    <row r="3776" spans="1:10" x14ac:dyDescent="0.25">
      <c r="A3776" t="s">
        <v>2310</v>
      </c>
      <c r="B3776" t="s">
        <v>1184</v>
      </c>
      <c r="C3776" t="s">
        <v>2658</v>
      </c>
      <c r="D3776" s="1" t="s">
        <v>2659</v>
      </c>
      <c r="E3776" t="s">
        <v>2660</v>
      </c>
      <c r="F3776">
        <v>65.385300000000001</v>
      </c>
      <c r="G3776">
        <v>24.0961</v>
      </c>
      <c r="H3776">
        <v>2</v>
      </c>
      <c r="I3776">
        <v>19</v>
      </c>
      <c r="J3776" t="str">
        <f>HYPERLINK("https://climate.onebuilding.org/WMO_Region_6_Europe/FIN_Finland/LA_Lapland/FIN_LA_Kemi.I.Lighthouse.028630_TMYx.2004-2018.zip")</f>
        <v>https://climate.onebuilding.org/WMO_Region_6_Europe/FIN_Finland/LA_Lapland/FIN_LA_Kemi.I.Lighthouse.028630_TMYx.2004-2018.zip</v>
      </c>
    </row>
    <row r="3777" spans="1:10" x14ac:dyDescent="0.25">
      <c r="A3777" t="s">
        <v>2310</v>
      </c>
      <c r="B3777" t="s">
        <v>1184</v>
      </c>
      <c r="C3777" t="s">
        <v>2658</v>
      </c>
      <c r="D3777" s="1" t="s">
        <v>2659</v>
      </c>
      <c r="E3777" t="s">
        <v>14</v>
      </c>
      <c r="F3777">
        <v>65.385300000000001</v>
      </c>
      <c r="G3777">
        <v>24.0961</v>
      </c>
      <c r="H3777">
        <v>2</v>
      </c>
      <c r="I3777">
        <v>19</v>
      </c>
      <c r="J3777" t="str">
        <f>HYPERLINK("https://climate.onebuilding.org/WMO_Region_6_Europe/FIN_Finland/LA_Lapland/FIN_LA_Kemi.I.Lighthouse.028630_TMYx.2007-2021.zip")</f>
        <v>https://climate.onebuilding.org/WMO_Region_6_Europe/FIN_Finland/LA_Lapland/FIN_LA_Kemi.I.Lighthouse.028630_TMYx.2007-2021.zip</v>
      </c>
    </row>
    <row r="3778" spans="1:10" x14ac:dyDescent="0.25">
      <c r="A3778" t="s">
        <v>2310</v>
      </c>
      <c r="B3778" t="s">
        <v>1184</v>
      </c>
      <c r="C3778" t="s">
        <v>2658</v>
      </c>
      <c r="D3778" s="1" t="s">
        <v>2659</v>
      </c>
      <c r="E3778" t="s">
        <v>14</v>
      </c>
      <c r="F3778">
        <v>65.385300000000001</v>
      </c>
      <c r="G3778">
        <v>24.0961</v>
      </c>
      <c r="H3778">
        <v>2</v>
      </c>
      <c r="I3778">
        <v>19</v>
      </c>
      <c r="J3778" t="str">
        <f>HYPERLINK("https://climate.onebuilding.org/WMO_Region_6_Europe/FIN_Finland/LA_Lapland/FIN_LA_Kemi.I.Lighthouse.028630_TMYx.2009-2023.zip")</f>
        <v>https://climate.onebuilding.org/WMO_Region_6_Europe/FIN_Finland/LA_Lapland/FIN_LA_Kemi.I.Lighthouse.028630_TMYx.2009-2023.zip</v>
      </c>
    </row>
    <row r="3779" spans="1:10" x14ac:dyDescent="0.25">
      <c r="A3779" t="s">
        <v>2310</v>
      </c>
      <c r="B3779" t="s">
        <v>1184</v>
      </c>
      <c r="C3779" t="s">
        <v>2658</v>
      </c>
      <c r="D3779" s="1" t="s">
        <v>2659</v>
      </c>
      <c r="E3779" t="s">
        <v>14</v>
      </c>
      <c r="F3779">
        <v>65.385300000000001</v>
      </c>
      <c r="G3779">
        <v>24.0961</v>
      </c>
      <c r="H3779">
        <v>2</v>
      </c>
      <c r="I3779">
        <v>19</v>
      </c>
      <c r="J3779" t="str">
        <f>HYPERLINK("https://climate.onebuilding.org/WMO_Region_6_Europe/FIN_Finland/LA_Lapland/FIN_LA_Kemi.I.Lighthouse.028630_TMYx.zip")</f>
        <v>https://climate.onebuilding.org/WMO_Region_6_Europe/FIN_Finland/LA_Lapland/FIN_LA_Kemi.I.Lighthouse.028630_TMYx.zip</v>
      </c>
    </row>
    <row r="3780" spans="1:10" x14ac:dyDescent="0.25">
      <c r="A3780" t="s">
        <v>2310</v>
      </c>
      <c r="B3780" t="s">
        <v>1184</v>
      </c>
      <c r="C3780" t="s">
        <v>2661</v>
      </c>
      <c r="D3780" s="1" t="s">
        <v>2662</v>
      </c>
      <c r="E3780" t="s">
        <v>2663</v>
      </c>
      <c r="F3780">
        <v>65.783600000000007</v>
      </c>
      <c r="G3780">
        <v>24.5794</v>
      </c>
      <c r="H3780">
        <v>2</v>
      </c>
      <c r="I3780">
        <v>18.600000000000001</v>
      </c>
      <c r="J3780" t="str">
        <f>HYPERLINK("https://climate.onebuilding.org/WMO_Region_6_Europe/FIN_Finland/LA_Lapland/FIN_LA_Kemi-Tornio.AP.028640_TMYx.2004-2018.zip")</f>
        <v>https://climate.onebuilding.org/WMO_Region_6_Europe/FIN_Finland/LA_Lapland/FIN_LA_Kemi-Tornio.AP.028640_TMYx.2004-2018.zip</v>
      </c>
    </row>
    <row r="3781" spans="1:10" x14ac:dyDescent="0.25">
      <c r="A3781" t="s">
        <v>2310</v>
      </c>
      <c r="B3781" t="s">
        <v>1184</v>
      </c>
      <c r="C3781" t="s">
        <v>2661</v>
      </c>
      <c r="D3781" s="1" t="s">
        <v>2662</v>
      </c>
      <c r="E3781" t="s">
        <v>14</v>
      </c>
      <c r="F3781">
        <v>65.783600000000007</v>
      </c>
      <c r="G3781">
        <v>24.5794</v>
      </c>
      <c r="H3781">
        <v>2</v>
      </c>
      <c r="I3781">
        <v>18.600000000000001</v>
      </c>
      <c r="J3781" t="str">
        <f>HYPERLINK("https://climate.onebuilding.org/WMO_Region_6_Europe/FIN_Finland/LA_Lapland/FIN_LA_Kemi-Tornio.AP.028640_TMYx.2007-2021.zip")</f>
        <v>https://climate.onebuilding.org/WMO_Region_6_Europe/FIN_Finland/LA_Lapland/FIN_LA_Kemi-Tornio.AP.028640_TMYx.2007-2021.zip</v>
      </c>
    </row>
    <row r="3782" spans="1:10" x14ac:dyDescent="0.25">
      <c r="A3782" t="s">
        <v>2310</v>
      </c>
      <c r="B3782" t="s">
        <v>1184</v>
      </c>
      <c r="C3782" t="s">
        <v>2661</v>
      </c>
      <c r="D3782" s="1" t="s">
        <v>2662</v>
      </c>
      <c r="E3782" t="s">
        <v>14</v>
      </c>
      <c r="F3782">
        <v>65.783600000000007</v>
      </c>
      <c r="G3782">
        <v>24.5794</v>
      </c>
      <c r="H3782">
        <v>2</v>
      </c>
      <c r="I3782">
        <v>18.600000000000001</v>
      </c>
      <c r="J3782" t="str">
        <f>HYPERLINK("https://climate.onebuilding.org/WMO_Region_6_Europe/FIN_Finland/LA_Lapland/FIN_LA_Kemi-Tornio.AP.028640_TMYx.2009-2023.zip")</f>
        <v>https://climate.onebuilding.org/WMO_Region_6_Europe/FIN_Finland/LA_Lapland/FIN_LA_Kemi-Tornio.AP.028640_TMYx.2009-2023.zip</v>
      </c>
    </row>
    <row r="3783" spans="1:10" x14ac:dyDescent="0.25">
      <c r="A3783" t="s">
        <v>2310</v>
      </c>
      <c r="B3783" t="s">
        <v>1184</v>
      </c>
      <c r="C3783" t="s">
        <v>2661</v>
      </c>
      <c r="D3783" s="1" t="s">
        <v>2662</v>
      </c>
      <c r="E3783" t="s">
        <v>14</v>
      </c>
      <c r="F3783">
        <v>65.783600000000007</v>
      </c>
      <c r="G3783">
        <v>24.5794</v>
      </c>
      <c r="H3783">
        <v>2</v>
      </c>
      <c r="I3783">
        <v>18.600000000000001</v>
      </c>
      <c r="J3783" t="str">
        <f>HYPERLINK("https://climate.onebuilding.org/WMO_Region_6_Europe/FIN_Finland/LA_Lapland/FIN_LA_Kemi-Tornio.AP.028640_TMYx.zip")</f>
        <v>https://climate.onebuilding.org/WMO_Region_6_Europe/FIN_Finland/LA_Lapland/FIN_LA_Kemi-Tornio.AP.028640_TMYx.zip</v>
      </c>
    </row>
    <row r="3784" spans="1:10" x14ac:dyDescent="0.25">
      <c r="A3784" t="s">
        <v>2310</v>
      </c>
      <c r="B3784" t="s">
        <v>93</v>
      </c>
      <c r="C3784" t="s">
        <v>2664</v>
      </c>
      <c r="D3784" s="1" t="s">
        <v>2665</v>
      </c>
      <c r="E3784" t="s">
        <v>2666</v>
      </c>
      <c r="F3784">
        <v>65.413899999999998</v>
      </c>
      <c r="G3784">
        <v>26.963100000000001</v>
      </c>
      <c r="H3784">
        <v>2</v>
      </c>
      <c r="I3784">
        <v>120</v>
      </c>
      <c r="J3784" t="str">
        <f>HYPERLINK("https://climate.onebuilding.org/WMO_Region_6_Europe/FIN_Finland/NO_North_Ostrobothnia/FIN_NO_Pudasjarvi.AF.028660_TMYx.2004-2018.zip")</f>
        <v>https://climate.onebuilding.org/WMO_Region_6_Europe/FIN_Finland/NO_North_Ostrobothnia/FIN_NO_Pudasjarvi.AF.028660_TMYx.2004-2018.zip</v>
      </c>
    </row>
    <row r="3785" spans="1:10" x14ac:dyDescent="0.25">
      <c r="A3785" t="s">
        <v>2310</v>
      </c>
      <c r="B3785" t="s">
        <v>93</v>
      </c>
      <c r="C3785" t="s">
        <v>2664</v>
      </c>
      <c r="D3785" s="1" t="s">
        <v>2665</v>
      </c>
      <c r="E3785" t="s">
        <v>14</v>
      </c>
      <c r="F3785">
        <v>65.413899999999998</v>
      </c>
      <c r="G3785">
        <v>26.963100000000001</v>
      </c>
      <c r="H3785">
        <v>2</v>
      </c>
      <c r="I3785">
        <v>120</v>
      </c>
      <c r="J3785" t="str">
        <f>HYPERLINK("https://climate.onebuilding.org/WMO_Region_6_Europe/FIN_Finland/NO_North_Ostrobothnia/FIN_NO_Pudasjarvi.AF.028660_TMYx.2007-2021.zip")</f>
        <v>https://climate.onebuilding.org/WMO_Region_6_Europe/FIN_Finland/NO_North_Ostrobothnia/FIN_NO_Pudasjarvi.AF.028660_TMYx.2007-2021.zip</v>
      </c>
    </row>
    <row r="3786" spans="1:10" x14ac:dyDescent="0.25">
      <c r="A3786" t="s">
        <v>2310</v>
      </c>
      <c r="B3786" t="s">
        <v>93</v>
      </c>
      <c r="C3786" t="s">
        <v>2664</v>
      </c>
      <c r="D3786" s="1" t="s">
        <v>2665</v>
      </c>
      <c r="E3786" t="s">
        <v>14</v>
      </c>
      <c r="F3786">
        <v>65.413899999999998</v>
      </c>
      <c r="G3786">
        <v>26.963100000000001</v>
      </c>
      <c r="H3786">
        <v>2</v>
      </c>
      <c r="I3786">
        <v>120</v>
      </c>
      <c r="J3786" t="str">
        <f>HYPERLINK("https://climate.onebuilding.org/WMO_Region_6_Europe/FIN_Finland/NO_North_Ostrobothnia/FIN_NO_Pudasjarvi.AF.028660_TMYx.2009-2023.zip")</f>
        <v>https://climate.onebuilding.org/WMO_Region_6_Europe/FIN_Finland/NO_North_Ostrobothnia/FIN_NO_Pudasjarvi.AF.028660_TMYx.2009-2023.zip</v>
      </c>
    </row>
    <row r="3787" spans="1:10" x14ac:dyDescent="0.25">
      <c r="A3787" t="s">
        <v>2310</v>
      </c>
      <c r="B3787" t="s">
        <v>93</v>
      </c>
      <c r="C3787" t="s">
        <v>2664</v>
      </c>
      <c r="D3787" s="1" t="s">
        <v>2665</v>
      </c>
      <c r="E3787" t="s">
        <v>14</v>
      </c>
      <c r="F3787">
        <v>65.413899999999998</v>
      </c>
      <c r="G3787">
        <v>26.963100000000001</v>
      </c>
      <c r="H3787">
        <v>2</v>
      </c>
      <c r="I3787">
        <v>120</v>
      </c>
      <c r="J3787" t="str">
        <f>HYPERLINK("https://climate.onebuilding.org/WMO_Region_6_Europe/FIN_Finland/NO_North_Ostrobothnia/FIN_NO_Pudasjarvi.AF.028660_TMYx.zip")</f>
        <v>https://climate.onebuilding.org/WMO_Region_6_Europe/FIN_Finland/NO_North_Ostrobothnia/FIN_NO_Pudasjarvi.AF.028660_TMYx.zip</v>
      </c>
    </row>
    <row r="3788" spans="1:10" x14ac:dyDescent="0.25">
      <c r="A3788" t="s">
        <v>2310</v>
      </c>
      <c r="B3788" t="s">
        <v>93</v>
      </c>
      <c r="C3788" t="s">
        <v>2667</v>
      </c>
      <c r="D3788" s="1" t="s">
        <v>2668</v>
      </c>
      <c r="E3788" t="s">
        <v>2669</v>
      </c>
      <c r="F3788">
        <v>66.1661</v>
      </c>
      <c r="G3788">
        <v>29.151700000000002</v>
      </c>
      <c r="H3788">
        <v>2</v>
      </c>
      <c r="I3788">
        <v>362.8</v>
      </c>
      <c r="J3788" t="str">
        <f>HYPERLINK("https://climate.onebuilding.org/WMO_Region_6_Europe/FIN_Finland/NO_North_Ostrobothnia/FIN_NO_Kuusamo.Rukatunturi.028680_TMYx.2004-2018.zip")</f>
        <v>https://climate.onebuilding.org/WMO_Region_6_Europe/FIN_Finland/NO_North_Ostrobothnia/FIN_NO_Kuusamo.Rukatunturi.028680_TMYx.2004-2018.zip</v>
      </c>
    </row>
    <row r="3789" spans="1:10" x14ac:dyDescent="0.25">
      <c r="A3789" t="s">
        <v>2310</v>
      </c>
      <c r="B3789" t="s">
        <v>93</v>
      </c>
      <c r="C3789" t="s">
        <v>2667</v>
      </c>
      <c r="D3789" s="1" t="s">
        <v>2668</v>
      </c>
      <c r="E3789" t="s">
        <v>14</v>
      </c>
      <c r="F3789">
        <v>66.1661</v>
      </c>
      <c r="G3789">
        <v>29.151700000000002</v>
      </c>
      <c r="H3789">
        <v>2</v>
      </c>
      <c r="I3789">
        <v>362.8</v>
      </c>
      <c r="J3789" t="str">
        <f>HYPERLINK("https://climate.onebuilding.org/WMO_Region_6_Europe/FIN_Finland/NO_North_Ostrobothnia/FIN_NO_Kuusamo.Rukatunturi.028680_TMYx.2007-2021.zip")</f>
        <v>https://climate.onebuilding.org/WMO_Region_6_Europe/FIN_Finland/NO_North_Ostrobothnia/FIN_NO_Kuusamo.Rukatunturi.028680_TMYx.2007-2021.zip</v>
      </c>
    </row>
    <row r="3790" spans="1:10" x14ac:dyDescent="0.25">
      <c r="A3790" t="s">
        <v>2310</v>
      </c>
      <c r="B3790" t="s">
        <v>93</v>
      </c>
      <c r="C3790" t="s">
        <v>2667</v>
      </c>
      <c r="D3790" s="1" t="s">
        <v>2668</v>
      </c>
      <c r="E3790" t="s">
        <v>14</v>
      </c>
      <c r="F3790">
        <v>66.1661</v>
      </c>
      <c r="G3790">
        <v>29.151700000000002</v>
      </c>
      <c r="H3790">
        <v>2</v>
      </c>
      <c r="I3790">
        <v>362.8</v>
      </c>
      <c r="J3790" t="str">
        <f>HYPERLINK("https://climate.onebuilding.org/WMO_Region_6_Europe/FIN_Finland/NO_North_Ostrobothnia/FIN_NO_Kuusamo.Rukatunturi.028680_TMYx.2009-2023.zip")</f>
        <v>https://climate.onebuilding.org/WMO_Region_6_Europe/FIN_Finland/NO_North_Ostrobothnia/FIN_NO_Kuusamo.Rukatunturi.028680_TMYx.2009-2023.zip</v>
      </c>
    </row>
    <row r="3791" spans="1:10" x14ac:dyDescent="0.25">
      <c r="A3791" t="s">
        <v>2310</v>
      </c>
      <c r="B3791" t="s">
        <v>93</v>
      </c>
      <c r="C3791" t="s">
        <v>2667</v>
      </c>
      <c r="D3791" s="1" t="s">
        <v>2668</v>
      </c>
      <c r="E3791" t="s">
        <v>14</v>
      </c>
      <c r="F3791">
        <v>66.1661</v>
      </c>
      <c r="G3791">
        <v>29.151700000000002</v>
      </c>
      <c r="H3791">
        <v>2</v>
      </c>
      <c r="I3791">
        <v>362.8</v>
      </c>
      <c r="J3791" t="str">
        <f>HYPERLINK("https://climate.onebuilding.org/WMO_Region_6_Europe/FIN_Finland/NO_North_Ostrobothnia/FIN_NO_Kuusamo.Rukatunturi.028680_TMYx.zip")</f>
        <v>https://climate.onebuilding.org/WMO_Region_6_Europe/FIN_Finland/NO_North_Ostrobothnia/FIN_NO_Kuusamo.Rukatunturi.028680_TMYx.zip</v>
      </c>
    </row>
    <row r="3792" spans="1:10" x14ac:dyDescent="0.25">
      <c r="A3792" t="s">
        <v>2310</v>
      </c>
      <c r="B3792" t="s">
        <v>93</v>
      </c>
      <c r="C3792" t="s">
        <v>2670</v>
      </c>
      <c r="D3792" s="1" t="s">
        <v>2671</v>
      </c>
      <c r="E3792" t="s">
        <v>2672</v>
      </c>
      <c r="F3792">
        <v>65.995599999999996</v>
      </c>
      <c r="G3792">
        <v>29.2225</v>
      </c>
      <c r="H3792">
        <v>2</v>
      </c>
      <c r="I3792">
        <v>264</v>
      </c>
      <c r="J3792" t="str">
        <f>HYPERLINK("https://climate.onebuilding.org/WMO_Region_6_Europe/FIN_Finland/NO_North_Ostrobothnia/FIN_NO_Kuusamo.AP.028690_TMYx.2004-2018.zip")</f>
        <v>https://climate.onebuilding.org/WMO_Region_6_Europe/FIN_Finland/NO_North_Ostrobothnia/FIN_NO_Kuusamo.AP.028690_TMYx.2004-2018.zip</v>
      </c>
    </row>
    <row r="3793" spans="1:10" x14ac:dyDescent="0.25">
      <c r="A3793" t="s">
        <v>2310</v>
      </c>
      <c r="B3793" t="s">
        <v>93</v>
      </c>
      <c r="C3793" t="s">
        <v>2670</v>
      </c>
      <c r="D3793" s="1" t="s">
        <v>2671</v>
      </c>
      <c r="E3793" t="s">
        <v>14</v>
      </c>
      <c r="F3793">
        <v>65.995599999999996</v>
      </c>
      <c r="G3793">
        <v>29.2225</v>
      </c>
      <c r="H3793">
        <v>2</v>
      </c>
      <c r="I3793">
        <v>264</v>
      </c>
      <c r="J3793" t="str">
        <f>HYPERLINK("https://climate.onebuilding.org/WMO_Region_6_Europe/FIN_Finland/NO_North_Ostrobothnia/FIN_NO_Kuusamo.AP.028690_TMYx.2007-2021.zip")</f>
        <v>https://climate.onebuilding.org/WMO_Region_6_Europe/FIN_Finland/NO_North_Ostrobothnia/FIN_NO_Kuusamo.AP.028690_TMYx.2007-2021.zip</v>
      </c>
    </row>
    <row r="3794" spans="1:10" x14ac:dyDescent="0.25">
      <c r="A3794" t="s">
        <v>2310</v>
      </c>
      <c r="B3794" t="s">
        <v>93</v>
      </c>
      <c r="C3794" t="s">
        <v>2670</v>
      </c>
      <c r="D3794" s="1" t="s">
        <v>2671</v>
      </c>
      <c r="E3794" t="s">
        <v>14</v>
      </c>
      <c r="F3794">
        <v>65.995599999999996</v>
      </c>
      <c r="G3794">
        <v>29.2225</v>
      </c>
      <c r="H3794">
        <v>2</v>
      </c>
      <c r="I3794">
        <v>264</v>
      </c>
      <c r="J3794" t="str">
        <f>HYPERLINK("https://climate.onebuilding.org/WMO_Region_6_Europe/FIN_Finland/NO_North_Ostrobothnia/FIN_NO_Kuusamo.AP.028690_TMYx.2009-2023.zip")</f>
        <v>https://climate.onebuilding.org/WMO_Region_6_Europe/FIN_Finland/NO_North_Ostrobothnia/FIN_NO_Kuusamo.AP.028690_TMYx.2009-2023.zip</v>
      </c>
    </row>
    <row r="3795" spans="1:10" x14ac:dyDescent="0.25">
      <c r="A3795" t="s">
        <v>2310</v>
      </c>
      <c r="B3795" t="s">
        <v>93</v>
      </c>
      <c r="C3795" t="s">
        <v>2670</v>
      </c>
      <c r="D3795" s="1" t="s">
        <v>2671</v>
      </c>
      <c r="E3795" t="s">
        <v>14</v>
      </c>
      <c r="F3795">
        <v>65.995599999999996</v>
      </c>
      <c r="G3795">
        <v>29.2225</v>
      </c>
      <c r="H3795">
        <v>2</v>
      </c>
      <c r="I3795">
        <v>264</v>
      </c>
      <c r="J3795" t="str">
        <f>HYPERLINK("https://climate.onebuilding.org/WMO_Region_6_Europe/FIN_Finland/NO_North_Ostrobothnia/FIN_NO_Kuusamo.AP.028690_TMYx.zip")</f>
        <v>https://climate.onebuilding.org/WMO_Region_6_Europe/FIN_Finland/NO_North_Ostrobothnia/FIN_NO_Kuusamo.AP.028690_TMYx.zip</v>
      </c>
    </row>
    <row r="3796" spans="1:10" x14ac:dyDescent="0.25">
      <c r="A3796" t="s">
        <v>2310</v>
      </c>
      <c r="B3796" t="s">
        <v>93</v>
      </c>
      <c r="C3796" t="s">
        <v>2673</v>
      </c>
      <c r="D3796" s="1" t="s">
        <v>2674</v>
      </c>
      <c r="E3796" t="s">
        <v>2675</v>
      </c>
      <c r="F3796">
        <v>64.665800000000004</v>
      </c>
      <c r="G3796">
        <v>24.4069</v>
      </c>
      <c r="H3796">
        <v>2</v>
      </c>
      <c r="I3796">
        <v>2</v>
      </c>
      <c r="J3796" t="str">
        <f>HYPERLINK("https://climate.onebuilding.org/WMO_Region_6_Europe/FIN_Finland/NO_North_Ostrobothnia/FIN_NO_Raahe.Lapaluoto.Harbour.028720_TMYx.2004-2018.zip")</f>
        <v>https://climate.onebuilding.org/WMO_Region_6_Europe/FIN_Finland/NO_North_Ostrobothnia/FIN_NO_Raahe.Lapaluoto.Harbour.028720_TMYx.2004-2018.zip</v>
      </c>
    </row>
    <row r="3797" spans="1:10" x14ac:dyDescent="0.25">
      <c r="A3797" t="s">
        <v>2310</v>
      </c>
      <c r="B3797" t="s">
        <v>93</v>
      </c>
      <c r="C3797" t="s">
        <v>2673</v>
      </c>
      <c r="D3797" s="1" t="s">
        <v>2674</v>
      </c>
      <c r="E3797" t="s">
        <v>14</v>
      </c>
      <c r="F3797">
        <v>64.665800000000004</v>
      </c>
      <c r="G3797">
        <v>24.4069</v>
      </c>
      <c r="H3797">
        <v>2</v>
      </c>
      <c r="I3797">
        <v>2</v>
      </c>
      <c r="J3797" t="str">
        <f>HYPERLINK("https://climate.onebuilding.org/WMO_Region_6_Europe/FIN_Finland/NO_North_Ostrobothnia/FIN_NO_Raahe.Lapaluoto.Harbour.028720_TMYx.2007-2021.zip")</f>
        <v>https://climate.onebuilding.org/WMO_Region_6_Europe/FIN_Finland/NO_North_Ostrobothnia/FIN_NO_Raahe.Lapaluoto.Harbour.028720_TMYx.2007-2021.zip</v>
      </c>
    </row>
    <row r="3798" spans="1:10" x14ac:dyDescent="0.25">
      <c r="A3798" t="s">
        <v>2310</v>
      </c>
      <c r="B3798" t="s">
        <v>93</v>
      </c>
      <c r="C3798" t="s">
        <v>2673</v>
      </c>
      <c r="D3798" s="1" t="s">
        <v>2674</v>
      </c>
      <c r="E3798" t="s">
        <v>14</v>
      </c>
      <c r="F3798">
        <v>64.665800000000004</v>
      </c>
      <c r="G3798">
        <v>24.4069</v>
      </c>
      <c r="H3798">
        <v>2</v>
      </c>
      <c r="I3798">
        <v>2</v>
      </c>
      <c r="J3798" t="str">
        <f>HYPERLINK("https://climate.onebuilding.org/WMO_Region_6_Europe/FIN_Finland/NO_North_Ostrobothnia/FIN_NO_Raahe.Lapaluoto.Harbour.028720_TMYx.2009-2023.zip")</f>
        <v>https://climate.onebuilding.org/WMO_Region_6_Europe/FIN_Finland/NO_North_Ostrobothnia/FIN_NO_Raahe.Lapaluoto.Harbour.028720_TMYx.2009-2023.zip</v>
      </c>
    </row>
    <row r="3799" spans="1:10" x14ac:dyDescent="0.25">
      <c r="A3799" t="s">
        <v>2310</v>
      </c>
      <c r="B3799" t="s">
        <v>93</v>
      </c>
      <c r="C3799" t="s">
        <v>2673</v>
      </c>
      <c r="D3799" s="1" t="s">
        <v>2674</v>
      </c>
      <c r="E3799" t="s">
        <v>14</v>
      </c>
      <c r="F3799">
        <v>64.665800000000004</v>
      </c>
      <c r="G3799">
        <v>24.4069</v>
      </c>
      <c r="H3799">
        <v>2</v>
      </c>
      <c r="I3799">
        <v>2</v>
      </c>
      <c r="J3799" t="str">
        <f>HYPERLINK("https://climate.onebuilding.org/WMO_Region_6_Europe/FIN_Finland/NO_North_Ostrobothnia/FIN_NO_Raahe.Lapaluoto.Harbour.028720_TMYx.zip")</f>
        <v>https://climate.onebuilding.org/WMO_Region_6_Europe/FIN_Finland/NO_North_Ostrobothnia/FIN_NO_Raahe.Lapaluoto.Harbour.028720_TMYx.zip</v>
      </c>
    </row>
    <row r="3800" spans="1:10" x14ac:dyDescent="0.25">
      <c r="A3800" t="s">
        <v>2310</v>
      </c>
      <c r="B3800" t="s">
        <v>93</v>
      </c>
      <c r="C3800" t="s">
        <v>2676</v>
      </c>
      <c r="D3800" s="1" t="s">
        <v>2677</v>
      </c>
      <c r="E3800" t="s">
        <v>2678</v>
      </c>
      <c r="F3800">
        <v>65.039699999999996</v>
      </c>
      <c r="G3800">
        <v>24.5611</v>
      </c>
      <c r="H3800">
        <v>2</v>
      </c>
      <c r="I3800">
        <v>7.3</v>
      </c>
      <c r="J3800" t="str">
        <f>HYPERLINK("https://climate.onebuilding.org/WMO_Region_6_Europe/FIN_Finland/NO_North_Ostrobothnia/FIN_NO_Marjaniemi-Hailuoto.Island.028730_TMYx.2004-2018.zip")</f>
        <v>https://climate.onebuilding.org/WMO_Region_6_Europe/FIN_Finland/NO_North_Ostrobothnia/FIN_NO_Marjaniemi-Hailuoto.Island.028730_TMYx.2004-2018.zip</v>
      </c>
    </row>
    <row r="3801" spans="1:10" x14ac:dyDescent="0.25">
      <c r="A3801" t="s">
        <v>2310</v>
      </c>
      <c r="B3801" t="s">
        <v>93</v>
      </c>
      <c r="C3801" t="s">
        <v>2676</v>
      </c>
      <c r="D3801" s="1" t="s">
        <v>2677</v>
      </c>
      <c r="E3801" t="s">
        <v>14</v>
      </c>
      <c r="F3801">
        <v>65.039699999999996</v>
      </c>
      <c r="G3801">
        <v>24.5611</v>
      </c>
      <c r="H3801">
        <v>2</v>
      </c>
      <c r="I3801">
        <v>7.3</v>
      </c>
      <c r="J3801" t="str">
        <f>HYPERLINK("https://climate.onebuilding.org/WMO_Region_6_Europe/FIN_Finland/NO_North_Ostrobothnia/FIN_NO_Marjaniemi-Hailuoto.Island.028730_TMYx.2007-2021.zip")</f>
        <v>https://climate.onebuilding.org/WMO_Region_6_Europe/FIN_Finland/NO_North_Ostrobothnia/FIN_NO_Marjaniemi-Hailuoto.Island.028730_TMYx.2007-2021.zip</v>
      </c>
    </row>
    <row r="3802" spans="1:10" x14ac:dyDescent="0.25">
      <c r="A3802" t="s">
        <v>2310</v>
      </c>
      <c r="B3802" t="s">
        <v>93</v>
      </c>
      <c r="C3802" t="s">
        <v>2676</v>
      </c>
      <c r="D3802" s="1" t="s">
        <v>2677</v>
      </c>
      <c r="E3802" t="s">
        <v>14</v>
      </c>
      <c r="F3802">
        <v>65.039699999999996</v>
      </c>
      <c r="G3802">
        <v>24.5611</v>
      </c>
      <c r="H3802">
        <v>2</v>
      </c>
      <c r="I3802">
        <v>7.3</v>
      </c>
      <c r="J3802" t="str">
        <f>HYPERLINK("https://climate.onebuilding.org/WMO_Region_6_Europe/FIN_Finland/NO_North_Ostrobothnia/FIN_NO_Marjaniemi-Hailuoto.Island.028730_TMYx.2009-2023.zip")</f>
        <v>https://climate.onebuilding.org/WMO_Region_6_Europe/FIN_Finland/NO_North_Ostrobothnia/FIN_NO_Marjaniemi-Hailuoto.Island.028730_TMYx.2009-2023.zip</v>
      </c>
    </row>
    <row r="3803" spans="1:10" x14ac:dyDescent="0.25">
      <c r="A3803" t="s">
        <v>2310</v>
      </c>
      <c r="B3803" t="s">
        <v>93</v>
      </c>
      <c r="C3803" t="s">
        <v>2676</v>
      </c>
      <c r="D3803" s="1" t="s">
        <v>2677</v>
      </c>
      <c r="E3803" t="s">
        <v>14</v>
      </c>
      <c r="F3803">
        <v>65.039699999999996</v>
      </c>
      <c r="G3803">
        <v>24.5611</v>
      </c>
      <c r="H3803">
        <v>2</v>
      </c>
      <c r="I3803">
        <v>7.3</v>
      </c>
      <c r="J3803" t="str">
        <f>HYPERLINK("https://climate.onebuilding.org/WMO_Region_6_Europe/FIN_Finland/NO_North_Ostrobothnia/FIN_NO_Marjaniemi-Hailuoto.Island.028730_TMYx.zip")</f>
        <v>https://climate.onebuilding.org/WMO_Region_6_Europe/FIN_Finland/NO_North_Ostrobothnia/FIN_NO_Marjaniemi-Hailuoto.Island.028730_TMYx.zip</v>
      </c>
    </row>
    <row r="3804" spans="1:10" x14ac:dyDescent="0.25">
      <c r="A3804" t="s">
        <v>2310</v>
      </c>
      <c r="B3804" t="s">
        <v>93</v>
      </c>
      <c r="C3804" t="s">
        <v>2679</v>
      </c>
      <c r="D3804" s="1" t="s">
        <v>2680</v>
      </c>
      <c r="E3804" t="s">
        <v>2681</v>
      </c>
      <c r="F3804">
        <v>65.0197</v>
      </c>
      <c r="G3804">
        <v>24.727499999999999</v>
      </c>
      <c r="H3804">
        <v>2</v>
      </c>
      <c r="I3804">
        <v>7.2</v>
      </c>
      <c r="J3804" t="str">
        <f>HYPERLINK("https://climate.onebuilding.org/WMO_Region_6_Europe/FIN_Finland/NO_North_Ostrobothnia/FIN_NO_Hailuoto.Island.028740_TMYx.2004-2018.zip")</f>
        <v>https://climate.onebuilding.org/WMO_Region_6_Europe/FIN_Finland/NO_North_Ostrobothnia/FIN_NO_Hailuoto.Island.028740_TMYx.2004-2018.zip</v>
      </c>
    </row>
    <row r="3805" spans="1:10" x14ac:dyDescent="0.25">
      <c r="A3805" t="s">
        <v>2310</v>
      </c>
      <c r="B3805" t="s">
        <v>93</v>
      </c>
      <c r="C3805" t="s">
        <v>2679</v>
      </c>
      <c r="D3805" s="1" t="s">
        <v>2680</v>
      </c>
      <c r="E3805" t="s">
        <v>14</v>
      </c>
      <c r="F3805">
        <v>65.0197</v>
      </c>
      <c r="G3805">
        <v>24.727499999999999</v>
      </c>
      <c r="H3805">
        <v>2</v>
      </c>
      <c r="I3805">
        <v>7.2</v>
      </c>
      <c r="J3805" t="str">
        <f>HYPERLINK("https://climate.onebuilding.org/WMO_Region_6_Europe/FIN_Finland/NO_North_Ostrobothnia/FIN_NO_Hailuoto.Island.028740_TMYx.2007-2021.zip")</f>
        <v>https://climate.onebuilding.org/WMO_Region_6_Europe/FIN_Finland/NO_North_Ostrobothnia/FIN_NO_Hailuoto.Island.028740_TMYx.2007-2021.zip</v>
      </c>
    </row>
    <row r="3806" spans="1:10" x14ac:dyDescent="0.25">
      <c r="A3806" t="s">
        <v>2310</v>
      </c>
      <c r="B3806" t="s">
        <v>93</v>
      </c>
      <c r="C3806" t="s">
        <v>2679</v>
      </c>
      <c r="D3806" s="1" t="s">
        <v>2680</v>
      </c>
      <c r="E3806" t="s">
        <v>14</v>
      </c>
      <c r="F3806">
        <v>65.0197</v>
      </c>
      <c r="G3806">
        <v>24.727499999999999</v>
      </c>
      <c r="H3806">
        <v>2</v>
      </c>
      <c r="I3806">
        <v>7.2</v>
      </c>
      <c r="J3806" t="str">
        <f>HYPERLINK("https://climate.onebuilding.org/WMO_Region_6_Europe/FIN_Finland/NO_North_Ostrobothnia/FIN_NO_Hailuoto.Island.028740_TMYx.2009-2023.zip")</f>
        <v>https://climate.onebuilding.org/WMO_Region_6_Europe/FIN_Finland/NO_North_Ostrobothnia/FIN_NO_Hailuoto.Island.028740_TMYx.2009-2023.zip</v>
      </c>
    </row>
    <row r="3807" spans="1:10" x14ac:dyDescent="0.25">
      <c r="A3807" t="s">
        <v>2310</v>
      </c>
      <c r="B3807" t="s">
        <v>93</v>
      </c>
      <c r="C3807" t="s">
        <v>2679</v>
      </c>
      <c r="D3807" s="1" t="s">
        <v>2680</v>
      </c>
      <c r="E3807" t="s">
        <v>14</v>
      </c>
      <c r="F3807">
        <v>65.0197</v>
      </c>
      <c r="G3807">
        <v>24.727499999999999</v>
      </c>
      <c r="H3807">
        <v>2</v>
      </c>
      <c r="I3807">
        <v>7.2</v>
      </c>
      <c r="J3807" t="str">
        <f>HYPERLINK("https://climate.onebuilding.org/WMO_Region_6_Europe/FIN_Finland/NO_North_Ostrobothnia/FIN_NO_Hailuoto.Island.028740_TMYx.zip")</f>
        <v>https://climate.onebuilding.org/WMO_Region_6_Europe/FIN_Finland/NO_North_Ostrobothnia/FIN_NO_Hailuoto.Island.028740_TMYx.zip</v>
      </c>
    </row>
    <row r="3808" spans="1:10" x14ac:dyDescent="0.25">
      <c r="A3808" t="s">
        <v>2310</v>
      </c>
      <c r="B3808" t="s">
        <v>93</v>
      </c>
      <c r="C3808" t="s">
        <v>2682</v>
      </c>
      <c r="D3808" s="1" t="s">
        <v>2683</v>
      </c>
      <c r="E3808" t="s">
        <v>2684</v>
      </c>
      <c r="F3808">
        <v>64.926400000000001</v>
      </c>
      <c r="G3808">
        <v>25.372800000000002</v>
      </c>
      <c r="H3808">
        <v>2</v>
      </c>
      <c r="I3808">
        <v>14.3</v>
      </c>
      <c r="J3808" t="str">
        <f>HYPERLINK("https://climate.onebuilding.org/WMO_Region_6_Europe/FIN_Finland/NO_North_Ostrobothnia/FIN_NO_Oulu.AP.028750_TMYx.2004-2018.zip")</f>
        <v>https://climate.onebuilding.org/WMO_Region_6_Europe/FIN_Finland/NO_North_Ostrobothnia/FIN_NO_Oulu.AP.028750_TMYx.2004-2018.zip</v>
      </c>
    </row>
    <row r="3809" spans="1:10" x14ac:dyDescent="0.25">
      <c r="A3809" t="s">
        <v>2310</v>
      </c>
      <c r="B3809" t="s">
        <v>93</v>
      </c>
      <c r="C3809" t="s">
        <v>2682</v>
      </c>
      <c r="D3809" s="1" t="s">
        <v>2683</v>
      </c>
      <c r="E3809" t="s">
        <v>14</v>
      </c>
      <c r="F3809">
        <v>64.926400000000001</v>
      </c>
      <c r="G3809">
        <v>25.372800000000002</v>
      </c>
      <c r="H3809">
        <v>2</v>
      </c>
      <c r="I3809">
        <v>14.3</v>
      </c>
      <c r="J3809" t="str">
        <f>HYPERLINK("https://climate.onebuilding.org/WMO_Region_6_Europe/FIN_Finland/NO_North_Ostrobothnia/FIN_NO_Oulu.AP.028750_TMYx.2007-2021.zip")</f>
        <v>https://climate.onebuilding.org/WMO_Region_6_Europe/FIN_Finland/NO_North_Ostrobothnia/FIN_NO_Oulu.AP.028750_TMYx.2007-2021.zip</v>
      </c>
    </row>
    <row r="3810" spans="1:10" x14ac:dyDescent="0.25">
      <c r="A3810" t="s">
        <v>2310</v>
      </c>
      <c r="B3810" t="s">
        <v>93</v>
      </c>
      <c r="C3810" t="s">
        <v>2682</v>
      </c>
      <c r="D3810" s="1" t="s">
        <v>2683</v>
      </c>
      <c r="E3810" t="s">
        <v>14</v>
      </c>
      <c r="F3810">
        <v>64.926400000000001</v>
      </c>
      <c r="G3810">
        <v>25.372800000000002</v>
      </c>
      <c r="H3810">
        <v>2</v>
      </c>
      <c r="I3810">
        <v>14.3</v>
      </c>
      <c r="J3810" t="str">
        <f>HYPERLINK("https://climate.onebuilding.org/WMO_Region_6_Europe/FIN_Finland/NO_North_Ostrobothnia/FIN_NO_Oulu.AP.028750_TMYx.2009-2023.zip")</f>
        <v>https://climate.onebuilding.org/WMO_Region_6_Europe/FIN_Finland/NO_North_Ostrobothnia/FIN_NO_Oulu.AP.028750_TMYx.2009-2023.zip</v>
      </c>
    </row>
    <row r="3811" spans="1:10" x14ac:dyDescent="0.25">
      <c r="A3811" t="s">
        <v>2310</v>
      </c>
      <c r="B3811" t="s">
        <v>93</v>
      </c>
      <c r="C3811" t="s">
        <v>2682</v>
      </c>
      <c r="D3811" s="1" t="s">
        <v>2683</v>
      </c>
      <c r="E3811" t="s">
        <v>14</v>
      </c>
      <c r="F3811">
        <v>64.926400000000001</v>
      </c>
      <c r="G3811">
        <v>25.372800000000002</v>
      </c>
      <c r="H3811">
        <v>2</v>
      </c>
      <c r="I3811">
        <v>14.3</v>
      </c>
      <c r="J3811" t="str">
        <f>HYPERLINK("https://climate.onebuilding.org/WMO_Region_6_Europe/FIN_Finland/NO_North_Ostrobothnia/FIN_NO_Oulu.AP.028750_TMYx.zip")</f>
        <v>https://climate.onebuilding.org/WMO_Region_6_Europe/FIN_Finland/NO_North_Ostrobothnia/FIN_NO_Oulu.AP.028750_TMYx.zip</v>
      </c>
    </row>
    <row r="3812" spans="1:10" x14ac:dyDescent="0.25">
      <c r="A3812" t="s">
        <v>2310</v>
      </c>
      <c r="B3812" t="s">
        <v>93</v>
      </c>
      <c r="C3812" t="s">
        <v>2685</v>
      </c>
      <c r="D3812" s="1" t="s">
        <v>2686</v>
      </c>
      <c r="E3812" t="s">
        <v>2687</v>
      </c>
      <c r="F3812">
        <v>65.006399999999999</v>
      </c>
      <c r="G3812">
        <v>25.3933</v>
      </c>
      <c r="H3812">
        <v>2</v>
      </c>
      <c r="I3812">
        <v>3.8</v>
      </c>
      <c r="J3812" t="str">
        <f>HYPERLINK("https://climate.onebuilding.org/WMO_Region_6_Europe/FIN_Finland/NO_North_Ostrobothnia/FIN_NO_Oulu.Vihreasaari.Harbour.028760_TMYx.2004-2018.zip")</f>
        <v>https://climate.onebuilding.org/WMO_Region_6_Europe/FIN_Finland/NO_North_Ostrobothnia/FIN_NO_Oulu.Vihreasaari.Harbour.028760_TMYx.2004-2018.zip</v>
      </c>
    </row>
    <row r="3813" spans="1:10" x14ac:dyDescent="0.25">
      <c r="A3813" t="s">
        <v>2310</v>
      </c>
      <c r="B3813" t="s">
        <v>93</v>
      </c>
      <c r="C3813" t="s">
        <v>2685</v>
      </c>
      <c r="D3813" s="1" t="s">
        <v>2686</v>
      </c>
      <c r="E3813" t="s">
        <v>14</v>
      </c>
      <c r="F3813">
        <v>65.006399999999999</v>
      </c>
      <c r="G3813">
        <v>25.3933</v>
      </c>
      <c r="H3813">
        <v>2</v>
      </c>
      <c r="I3813">
        <v>3.8</v>
      </c>
      <c r="J3813" t="str">
        <f>HYPERLINK("https://climate.onebuilding.org/WMO_Region_6_Europe/FIN_Finland/NO_North_Ostrobothnia/FIN_NO_Oulu.Vihreasaari.Harbour.028760_TMYx.2007-2021.zip")</f>
        <v>https://climate.onebuilding.org/WMO_Region_6_Europe/FIN_Finland/NO_North_Ostrobothnia/FIN_NO_Oulu.Vihreasaari.Harbour.028760_TMYx.2007-2021.zip</v>
      </c>
    </row>
    <row r="3814" spans="1:10" x14ac:dyDescent="0.25">
      <c r="A3814" t="s">
        <v>2310</v>
      </c>
      <c r="B3814" t="s">
        <v>93</v>
      </c>
      <c r="C3814" t="s">
        <v>2685</v>
      </c>
      <c r="D3814" s="1" t="s">
        <v>2686</v>
      </c>
      <c r="E3814" t="s">
        <v>14</v>
      </c>
      <c r="F3814">
        <v>65.006399999999999</v>
      </c>
      <c r="G3814">
        <v>25.3933</v>
      </c>
      <c r="H3814">
        <v>2</v>
      </c>
      <c r="I3814">
        <v>3.8</v>
      </c>
      <c r="J3814" t="str">
        <f>HYPERLINK("https://climate.onebuilding.org/WMO_Region_6_Europe/FIN_Finland/NO_North_Ostrobothnia/FIN_NO_Oulu.Vihreasaari.Harbour.028760_TMYx.2009-2023.zip")</f>
        <v>https://climate.onebuilding.org/WMO_Region_6_Europe/FIN_Finland/NO_North_Ostrobothnia/FIN_NO_Oulu.Vihreasaari.Harbour.028760_TMYx.2009-2023.zip</v>
      </c>
    </row>
    <row r="3815" spans="1:10" x14ac:dyDescent="0.25">
      <c r="A3815" t="s">
        <v>2310</v>
      </c>
      <c r="B3815" t="s">
        <v>93</v>
      </c>
      <c r="C3815" t="s">
        <v>2685</v>
      </c>
      <c r="D3815" s="1" t="s">
        <v>2686</v>
      </c>
      <c r="E3815" t="s">
        <v>14</v>
      </c>
      <c r="F3815">
        <v>65.006399999999999</v>
      </c>
      <c r="G3815">
        <v>25.3933</v>
      </c>
      <c r="H3815">
        <v>2</v>
      </c>
      <c r="I3815">
        <v>3.8</v>
      </c>
      <c r="J3815" t="str">
        <f>HYPERLINK("https://climate.onebuilding.org/WMO_Region_6_Europe/FIN_Finland/NO_North_Ostrobothnia/FIN_NO_Oulu.Vihreasaari.Harbour.028760_TMYx.zip")</f>
        <v>https://climate.onebuilding.org/WMO_Region_6_Europe/FIN_Finland/NO_North_Ostrobothnia/FIN_NO_Oulu.Vihreasaari.Harbour.028760_TMYx.zip</v>
      </c>
    </row>
    <row r="3816" spans="1:10" x14ac:dyDescent="0.25">
      <c r="A3816" t="s">
        <v>2310</v>
      </c>
      <c r="B3816" t="s">
        <v>246</v>
      </c>
      <c r="C3816" t="s">
        <v>2688</v>
      </c>
      <c r="D3816" s="1" t="s">
        <v>2689</v>
      </c>
      <c r="E3816" t="s">
        <v>14</v>
      </c>
      <c r="F3816">
        <v>64.900000000000006</v>
      </c>
      <c r="G3816">
        <v>29.016999999999999</v>
      </c>
      <c r="H3816">
        <v>2</v>
      </c>
      <c r="I3816">
        <v>224</v>
      </c>
      <c r="J3816" t="str">
        <f>HYPERLINK("https://climate.onebuilding.org/WMO_Region_6_Europe/FIN_Finland/KA_Kainuu/FIN_KA_Suomussalmi.028790_TMYx.zip")</f>
        <v>https://climate.onebuilding.org/WMO_Region_6_Europe/FIN_Finland/KA_Kainuu/FIN_KA_Suomussalmi.028790_TMYx.zip</v>
      </c>
    </row>
    <row r="3817" spans="1:10" x14ac:dyDescent="0.25">
      <c r="A3817" t="s">
        <v>2310</v>
      </c>
      <c r="B3817" t="s">
        <v>1184</v>
      </c>
      <c r="C3817" t="s">
        <v>2690</v>
      </c>
      <c r="D3817" s="1" t="s">
        <v>2691</v>
      </c>
      <c r="E3817" t="s">
        <v>2692</v>
      </c>
      <c r="F3817">
        <v>65.846900000000005</v>
      </c>
      <c r="G3817">
        <v>24.1736</v>
      </c>
      <c r="H3817">
        <v>2</v>
      </c>
      <c r="I3817">
        <v>9</v>
      </c>
      <c r="J3817" t="str">
        <f>HYPERLINK("https://climate.onebuilding.org/WMO_Region_6_Europe/FIN_Finland/LA_Lapland/FIN_LA_Tornio.Torppi.028800_TMYx.2004-2018.zip")</f>
        <v>https://climate.onebuilding.org/WMO_Region_6_Europe/FIN_Finland/LA_Lapland/FIN_LA_Tornio.Torppi.028800_TMYx.2004-2018.zip</v>
      </c>
    </row>
    <row r="3818" spans="1:10" x14ac:dyDescent="0.25">
      <c r="A3818" t="s">
        <v>2310</v>
      </c>
      <c r="B3818" t="s">
        <v>1184</v>
      </c>
      <c r="C3818" t="s">
        <v>2690</v>
      </c>
      <c r="D3818" s="1" t="s">
        <v>2691</v>
      </c>
      <c r="E3818" t="s">
        <v>14</v>
      </c>
      <c r="F3818">
        <v>65.846900000000005</v>
      </c>
      <c r="G3818">
        <v>24.1736</v>
      </c>
      <c r="H3818">
        <v>2</v>
      </c>
      <c r="I3818">
        <v>9</v>
      </c>
      <c r="J3818" t="str">
        <f>HYPERLINK("https://climate.onebuilding.org/WMO_Region_6_Europe/FIN_Finland/LA_Lapland/FIN_LA_Tornio.Torppi.028800_TMYx.2007-2021.zip")</f>
        <v>https://climate.onebuilding.org/WMO_Region_6_Europe/FIN_Finland/LA_Lapland/FIN_LA_Tornio.Torppi.028800_TMYx.2007-2021.zip</v>
      </c>
    </row>
    <row r="3819" spans="1:10" x14ac:dyDescent="0.25">
      <c r="A3819" t="s">
        <v>2310</v>
      </c>
      <c r="B3819" t="s">
        <v>1184</v>
      </c>
      <c r="C3819" t="s">
        <v>2690</v>
      </c>
      <c r="D3819" s="1" t="s">
        <v>2691</v>
      </c>
      <c r="E3819" t="s">
        <v>14</v>
      </c>
      <c r="F3819">
        <v>65.846900000000005</v>
      </c>
      <c r="G3819">
        <v>24.1736</v>
      </c>
      <c r="H3819">
        <v>2</v>
      </c>
      <c r="I3819">
        <v>9</v>
      </c>
      <c r="J3819" t="str">
        <f>HYPERLINK("https://climate.onebuilding.org/WMO_Region_6_Europe/FIN_Finland/LA_Lapland/FIN_LA_Tornio.Torppi.028800_TMYx.2009-2023.zip")</f>
        <v>https://climate.onebuilding.org/WMO_Region_6_Europe/FIN_Finland/LA_Lapland/FIN_LA_Tornio.Torppi.028800_TMYx.2009-2023.zip</v>
      </c>
    </row>
    <row r="3820" spans="1:10" x14ac:dyDescent="0.25">
      <c r="A3820" t="s">
        <v>2310</v>
      </c>
      <c r="B3820" t="s">
        <v>1184</v>
      </c>
      <c r="C3820" t="s">
        <v>2690</v>
      </c>
      <c r="D3820" s="1" t="s">
        <v>2691</v>
      </c>
      <c r="E3820" t="s">
        <v>14</v>
      </c>
      <c r="F3820">
        <v>65.846900000000005</v>
      </c>
      <c r="G3820">
        <v>24.1736</v>
      </c>
      <c r="H3820">
        <v>2</v>
      </c>
      <c r="I3820">
        <v>9</v>
      </c>
      <c r="J3820" t="str">
        <f>HYPERLINK("https://climate.onebuilding.org/WMO_Region_6_Europe/FIN_Finland/LA_Lapland/FIN_LA_Tornio.Torppi.028800_TMYx.zip")</f>
        <v>https://climate.onebuilding.org/WMO_Region_6_Europe/FIN_Finland/LA_Lapland/FIN_LA_Tornio.Torppi.028800_TMYx.zip</v>
      </c>
    </row>
    <row r="3821" spans="1:10" x14ac:dyDescent="0.25">
      <c r="A3821" t="s">
        <v>2310</v>
      </c>
      <c r="B3821" t="s">
        <v>1184</v>
      </c>
      <c r="C3821" t="s">
        <v>2693</v>
      </c>
      <c r="D3821" s="1" t="s">
        <v>2694</v>
      </c>
      <c r="E3821" t="s">
        <v>2695</v>
      </c>
      <c r="F3821">
        <v>65.976900000000001</v>
      </c>
      <c r="G3821">
        <v>26.3675</v>
      </c>
      <c r="H3821">
        <v>2</v>
      </c>
      <c r="I3821">
        <v>163</v>
      </c>
      <c r="J3821" t="str">
        <f>HYPERLINK("https://climate.onebuilding.org/WMO_Region_6_Europe/FIN_Finland/LA_Lapland/FIN_LA_Ranua.AP.028810_TMYx.2004-2018.zip")</f>
        <v>https://climate.onebuilding.org/WMO_Region_6_Europe/FIN_Finland/LA_Lapland/FIN_LA_Ranua.AP.028810_TMYx.2004-2018.zip</v>
      </c>
    </row>
    <row r="3822" spans="1:10" x14ac:dyDescent="0.25">
      <c r="A3822" t="s">
        <v>2310</v>
      </c>
      <c r="B3822" t="s">
        <v>1184</v>
      </c>
      <c r="C3822" t="s">
        <v>2693</v>
      </c>
      <c r="D3822" s="1" t="s">
        <v>2694</v>
      </c>
      <c r="E3822" t="s">
        <v>14</v>
      </c>
      <c r="F3822">
        <v>65.976900000000001</v>
      </c>
      <c r="G3822">
        <v>26.3675</v>
      </c>
      <c r="H3822">
        <v>2</v>
      </c>
      <c r="I3822">
        <v>163</v>
      </c>
      <c r="J3822" t="str">
        <f>HYPERLINK("https://climate.onebuilding.org/WMO_Region_6_Europe/FIN_Finland/LA_Lapland/FIN_LA_Ranua.AP.028810_TMYx.2007-2021.zip")</f>
        <v>https://climate.onebuilding.org/WMO_Region_6_Europe/FIN_Finland/LA_Lapland/FIN_LA_Ranua.AP.028810_TMYx.2007-2021.zip</v>
      </c>
    </row>
    <row r="3823" spans="1:10" x14ac:dyDescent="0.25">
      <c r="A3823" t="s">
        <v>2310</v>
      </c>
      <c r="B3823" t="s">
        <v>1184</v>
      </c>
      <c r="C3823" t="s">
        <v>2693</v>
      </c>
      <c r="D3823" s="1" t="s">
        <v>2694</v>
      </c>
      <c r="E3823" t="s">
        <v>14</v>
      </c>
      <c r="F3823">
        <v>65.976900000000001</v>
      </c>
      <c r="G3823">
        <v>26.3675</v>
      </c>
      <c r="H3823">
        <v>2</v>
      </c>
      <c r="I3823">
        <v>163</v>
      </c>
      <c r="J3823" t="str">
        <f>HYPERLINK("https://climate.onebuilding.org/WMO_Region_6_Europe/FIN_Finland/LA_Lapland/FIN_LA_Ranua.AP.028810_TMYx.2009-2023.zip")</f>
        <v>https://climate.onebuilding.org/WMO_Region_6_Europe/FIN_Finland/LA_Lapland/FIN_LA_Ranua.AP.028810_TMYx.2009-2023.zip</v>
      </c>
    </row>
    <row r="3824" spans="1:10" x14ac:dyDescent="0.25">
      <c r="A3824" t="s">
        <v>2310</v>
      </c>
      <c r="B3824" t="s">
        <v>1184</v>
      </c>
      <c r="C3824" t="s">
        <v>2693</v>
      </c>
      <c r="D3824" s="1" t="s">
        <v>2694</v>
      </c>
      <c r="E3824" t="s">
        <v>14</v>
      </c>
      <c r="F3824">
        <v>65.976900000000001</v>
      </c>
      <c r="G3824">
        <v>26.3675</v>
      </c>
      <c r="H3824">
        <v>2</v>
      </c>
      <c r="I3824">
        <v>163</v>
      </c>
      <c r="J3824" t="str">
        <f>HYPERLINK("https://climate.onebuilding.org/WMO_Region_6_Europe/FIN_Finland/LA_Lapland/FIN_LA_Ranua.AP.028810_TMYx.zip")</f>
        <v>https://climate.onebuilding.org/WMO_Region_6_Europe/FIN_Finland/LA_Lapland/FIN_LA_Ranua.AP.028810_TMYx.zip</v>
      </c>
    </row>
    <row r="3825" spans="1:10" x14ac:dyDescent="0.25">
      <c r="A3825" t="s">
        <v>2310</v>
      </c>
      <c r="B3825" t="s">
        <v>1184</v>
      </c>
      <c r="C3825" t="s">
        <v>2696</v>
      </c>
      <c r="D3825" s="1" t="s">
        <v>2697</v>
      </c>
      <c r="E3825" t="s">
        <v>2698</v>
      </c>
      <c r="F3825">
        <v>68</v>
      </c>
      <c r="G3825">
        <v>24.24</v>
      </c>
      <c r="H3825">
        <v>2</v>
      </c>
      <c r="I3825">
        <v>340</v>
      </c>
      <c r="J3825" t="str">
        <f>HYPERLINK("https://climate.onebuilding.org/WMO_Region_6_Europe/FIN_Finland/LA_Lapland/FIN_LA_Kittila.Matorova.028820_TMYx.2004-2018.zip")</f>
        <v>https://climate.onebuilding.org/WMO_Region_6_Europe/FIN_Finland/LA_Lapland/FIN_LA_Kittila.Matorova.028820_TMYx.2004-2018.zip</v>
      </c>
    </row>
    <row r="3826" spans="1:10" x14ac:dyDescent="0.25">
      <c r="A3826" t="s">
        <v>2310</v>
      </c>
      <c r="B3826" t="s">
        <v>1184</v>
      </c>
      <c r="C3826" t="s">
        <v>2696</v>
      </c>
      <c r="D3826" s="1" t="s">
        <v>2697</v>
      </c>
      <c r="E3826" t="s">
        <v>14</v>
      </c>
      <c r="F3826">
        <v>68</v>
      </c>
      <c r="G3826">
        <v>24.24</v>
      </c>
      <c r="H3826">
        <v>2</v>
      </c>
      <c r="I3826">
        <v>340</v>
      </c>
      <c r="J3826" t="str">
        <f>HYPERLINK("https://climate.onebuilding.org/WMO_Region_6_Europe/FIN_Finland/LA_Lapland/FIN_LA_Kittila.Matorova.028820_TMYx.2007-2021.zip")</f>
        <v>https://climate.onebuilding.org/WMO_Region_6_Europe/FIN_Finland/LA_Lapland/FIN_LA_Kittila.Matorova.028820_TMYx.2007-2021.zip</v>
      </c>
    </row>
    <row r="3827" spans="1:10" x14ac:dyDescent="0.25">
      <c r="A3827" t="s">
        <v>2310</v>
      </c>
      <c r="B3827" t="s">
        <v>1184</v>
      </c>
      <c r="C3827" t="s">
        <v>2696</v>
      </c>
      <c r="D3827" s="1" t="s">
        <v>2697</v>
      </c>
      <c r="E3827" t="s">
        <v>14</v>
      </c>
      <c r="F3827">
        <v>68</v>
      </c>
      <c r="G3827">
        <v>24.24</v>
      </c>
      <c r="H3827">
        <v>2</v>
      </c>
      <c r="I3827">
        <v>340</v>
      </c>
      <c r="J3827" t="str">
        <f>HYPERLINK("https://climate.onebuilding.org/WMO_Region_6_Europe/FIN_Finland/LA_Lapland/FIN_LA_Kittila.Matorova.028820_TMYx.2009-2023.zip")</f>
        <v>https://climate.onebuilding.org/WMO_Region_6_Europe/FIN_Finland/LA_Lapland/FIN_LA_Kittila.Matorova.028820_TMYx.2009-2023.zip</v>
      </c>
    </row>
    <row r="3828" spans="1:10" x14ac:dyDescent="0.25">
      <c r="A3828" t="s">
        <v>2310</v>
      </c>
      <c r="B3828" t="s">
        <v>1184</v>
      </c>
      <c r="C3828" t="s">
        <v>2696</v>
      </c>
      <c r="D3828" s="1" t="s">
        <v>2697</v>
      </c>
      <c r="E3828" t="s">
        <v>14</v>
      </c>
      <c r="F3828">
        <v>68</v>
      </c>
      <c r="G3828">
        <v>24.24</v>
      </c>
      <c r="H3828">
        <v>2</v>
      </c>
      <c r="I3828">
        <v>340</v>
      </c>
      <c r="J3828" t="str">
        <f>HYPERLINK("https://climate.onebuilding.org/WMO_Region_6_Europe/FIN_Finland/LA_Lapland/FIN_LA_Kittila.Matorova.028820_TMYx.zip")</f>
        <v>https://climate.onebuilding.org/WMO_Region_6_Europe/FIN_Finland/LA_Lapland/FIN_LA_Kittila.Matorova.028820_TMYx.zip</v>
      </c>
    </row>
    <row r="3829" spans="1:10" x14ac:dyDescent="0.25">
      <c r="A3829" t="s">
        <v>2310</v>
      </c>
      <c r="B3829" t="s">
        <v>246</v>
      </c>
      <c r="C3829" t="s">
        <v>2699</v>
      </c>
      <c r="D3829" s="1" t="s">
        <v>2700</v>
      </c>
      <c r="E3829" t="s">
        <v>2701</v>
      </c>
      <c r="F3829">
        <v>64.216700000000003</v>
      </c>
      <c r="G3829">
        <v>27.754999999999999</v>
      </c>
      <c r="H3829">
        <v>2</v>
      </c>
      <c r="I3829">
        <v>161.5</v>
      </c>
      <c r="J3829" t="str">
        <f>HYPERLINK("https://climate.onebuilding.org/WMO_Region_6_Europe/FIN_Finland/KA_Kainuu/FIN_KA_Kajaani.Petaisenniska.028830_TMYx.2004-2018.zip")</f>
        <v>https://climate.onebuilding.org/WMO_Region_6_Europe/FIN_Finland/KA_Kainuu/FIN_KA_Kajaani.Petaisenniska.028830_TMYx.2004-2018.zip</v>
      </c>
    </row>
    <row r="3830" spans="1:10" x14ac:dyDescent="0.25">
      <c r="A3830" t="s">
        <v>2310</v>
      </c>
      <c r="B3830" t="s">
        <v>246</v>
      </c>
      <c r="C3830" t="s">
        <v>2699</v>
      </c>
      <c r="D3830" s="1" t="s">
        <v>2700</v>
      </c>
      <c r="E3830" t="s">
        <v>14</v>
      </c>
      <c r="F3830">
        <v>64.216700000000003</v>
      </c>
      <c r="G3830">
        <v>27.754999999999999</v>
      </c>
      <c r="H3830">
        <v>2</v>
      </c>
      <c r="I3830">
        <v>161.5</v>
      </c>
      <c r="J3830" t="str">
        <f>HYPERLINK("https://climate.onebuilding.org/WMO_Region_6_Europe/FIN_Finland/KA_Kainuu/FIN_KA_Kajaani.Petaisenniska.028830_TMYx.2007-2021.zip")</f>
        <v>https://climate.onebuilding.org/WMO_Region_6_Europe/FIN_Finland/KA_Kainuu/FIN_KA_Kajaani.Petaisenniska.028830_TMYx.2007-2021.zip</v>
      </c>
    </row>
    <row r="3831" spans="1:10" x14ac:dyDescent="0.25">
      <c r="A3831" t="s">
        <v>2310</v>
      </c>
      <c r="B3831" t="s">
        <v>246</v>
      </c>
      <c r="C3831" t="s">
        <v>2699</v>
      </c>
      <c r="D3831" s="1" t="s">
        <v>2700</v>
      </c>
      <c r="E3831" t="s">
        <v>14</v>
      </c>
      <c r="F3831">
        <v>64.216700000000003</v>
      </c>
      <c r="G3831">
        <v>27.754999999999999</v>
      </c>
      <c r="H3831">
        <v>2</v>
      </c>
      <c r="I3831">
        <v>161.5</v>
      </c>
      <c r="J3831" t="str">
        <f>HYPERLINK("https://climate.onebuilding.org/WMO_Region_6_Europe/FIN_Finland/KA_Kainuu/FIN_KA_Kajaani.Petaisenniska.028830_TMYx.2009-2023.zip")</f>
        <v>https://climate.onebuilding.org/WMO_Region_6_Europe/FIN_Finland/KA_Kainuu/FIN_KA_Kajaani.Petaisenniska.028830_TMYx.2009-2023.zip</v>
      </c>
    </row>
    <row r="3832" spans="1:10" x14ac:dyDescent="0.25">
      <c r="A3832" t="s">
        <v>2310</v>
      </c>
      <c r="B3832" t="s">
        <v>246</v>
      </c>
      <c r="C3832" t="s">
        <v>2699</v>
      </c>
      <c r="D3832" s="1" t="s">
        <v>2700</v>
      </c>
      <c r="E3832" t="s">
        <v>14</v>
      </c>
      <c r="F3832">
        <v>64.216700000000003</v>
      </c>
      <c r="G3832">
        <v>27.754999999999999</v>
      </c>
      <c r="H3832">
        <v>2</v>
      </c>
      <c r="I3832">
        <v>161.5</v>
      </c>
      <c r="J3832" t="str">
        <f>HYPERLINK("https://climate.onebuilding.org/WMO_Region_6_Europe/FIN_Finland/KA_Kainuu/FIN_KA_Kajaani.Petaisenniska.028830_TMYx.zip")</f>
        <v>https://climate.onebuilding.org/WMO_Region_6_Europe/FIN_Finland/KA_Kainuu/FIN_KA_Kajaani.Petaisenniska.028830_TMYx.zip</v>
      </c>
    </row>
    <row r="3833" spans="1:10" x14ac:dyDescent="0.25">
      <c r="A3833" t="s">
        <v>2310</v>
      </c>
      <c r="B3833" t="s">
        <v>1184</v>
      </c>
      <c r="C3833" t="s">
        <v>2702</v>
      </c>
      <c r="D3833" s="1" t="s">
        <v>2703</v>
      </c>
      <c r="E3833" t="s">
        <v>2704</v>
      </c>
      <c r="F3833">
        <v>69.048299999999998</v>
      </c>
      <c r="G3833">
        <v>27.756900000000002</v>
      </c>
      <c r="H3833">
        <v>2</v>
      </c>
      <c r="I3833">
        <v>121.5</v>
      </c>
      <c r="J3833" t="str">
        <f>HYPERLINK("https://climate.onebuilding.org/WMO_Region_6_Europe/FIN_Finland/LA_Lapland/FIN_LA_Inari-Seitalaassa.028880_TMYx.2004-2018.zip")</f>
        <v>https://climate.onebuilding.org/WMO_Region_6_Europe/FIN_Finland/LA_Lapland/FIN_LA_Inari-Seitalaassa.028880_TMYx.2004-2018.zip</v>
      </c>
    </row>
    <row r="3834" spans="1:10" x14ac:dyDescent="0.25">
      <c r="A3834" t="s">
        <v>2310</v>
      </c>
      <c r="B3834" t="s">
        <v>1184</v>
      </c>
      <c r="C3834" t="s">
        <v>2702</v>
      </c>
      <c r="D3834" s="1" t="s">
        <v>2703</v>
      </c>
      <c r="E3834" t="s">
        <v>14</v>
      </c>
      <c r="F3834">
        <v>69.048299999999998</v>
      </c>
      <c r="G3834">
        <v>27.756900000000002</v>
      </c>
      <c r="H3834">
        <v>2</v>
      </c>
      <c r="I3834">
        <v>121.5</v>
      </c>
      <c r="J3834" t="str">
        <f>HYPERLINK("https://climate.onebuilding.org/WMO_Region_6_Europe/FIN_Finland/LA_Lapland/FIN_LA_Inari-Seitalaassa.028880_TMYx.2007-2021.zip")</f>
        <v>https://climate.onebuilding.org/WMO_Region_6_Europe/FIN_Finland/LA_Lapland/FIN_LA_Inari-Seitalaassa.028880_TMYx.2007-2021.zip</v>
      </c>
    </row>
    <row r="3835" spans="1:10" x14ac:dyDescent="0.25">
      <c r="A3835" t="s">
        <v>2310</v>
      </c>
      <c r="B3835" t="s">
        <v>1184</v>
      </c>
      <c r="C3835" t="s">
        <v>2702</v>
      </c>
      <c r="D3835" s="1" t="s">
        <v>2703</v>
      </c>
      <c r="E3835" t="s">
        <v>14</v>
      </c>
      <c r="F3835">
        <v>69.048299999999998</v>
      </c>
      <c r="G3835">
        <v>27.756900000000002</v>
      </c>
      <c r="H3835">
        <v>2</v>
      </c>
      <c r="I3835">
        <v>121.5</v>
      </c>
      <c r="J3835" t="str">
        <f>HYPERLINK("https://climate.onebuilding.org/WMO_Region_6_Europe/FIN_Finland/LA_Lapland/FIN_LA_Inari-Seitalaassa.028880_TMYx.2009-2023.zip")</f>
        <v>https://climate.onebuilding.org/WMO_Region_6_Europe/FIN_Finland/LA_Lapland/FIN_LA_Inari-Seitalaassa.028880_TMYx.2009-2023.zip</v>
      </c>
    </row>
    <row r="3836" spans="1:10" x14ac:dyDescent="0.25">
      <c r="A3836" t="s">
        <v>2310</v>
      </c>
      <c r="B3836" t="s">
        <v>1184</v>
      </c>
      <c r="C3836" t="s">
        <v>2702</v>
      </c>
      <c r="D3836" s="1" t="s">
        <v>2703</v>
      </c>
      <c r="E3836" t="s">
        <v>14</v>
      </c>
      <c r="F3836">
        <v>69.048299999999998</v>
      </c>
      <c r="G3836">
        <v>27.756900000000002</v>
      </c>
      <c r="H3836">
        <v>2</v>
      </c>
      <c r="I3836">
        <v>121.5</v>
      </c>
      <c r="J3836" t="str">
        <f>HYPERLINK("https://climate.onebuilding.org/WMO_Region_6_Europe/FIN_Finland/LA_Lapland/FIN_LA_Inari-Seitalaassa.028880_TMYx.zip")</f>
        <v>https://climate.onebuilding.org/WMO_Region_6_Europe/FIN_Finland/LA_Lapland/FIN_LA_Inari-Seitalaassa.028880_TMYx.zip</v>
      </c>
    </row>
    <row r="3837" spans="1:10" x14ac:dyDescent="0.25">
      <c r="A3837" t="s">
        <v>2310</v>
      </c>
      <c r="B3837" t="s">
        <v>246</v>
      </c>
      <c r="C3837" t="s">
        <v>2705</v>
      </c>
      <c r="D3837" s="1" t="s">
        <v>2706</v>
      </c>
      <c r="E3837" t="s">
        <v>2707</v>
      </c>
      <c r="F3837">
        <v>64.931399999999996</v>
      </c>
      <c r="G3837">
        <v>28.746700000000001</v>
      </c>
      <c r="H3837">
        <v>2</v>
      </c>
      <c r="I3837">
        <v>225.2</v>
      </c>
      <c r="J3837" t="str">
        <f>HYPERLINK("https://climate.onebuilding.org/WMO_Region_6_Europe/FIN_Finland/KA_Kainuu/FIN_KA_Suomussalmi.Pesio.028890_TMYx.2004-2018.zip")</f>
        <v>https://climate.onebuilding.org/WMO_Region_6_Europe/FIN_Finland/KA_Kainuu/FIN_KA_Suomussalmi.Pesio.028890_TMYx.2004-2018.zip</v>
      </c>
    </row>
    <row r="3838" spans="1:10" x14ac:dyDescent="0.25">
      <c r="A3838" t="s">
        <v>2310</v>
      </c>
      <c r="B3838" t="s">
        <v>246</v>
      </c>
      <c r="C3838" t="s">
        <v>2705</v>
      </c>
      <c r="D3838" s="1" t="s">
        <v>2706</v>
      </c>
      <c r="E3838" t="s">
        <v>14</v>
      </c>
      <c r="F3838">
        <v>64.931399999999996</v>
      </c>
      <c r="G3838">
        <v>28.746700000000001</v>
      </c>
      <c r="H3838">
        <v>2</v>
      </c>
      <c r="I3838">
        <v>225.2</v>
      </c>
      <c r="J3838" t="str">
        <f>HYPERLINK("https://climate.onebuilding.org/WMO_Region_6_Europe/FIN_Finland/KA_Kainuu/FIN_KA_Suomussalmi.Pesio.028890_TMYx.2007-2021.zip")</f>
        <v>https://climate.onebuilding.org/WMO_Region_6_Europe/FIN_Finland/KA_Kainuu/FIN_KA_Suomussalmi.Pesio.028890_TMYx.2007-2021.zip</v>
      </c>
    </row>
    <row r="3839" spans="1:10" x14ac:dyDescent="0.25">
      <c r="A3839" t="s">
        <v>2310</v>
      </c>
      <c r="B3839" t="s">
        <v>246</v>
      </c>
      <c r="C3839" t="s">
        <v>2705</v>
      </c>
      <c r="D3839" s="1" t="s">
        <v>2706</v>
      </c>
      <c r="E3839" t="s">
        <v>14</v>
      </c>
      <c r="F3839">
        <v>64.931399999999996</v>
      </c>
      <c r="G3839">
        <v>28.746700000000001</v>
      </c>
      <c r="H3839">
        <v>2</v>
      </c>
      <c r="I3839">
        <v>225.2</v>
      </c>
      <c r="J3839" t="str">
        <f>HYPERLINK("https://climate.onebuilding.org/WMO_Region_6_Europe/FIN_Finland/KA_Kainuu/FIN_KA_Suomussalmi.Pesio.028890_TMYx.2009-2023.zip")</f>
        <v>https://climate.onebuilding.org/WMO_Region_6_Europe/FIN_Finland/KA_Kainuu/FIN_KA_Suomussalmi.Pesio.028890_TMYx.2009-2023.zip</v>
      </c>
    </row>
    <row r="3840" spans="1:10" x14ac:dyDescent="0.25">
      <c r="A3840" t="s">
        <v>2310</v>
      </c>
      <c r="B3840" t="s">
        <v>246</v>
      </c>
      <c r="C3840" t="s">
        <v>2705</v>
      </c>
      <c r="D3840" s="1" t="s">
        <v>2706</v>
      </c>
      <c r="E3840" t="s">
        <v>14</v>
      </c>
      <c r="F3840">
        <v>64.931399999999996</v>
      </c>
      <c r="G3840">
        <v>28.746700000000001</v>
      </c>
      <c r="H3840">
        <v>2</v>
      </c>
      <c r="I3840">
        <v>225.2</v>
      </c>
      <c r="J3840" t="str">
        <f>HYPERLINK("https://climate.onebuilding.org/WMO_Region_6_Europe/FIN_Finland/KA_Kainuu/FIN_KA_Suomussalmi.Pesio.028890_TMYx.zip")</f>
        <v>https://climate.onebuilding.org/WMO_Region_6_Europe/FIN_Finland/KA_Kainuu/FIN_KA_Suomussalmi.Pesio.028890_TMYx.zip</v>
      </c>
    </row>
    <row r="3841" spans="1:10" x14ac:dyDescent="0.25">
      <c r="A3841" t="s">
        <v>2310</v>
      </c>
      <c r="B3841" t="s">
        <v>246</v>
      </c>
      <c r="C3841" t="s">
        <v>2708</v>
      </c>
      <c r="D3841" s="1" t="s">
        <v>2709</v>
      </c>
      <c r="E3841" t="s">
        <v>2710</v>
      </c>
      <c r="F3841">
        <v>64.282799999999995</v>
      </c>
      <c r="G3841">
        <v>27.673300000000001</v>
      </c>
      <c r="H3841">
        <v>2</v>
      </c>
      <c r="I3841">
        <v>147.19999999999999</v>
      </c>
      <c r="J3841" t="str">
        <f>HYPERLINK("https://climate.onebuilding.org/WMO_Region_6_Europe/FIN_Finland/KA_Kainuu/FIN_KA_Kajaani.AP.028970_TMYx.2004-2018.zip")</f>
        <v>https://climate.onebuilding.org/WMO_Region_6_Europe/FIN_Finland/KA_Kainuu/FIN_KA_Kajaani.AP.028970_TMYx.2004-2018.zip</v>
      </c>
    </row>
    <row r="3842" spans="1:10" x14ac:dyDescent="0.25">
      <c r="A3842" t="s">
        <v>2310</v>
      </c>
      <c r="B3842" t="s">
        <v>246</v>
      </c>
      <c r="C3842" t="s">
        <v>2708</v>
      </c>
      <c r="D3842" s="1" t="s">
        <v>2709</v>
      </c>
      <c r="E3842" t="s">
        <v>14</v>
      </c>
      <c r="F3842">
        <v>64.282799999999995</v>
      </c>
      <c r="G3842">
        <v>27.673300000000001</v>
      </c>
      <c r="H3842">
        <v>2</v>
      </c>
      <c r="I3842">
        <v>147.19999999999999</v>
      </c>
      <c r="J3842" t="str">
        <f>HYPERLINK("https://climate.onebuilding.org/WMO_Region_6_Europe/FIN_Finland/KA_Kainuu/FIN_KA_Kajaani.AP.028970_TMYx.2007-2021.zip")</f>
        <v>https://climate.onebuilding.org/WMO_Region_6_Europe/FIN_Finland/KA_Kainuu/FIN_KA_Kajaani.AP.028970_TMYx.2007-2021.zip</v>
      </c>
    </row>
    <row r="3843" spans="1:10" x14ac:dyDescent="0.25">
      <c r="A3843" t="s">
        <v>2310</v>
      </c>
      <c r="B3843" t="s">
        <v>246</v>
      </c>
      <c r="C3843" t="s">
        <v>2708</v>
      </c>
      <c r="D3843" s="1" t="s">
        <v>2709</v>
      </c>
      <c r="E3843" t="s">
        <v>14</v>
      </c>
      <c r="F3843">
        <v>64.282799999999995</v>
      </c>
      <c r="G3843">
        <v>27.673300000000001</v>
      </c>
      <c r="H3843">
        <v>2</v>
      </c>
      <c r="I3843">
        <v>147.19999999999999</v>
      </c>
      <c r="J3843" t="str">
        <f>HYPERLINK("https://climate.onebuilding.org/WMO_Region_6_Europe/FIN_Finland/KA_Kainuu/FIN_KA_Kajaani.AP.028970_TMYx.2009-2023.zip")</f>
        <v>https://climate.onebuilding.org/WMO_Region_6_Europe/FIN_Finland/KA_Kainuu/FIN_KA_Kajaani.AP.028970_TMYx.2009-2023.zip</v>
      </c>
    </row>
    <row r="3844" spans="1:10" x14ac:dyDescent="0.25">
      <c r="A3844" t="s">
        <v>2310</v>
      </c>
      <c r="B3844" t="s">
        <v>246</v>
      </c>
      <c r="C3844" t="s">
        <v>2708</v>
      </c>
      <c r="D3844" s="1" t="s">
        <v>2709</v>
      </c>
      <c r="E3844" t="s">
        <v>14</v>
      </c>
      <c r="F3844">
        <v>64.282799999999995</v>
      </c>
      <c r="G3844">
        <v>27.673300000000001</v>
      </c>
      <c r="H3844">
        <v>2</v>
      </c>
      <c r="I3844">
        <v>147.19999999999999</v>
      </c>
      <c r="J3844" t="str">
        <f>HYPERLINK("https://climate.onebuilding.org/WMO_Region_6_Europe/FIN_Finland/KA_Kainuu/FIN_KA_Kajaani.AP.028970_TMYx.zip")</f>
        <v>https://climate.onebuilding.org/WMO_Region_6_Europe/FIN_Finland/KA_Kainuu/FIN_KA_Kajaani.AP.028970_TMYx.zip</v>
      </c>
    </row>
    <row r="3845" spans="1:10" x14ac:dyDescent="0.25">
      <c r="A3845" t="s">
        <v>2310</v>
      </c>
      <c r="B3845" t="s">
        <v>2425</v>
      </c>
      <c r="C3845" t="s">
        <v>2711</v>
      </c>
      <c r="D3845" s="1" t="s">
        <v>2712</v>
      </c>
      <c r="E3845" t="s">
        <v>14</v>
      </c>
      <c r="F3845">
        <v>63.728000000000002</v>
      </c>
      <c r="G3845">
        <v>22.5837</v>
      </c>
      <c r="H3845">
        <v>2</v>
      </c>
      <c r="I3845">
        <v>13</v>
      </c>
      <c r="J3845" t="str">
        <f>HYPERLINK("https://climate.onebuilding.org/WMO_Region_6_Europe/FIN_Finland/OS_Ostrobothnia/FIN_OS_Masskar.Island.029010_TMYx.zip")</f>
        <v>https://climate.onebuilding.org/WMO_Region_6_Europe/FIN_Finland/OS_Ostrobothnia/FIN_OS_Masskar.Island.029010_TMYx.zip</v>
      </c>
    </row>
    <row r="3846" spans="1:10" x14ac:dyDescent="0.25">
      <c r="A3846" t="s">
        <v>2310</v>
      </c>
      <c r="B3846" t="s">
        <v>2425</v>
      </c>
      <c r="C3846" t="s">
        <v>2713</v>
      </c>
      <c r="D3846" s="1" t="s">
        <v>2714</v>
      </c>
      <c r="E3846" t="s">
        <v>2715</v>
      </c>
      <c r="F3846">
        <v>63.717500000000001</v>
      </c>
      <c r="G3846">
        <v>23.1386</v>
      </c>
      <c r="H3846">
        <v>2</v>
      </c>
      <c r="I3846">
        <v>25.3</v>
      </c>
      <c r="J3846" t="str">
        <f>HYPERLINK("https://climate.onebuilding.org/WMO_Region_6_Europe/FIN_Finland/OS_Ostrobothnia/FIN_OS_Kokkola-Pietarsaari.AP.029030_TMYx.2004-2018.zip")</f>
        <v>https://climate.onebuilding.org/WMO_Region_6_Europe/FIN_Finland/OS_Ostrobothnia/FIN_OS_Kokkola-Pietarsaari.AP.029030_TMYx.2004-2018.zip</v>
      </c>
    </row>
    <row r="3847" spans="1:10" x14ac:dyDescent="0.25">
      <c r="A3847" t="s">
        <v>2310</v>
      </c>
      <c r="B3847" t="s">
        <v>2425</v>
      </c>
      <c r="C3847" t="s">
        <v>2713</v>
      </c>
      <c r="D3847" s="1" t="s">
        <v>2714</v>
      </c>
      <c r="E3847" t="s">
        <v>14</v>
      </c>
      <c r="F3847">
        <v>63.717500000000001</v>
      </c>
      <c r="G3847">
        <v>23.1386</v>
      </c>
      <c r="H3847">
        <v>2</v>
      </c>
      <c r="I3847">
        <v>25.3</v>
      </c>
      <c r="J3847" t="str">
        <f>HYPERLINK("https://climate.onebuilding.org/WMO_Region_6_Europe/FIN_Finland/OS_Ostrobothnia/FIN_OS_Kokkola-Pietarsaari.AP.029030_TMYx.2007-2021.zip")</f>
        <v>https://climate.onebuilding.org/WMO_Region_6_Europe/FIN_Finland/OS_Ostrobothnia/FIN_OS_Kokkola-Pietarsaari.AP.029030_TMYx.2007-2021.zip</v>
      </c>
    </row>
    <row r="3848" spans="1:10" x14ac:dyDescent="0.25">
      <c r="A3848" t="s">
        <v>2310</v>
      </c>
      <c r="B3848" t="s">
        <v>2425</v>
      </c>
      <c r="C3848" t="s">
        <v>2713</v>
      </c>
      <c r="D3848" s="1" t="s">
        <v>2714</v>
      </c>
      <c r="E3848" t="s">
        <v>14</v>
      </c>
      <c r="F3848">
        <v>63.717500000000001</v>
      </c>
      <c r="G3848">
        <v>23.1386</v>
      </c>
      <c r="H3848">
        <v>2</v>
      </c>
      <c r="I3848">
        <v>25.3</v>
      </c>
      <c r="J3848" t="str">
        <f>HYPERLINK("https://climate.onebuilding.org/WMO_Region_6_Europe/FIN_Finland/OS_Ostrobothnia/FIN_OS_Kokkola-Pietarsaari.AP.029030_TMYx.2009-2023.zip")</f>
        <v>https://climate.onebuilding.org/WMO_Region_6_Europe/FIN_Finland/OS_Ostrobothnia/FIN_OS_Kokkola-Pietarsaari.AP.029030_TMYx.2009-2023.zip</v>
      </c>
    </row>
    <row r="3849" spans="1:10" x14ac:dyDescent="0.25">
      <c r="A3849" t="s">
        <v>2310</v>
      </c>
      <c r="B3849" t="s">
        <v>2425</v>
      </c>
      <c r="C3849" t="s">
        <v>2713</v>
      </c>
      <c r="D3849" s="1" t="s">
        <v>2714</v>
      </c>
      <c r="E3849" t="s">
        <v>14</v>
      </c>
      <c r="F3849">
        <v>63.717500000000001</v>
      </c>
      <c r="G3849">
        <v>23.1386</v>
      </c>
      <c r="H3849">
        <v>2</v>
      </c>
      <c r="I3849">
        <v>25.3</v>
      </c>
      <c r="J3849" t="str">
        <f>HYPERLINK("https://climate.onebuilding.org/WMO_Region_6_Europe/FIN_Finland/OS_Ostrobothnia/FIN_OS_Kokkola-Pietarsaari.AP.029030_TMYx.zip")</f>
        <v>https://climate.onebuilding.org/WMO_Region_6_Europe/FIN_Finland/OS_Ostrobothnia/FIN_OS_Kokkola-Pietarsaari.AP.029030_TMYx.zip</v>
      </c>
    </row>
    <row r="3850" spans="1:10" x14ac:dyDescent="0.25">
      <c r="A3850" t="s">
        <v>2310</v>
      </c>
      <c r="B3850" t="s">
        <v>93</v>
      </c>
      <c r="C3850" t="s">
        <v>2716</v>
      </c>
      <c r="D3850" s="1" t="s">
        <v>2717</v>
      </c>
      <c r="E3850" t="s">
        <v>14</v>
      </c>
      <c r="F3850">
        <v>63.917000000000002</v>
      </c>
      <c r="G3850">
        <v>24.966999999999999</v>
      </c>
      <c r="H3850">
        <v>2</v>
      </c>
      <c r="I3850">
        <v>81</v>
      </c>
      <c r="J3850" t="str">
        <f>HYPERLINK("https://climate.onebuilding.org/WMO_Region_6_Europe/FIN_Finland/NO_North_Ostrobothnia/FIN_NO_Nivala.029050_TMYx.zip")</f>
        <v>https://climate.onebuilding.org/WMO_Region_6_Europe/FIN_Finland/NO_North_Ostrobothnia/FIN_NO_Nivala.029050_TMYx.zip</v>
      </c>
    </row>
    <row r="3851" spans="1:10" x14ac:dyDescent="0.25">
      <c r="A3851" t="s">
        <v>2310</v>
      </c>
      <c r="B3851" t="s">
        <v>527</v>
      </c>
      <c r="C3851" t="s">
        <v>2718</v>
      </c>
      <c r="D3851" s="1" t="s">
        <v>2719</v>
      </c>
      <c r="E3851" t="s">
        <v>2720</v>
      </c>
      <c r="F3851">
        <v>60.171100000000003</v>
      </c>
      <c r="G3851">
        <v>22.7578</v>
      </c>
      <c r="H3851">
        <v>2</v>
      </c>
      <c r="I3851">
        <v>12</v>
      </c>
      <c r="J3851" t="str">
        <f>HYPERLINK("https://climate.onebuilding.org/WMO_Region_6_Europe/FIN_Finland/SF_Southwest_Finland/FIN_SF_Kemionsaari.Kemio.029060_TMYx.2004-2018.zip")</f>
        <v>https://climate.onebuilding.org/WMO_Region_6_Europe/FIN_Finland/SF_Southwest_Finland/FIN_SF_Kemionsaari.Kemio.029060_TMYx.2004-2018.zip</v>
      </c>
    </row>
    <row r="3852" spans="1:10" x14ac:dyDescent="0.25">
      <c r="A3852" t="s">
        <v>2310</v>
      </c>
      <c r="B3852" t="s">
        <v>527</v>
      </c>
      <c r="C3852" t="s">
        <v>2718</v>
      </c>
      <c r="D3852" s="1" t="s">
        <v>2719</v>
      </c>
      <c r="E3852" t="s">
        <v>14</v>
      </c>
      <c r="F3852">
        <v>60.171100000000003</v>
      </c>
      <c r="G3852">
        <v>22.7578</v>
      </c>
      <c r="H3852">
        <v>2</v>
      </c>
      <c r="I3852">
        <v>12</v>
      </c>
      <c r="J3852" t="str">
        <f>HYPERLINK("https://climate.onebuilding.org/WMO_Region_6_Europe/FIN_Finland/SF_Southwest_Finland/FIN_SF_Kemionsaari.Kemio.029060_TMYx.2007-2021.zip")</f>
        <v>https://climate.onebuilding.org/WMO_Region_6_Europe/FIN_Finland/SF_Southwest_Finland/FIN_SF_Kemionsaari.Kemio.029060_TMYx.2007-2021.zip</v>
      </c>
    </row>
    <row r="3853" spans="1:10" x14ac:dyDescent="0.25">
      <c r="A3853" t="s">
        <v>2310</v>
      </c>
      <c r="B3853" t="s">
        <v>527</v>
      </c>
      <c r="C3853" t="s">
        <v>2718</v>
      </c>
      <c r="D3853" s="1" t="s">
        <v>2719</v>
      </c>
      <c r="E3853" t="s">
        <v>14</v>
      </c>
      <c r="F3853">
        <v>60.171100000000003</v>
      </c>
      <c r="G3853">
        <v>22.7578</v>
      </c>
      <c r="H3853">
        <v>2</v>
      </c>
      <c r="I3853">
        <v>12</v>
      </c>
      <c r="J3853" t="str">
        <f>HYPERLINK("https://climate.onebuilding.org/WMO_Region_6_Europe/FIN_Finland/SF_Southwest_Finland/FIN_SF_Kemionsaari.Kemio.029060_TMYx.2009-2023.zip")</f>
        <v>https://climate.onebuilding.org/WMO_Region_6_Europe/FIN_Finland/SF_Southwest_Finland/FIN_SF_Kemionsaari.Kemio.029060_TMYx.2009-2023.zip</v>
      </c>
    </row>
    <row r="3854" spans="1:10" x14ac:dyDescent="0.25">
      <c r="A3854" t="s">
        <v>2310</v>
      </c>
      <c r="B3854" t="s">
        <v>527</v>
      </c>
      <c r="C3854" t="s">
        <v>2718</v>
      </c>
      <c r="D3854" s="1" t="s">
        <v>2719</v>
      </c>
      <c r="E3854" t="s">
        <v>14</v>
      </c>
      <c r="F3854">
        <v>60.171100000000003</v>
      </c>
      <c r="G3854">
        <v>22.7578</v>
      </c>
      <c r="H3854">
        <v>2</v>
      </c>
      <c r="I3854">
        <v>12</v>
      </c>
      <c r="J3854" t="str">
        <f>HYPERLINK("https://climate.onebuilding.org/WMO_Region_6_Europe/FIN_Finland/SF_Southwest_Finland/FIN_SF_Kemionsaari.Kemio.029060_TMYx.zip")</f>
        <v>https://climate.onebuilding.org/WMO_Region_6_Europe/FIN_Finland/SF_Southwest_Finland/FIN_SF_Kemionsaari.Kemio.029060_TMYx.zip</v>
      </c>
    </row>
    <row r="3855" spans="1:10" x14ac:dyDescent="0.25">
      <c r="A3855" t="s">
        <v>2310</v>
      </c>
      <c r="B3855" t="s">
        <v>93</v>
      </c>
      <c r="C3855" t="s">
        <v>2721</v>
      </c>
      <c r="D3855" s="1" t="s">
        <v>2722</v>
      </c>
      <c r="E3855" t="s">
        <v>2723</v>
      </c>
      <c r="F3855">
        <v>64.330799999999996</v>
      </c>
      <c r="G3855">
        <v>23.446400000000001</v>
      </c>
      <c r="H3855">
        <v>2</v>
      </c>
      <c r="I3855">
        <v>5</v>
      </c>
      <c r="J3855" t="str">
        <f>HYPERLINK("https://climate.onebuilding.org/WMO_Region_6_Europe/FIN_Finland/NO_North_Ostrobothnia/FIN_NO_Kalajoki.Ulkokalla.029070_TMYx.2004-2018.zip")</f>
        <v>https://climate.onebuilding.org/WMO_Region_6_Europe/FIN_Finland/NO_North_Ostrobothnia/FIN_NO_Kalajoki.Ulkokalla.029070_TMYx.2004-2018.zip</v>
      </c>
    </row>
    <row r="3856" spans="1:10" x14ac:dyDescent="0.25">
      <c r="A3856" t="s">
        <v>2310</v>
      </c>
      <c r="B3856" t="s">
        <v>93</v>
      </c>
      <c r="C3856" t="s">
        <v>2721</v>
      </c>
      <c r="D3856" s="1" t="s">
        <v>2722</v>
      </c>
      <c r="E3856" t="s">
        <v>14</v>
      </c>
      <c r="F3856">
        <v>64.330799999999996</v>
      </c>
      <c r="G3856">
        <v>23.446400000000001</v>
      </c>
      <c r="H3856">
        <v>2</v>
      </c>
      <c r="I3856">
        <v>5</v>
      </c>
      <c r="J3856" t="str">
        <f>HYPERLINK("https://climate.onebuilding.org/WMO_Region_6_Europe/FIN_Finland/NO_North_Ostrobothnia/FIN_NO_Kalajoki.Ulkokalla.029070_TMYx.2007-2021.zip")</f>
        <v>https://climate.onebuilding.org/WMO_Region_6_Europe/FIN_Finland/NO_North_Ostrobothnia/FIN_NO_Kalajoki.Ulkokalla.029070_TMYx.2007-2021.zip</v>
      </c>
    </row>
    <row r="3857" spans="1:10" x14ac:dyDescent="0.25">
      <c r="A3857" t="s">
        <v>2310</v>
      </c>
      <c r="B3857" t="s">
        <v>93</v>
      </c>
      <c r="C3857" t="s">
        <v>2721</v>
      </c>
      <c r="D3857" s="1" t="s">
        <v>2722</v>
      </c>
      <c r="E3857" t="s">
        <v>14</v>
      </c>
      <c r="F3857">
        <v>64.330799999999996</v>
      </c>
      <c r="G3857">
        <v>23.446400000000001</v>
      </c>
      <c r="H3857">
        <v>2</v>
      </c>
      <c r="I3857">
        <v>5</v>
      </c>
      <c r="J3857" t="str">
        <f>HYPERLINK("https://climate.onebuilding.org/WMO_Region_6_Europe/FIN_Finland/NO_North_Ostrobothnia/FIN_NO_Kalajoki.Ulkokalla.029070_TMYx.2009-2023.zip")</f>
        <v>https://climate.onebuilding.org/WMO_Region_6_Europe/FIN_Finland/NO_North_Ostrobothnia/FIN_NO_Kalajoki.Ulkokalla.029070_TMYx.2009-2023.zip</v>
      </c>
    </row>
    <row r="3858" spans="1:10" x14ac:dyDescent="0.25">
      <c r="A3858" t="s">
        <v>2310</v>
      </c>
      <c r="B3858" t="s">
        <v>93</v>
      </c>
      <c r="C3858" t="s">
        <v>2721</v>
      </c>
      <c r="D3858" s="1" t="s">
        <v>2722</v>
      </c>
      <c r="E3858" t="s">
        <v>14</v>
      </c>
      <c r="F3858">
        <v>64.330799999999996</v>
      </c>
      <c r="G3858">
        <v>23.446400000000001</v>
      </c>
      <c r="H3858">
        <v>2</v>
      </c>
      <c r="I3858">
        <v>5</v>
      </c>
      <c r="J3858" t="str">
        <f>HYPERLINK("https://climate.onebuilding.org/WMO_Region_6_Europe/FIN_Finland/NO_North_Ostrobothnia/FIN_NO_Kalajoki.Ulkokalla.029070_TMYx.zip")</f>
        <v>https://climate.onebuilding.org/WMO_Region_6_Europe/FIN_Finland/NO_North_Ostrobothnia/FIN_NO_Kalajoki.Ulkokalla.029070_TMYx.zip</v>
      </c>
    </row>
    <row r="3859" spans="1:10" x14ac:dyDescent="0.25">
      <c r="A3859" t="s">
        <v>2310</v>
      </c>
      <c r="B3859" t="s">
        <v>2425</v>
      </c>
      <c r="C3859" t="s">
        <v>2724</v>
      </c>
      <c r="D3859" s="1" t="s">
        <v>2725</v>
      </c>
      <c r="E3859" t="s">
        <v>2726</v>
      </c>
      <c r="F3859">
        <v>63.435600000000001</v>
      </c>
      <c r="G3859">
        <v>21.064399999999999</v>
      </c>
      <c r="H3859">
        <v>2</v>
      </c>
      <c r="I3859">
        <v>11</v>
      </c>
      <c r="J3859" t="str">
        <f>HYPERLINK("https://climate.onebuilding.org/WMO_Region_6_Europe/FIN_Finland/OS_Ostrobothnia/FIN_OS_Mustasaari.Valassaaret.029100_TMYx.2004-2018.zip")</f>
        <v>https://climate.onebuilding.org/WMO_Region_6_Europe/FIN_Finland/OS_Ostrobothnia/FIN_OS_Mustasaari.Valassaaret.029100_TMYx.2004-2018.zip</v>
      </c>
    </row>
    <row r="3860" spans="1:10" x14ac:dyDescent="0.25">
      <c r="A3860" t="s">
        <v>2310</v>
      </c>
      <c r="B3860" t="s">
        <v>2425</v>
      </c>
      <c r="C3860" t="s">
        <v>2724</v>
      </c>
      <c r="D3860" s="1" t="s">
        <v>2725</v>
      </c>
      <c r="E3860" t="s">
        <v>14</v>
      </c>
      <c r="F3860">
        <v>63.435600000000001</v>
      </c>
      <c r="G3860">
        <v>21.064399999999999</v>
      </c>
      <c r="H3860">
        <v>2</v>
      </c>
      <c r="I3860">
        <v>11</v>
      </c>
      <c r="J3860" t="str">
        <f>HYPERLINK("https://climate.onebuilding.org/WMO_Region_6_Europe/FIN_Finland/OS_Ostrobothnia/FIN_OS_Mustasaari.Valassaaret.029100_TMYx.2007-2021.zip")</f>
        <v>https://climate.onebuilding.org/WMO_Region_6_Europe/FIN_Finland/OS_Ostrobothnia/FIN_OS_Mustasaari.Valassaaret.029100_TMYx.2007-2021.zip</v>
      </c>
    </row>
    <row r="3861" spans="1:10" x14ac:dyDescent="0.25">
      <c r="A3861" t="s">
        <v>2310</v>
      </c>
      <c r="B3861" t="s">
        <v>2425</v>
      </c>
      <c r="C3861" t="s">
        <v>2724</v>
      </c>
      <c r="D3861" s="1" t="s">
        <v>2725</v>
      </c>
      <c r="E3861" t="s">
        <v>14</v>
      </c>
      <c r="F3861">
        <v>63.435600000000001</v>
      </c>
      <c r="G3861">
        <v>21.064399999999999</v>
      </c>
      <c r="H3861">
        <v>2</v>
      </c>
      <c r="I3861">
        <v>11</v>
      </c>
      <c r="J3861" t="str">
        <f>HYPERLINK("https://climate.onebuilding.org/WMO_Region_6_Europe/FIN_Finland/OS_Ostrobothnia/FIN_OS_Mustasaari.Valassaaret.029100_TMYx.2009-2023.zip")</f>
        <v>https://climate.onebuilding.org/WMO_Region_6_Europe/FIN_Finland/OS_Ostrobothnia/FIN_OS_Mustasaari.Valassaaret.029100_TMYx.2009-2023.zip</v>
      </c>
    </row>
    <row r="3862" spans="1:10" x14ac:dyDescent="0.25">
      <c r="A3862" t="s">
        <v>2310</v>
      </c>
      <c r="B3862" t="s">
        <v>2425</v>
      </c>
      <c r="C3862" t="s">
        <v>2724</v>
      </c>
      <c r="D3862" s="1" t="s">
        <v>2725</v>
      </c>
      <c r="E3862" t="s">
        <v>14</v>
      </c>
      <c r="F3862">
        <v>63.435600000000001</v>
      </c>
      <c r="G3862">
        <v>21.064399999999999</v>
      </c>
      <c r="H3862">
        <v>2</v>
      </c>
      <c r="I3862">
        <v>11</v>
      </c>
      <c r="J3862" t="str">
        <f>HYPERLINK("https://climate.onebuilding.org/WMO_Region_6_Europe/FIN_Finland/OS_Ostrobothnia/FIN_OS_Mustasaari.Valassaaret.029100_TMYx.zip")</f>
        <v>https://climate.onebuilding.org/WMO_Region_6_Europe/FIN_Finland/OS_Ostrobothnia/FIN_OS_Mustasaari.Valassaaret.029100_TMYx.zip</v>
      </c>
    </row>
    <row r="3863" spans="1:10" x14ac:dyDescent="0.25">
      <c r="A3863" t="s">
        <v>2310</v>
      </c>
      <c r="B3863" t="s">
        <v>2425</v>
      </c>
      <c r="C3863" t="s">
        <v>2727</v>
      </c>
      <c r="D3863" s="1" t="s">
        <v>2728</v>
      </c>
      <c r="E3863" t="s">
        <v>2729</v>
      </c>
      <c r="F3863">
        <v>63.058599999999998</v>
      </c>
      <c r="G3863">
        <v>21.7547</v>
      </c>
      <c r="H3863">
        <v>2</v>
      </c>
      <c r="I3863">
        <v>5.8</v>
      </c>
      <c r="J3863" t="str">
        <f>HYPERLINK("https://climate.onebuilding.org/WMO_Region_6_Europe/FIN_Finland/OS_Ostrobothnia/FIN_OS_Vaasa.AP.029110_TMYx.2004-2018.zip")</f>
        <v>https://climate.onebuilding.org/WMO_Region_6_Europe/FIN_Finland/OS_Ostrobothnia/FIN_OS_Vaasa.AP.029110_TMYx.2004-2018.zip</v>
      </c>
    </row>
    <row r="3864" spans="1:10" x14ac:dyDescent="0.25">
      <c r="A3864" t="s">
        <v>2310</v>
      </c>
      <c r="B3864" t="s">
        <v>2425</v>
      </c>
      <c r="C3864" t="s">
        <v>2727</v>
      </c>
      <c r="D3864" s="1" t="s">
        <v>2728</v>
      </c>
      <c r="E3864" t="s">
        <v>14</v>
      </c>
      <c r="F3864">
        <v>63.058599999999998</v>
      </c>
      <c r="G3864">
        <v>21.7547</v>
      </c>
      <c r="H3864">
        <v>2</v>
      </c>
      <c r="I3864">
        <v>5.8</v>
      </c>
      <c r="J3864" t="str">
        <f>HYPERLINK("https://climate.onebuilding.org/WMO_Region_6_Europe/FIN_Finland/OS_Ostrobothnia/FIN_OS_Vaasa.AP.029110_TMYx.2007-2021.zip")</f>
        <v>https://climate.onebuilding.org/WMO_Region_6_Europe/FIN_Finland/OS_Ostrobothnia/FIN_OS_Vaasa.AP.029110_TMYx.2007-2021.zip</v>
      </c>
    </row>
    <row r="3865" spans="1:10" x14ac:dyDescent="0.25">
      <c r="A3865" t="s">
        <v>2310</v>
      </c>
      <c r="B3865" t="s">
        <v>2425</v>
      </c>
      <c r="C3865" t="s">
        <v>2727</v>
      </c>
      <c r="D3865" s="1" t="s">
        <v>2728</v>
      </c>
      <c r="E3865" t="s">
        <v>14</v>
      </c>
      <c r="F3865">
        <v>63.058599999999998</v>
      </c>
      <c r="G3865">
        <v>21.7547</v>
      </c>
      <c r="H3865">
        <v>2</v>
      </c>
      <c r="I3865">
        <v>5.8</v>
      </c>
      <c r="J3865" t="str">
        <f>HYPERLINK("https://climate.onebuilding.org/WMO_Region_6_Europe/FIN_Finland/OS_Ostrobothnia/FIN_OS_Vaasa.AP.029110_TMYx.2009-2023.zip")</f>
        <v>https://climate.onebuilding.org/WMO_Region_6_Europe/FIN_Finland/OS_Ostrobothnia/FIN_OS_Vaasa.AP.029110_TMYx.2009-2023.zip</v>
      </c>
    </row>
    <row r="3866" spans="1:10" x14ac:dyDescent="0.25">
      <c r="A3866" t="s">
        <v>2310</v>
      </c>
      <c r="B3866" t="s">
        <v>2425</v>
      </c>
      <c r="C3866" t="s">
        <v>2727</v>
      </c>
      <c r="D3866" s="1" t="s">
        <v>2728</v>
      </c>
      <c r="E3866" t="s">
        <v>14</v>
      </c>
      <c r="F3866">
        <v>63.058599999999998</v>
      </c>
      <c r="G3866">
        <v>21.7547</v>
      </c>
      <c r="H3866">
        <v>2</v>
      </c>
      <c r="I3866">
        <v>5.8</v>
      </c>
      <c r="J3866" t="str">
        <f>HYPERLINK("https://climate.onebuilding.org/WMO_Region_6_Europe/FIN_Finland/OS_Ostrobothnia/FIN_OS_Vaasa.AP.029110_TMYx.zip")</f>
        <v>https://climate.onebuilding.org/WMO_Region_6_Europe/FIN_Finland/OS_Ostrobothnia/FIN_OS_Vaasa.AP.029110_TMYx.zip</v>
      </c>
    </row>
    <row r="3867" spans="1:10" x14ac:dyDescent="0.25">
      <c r="A3867" t="s">
        <v>2310</v>
      </c>
      <c r="B3867" t="s">
        <v>774</v>
      </c>
      <c r="C3867" t="s">
        <v>2730</v>
      </c>
      <c r="D3867" s="1" t="s">
        <v>2731</v>
      </c>
      <c r="E3867" t="s">
        <v>2732</v>
      </c>
      <c r="F3867">
        <v>63.135800000000003</v>
      </c>
      <c r="G3867">
        <v>23.052800000000001</v>
      </c>
      <c r="H3867">
        <v>2</v>
      </c>
      <c r="I3867">
        <v>46</v>
      </c>
      <c r="J3867" t="str">
        <f>HYPERLINK("https://climate.onebuilding.org/WMO_Region_6_Europe/FIN_Finland/SO_South_Ostrobothnia/FIN_SO_Kauhava.AF.029130_TMYx.2004-2018.zip")</f>
        <v>https://climate.onebuilding.org/WMO_Region_6_Europe/FIN_Finland/SO_South_Ostrobothnia/FIN_SO_Kauhava.AF.029130_TMYx.2004-2018.zip</v>
      </c>
    </row>
    <row r="3868" spans="1:10" x14ac:dyDescent="0.25">
      <c r="A3868" t="s">
        <v>2310</v>
      </c>
      <c r="B3868" t="s">
        <v>774</v>
      </c>
      <c r="C3868" t="s">
        <v>2730</v>
      </c>
      <c r="D3868" s="1" t="s">
        <v>2731</v>
      </c>
      <c r="E3868" t="s">
        <v>14</v>
      </c>
      <c r="F3868">
        <v>63.135800000000003</v>
      </c>
      <c r="G3868">
        <v>23.052800000000001</v>
      </c>
      <c r="H3868">
        <v>2</v>
      </c>
      <c r="I3868">
        <v>46</v>
      </c>
      <c r="J3868" t="str">
        <f>HYPERLINK("https://climate.onebuilding.org/WMO_Region_6_Europe/FIN_Finland/SO_South_Ostrobothnia/FIN_SO_Kauhava.AF.029130_TMYx.2007-2021.zip")</f>
        <v>https://climate.onebuilding.org/WMO_Region_6_Europe/FIN_Finland/SO_South_Ostrobothnia/FIN_SO_Kauhava.AF.029130_TMYx.2007-2021.zip</v>
      </c>
    </row>
    <row r="3869" spans="1:10" x14ac:dyDescent="0.25">
      <c r="A3869" t="s">
        <v>2310</v>
      </c>
      <c r="B3869" t="s">
        <v>774</v>
      </c>
      <c r="C3869" t="s">
        <v>2730</v>
      </c>
      <c r="D3869" s="1" t="s">
        <v>2731</v>
      </c>
      <c r="E3869" t="s">
        <v>14</v>
      </c>
      <c r="F3869">
        <v>63.135800000000003</v>
      </c>
      <c r="G3869">
        <v>23.052800000000001</v>
      </c>
      <c r="H3869">
        <v>2</v>
      </c>
      <c r="I3869">
        <v>46</v>
      </c>
      <c r="J3869" t="str">
        <f>HYPERLINK("https://climate.onebuilding.org/WMO_Region_6_Europe/FIN_Finland/SO_South_Ostrobothnia/FIN_SO_Kauhava.AF.029130_TMYx.2009-2023.zip")</f>
        <v>https://climate.onebuilding.org/WMO_Region_6_Europe/FIN_Finland/SO_South_Ostrobothnia/FIN_SO_Kauhava.AF.029130_TMYx.2009-2023.zip</v>
      </c>
    </row>
    <row r="3870" spans="1:10" x14ac:dyDescent="0.25">
      <c r="A3870" t="s">
        <v>2310</v>
      </c>
      <c r="B3870" t="s">
        <v>774</v>
      </c>
      <c r="C3870" t="s">
        <v>2730</v>
      </c>
      <c r="D3870" s="1" t="s">
        <v>2731</v>
      </c>
      <c r="E3870" t="s">
        <v>14</v>
      </c>
      <c r="F3870">
        <v>63.135800000000003</v>
      </c>
      <c r="G3870">
        <v>23.052800000000001</v>
      </c>
      <c r="H3870">
        <v>2</v>
      </c>
      <c r="I3870">
        <v>46</v>
      </c>
      <c r="J3870" t="str">
        <f>HYPERLINK("https://climate.onebuilding.org/WMO_Region_6_Europe/FIN_Finland/SO_South_Ostrobothnia/FIN_SO_Kauhava.AF.029130_TMYx.zip")</f>
        <v>https://climate.onebuilding.org/WMO_Region_6_Europe/FIN_Finland/SO_South_Ostrobothnia/FIN_SO_Kauhava.AF.029130_TMYx.zip</v>
      </c>
    </row>
    <row r="3871" spans="1:10" x14ac:dyDescent="0.25">
      <c r="A3871" t="s">
        <v>2310</v>
      </c>
      <c r="B3871" t="s">
        <v>2459</v>
      </c>
      <c r="C3871" t="s">
        <v>2733</v>
      </c>
      <c r="D3871" s="1" t="s">
        <v>2734</v>
      </c>
      <c r="E3871" t="s">
        <v>2735</v>
      </c>
      <c r="F3871">
        <v>63.0822</v>
      </c>
      <c r="G3871">
        <v>25.858599999999999</v>
      </c>
      <c r="H3871">
        <v>2</v>
      </c>
      <c r="I3871">
        <v>132</v>
      </c>
      <c r="J3871" t="str">
        <f>HYPERLINK("https://climate.onebuilding.org/WMO_Region_6_Europe/FIN_Finland/CF_Central_Finland/FIN_CF_Viitasaari.029150_TMYx.2004-2018.zip")</f>
        <v>https://climate.onebuilding.org/WMO_Region_6_Europe/FIN_Finland/CF_Central_Finland/FIN_CF_Viitasaari.029150_TMYx.2004-2018.zip</v>
      </c>
    </row>
    <row r="3872" spans="1:10" x14ac:dyDescent="0.25">
      <c r="A3872" t="s">
        <v>2310</v>
      </c>
      <c r="B3872" t="s">
        <v>2459</v>
      </c>
      <c r="C3872" t="s">
        <v>2733</v>
      </c>
      <c r="D3872" s="1" t="s">
        <v>2734</v>
      </c>
      <c r="E3872" t="s">
        <v>14</v>
      </c>
      <c r="F3872">
        <v>63.0822</v>
      </c>
      <c r="G3872">
        <v>25.858599999999999</v>
      </c>
      <c r="H3872">
        <v>2</v>
      </c>
      <c r="I3872">
        <v>132</v>
      </c>
      <c r="J3872" t="str">
        <f>HYPERLINK("https://climate.onebuilding.org/WMO_Region_6_Europe/FIN_Finland/CF_Central_Finland/FIN_CF_Viitasaari.029150_TMYx.2007-2021.zip")</f>
        <v>https://climate.onebuilding.org/WMO_Region_6_Europe/FIN_Finland/CF_Central_Finland/FIN_CF_Viitasaari.029150_TMYx.2007-2021.zip</v>
      </c>
    </row>
    <row r="3873" spans="1:10" x14ac:dyDescent="0.25">
      <c r="A3873" t="s">
        <v>2310</v>
      </c>
      <c r="B3873" t="s">
        <v>2459</v>
      </c>
      <c r="C3873" t="s">
        <v>2733</v>
      </c>
      <c r="D3873" s="1" t="s">
        <v>2734</v>
      </c>
      <c r="E3873" t="s">
        <v>14</v>
      </c>
      <c r="F3873">
        <v>63.0822</v>
      </c>
      <c r="G3873">
        <v>25.858599999999999</v>
      </c>
      <c r="H3873">
        <v>2</v>
      </c>
      <c r="I3873">
        <v>132</v>
      </c>
      <c r="J3873" t="str">
        <f>HYPERLINK("https://climate.onebuilding.org/WMO_Region_6_Europe/FIN_Finland/CF_Central_Finland/FIN_CF_Viitasaari.029150_TMYx.2009-2023.zip")</f>
        <v>https://climate.onebuilding.org/WMO_Region_6_Europe/FIN_Finland/CF_Central_Finland/FIN_CF_Viitasaari.029150_TMYx.2009-2023.zip</v>
      </c>
    </row>
    <row r="3874" spans="1:10" x14ac:dyDescent="0.25">
      <c r="A3874" t="s">
        <v>2310</v>
      </c>
      <c r="B3874" t="s">
        <v>2459</v>
      </c>
      <c r="C3874" t="s">
        <v>2733</v>
      </c>
      <c r="D3874" s="1" t="s">
        <v>2734</v>
      </c>
      <c r="E3874" t="s">
        <v>14</v>
      </c>
      <c r="F3874">
        <v>63.0822</v>
      </c>
      <c r="G3874">
        <v>25.858599999999999</v>
      </c>
      <c r="H3874">
        <v>2</v>
      </c>
      <c r="I3874">
        <v>132</v>
      </c>
      <c r="J3874" t="str">
        <f>HYPERLINK("https://climate.onebuilding.org/WMO_Region_6_Europe/FIN_Finland/CF_Central_Finland/FIN_CF_Viitasaari.029150_TMYx.zip")</f>
        <v>https://climate.onebuilding.org/WMO_Region_6_Europe/FIN_Finland/CF_Central_Finland/FIN_CF_Viitasaari.029150_TMYx.zip</v>
      </c>
    </row>
    <row r="3875" spans="1:10" x14ac:dyDescent="0.25">
      <c r="A3875" t="s">
        <v>2310</v>
      </c>
      <c r="B3875" t="s">
        <v>2334</v>
      </c>
      <c r="C3875" t="s">
        <v>2736</v>
      </c>
      <c r="D3875" s="1" t="s">
        <v>2737</v>
      </c>
      <c r="E3875" t="s">
        <v>2738</v>
      </c>
      <c r="F3875">
        <v>63.008299999999998</v>
      </c>
      <c r="G3875">
        <v>27.799399999999999</v>
      </c>
      <c r="H3875">
        <v>2</v>
      </c>
      <c r="I3875">
        <v>98.5</v>
      </c>
      <c r="J3875" t="str">
        <f>HYPERLINK("https://climate.onebuilding.org/WMO_Region_6_Europe/FIN_Finland/NS_North_Savo/FIN_NS_Silinjarvi-Kuopio.AP.029170_TMYx.2004-2018.zip")</f>
        <v>https://climate.onebuilding.org/WMO_Region_6_Europe/FIN_Finland/NS_North_Savo/FIN_NS_Silinjarvi-Kuopio.AP.029170_TMYx.2004-2018.zip</v>
      </c>
    </row>
    <row r="3876" spans="1:10" x14ac:dyDescent="0.25">
      <c r="A3876" t="s">
        <v>2310</v>
      </c>
      <c r="B3876" t="s">
        <v>2334</v>
      </c>
      <c r="C3876" t="s">
        <v>2736</v>
      </c>
      <c r="D3876" s="1" t="s">
        <v>2737</v>
      </c>
      <c r="E3876" t="s">
        <v>14</v>
      </c>
      <c r="F3876">
        <v>63.008299999999998</v>
      </c>
      <c r="G3876">
        <v>27.799399999999999</v>
      </c>
      <c r="H3876">
        <v>2</v>
      </c>
      <c r="I3876">
        <v>98.5</v>
      </c>
      <c r="J3876" t="str">
        <f>HYPERLINK("https://climate.onebuilding.org/WMO_Region_6_Europe/FIN_Finland/NS_North_Savo/FIN_NS_Silinjarvi-Kuopio.AP.029170_TMYx.2007-2021.zip")</f>
        <v>https://climate.onebuilding.org/WMO_Region_6_Europe/FIN_Finland/NS_North_Savo/FIN_NS_Silinjarvi-Kuopio.AP.029170_TMYx.2007-2021.zip</v>
      </c>
    </row>
    <row r="3877" spans="1:10" x14ac:dyDescent="0.25">
      <c r="A3877" t="s">
        <v>2310</v>
      </c>
      <c r="B3877" t="s">
        <v>2334</v>
      </c>
      <c r="C3877" t="s">
        <v>2736</v>
      </c>
      <c r="D3877" s="1" t="s">
        <v>2737</v>
      </c>
      <c r="E3877" t="s">
        <v>14</v>
      </c>
      <c r="F3877">
        <v>63.008299999999998</v>
      </c>
      <c r="G3877">
        <v>27.799399999999999</v>
      </c>
      <c r="H3877">
        <v>2</v>
      </c>
      <c r="I3877">
        <v>98.5</v>
      </c>
      <c r="J3877" t="str">
        <f>HYPERLINK("https://climate.onebuilding.org/WMO_Region_6_Europe/FIN_Finland/NS_North_Savo/FIN_NS_Silinjarvi-Kuopio.AP.029170_TMYx.2009-2023.zip")</f>
        <v>https://climate.onebuilding.org/WMO_Region_6_Europe/FIN_Finland/NS_North_Savo/FIN_NS_Silinjarvi-Kuopio.AP.029170_TMYx.2009-2023.zip</v>
      </c>
    </row>
    <row r="3878" spans="1:10" x14ac:dyDescent="0.25">
      <c r="A3878" t="s">
        <v>2310</v>
      </c>
      <c r="B3878" t="s">
        <v>2334</v>
      </c>
      <c r="C3878" t="s">
        <v>2736</v>
      </c>
      <c r="D3878" s="1" t="s">
        <v>2737</v>
      </c>
      <c r="E3878" t="s">
        <v>14</v>
      </c>
      <c r="F3878">
        <v>63.008299999999998</v>
      </c>
      <c r="G3878">
        <v>27.799399999999999</v>
      </c>
      <c r="H3878">
        <v>2</v>
      </c>
      <c r="I3878">
        <v>98.5</v>
      </c>
      <c r="J3878" t="str">
        <f>HYPERLINK("https://climate.onebuilding.org/WMO_Region_6_Europe/FIN_Finland/NS_North_Savo/FIN_NS_Silinjarvi-Kuopio.AP.029170_TMYx.zip")</f>
        <v>https://climate.onebuilding.org/WMO_Region_6_Europe/FIN_Finland/NS_North_Savo/FIN_NS_Silinjarvi-Kuopio.AP.029170_TMYx.zip</v>
      </c>
    </row>
    <row r="3879" spans="1:10" x14ac:dyDescent="0.25">
      <c r="A3879" t="s">
        <v>2310</v>
      </c>
      <c r="B3879" t="s">
        <v>1239</v>
      </c>
      <c r="C3879" t="s">
        <v>2739</v>
      </c>
      <c r="D3879" s="1" t="s">
        <v>2740</v>
      </c>
      <c r="E3879" t="s">
        <v>2741</v>
      </c>
      <c r="F3879">
        <v>61.198099999999997</v>
      </c>
      <c r="G3879">
        <v>28.472799999999999</v>
      </c>
      <c r="H3879">
        <v>2</v>
      </c>
      <c r="I3879">
        <v>77</v>
      </c>
      <c r="J3879" t="str">
        <f>HYPERLINK("https://climate.onebuilding.org/WMO_Region_6_Europe/FIN_Finland/SK_South_Karelia/FIN_SK_Lappeenranta.Hiekkapakka.029190_TMYx.2004-2018.zip")</f>
        <v>https://climate.onebuilding.org/WMO_Region_6_Europe/FIN_Finland/SK_South_Karelia/FIN_SK_Lappeenranta.Hiekkapakka.029190_TMYx.2004-2018.zip</v>
      </c>
    </row>
    <row r="3880" spans="1:10" x14ac:dyDescent="0.25">
      <c r="A3880" t="s">
        <v>2310</v>
      </c>
      <c r="B3880" t="s">
        <v>1239</v>
      </c>
      <c r="C3880" t="s">
        <v>2739</v>
      </c>
      <c r="D3880" s="1" t="s">
        <v>2740</v>
      </c>
      <c r="E3880" t="s">
        <v>14</v>
      </c>
      <c r="F3880">
        <v>61.198099999999997</v>
      </c>
      <c r="G3880">
        <v>28.472799999999999</v>
      </c>
      <c r="H3880">
        <v>2</v>
      </c>
      <c r="I3880">
        <v>77</v>
      </c>
      <c r="J3880" t="str">
        <f>HYPERLINK("https://climate.onebuilding.org/WMO_Region_6_Europe/FIN_Finland/SK_South_Karelia/FIN_SK_Lappeenranta.Hiekkapakka.029190_TMYx.2007-2021.zip")</f>
        <v>https://climate.onebuilding.org/WMO_Region_6_Europe/FIN_Finland/SK_South_Karelia/FIN_SK_Lappeenranta.Hiekkapakka.029190_TMYx.2007-2021.zip</v>
      </c>
    </row>
    <row r="3881" spans="1:10" x14ac:dyDescent="0.25">
      <c r="A3881" t="s">
        <v>2310</v>
      </c>
      <c r="B3881" t="s">
        <v>1239</v>
      </c>
      <c r="C3881" t="s">
        <v>2739</v>
      </c>
      <c r="D3881" s="1" t="s">
        <v>2740</v>
      </c>
      <c r="E3881" t="s">
        <v>14</v>
      </c>
      <c r="F3881">
        <v>61.198099999999997</v>
      </c>
      <c r="G3881">
        <v>28.472799999999999</v>
      </c>
      <c r="H3881">
        <v>2</v>
      </c>
      <c r="I3881">
        <v>77</v>
      </c>
      <c r="J3881" t="str">
        <f>HYPERLINK("https://climate.onebuilding.org/WMO_Region_6_Europe/FIN_Finland/SK_South_Karelia/FIN_SK_Lappeenranta.Hiekkapakka.029190_TMYx.2009-2023.zip")</f>
        <v>https://climate.onebuilding.org/WMO_Region_6_Europe/FIN_Finland/SK_South_Karelia/FIN_SK_Lappeenranta.Hiekkapakka.029190_TMYx.2009-2023.zip</v>
      </c>
    </row>
    <row r="3882" spans="1:10" x14ac:dyDescent="0.25">
      <c r="A3882" t="s">
        <v>2310</v>
      </c>
      <c r="B3882" t="s">
        <v>1239</v>
      </c>
      <c r="C3882" t="s">
        <v>2739</v>
      </c>
      <c r="D3882" s="1" t="s">
        <v>2740</v>
      </c>
      <c r="E3882" t="s">
        <v>14</v>
      </c>
      <c r="F3882">
        <v>61.198099999999997</v>
      </c>
      <c r="G3882">
        <v>28.472799999999999</v>
      </c>
      <c r="H3882">
        <v>2</v>
      </c>
      <c r="I3882">
        <v>77</v>
      </c>
      <c r="J3882" t="str">
        <f>HYPERLINK("https://climate.onebuilding.org/WMO_Region_6_Europe/FIN_Finland/SK_South_Karelia/FIN_SK_Lappeenranta.Hiekkapakka.029190_TMYx.zip")</f>
        <v>https://climate.onebuilding.org/WMO_Region_6_Europe/FIN_Finland/SK_South_Karelia/FIN_SK_Lappeenranta.Hiekkapakka.029190_TMYx.zip</v>
      </c>
    </row>
    <row r="3883" spans="1:10" x14ac:dyDescent="0.25">
      <c r="A3883" t="s">
        <v>2310</v>
      </c>
      <c r="B3883" t="s">
        <v>2425</v>
      </c>
      <c r="C3883" t="s">
        <v>2742</v>
      </c>
      <c r="D3883" s="1" t="s">
        <v>2743</v>
      </c>
      <c r="E3883" t="s">
        <v>2744</v>
      </c>
      <c r="F3883">
        <v>63.751399999999997</v>
      </c>
      <c r="G3883">
        <v>22.5228</v>
      </c>
      <c r="H3883">
        <v>2</v>
      </c>
      <c r="I3883">
        <v>19.2</v>
      </c>
      <c r="J3883" t="str">
        <f>HYPERLINK("https://climate.onebuilding.org/WMO_Region_6_Europe/FIN_Finland/OS_Ostrobothnia/FIN_OS_Pietarsaari.Kallan.029200_TMYx.2004-2018.zip")</f>
        <v>https://climate.onebuilding.org/WMO_Region_6_Europe/FIN_Finland/OS_Ostrobothnia/FIN_OS_Pietarsaari.Kallan.029200_TMYx.2004-2018.zip</v>
      </c>
    </row>
    <row r="3884" spans="1:10" x14ac:dyDescent="0.25">
      <c r="A3884" t="s">
        <v>2310</v>
      </c>
      <c r="B3884" t="s">
        <v>2425</v>
      </c>
      <c r="C3884" t="s">
        <v>2742</v>
      </c>
      <c r="D3884" s="1" t="s">
        <v>2743</v>
      </c>
      <c r="E3884" t="s">
        <v>14</v>
      </c>
      <c r="F3884">
        <v>63.751399999999997</v>
      </c>
      <c r="G3884">
        <v>22.5228</v>
      </c>
      <c r="H3884">
        <v>2</v>
      </c>
      <c r="I3884">
        <v>19.2</v>
      </c>
      <c r="J3884" t="str">
        <f>HYPERLINK("https://climate.onebuilding.org/WMO_Region_6_Europe/FIN_Finland/OS_Ostrobothnia/FIN_OS_Pietarsaari.Kallan.029200_TMYx.2007-2021.zip")</f>
        <v>https://climate.onebuilding.org/WMO_Region_6_Europe/FIN_Finland/OS_Ostrobothnia/FIN_OS_Pietarsaari.Kallan.029200_TMYx.2007-2021.zip</v>
      </c>
    </row>
    <row r="3885" spans="1:10" x14ac:dyDescent="0.25">
      <c r="A3885" t="s">
        <v>2310</v>
      </c>
      <c r="B3885" t="s">
        <v>2425</v>
      </c>
      <c r="C3885" t="s">
        <v>2742</v>
      </c>
      <c r="D3885" s="1" t="s">
        <v>2743</v>
      </c>
      <c r="E3885" t="s">
        <v>14</v>
      </c>
      <c r="F3885">
        <v>63.751399999999997</v>
      </c>
      <c r="G3885">
        <v>22.5228</v>
      </c>
      <c r="H3885">
        <v>2</v>
      </c>
      <c r="I3885">
        <v>19.2</v>
      </c>
      <c r="J3885" t="str">
        <f>HYPERLINK("https://climate.onebuilding.org/WMO_Region_6_Europe/FIN_Finland/OS_Ostrobothnia/FIN_OS_Pietarsaari.Kallan.029200_TMYx.2009-2023.zip")</f>
        <v>https://climate.onebuilding.org/WMO_Region_6_Europe/FIN_Finland/OS_Ostrobothnia/FIN_OS_Pietarsaari.Kallan.029200_TMYx.2009-2023.zip</v>
      </c>
    </row>
    <row r="3886" spans="1:10" x14ac:dyDescent="0.25">
      <c r="A3886" t="s">
        <v>2310</v>
      </c>
      <c r="B3886" t="s">
        <v>2425</v>
      </c>
      <c r="C3886" t="s">
        <v>2742</v>
      </c>
      <c r="D3886" s="1" t="s">
        <v>2743</v>
      </c>
      <c r="E3886" t="s">
        <v>14</v>
      </c>
      <c r="F3886">
        <v>63.751399999999997</v>
      </c>
      <c r="G3886">
        <v>22.5228</v>
      </c>
      <c r="H3886">
        <v>2</v>
      </c>
      <c r="I3886">
        <v>19.2</v>
      </c>
      <c r="J3886" t="str">
        <f>HYPERLINK("https://climate.onebuilding.org/WMO_Region_6_Europe/FIN_Finland/OS_Ostrobothnia/FIN_OS_Pietarsaari.Kallan.029200_TMYx.zip")</f>
        <v>https://climate.onebuilding.org/WMO_Region_6_Europe/FIN_Finland/OS_Ostrobothnia/FIN_OS_Pietarsaari.Kallan.029200_TMYx.zip</v>
      </c>
    </row>
    <row r="3887" spans="1:10" x14ac:dyDescent="0.25">
      <c r="A3887" t="s">
        <v>2310</v>
      </c>
      <c r="B3887" t="s">
        <v>2425</v>
      </c>
      <c r="C3887" t="s">
        <v>2745</v>
      </c>
      <c r="D3887" s="1" t="s">
        <v>2746</v>
      </c>
      <c r="E3887" t="s">
        <v>14</v>
      </c>
      <c r="F3887">
        <v>62.865099999999998</v>
      </c>
      <c r="G3887">
        <v>21.284600000000001</v>
      </c>
      <c r="H3887">
        <v>2</v>
      </c>
      <c r="I3887">
        <v>13</v>
      </c>
      <c r="J3887" t="str">
        <f>HYPERLINK("https://climate.onebuilding.org/WMO_Region_6_Europe/FIN_Finland/OS_Ostrobothnia/FIN_OS_Moikipaa.029210_TMYx.zip")</f>
        <v>https://climate.onebuilding.org/WMO_Region_6_Europe/FIN_Finland/OS_Ostrobothnia/FIN_OS_Moikipaa.029210_TMYx.zip</v>
      </c>
    </row>
    <row r="3888" spans="1:10" x14ac:dyDescent="0.25">
      <c r="A3888" t="s">
        <v>2310</v>
      </c>
      <c r="B3888" t="s">
        <v>774</v>
      </c>
      <c r="C3888" t="s">
        <v>2747</v>
      </c>
      <c r="D3888" s="1" t="s">
        <v>2748</v>
      </c>
      <c r="E3888" t="s">
        <v>2749</v>
      </c>
      <c r="F3888">
        <v>62.534999999999997</v>
      </c>
      <c r="G3888">
        <v>24.217199999999998</v>
      </c>
      <c r="H3888">
        <v>2</v>
      </c>
      <c r="I3888">
        <v>159.69999999999999</v>
      </c>
      <c r="J3888" t="str">
        <f>HYPERLINK("https://climate.onebuilding.org/WMO_Region_6_Europe/FIN_Finland/SO_South_Ostrobothnia/FIN_SO_Ahtari.Myllymaki.029240_TMYx.2004-2018.zip")</f>
        <v>https://climate.onebuilding.org/WMO_Region_6_Europe/FIN_Finland/SO_South_Ostrobothnia/FIN_SO_Ahtari.Myllymaki.029240_TMYx.2004-2018.zip</v>
      </c>
    </row>
    <row r="3889" spans="1:10" x14ac:dyDescent="0.25">
      <c r="A3889" t="s">
        <v>2310</v>
      </c>
      <c r="B3889" t="s">
        <v>774</v>
      </c>
      <c r="C3889" t="s">
        <v>2747</v>
      </c>
      <c r="D3889" s="1" t="s">
        <v>2748</v>
      </c>
      <c r="E3889" t="s">
        <v>14</v>
      </c>
      <c r="F3889">
        <v>62.534999999999997</v>
      </c>
      <c r="G3889">
        <v>24.217199999999998</v>
      </c>
      <c r="H3889">
        <v>2</v>
      </c>
      <c r="I3889">
        <v>159.69999999999999</v>
      </c>
      <c r="J3889" t="str">
        <f>HYPERLINK("https://climate.onebuilding.org/WMO_Region_6_Europe/FIN_Finland/SO_South_Ostrobothnia/FIN_SO_Ahtari.Myllymaki.029240_TMYx.2007-2021.zip")</f>
        <v>https://climate.onebuilding.org/WMO_Region_6_Europe/FIN_Finland/SO_South_Ostrobothnia/FIN_SO_Ahtari.Myllymaki.029240_TMYx.2007-2021.zip</v>
      </c>
    </row>
    <row r="3890" spans="1:10" x14ac:dyDescent="0.25">
      <c r="A3890" t="s">
        <v>2310</v>
      </c>
      <c r="B3890" t="s">
        <v>774</v>
      </c>
      <c r="C3890" t="s">
        <v>2747</v>
      </c>
      <c r="D3890" s="1" t="s">
        <v>2748</v>
      </c>
      <c r="E3890" t="s">
        <v>14</v>
      </c>
      <c r="F3890">
        <v>62.534999999999997</v>
      </c>
      <c r="G3890">
        <v>24.217199999999998</v>
      </c>
      <c r="H3890">
        <v>2</v>
      </c>
      <c r="I3890">
        <v>159.69999999999999</v>
      </c>
      <c r="J3890" t="str">
        <f>HYPERLINK("https://climate.onebuilding.org/WMO_Region_6_Europe/FIN_Finland/SO_South_Ostrobothnia/FIN_SO_Ahtari.Myllymaki.029240_TMYx.2009-2023.zip")</f>
        <v>https://climate.onebuilding.org/WMO_Region_6_Europe/FIN_Finland/SO_South_Ostrobothnia/FIN_SO_Ahtari.Myllymaki.029240_TMYx.2009-2023.zip</v>
      </c>
    </row>
    <row r="3891" spans="1:10" x14ac:dyDescent="0.25">
      <c r="A3891" t="s">
        <v>2310</v>
      </c>
      <c r="B3891" t="s">
        <v>774</v>
      </c>
      <c r="C3891" t="s">
        <v>2747</v>
      </c>
      <c r="D3891" s="1" t="s">
        <v>2748</v>
      </c>
      <c r="E3891" t="s">
        <v>14</v>
      </c>
      <c r="F3891">
        <v>62.534999999999997</v>
      </c>
      <c r="G3891">
        <v>24.217199999999998</v>
      </c>
      <c r="H3891">
        <v>2</v>
      </c>
      <c r="I3891">
        <v>159.69999999999999</v>
      </c>
      <c r="J3891" t="str">
        <f>HYPERLINK("https://climate.onebuilding.org/WMO_Region_6_Europe/FIN_Finland/SO_South_Ostrobothnia/FIN_SO_Ahtari.Myllymaki.029240_TMYx.zip")</f>
        <v>https://climate.onebuilding.org/WMO_Region_6_Europe/FIN_Finland/SO_South_Ostrobothnia/FIN_SO_Ahtari.Myllymaki.029240_TMYx.zip</v>
      </c>
    </row>
    <row r="3892" spans="1:10" x14ac:dyDescent="0.25">
      <c r="A3892" t="s">
        <v>2310</v>
      </c>
      <c r="B3892" t="s">
        <v>774</v>
      </c>
      <c r="C3892" t="s">
        <v>2750</v>
      </c>
      <c r="D3892" s="1" t="s">
        <v>2751</v>
      </c>
      <c r="E3892" t="s">
        <v>2752</v>
      </c>
      <c r="F3892">
        <v>62.692</v>
      </c>
      <c r="G3892">
        <v>22.832000000000001</v>
      </c>
      <c r="H3892">
        <v>2</v>
      </c>
      <c r="I3892">
        <v>91.7</v>
      </c>
      <c r="J3892" t="str">
        <f>HYPERLINK("https://climate.onebuilding.org/WMO_Region_6_Europe/FIN_Finland/SO_South_Ostrobothnia/FIN_SO_Seinajoki.AP.029245_TMYx.2004-2018.zip")</f>
        <v>https://climate.onebuilding.org/WMO_Region_6_Europe/FIN_Finland/SO_South_Ostrobothnia/FIN_SO_Seinajoki.AP.029245_TMYx.2004-2018.zip</v>
      </c>
    </row>
    <row r="3893" spans="1:10" x14ac:dyDescent="0.25">
      <c r="A3893" t="s">
        <v>2310</v>
      </c>
      <c r="B3893" t="s">
        <v>774</v>
      </c>
      <c r="C3893" t="s">
        <v>2750</v>
      </c>
      <c r="D3893" s="1" t="s">
        <v>2751</v>
      </c>
      <c r="E3893" t="s">
        <v>14</v>
      </c>
      <c r="F3893">
        <v>62.692</v>
      </c>
      <c r="G3893">
        <v>22.832000000000001</v>
      </c>
      <c r="H3893">
        <v>2</v>
      </c>
      <c r="I3893">
        <v>91.7</v>
      </c>
      <c r="J3893" t="str">
        <f>HYPERLINK("https://climate.onebuilding.org/WMO_Region_6_Europe/FIN_Finland/SO_South_Ostrobothnia/FIN_SO_Seinajoki.AP.029245_TMYx.2007-2021.zip")</f>
        <v>https://climate.onebuilding.org/WMO_Region_6_Europe/FIN_Finland/SO_South_Ostrobothnia/FIN_SO_Seinajoki.AP.029245_TMYx.2007-2021.zip</v>
      </c>
    </row>
    <row r="3894" spans="1:10" x14ac:dyDescent="0.25">
      <c r="A3894" t="s">
        <v>2310</v>
      </c>
      <c r="B3894" t="s">
        <v>774</v>
      </c>
      <c r="C3894" t="s">
        <v>2750</v>
      </c>
      <c r="D3894" s="1" t="s">
        <v>2751</v>
      </c>
      <c r="E3894" t="s">
        <v>14</v>
      </c>
      <c r="F3894">
        <v>62.692</v>
      </c>
      <c r="G3894">
        <v>22.832000000000001</v>
      </c>
      <c r="H3894">
        <v>2</v>
      </c>
      <c r="I3894">
        <v>91.7</v>
      </c>
      <c r="J3894" t="str">
        <f>HYPERLINK("https://climate.onebuilding.org/WMO_Region_6_Europe/FIN_Finland/SO_South_Ostrobothnia/FIN_SO_Seinajoki.AP.029245_TMYx.2009-2023.zip")</f>
        <v>https://climate.onebuilding.org/WMO_Region_6_Europe/FIN_Finland/SO_South_Ostrobothnia/FIN_SO_Seinajoki.AP.029245_TMYx.2009-2023.zip</v>
      </c>
    </row>
    <row r="3895" spans="1:10" x14ac:dyDescent="0.25">
      <c r="A3895" t="s">
        <v>2310</v>
      </c>
      <c r="B3895" t="s">
        <v>774</v>
      </c>
      <c r="C3895" t="s">
        <v>2750</v>
      </c>
      <c r="D3895" s="1" t="s">
        <v>2751</v>
      </c>
      <c r="E3895" t="s">
        <v>14</v>
      </c>
      <c r="F3895">
        <v>62.692</v>
      </c>
      <c r="G3895">
        <v>22.832000000000001</v>
      </c>
      <c r="H3895">
        <v>2</v>
      </c>
      <c r="I3895">
        <v>91.7</v>
      </c>
      <c r="J3895" t="str">
        <f>HYPERLINK("https://climate.onebuilding.org/WMO_Region_6_Europe/FIN_Finland/SO_South_Ostrobothnia/FIN_SO_Seinajoki.AP.029245_TMYx.zip")</f>
        <v>https://climate.onebuilding.org/WMO_Region_6_Europe/FIN_Finland/SO_South_Ostrobothnia/FIN_SO_Seinajoki.AP.029245_TMYx.zip</v>
      </c>
    </row>
    <row r="3896" spans="1:10" x14ac:dyDescent="0.25">
      <c r="A3896" t="s">
        <v>2310</v>
      </c>
      <c r="B3896" t="s">
        <v>2286</v>
      </c>
      <c r="C3896" t="s">
        <v>2753</v>
      </c>
      <c r="D3896" s="1" t="s">
        <v>2754</v>
      </c>
      <c r="E3896" t="s">
        <v>2755</v>
      </c>
      <c r="F3896">
        <v>61.478900000000003</v>
      </c>
      <c r="G3896">
        <v>21.783300000000001</v>
      </c>
      <c r="H3896">
        <v>2</v>
      </c>
      <c r="I3896">
        <v>10.1</v>
      </c>
      <c r="J3896" t="str">
        <f>HYPERLINK("https://climate.onebuilding.org/WMO_Region_6_Europe/FIN_Finland/SA_Satakunta/FIN_SA_Pori.Railway.Stn.029260_TMYx.2004-2018.zip")</f>
        <v>https://climate.onebuilding.org/WMO_Region_6_Europe/FIN_Finland/SA_Satakunta/FIN_SA_Pori.Railway.Stn.029260_TMYx.2004-2018.zip</v>
      </c>
    </row>
    <row r="3897" spans="1:10" x14ac:dyDescent="0.25">
      <c r="A3897" t="s">
        <v>2310</v>
      </c>
      <c r="B3897" t="s">
        <v>2286</v>
      </c>
      <c r="C3897" t="s">
        <v>2753</v>
      </c>
      <c r="D3897" s="1" t="s">
        <v>2754</v>
      </c>
      <c r="E3897" t="s">
        <v>14</v>
      </c>
      <c r="F3897">
        <v>61.478900000000003</v>
      </c>
      <c r="G3897">
        <v>21.783300000000001</v>
      </c>
      <c r="H3897">
        <v>2</v>
      </c>
      <c r="I3897">
        <v>10.1</v>
      </c>
      <c r="J3897" t="str">
        <f>HYPERLINK("https://climate.onebuilding.org/WMO_Region_6_Europe/FIN_Finland/SA_Satakunta/FIN_SA_Pori.Railway.Stn.029260_TMYx.2007-2021.zip")</f>
        <v>https://climate.onebuilding.org/WMO_Region_6_Europe/FIN_Finland/SA_Satakunta/FIN_SA_Pori.Railway.Stn.029260_TMYx.2007-2021.zip</v>
      </c>
    </row>
    <row r="3898" spans="1:10" x14ac:dyDescent="0.25">
      <c r="A3898" t="s">
        <v>2310</v>
      </c>
      <c r="B3898" t="s">
        <v>2286</v>
      </c>
      <c r="C3898" t="s">
        <v>2753</v>
      </c>
      <c r="D3898" s="1" t="s">
        <v>2754</v>
      </c>
      <c r="E3898" t="s">
        <v>14</v>
      </c>
      <c r="F3898">
        <v>61.478900000000003</v>
      </c>
      <c r="G3898">
        <v>21.783300000000001</v>
      </c>
      <c r="H3898">
        <v>2</v>
      </c>
      <c r="I3898">
        <v>10.1</v>
      </c>
      <c r="J3898" t="str">
        <f>HYPERLINK("https://climate.onebuilding.org/WMO_Region_6_Europe/FIN_Finland/SA_Satakunta/FIN_SA_Pori.Railway.Stn.029260_TMYx.2009-2023.zip")</f>
        <v>https://climate.onebuilding.org/WMO_Region_6_Europe/FIN_Finland/SA_Satakunta/FIN_SA_Pori.Railway.Stn.029260_TMYx.2009-2023.zip</v>
      </c>
    </row>
    <row r="3899" spans="1:10" x14ac:dyDescent="0.25">
      <c r="A3899" t="s">
        <v>2310</v>
      </c>
      <c r="B3899" t="s">
        <v>2286</v>
      </c>
      <c r="C3899" t="s">
        <v>2753</v>
      </c>
      <c r="D3899" s="1" t="s">
        <v>2754</v>
      </c>
      <c r="E3899" t="s">
        <v>14</v>
      </c>
      <c r="F3899">
        <v>61.478900000000003</v>
      </c>
      <c r="G3899">
        <v>21.783300000000001</v>
      </c>
      <c r="H3899">
        <v>2</v>
      </c>
      <c r="I3899">
        <v>10.1</v>
      </c>
      <c r="J3899" t="str">
        <f>HYPERLINK("https://climate.onebuilding.org/WMO_Region_6_Europe/FIN_Finland/SA_Satakunta/FIN_SA_Pori.Railway.Stn.029260_TMYx.zip")</f>
        <v>https://climate.onebuilding.org/WMO_Region_6_Europe/FIN_Finland/SA_Satakunta/FIN_SA_Pori.Railway.Stn.029260_TMYx.zip</v>
      </c>
    </row>
    <row r="3900" spans="1:10" x14ac:dyDescent="0.25">
      <c r="A3900" t="s">
        <v>2310</v>
      </c>
      <c r="B3900" t="s">
        <v>2459</v>
      </c>
      <c r="C3900" t="s">
        <v>2756</v>
      </c>
      <c r="D3900" s="1" t="s">
        <v>2757</v>
      </c>
      <c r="E3900" t="s">
        <v>2758</v>
      </c>
      <c r="F3900">
        <v>62.510599999999997</v>
      </c>
      <c r="G3900">
        <v>24.8078</v>
      </c>
      <c r="H3900">
        <v>2</v>
      </c>
      <c r="I3900">
        <v>227</v>
      </c>
      <c r="J3900" t="str">
        <f>HYPERLINK("https://climate.onebuilding.org/WMO_Region_6_Europe/FIN_Finland/CF_Central_Finland/FIN_CF_Multia.Karhila.029270_TMYx.2004-2018.zip")</f>
        <v>https://climate.onebuilding.org/WMO_Region_6_Europe/FIN_Finland/CF_Central_Finland/FIN_CF_Multia.Karhila.029270_TMYx.2004-2018.zip</v>
      </c>
    </row>
    <row r="3901" spans="1:10" x14ac:dyDescent="0.25">
      <c r="A3901" t="s">
        <v>2310</v>
      </c>
      <c r="B3901" t="s">
        <v>2459</v>
      </c>
      <c r="C3901" t="s">
        <v>2756</v>
      </c>
      <c r="D3901" s="1" t="s">
        <v>2757</v>
      </c>
      <c r="E3901" t="s">
        <v>14</v>
      </c>
      <c r="F3901">
        <v>62.510599999999997</v>
      </c>
      <c r="G3901">
        <v>24.8078</v>
      </c>
      <c r="H3901">
        <v>2</v>
      </c>
      <c r="I3901">
        <v>227</v>
      </c>
      <c r="J3901" t="str">
        <f>HYPERLINK("https://climate.onebuilding.org/WMO_Region_6_Europe/FIN_Finland/CF_Central_Finland/FIN_CF_Multia.Karhila.029270_TMYx.2007-2021.zip")</f>
        <v>https://climate.onebuilding.org/WMO_Region_6_Europe/FIN_Finland/CF_Central_Finland/FIN_CF_Multia.Karhila.029270_TMYx.2007-2021.zip</v>
      </c>
    </row>
    <row r="3902" spans="1:10" x14ac:dyDescent="0.25">
      <c r="A3902" t="s">
        <v>2310</v>
      </c>
      <c r="B3902" t="s">
        <v>2459</v>
      </c>
      <c r="C3902" t="s">
        <v>2756</v>
      </c>
      <c r="D3902" s="1" t="s">
        <v>2757</v>
      </c>
      <c r="E3902" t="s">
        <v>14</v>
      </c>
      <c r="F3902">
        <v>62.510599999999997</v>
      </c>
      <c r="G3902">
        <v>24.8078</v>
      </c>
      <c r="H3902">
        <v>2</v>
      </c>
      <c r="I3902">
        <v>227</v>
      </c>
      <c r="J3902" t="str">
        <f>HYPERLINK("https://climate.onebuilding.org/WMO_Region_6_Europe/FIN_Finland/CF_Central_Finland/FIN_CF_Multia.Karhila.029270_TMYx.2009-2023.zip")</f>
        <v>https://climate.onebuilding.org/WMO_Region_6_Europe/FIN_Finland/CF_Central_Finland/FIN_CF_Multia.Karhila.029270_TMYx.2009-2023.zip</v>
      </c>
    </row>
    <row r="3903" spans="1:10" x14ac:dyDescent="0.25">
      <c r="A3903" t="s">
        <v>2310</v>
      </c>
      <c r="B3903" t="s">
        <v>2459</v>
      </c>
      <c r="C3903" t="s">
        <v>2756</v>
      </c>
      <c r="D3903" s="1" t="s">
        <v>2757</v>
      </c>
      <c r="E3903" t="s">
        <v>14</v>
      </c>
      <c r="F3903">
        <v>62.510599999999997</v>
      </c>
      <c r="G3903">
        <v>24.8078</v>
      </c>
      <c r="H3903">
        <v>2</v>
      </c>
      <c r="I3903">
        <v>227</v>
      </c>
      <c r="J3903" t="str">
        <f>HYPERLINK("https://climate.onebuilding.org/WMO_Region_6_Europe/FIN_Finland/CF_Central_Finland/FIN_CF_Multia.Karhila.029270_TMYx.zip")</f>
        <v>https://climate.onebuilding.org/WMO_Region_6_Europe/FIN_Finland/CF_Central_Finland/FIN_CF_Multia.Karhila.029270_TMYx.zip</v>
      </c>
    </row>
    <row r="3904" spans="1:10" x14ac:dyDescent="0.25">
      <c r="A3904" t="s">
        <v>2310</v>
      </c>
      <c r="B3904" t="s">
        <v>2463</v>
      </c>
      <c r="C3904" t="s">
        <v>2759</v>
      </c>
      <c r="D3904" s="1" t="s">
        <v>2760</v>
      </c>
      <c r="E3904" t="s">
        <v>2761</v>
      </c>
      <c r="F3904">
        <v>62.601700000000001</v>
      </c>
      <c r="G3904">
        <v>29.7239</v>
      </c>
      <c r="H3904">
        <v>2</v>
      </c>
      <c r="I3904">
        <v>82.2</v>
      </c>
      <c r="J3904" t="str">
        <f>HYPERLINK("https://climate.onebuilding.org/WMO_Region_6_Europe/FIN_Finland/NK_North_Karelia/FIN_NK_Joensuu.Linnunlahti.029280_TMYx.2004-2018.zip")</f>
        <v>https://climate.onebuilding.org/WMO_Region_6_Europe/FIN_Finland/NK_North_Karelia/FIN_NK_Joensuu.Linnunlahti.029280_TMYx.2004-2018.zip</v>
      </c>
    </row>
    <row r="3905" spans="1:10" x14ac:dyDescent="0.25">
      <c r="A3905" t="s">
        <v>2310</v>
      </c>
      <c r="B3905" t="s">
        <v>2463</v>
      </c>
      <c r="C3905" t="s">
        <v>2759</v>
      </c>
      <c r="D3905" s="1" t="s">
        <v>2760</v>
      </c>
      <c r="E3905" t="s">
        <v>14</v>
      </c>
      <c r="F3905">
        <v>62.601700000000001</v>
      </c>
      <c r="G3905">
        <v>29.7239</v>
      </c>
      <c r="H3905">
        <v>2</v>
      </c>
      <c r="I3905">
        <v>82.2</v>
      </c>
      <c r="J3905" t="str">
        <f>HYPERLINK("https://climate.onebuilding.org/WMO_Region_6_Europe/FIN_Finland/NK_North_Karelia/FIN_NK_Joensuu.Linnunlahti.029280_TMYx.2007-2021.zip")</f>
        <v>https://climate.onebuilding.org/WMO_Region_6_Europe/FIN_Finland/NK_North_Karelia/FIN_NK_Joensuu.Linnunlahti.029280_TMYx.2007-2021.zip</v>
      </c>
    </row>
    <row r="3906" spans="1:10" x14ac:dyDescent="0.25">
      <c r="A3906" t="s">
        <v>2310</v>
      </c>
      <c r="B3906" t="s">
        <v>2463</v>
      </c>
      <c r="C3906" t="s">
        <v>2759</v>
      </c>
      <c r="D3906" s="1" t="s">
        <v>2760</v>
      </c>
      <c r="E3906" t="s">
        <v>14</v>
      </c>
      <c r="F3906">
        <v>62.601700000000001</v>
      </c>
      <c r="G3906">
        <v>29.7239</v>
      </c>
      <c r="H3906">
        <v>2</v>
      </c>
      <c r="I3906">
        <v>82.2</v>
      </c>
      <c r="J3906" t="str">
        <f>HYPERLINK("https://climate.onebuilding.org/WMO_Region_6_Europe/FIN_Finland/NK_North_Karelia/FIN_NK_Joensuu.Linnunlahti.029280_TMYx.2009-2023.zip")</f>
        <v>https://climate.onebuilding.org/WMO_Region_6_Europe/FIN_Finland/NK_North_Karelia/FIN_NK_Joensuu.Linnunlahti.029280_TMYx.2009-2023.zip</v>
      </c>
    </row>
    <row r="3907" spans="1:10" x14ac:dyDescent="0.25">
      <c r="A3907" t="s">
        <v>2310</v>
      </c>
      <c r="B3907" t="s">
        <v>2463</v>
      </c>
      <c r="C3907" t="s">
        <v>2759</v>
      </c>
      <c r="D3907" s="1" t="s">
        <v>2760</v>
      </c>
      <c r="E3907" t="s">
        <v>14</v>
      </c>
      <c r="F3907">
        <v>62.601700000000001</v>
      </c>
      <c r="G3907">
        <v>29.7239</v>
      </c>
      <c r="H3907">
        <v>2</v>
      </c>
      <c r="I3907">
        <v>82.2</v>
      </c>
      <c r="J3907" t="str">
        <f>HYPERLINK("https://climate.onebuilding.org/WMO_Region_6_Europe/FIN_Finland/NK_North_Karelia/FIN_NK_Joensuu.Linnunlahti.029280_TMYx.zip")</f>
        <v>https://climate.onebuilding.org/WMO_Region_6_Europe/FIN_Finland/NK_North_Karelia/FIN_NK_Joensuu.Linnunlahti.029280_TMYx.zip</v>
      </c>
    </row>
    <row r="3908" spans="1:10" x14ac:dyDescent="0.25">
      <c r="A3908" t="s">
        <v>2310</v>
      </c>
      <c r="B3908" t="s">
        <v>2463</v>
      </c>
      <c r="C3908" t="s">
        <v>2762</v>
      </c>
      <c r="D3908" s="1" t="s">
        <v>2763</v>
      </c>
      <c r="E3908" t="s">
        <v>2764</v>
      </c>
      <c r="F3908">
        <v>62.66</v>
      </c>
      <c r="G3908">
        <v>29.6114</v>
      </c>
      <c r="H3908">
        <v>2</v>
      </c>
      <c r="I3908">
        <v>121.3</v>
      </c>
      <c r="J3908" t="str">
        <f>HYPERLINK("https://climate.onebuilding.org/WMO_Region_6_Europe/FIN_Finland/NK_North_Karelia/FIN_NK_Joensuu.AP.029290_TMYx.2004-2018.zip")</f>
        <v>https://climate.onebuilding.org/WMO_Region_6_Europe/FIN_Finland/NK_North_Karelia/FIN_NK_Joensuu.AP.029290_TMYx.2004-2018.zip</v>
      </c>
    </row>
    <row r="3909" spans="1:10" x14ac:dyDescent="0.25">
      <c r="A3909" t="s">
        <v>2310</v>
      </c>
      <c r="B3909" t="s">
        <v>2463</v>
      </c>
      <c r="C3909" t="s">
        <v>2762</v>
      </c>
      <c r="D3909" s="1" t="s">
        <v>2763</v>
      </c>
      <c r="E3909" t="s">
        <v>14</v>
      </c>
      <c r="F3909">
        <v>62.66</v>
      </c>
      <c r="G3909">
        <v>29.6114</v>
      </c>
      <c r="H3909">
        <v>2</v>
      </c>
      <c r="I3909">
        <v>121.3</v>
      </c>
      <c r="J3909" t="str">
        <f>HYPERLINK("https://climate.onebuilding.org/WMO_Region_6_Europe/FIN_Finland/NK_North_Karelia/FIN_NK_Joensuu.AP.029290_TMYx.2007-2021.zip")</f>
        <v>https://climate.onebuilding.org/WMO_Region_6_Europe/FIN_Finland/NK_North_Karelia/FIN_NK_Joensuu.AP.029290_TMYx.2007-2021.zip</v>
      </c>
    </row>
    <row r="3910" spans="1:10" x14ac:dyDescent="0.25">
      <c r="A3910" t="s">
        <v>2310</v>
      </c>
      <c r="B3910" t="s">
        <v>2463</v>
      </c>
      <c r="C3910" t="s">
        <v>2762</v>
      </c>
      <c r="D3910" s="1" t="s">
        <v>2763</v>
      </c>
      <c r="E3910" t="s">
        <v>14</v>
      </c>
      <c r="F3910">
        <v>62.66</v>
      </c>
      <c r="G3910">
        <v>29.6114</v>
      </c>
      <c r="H3910">
        <v>2</v>
      </c>
      <c r="I3910">
        <v>121.3</v>
      </c>
      <c r="J3910" t="str">
        <f>HYPERLINK("https://climate.onebuilding.org/WMO_Region_6_Europe/FIN_Finland/NK_North_Karelia/FIN_NK_Joensuu.AP.029290_TMYx.2009-2023.zip")</f>
        <v>https://climate.onebuilding.org/WMO_Region_6_Europe/FIN_Finland/NK_North_Karelia/FIN_NK_Joensuu.AP.029290_TMYx.2009-2023.zip</v>
      </c>
    </row>
    <row r="3911" spans="1:10" x14ac:dyDescent="0.25">
      <c r="A3911" t="s">
        <v>2310</v>
      </c>
      <c r="B3911" t="s">
        <v>2463</v>
      </c>
      <c r="C3911" t="s">
        <v>2762</v>
      </c>
      <c r="D3911" s="1" t="s">
        <v>2763</v>
      </c>
      <c r="E3911" t="s">
        <v>14</v>
      </c>
      <c r="F3911">
        <v>62.66</v>
      </c>
      <c r="G3911">
        <v>29.6114</v>
      </c>
      <c r="H3911">
        <v>2</v>
      </c>
      <c r="I3911">
        <v>121.3</v>
      </c>
      <c r="J3911" t="str">
        <f>HYPERLINK("https://climate.onebuilding.org/WMO_Region_6_Europe/FIN_Finland/NK_North_Karelia/FIN_NK_Joensuu.AP.029290_TMYx.zip")</f>
        <v>https://climate.onebuilding.org/WMO_Region_6_Europe/FIN_Finland/NK_North_Karelia/FIN_NK_Joensuu.AP.029290_TMYx.zip</v>
      </c>
    </row>
    <row r="3912" spans="1:10" x14ac:dyDescent="0.25">
      <c r="A3912" t="s">
        <v>2310</v>
      </c>
      <c r="B3912" t="s">
        <v>2425</v>
      </c>
      <c r="C3912" t="s">
        <v>2765</v>
      </c>
      <c r="D3912" s="1" t="s">
        <v>2766</v>
      </c>
      <c r="E3912" t="s">
        <v>2767</v>
      </c>
      <c r="F3912">
        <v>62.333599999999997</v>
      </c>
      <c r="G3912">
        <v>21.190300000000001</v>
      </c>
      <c r="H3912">
        <v>2</v>
      </c>
      <c r="I3912">
        <v>5</v>
      </c>
      <c r="J3912" t="str">
        <f>HYPERLINK("https://climate.onebuilding.org/WMO_Region_6_Europe/FIN_Finland/OS_Ostrobothnia/FIN_OS_Kaskinen.Salgrund.029310_TMYx.2004-2018.zip")</f>
        <v>https://climate.onebuilding.org/WMO_Region_6_Europe/FIN_Finland/OS_Ostrobothnia/FIN_OS_Kaskinen.Salgrund.029310_TMYx.2004-2018.zip</v>
      </c>
    </row>
    <row r="3913" spans="1:10" x14ac:dyDescent="0.25">
      <c r="A3913" t="s">
        <v>2310</v>
      </c>
      <c r="B3913" t="s">
        <v>2425</v>
      </c>
      <c r="C3913" t="s">
        <v>2765</v>
      </c>
      <c r="D3913" s="1" t="s">
        <v>2766</v>
      </c>
      <c r="E3913" t="s">
        <v>14</v>
      </c>
      <c r="F3913">
        <v>62.333599999999997</v>
      </c>
      <c r="G3913">
        <v>21.190300000000001</v>
      </c>
      <c r="H3913">
        <v>2</v>
      </c>
      <c r="I3913">
        <v>5</v>
      </c>
      <c r="J3913" t="str">
        <f>HYPERLINK("https://climate.onebuilding.org/WMO_Region_6_Europe/FIN_Finland/OS_Ostrobothnia/FIN_OS_Kaskinen.Salgrund.029310_TMYx.2007-2021.zip")</f>
        <v>https://climate.onebuilding.org/WMO_Region_6_Europe/FIN_Finland/OS_Ostrobothnia/FIN_OS_Kaskinen.Salgrund.029310_TMYx.2007-2021.zip</v>
      </c>
    </row>
    <row r="3914" spans="1:10" x14ac:dyDescent="0.25">
      <c r="A3914" t="s">
        <v>2310</v>
      </c>
      <c r="B3914" t="s">
        <v>2425</v>
      </c>
      <c r="C3914" t="s">
        <v>2765</v>
      </c>
      <c r="D3914" s="1" t="s">
        <v>2766</v>
      </c>
      <c r="E3914" t="s">
        <v>14</v>
      </c>
      <c r="F3914">
        <v>62.333599999999997</v>
      </c>
      <c r="G3914">
        <v>21.190300000000001</v>
      </c>
      <c r="H3914">
        <v>2</v>
      </c>
      <c r="I3914">
        <v>5</v>
      </c>
      <c r="J3914" t="str">
        <f>HYPERLINK("https://climate.onebuilding.org/WMO_Region_6_Europe/FIN_Finland/OS_Ostrobothnia/FIN_OS_Kaskinen.Salgrund.029310_TMYx.2009-2023.zip")</f>
        <v>https://climate.onebuilding.org/WMO_Region_6_Europe/FIN_Finland/OS_Ostrobothnia/FIN_OS_Kaskinen.Salgrund.029310_TMYx.2009-2023.zip</v>
      </c>
    </row>
    <row r="3915" spans="1:10" x14ac:dyDescent="0.25">
      <c r="A3915" t="s">
        <v>2310</v>
      </c>
      <c r="B3915" t="s">
        <v>2425</v>
      </c>
      <c r="C3915" t="s">
        <v>2765</v>
      </c>
      <c r="D3915" s="1" t="s">
        <v>2766</v>
      </c>
      <c r="E3915" t="s">
        <v>14</v>
      </c>
      <c r="F3915">
        <v>62.333599999999997</v>
      </c>
      <c r="G3915">
        <v>21.190300000000001</v>
      </c>
      <c r="H3915">
        <v>2</v>
      </c>
      <c r="I3915">
        <v>5</v>
      </c>
      <c r="J3915" t="str">
        <f>HYPERLINK("https://climate.onebuilding.org/WMO_Region_6_Europe/FIN_Finland/OS_Ostrobothnia/FIN_OS_Kaskinen.Salgrund.029310_TMYx.zip")</f>
        <v>https://climate.onebuilding.org/WMO_Region_6_Europe/FIN_Finland/OS_Ostrobothnia/FIN_OS_Kaskinen.Salgrund.029310_TMYx.zip</v>
      </c>
    </row>
    <row r="3916" spans="1:10" x14ac:dyDescent="0.25">
      <c r="A3916" t="s">
        <v>2310</v>
      </c>
      <c r="B3916" t="s">
        <v>2459</v>
      </c>
      <c r="C3916" t="s">
        <v>2768</v>
      </c>
      <c r="D3916" s="1" t="s">
        <v>2769</v>
      </c>
      <c r="E3916" t="s">
        <v>2770</v>
      </c>
      <c r="F3916">
        <v>62.397500000000001</v>
      </c>
      <c r="G3916">
        <v>25.6708</v>
      </c>
      <c r="H3916">
        <v>2</v>
      </c>
      <c r="I3916">
        <v>139.9</v>
      </c>
      <c r="J3916" t="str">
        <f>HYPERLINK("https://climate.onebuilding.org/WMO_Region_6_Europe/FIN_Finland/CF_Central_Finland/FIN_CF_Jyvaskyla.AP.029350_TMYx.2004-2018.zip")</f>
        <v>https://climate.onebuilding.org/WMO_Region_6_Europe/FIN_Finland/CF_Central_Finland/FIN_CF_Jyvaskyla.AP.029350_TMYx.2004-2018.zip</v>
      </c>
    </row>
    <row r="3917" spans="1:10" x14ac:dyDescent="0.25">
      <c r="A3917" t="s">
        <v>2310</v>
      </c>
      <c r="B3917" t="s">
        <v>2459</v>
      </c>
      <c r="C3917" t="s">
        <v>2768</v>
      </c>
      <c r="D3917" s="1" t="s">
        <v>2769</v>
      </c>
      <c r="E3917" t="s">
        <v>14</v>
      </c>
      <c r="F3917">
        <v>62.397500000000001</v>
      </c>
      <c r="G3917">
        <v>25.6708</v>
      </c>
      <c r="H3917">
        <v>2</v>
      </c>
      <c r="I3917">
        <v>139.9</v>
      </c>
      <c r="J3917" t="str">
        <f>HYPERLINK("https://climate.onebuilding.org/WMO_Region_6_Europe/FIN_Finland/CF_Central_Finland/FIN_CF_Jyvaskyla.AP.029350_TMYx.2007-2021.zip")</f>
        <v>https://climate.onebuilding.org/WMO_Region_6_Europe/FIN_Finland/CF_Central_Finland/FIN_CF_Jyvaskyla.AP.029350_TMYx.2007-2021.zip</v>
      </c>
    </row>
    <row r="3918" spans="1:10" x14ac:dyDescent="0.25">
      <c r="A3918" t="s">
        <v>2310</v>
      </c>
      <c r="B3918" t="s">
        <v>2459</v>
      </c>
      <c r="C3918" t="s">
        <v>2768</v>
      </c>
      <c r="D3918" s="1" t="s">
        <v>2769</v>
      </c>
      <c r="E3918" t="s">
        <v>14</v>
      </c>
      <c r="F3918">
        <v>62.397500000000001</v>
      </c>
      <c r="G3918">
        <v>25.6708</v>
      </c>
      <c r="H3918">
        <v>2</v>
      </c>
      <c r="I3918">
        <v>139.9</v>
      </c>
      <c r="J3918" t="str">
        <f>HYPERLINK("https://climate.onebuilding.org/WMO_Region_6_Europe/FIN_Finland/CF_Central_Finland/FIN_CF_Jyvaskyla.AP.029350_TMYx.2009-2023.zip")</f>
        <v>https://climate.onebuilding.org/WMO_Region_6_Europe/FIN_Finland/CF_Central_Finland/FIN_CF_Jyvaskyla.AP.029350_TMYx.2009-2023.zip</v>
      </c>
    </row>
    <row r="3919" spans="1:10" x14ac:dyDescent="0.25">
      <c r="A3919" t="s">
        <v>2310</v>
      </c>
      <c r="B3919" t="s">
        <v>2459</v>
      </c>
      <c r="C3919" t="s">
        <v>2768</v>
      </c>
      <c r="D3919" s="1" t="s">
        <v>2769</v>
      </c>
      <c r="E3919" t="s">
        <v>14</v>
      </c>
      <c r="F3919">
        <v>62.397500000000001</v>
      </c>
      <c r="G3919">
        <v>25.6708</v>
      </c>
      <c r="H3919">
        <v>2</v>
      </c>
      <c r="I3919">
        <v>139.9</v>
      </c>
      <c r="J3919" t="str">
        <f>HYPERLINK("https://climate.onebuilding.org/WMO_Region_6_Europe/FIN_Finland/CF_Central_Finland/FIN_CF_Jyvaskyla.AP.029350_TMYx.zip")</f>
        <v>https://climate.onebuilding.org/WMO_Region_6_Europe/FIN_Finland/CF_Central_Finland/FIN_CF_Jyvaskyla.AP.029350_TMYx.zip</v>
      </c>
    </row>
    <row r="3920" spans="1:10" x14ac:dyDescent="0.25">
      <c r="A3920" t="s">
        <v>2310</v>
      </c>
      <c r="B3920" t="s">
        <v>2286</v>
      </c>
      <c r="C3920" t="s">
        <v>2771</v>
      </c>
      <c r="D3920" s="1" t="s">
        <v>2772</v>
      </c>
      <c r="E3920" t="s">
        <v>2773</v>
      </c>
      <c r="F3920">
        <v>61.253100000000003</v>
      </c>
      <c r="G3920">
        <v>22.3461</v>
      </c>
      <c r="H3920">
        <v>2</v>
      </c>
      <c r="I3920">
        <v>39</v>
      </c>
      <c r="J3920" t="str">
        <f>HYPERLINK("https://climate.onebuilding.org/WMO_Region_6_Europe/FIN_Finland/SA_Satakunta/FIN_SA_Kokemaki.Tulkkila.029370_TMYx.2004-2018.zip")</f>
        <v>https://climate.onebuilding.org/WMO_Region_6_Europe/FIN_Finland/SA_Satakunta/FIN_SA_Kokemaki.Tulkkila.029370_TMYx.2004-2018.zip</v>
      </c>
    </row>
    <row r="3921" spans="1:10" x14ac:dyDescent="0.25">
      <c r="A3921" t="s">
        <v>2310</v>
      </c>
      <c r="B3921" t="s">
        <v>2286</v>
      </c>
      <c r="C3921" t="s">
        <v>2771</v>
      </c>
      <c r="D3921" s="1" t="s">
        <v>2772</v>
      </c>
      <c r="E3921" t="s">
        <v>14</v>
      </c>
      <c r="F3921">
        <v>61.253100000000003</v>
      </c>
      <c r="G3921">
        <v>22.3461</v>
      </c>
      <c r="H3921">
        <v>2</v>
      </c>
      <c r="I3921">
        <v>39</v>
      </c>
      <c r="J3921" t="str">
        <f>HYPERLINK("https://climate.onebuilding.org/WMO_Region_6_Europe/FIN_Finland/SA_Satakunta/FIN_SA_Kokemaki.Tulkkila.029370_TMYx.2007-2021.zip")</f>
        <v>https://climate.onebuilding.org/WMO_Region_6_Europe/FIN_Finland/SA_Satakunta/FIN_SA_Kokemaki.Tulkkila.029370_TMYx.2007-2021.zip</v>
      </c>
    </row>
    <row r="3922" spans="1:10" x14ac:dyDescent="0.25">
      <c r="A3922" t="s">
        <v>2310</v>
      </c>
      <c r="B3922" t="s">
        <v>2286</v>
      </c>
      <c r="C3922" t="s">
        <v>2771</v>
      </c>
      <c r="D3922" s="1" t="s">
        <v>2772</v>
      </c>
      <c r="E3922" t="s">
        <v>14</v>
      </c>
      <c r="F3922">
        <v>61.253100000000003</v>
      </c>
      <c r="G3922">
        <v>22.3461</v>
      </c>
      <c r="H3922">
        <v>2</v>
      </c>
      <c r="I3922">
        <v>39</v>
      </c>
      <c r="J3922" t="str">
        <f>HYPERLINK("https://climate.onebuilding.org/WMO_Region_6_Europe/FIN_Finland/SA_Satakunta/FIN_SA_Kokemaki.Tulkkila.029370_TMYx.2009-2023.zip")</f>
        <v>https://climate.onebuilding.org/WMO_Region_6_Europe/FIN_Finland/SA_Satakunta/FIN_SA_Kokemaki.Tulkkila.029370_TMYx.2009-2023.zip</v>
      </c>
    </row>
    <row r="3923" spans="1:10" x14ac:dyDescent="0.25">
      <c r="A3923" t="s">
        <v>2310</v>
      </c>
      <c r="B3923" t="s">
        <v>2286</v>
      </c>
      <c r="C3923" t="s">
        <v>2771</v>
      </c>
      <c r="D3923" s="1" t="s">
        <v>2772</v>
      </c>
      <c r="E3923" t="s">
        <v>14</v>
      </c>
      <c r="F3923">
        <v>61.253100000000003</v>
      </c>
      <c r="G3923">
        <v>22.3461</v>
      </c>
      <c r="H3923">
        <v>2</v>
      </c>
      <c r="I3923">
        <v>39</v>
      </c>
      <c r="J3923" t="str">
        <f>HYPERLINK("https://climate.onebuilding.org/WMO_Region_6_Europe/FIN_Finland/SA_Satakunta/FIN_SA_Kokemaki.Tulkkila.029370_TMYx.zip")</f>
        <v>https://climate.onebuilding.org/WMO_Region_6_Europe/FIN_Finland/SA_Satakunta/FIN_SA_Kokemaki.Tulkkila.029370_TMYx.zip</v>
      </c>
    </row>
    <row r="3924" spans="1:10" x14ac:dyDescent="0.25">
      <c r="A3924" t="s">
        <v>2310</v>
      </c>
      <c r="B3924" t="s">
        <v>2463</v>
      </c>
      <c r="C3924" t="s">
        <v>2774</v>
      </c>
      <c r="D3924" s="1" t="s">
        <v>2775</v>
      </c>
      <c r="E3924" t="s">
        <v>2776</v>
      </c>
      <c r="F3924">
        <v>62.7697</v>
      </c>
      <c r="G3924">
        <v>30.975300000000001</v>
      </c>
      <c r="H3924">
        <v>2</v>
      </c>
      <c r="I3924">
        <v>156.5</v>
      </c>
      <c r="J3924" t="str">
        <f>HYPERLINK("https://climate.onebuilding.org/WMO_Region_6_Europe/FIN_Finland/NK_North_Karelia/FIN_NK_Ilomantsi.Mekrijarvi.029390_TMYx.2004-2018.zip")</f>
        <v>https://climate.onebuilding.org/WMO_Region_6_Europe/FIN_Finland/NK_North_Karelia/FIN_NK_Ilomantsi.Mekrijarvi.029390_TMYx.2004-2018.zip</v>
      </c>
    </row>
    <row r="3925" spans="1:10" x14ac:dyDescent="0.25">
      <c r="A3925" t="s">
        <v>2310</v>
      </c>
      <c r="B3925" t="s">
        <v>2463</v>
      </c>
      <c r="C3925" t="s">
        <v>2774</v>
      </c>
      <c r="D3925" s="1" t="s">
        <v>2775</v>
      </c>
      <c r="E3925" t="s">
        <v>14</v>
      </c>
      <c r="F3925">
        <v>62.7697</v>
      </c>
      <c r="G3925">
        <v>30.975300000000001</v>
      </c>
      <c r="H3925">
        <v>2</v>
      </c>
      <c r="I3925">
        <v>156.5</v>
      </c>
      <c r="J3925" t="str">
        <f>HYPERLINK("https://climate.onebuilding.org/WMO_Region_6_Europe/FIN_Finland/NK_North_Karelia/FIN_NK_Ilomantsi.Mekrijarvi.029390_TMYx.2007-2021.zip")</f>
        <v>https://climate.onebuilding.org/WMO_Region_6_Europe/FIN_Finland/NK_North_Karelia/FIN_NK_Ilomantsi.Mekrijarvi.029390_TMYx.2007-2021.zip</v>
      </c>
    </row>
    <row r="3926" spans="1:10" x14ac:dyDescent="0.25">
      <c r="A3926" t="s">
        <v>2310</v>
      </c>
      <c r="B3926" t="s">
        <v>2463</v>
      </c>
      <c r="C3926" t="s">
        <v>2774</v>
      </c>
      <c r="D3926" s="1" t="s">
        <v>2775</v>
      </c>
      <c r="E3926" t="s">
        <v>14</v>
      </c>
      <c r="F3926">
        <v>62.7697</v>
      </c>
      <c r="G3926">
        <v>30.975300000000001</v>
      </c>
      <c r="H3926">
        <v>2</v>
      </c>
      <c r="I3926">
        <v>156.5</v>
      </c>
      <c r="J3926" t="str">
        <f>HYPERLINK("https://climate.onebuilding.org/WMO_Region_6_Europe/FIN_Finland/NK_North_Karelia/FIN_NK_Ilomantsi.Mekrijarvi.029390_TMYx.2009-2023.zip")</f>
        <v>https://climate.onebuilding.org/WMO_Region_6_Europe/FIN_Finland/NK_North_Karelia/FIN_NK_Ilomantsi.Mekrijarvi.029390_TMYx.2009-2023.zip</v>
      </c>
    </row>
    <row r="3927" spans="1:10" x14ac:dyDescent="0.25">
      <c r="A3927" t="s">
        <v>2310</v>
      </c>
      <c r="B3927" t="s">
        <v>2463</v>
      </c>
      <c r="C3927" t="s">
        <v>2774</v>
      </c>
      <c r="D3927" s="1" t="s">
        <v>2775</v>
      </c>
      <c r="E3927" t="s">
        <v>14</v>
      </c>
      <c r="F3927">
        <v>62.7697</v>
      </c>
      <c r="G3927">
        <v>30.975300000000001</v>
      </c>
      <c r="H3927">
        <v>2</v>
      </c>
      <c r="I3927">
        <v>156.5</v>
      </c>
      <c r="J3927" t="str">
        <f>HYPERLINK("https://climate.onebuilding.org/WMO_Region_6_Europe/FIN_Finland/NK_North_Karelia/FIN_NK_Ilomantsi.Mekrijarvi.029390_TMYx.zip")</f>
        <v>https://climate.onebuilding.org/WMO_Region_6_Europe/FIN_Finland/NK_North_Karelia/FIN_NK_Ilomantsi.Mekrijarvi.029390_TMYx.zip</v>
      </c>
    </row>
    <row r="3928" spans="1:10" x14ac:dyDescent="0.25">
      <c r="A3928" t="s">
        <v>2310</v>
      </c>
      <c r="B3928" t="s">
        <v>2286</v>
      </c>
      <c r="C3928" t="s">
        <v>2777</v>
      </c>
      <c r="D3928" s="1" t="s">
        <v>2778</v>
      </c>
      <c r="E3928" t="s">
        <v>2779</v>
      </c>
      <c r="F3928">
        <v>61.8386</v>
      </c>
      <c r="G3928">
        <v>22.4633</v>
      </c>
      <c r="H3928">
        <v>2</v>
      </c>
      <c r="I3928">
        <v>124.8</v>
      </c>
      <c r="J3928" t="str">
        <f>HYPERLINK("https://climate.onebuilding.org/WMO_Region_6_Europe/FIN_Finland/SA_Satakunta/FIN_SA_Kankaanpaa.Niinisalo.Puolvoim.029420_TMYx.2004-2018.zip")</f>
        <v>https://climate.onebuilding.org/WMO_Region_6_Europe/FIN_Finland/SA_Satakunta/FIN_SA_Kankaanpaa.Niinisalo.Puolvoim.029420_TMYx.2004-2018.zip</v>
      </c>
    </row>
    <row r="3929" spans="1:10" x14ac:dyDescent="0.25">
      <c r="A3929" t="s">
        <v>2310</v>
      </c>
      <c r="B3929" t="s">
        <v>2286</v>
      </c>
      <c r="C3929" t="s">
        <v>2777</v>
      </c>
      <c r="D3929" s="1" t="s">
        <v>2778</v>
      </c>
      <c r="E3929" t="s">
        <v>14</v>
      </c>
      <c r="F3929">
        <v>61.8386</v>
      </c>
      <c r="G3929">
        <v>22.4633</v>
      </c>
      <c r="H3929">
        <v>2</v>
      </c>
      <c r="I3929">
        <v>124.8</v>
      </c>
      <c r="J3929" t="str">
        <f>HYPERLINK("https://climate.onebuilding.org/WMO_Region_6_Europe/FIN_Finland/SA_Satakunta/FIN_SA_Kankaanpaa.Niinisalo.Puolvoim.029420_TMYx.2007-2021.zip")</f>
        <v>https://climate.onebuilding.org/WMO_Region_6_Europe/FIN_Finland/SA_Satakunta/FIN_SA_Kankaanpaa.Niinisalo.Puolvoim.029420_TMYx.2007-2021.zip</v>
      </c>
    </row>
    <row r="3930" spans="1:10" x14ac:dyDescent="0.25">
      <c r="A3930" t="s">
        <v>2310</v>
      </c>
      <c r="B3930" t="s">
        <v>2286</v>
      </c>
      <c r="C3930" t="s">
        <v>2777</v>
      </c>
      <c r="D3930" s="1" t="s">
        <v>2778</v>
      </c>
      <c r="E3930" t="s">
        <v>14</v>
      </c>
      <c r="F3930">
        <v>61.8386</v>
      </c>
      <c r="G3930">
        <v>22.4633</v>
      </c>
      <c r="H3930">
        <v>2</v>
      </c>
      <c r="I3930">
        <v>124.8</v>
      </c>
      <c r="J3930" t="str">
        <f>HYPERLINK("https://climate.onebuilding.org/WMO_Region_6_Europe/FIN_Finland/SA_Satakunta/FIN_SA_Kankaanpaa.Niinisalo.Puolvoim.029420_TMYx.2009-2023.zip")</f>
        <v>https://climate.onebuilding.org/WMO_Region_6_Europe/FIN_Finland/SA_Satakunta/FIN_SA_Kankaanpaa.Niinisalo.Puolvoim.029420_TMYx.2009-2023.zip</v>
      </c>
    </row>
    <row r="3931" spans="1:10" x14ac:dyDescent="0.25">
      <c r="A3931" t="s">
        <v>2310</v>
      </c>
      <c r="B3931" t="s">
        <v>2286</v>
      </c>
      <c r="C3931" t="s">
        <v>2777</v>
      </c>
      <c r="D3931" s="1" t="s">
        <v>2778</v>
      </c>
      <c r="E3931" t="s">
        <v>14</v>
      </c>
      <c r="F3931">
        <v>61.8386</v>
      </c>
      <c r="G3931">
        <v>22.4633</v>
      </c>
      <c r="H3931">
        <v>2</v>
      </c>
      <c r="I3931">
        <v>124.8</v>
      </c>
      <c r="J3931" t="str">
        <f>HYPERLINK("https://climate.onebuilding.org/WMO_Region_6_Europe/FIN_Finland/SA_Satakunta/FIN_SA_Kankaanpaa.Niinisalo.Puolvoim.029420_TMYx.zip")</f>
        <v>https://climate.onebuilding.org/WMO_Region_6_Europe/FIN_Finland/SA_Satakunta/FIN_SA_Kankaanpaa.Niinisalo.Puolvoim.029420_TMYx.zip</v>
      </c>
    </row>
    <row r="3932" spans="1:10" x14ac:dyDescent="0.25">
      <c r="A3932" t="s">
        <v>2310</v>
      </c>
      <c r="B3932" t="s">
        <v>155</v>
      </c>
      <c r="C3932" t="s">
        <v>2780</v>
      </c>
      <c r="D3932" s="1" t="s">
        <v>2781</v>
      </c>
      <c r="E3932" t="s">
        <v>2782</v>
      </c>
      <c r="F3932">
        <v>61.517499999999998</v>
      </c>
      <c r="G3932">
        <v>23.753599999999999</v>
      </c>
      <c r="H3932">
        <v>2</v>
      </c>
      <c r="I3932">
        <v>98</v>
      </c>
      <c r="J3932" t="str">
        <f>HYPERLINK("https://climate.onebuilding.org/WMO_Region_6_Europe/FIN_Finland/TR_Tampere_Region/FIN_TR_Tampere.Siilinkari.029430_TMYx.2004-2018.zip")</f>
        <v>https://climate.onebuilding.org/WMO_Region_6_Europe/FIN_Finland/TR_Tampere_Region/FIN_TR_Tampere.Siilinkari.029430_TMYx.2004-2018.zip</v>
      </c>
    </row>
    <row r="3933" spans="1:10" x14ac:dyDescent="0.25">
      <c r="A3933" t="s">
        <v>2310</v>
      </c>
      <c r="B3933" t="s">
        <v>155</v>
      </c>
      <c r="C3933" t="s">
        <v>2780</v>
      </c>
      <c r="D3933" s="1" t="s">
        <v>2781</v>
      </c>
      <c r="E3933" t="s">
        <v>14</v>
      </c>
      <c r="F3933">
        <v>61.517499999999998</v>
      </c>
      <c r="G3933">
        <v>23.753599999999999</v>
      </c>
      <c r="H3933">
        <v>2</v>
      </c>
      <c r="I3933">
        <v>98</v>
      </c>
      <c r="J3933" t="str">
        <f>HYPERLINK("https://climate.onebuilding.org/WMO_Region_6_Europe/FIN_Finland/TR_Tampere_Region/FIN_TR_Tampere.Siilinkari.029430_TMYx.2007-2021.zip")</f>
        <v>https://climate.onebuilding.org/WMO_Region_6_Europe/FIN_Finland/TR_Tampere_Region/FIN_TR_Tampere.Siilinkari.029430_TMYx.2007-2021.zip</v>
      </c>
    </row>
    <row r="3934" spans="1:10" x14ac:dyDescent="0.25">
      <c r="A3934" t="s">
        <v>2310</v>
      </c>
      <c r="B3934" t="s">
        <v>155</v>
      </c>
      <c r="C3934" t="s">
        <v>2780</v>
      </c>
      <c r="D3934" s="1" t="s">
        <v>2781</v>
      </c>
      <c r="E3934" t="s">
        <v>14</v>
      </c>
      <c r="F3934">
        <v>61.517499999999998</v>
      </c>
      <c r="G3934">
        <v>23.753599999999999</v>
      </c>
      <c r="H3934">
        <v>2</v>
      </c>
      <c r="I3934">
        <v>98</v>
      </c>
      <c r="J3934" t="str">
        <f>HYPERLINK("https://climate.onebuilding.org/WMO_Region_6_Europe/FIN_Finland/TR_Tampere_Region/FIN_TR_Tampere.Siilinkari.029430_TMYx.2009-2023.zip")</f>
        <v>https://climate.onebuilding.org/WMO_Region_6_Europe/FIN_Finland/TR_Tampere_Region/FIN_TR_Tampere.Siilinkari.029430_TMYx.2009-2023.zip</v>
      </c>
    </row>
    <row r="3935" spans="1:10" x14ac:dyDescent="0.25">
      <c r="A3935" t="s">
        <v>2310</v>
      </c>
      <c r="B3935" t="s">
        <v>155</v>
      </c>
      <c r="C3935" t="s">
        <v>2780</v>
      </c>
      <c r="D3935" s="1" t="s">
        <v>2781</v>
      </c>
      <c r="E3935" t="s">
        <v>14</v>
      </c>
      <c r="F3935">
        <v>61.517499999999998</v>
      </c>
      <c r="G3935">
        <v>23.753599999999999</v>
      </c>
      <c r="H3935">
        <v>2</v>
      </c>
      <c r="I3935">
        <v>98</v>
      </c>
      <c r="J3935" t="str">
        <f>HYPERLINK("https://climate.onebuilding.org/WMO_Region_6_Europe/FIN_Finland/TR_Tampere_Region/FIN_TR_Tampere.Siilinkari.029430_TMYx.zip")</f>
        <v>https://climate.onebuilding.org/WMO_Region_6_Europe/FIN_Finland/TR_Tampere_Region/FIN_TR_Tampere.Siilinkari.029430_TMYx.zip</v>
      </c>
    </row>
    <row r="3936" spans="1:10" x14ac:dyDescent="0.25">
      <c r="A3936" t="s">
        <v>2310</v>
      </c>
      <c r="B3936" t="s">
        <v>155</v>
      </c>
      <c r="C3936" t="s">
        <v>2783</v>
      </c>
      <c r="D3936" s="1" t="s">
        <v>2784</v>
      </c>
      <c r="E3936" t="s">
        <v>2785</v>
      </c>
      <c r="F3936">
        <v>61.420299999999997</v>
      </c>
      <c r="G3936">
        <v>23.6175</v>
      </c>
      <c r="H3936">
        <v>2</v>
      </c>
      <c r="I3936">
        <v>118.9</v>
      </c>
      <c r="J3936" t="str">
        <f>HYPERLINK("https://climate.onebuilding.org/WMO_Region_6_Europe/FIN_Finland/TR_Tampere_Region/FIN_TR_Tampere.Pirkkala.AP.029440_TMYx.2004-2018.zip")</f>
        <v>https://climate.onebuilding.org/WMO_Region_6_Europe/FIN_Finland/TR_Tampere_Region/FIN_TR_Tampere.Pirkkala.AP.029440_TMYx.2004-2018.zip</v>
      </c>
    </row>
    <row r="3937" spans="1:10" x14ac:dyDescent="0.25">
      <c r="A3937" t="s">
        <v>2310</v>
      </c>
      <c r="B3937" t="s">
        <v>155</v>
      </c>
      <c r="C3937" t="s">
        <v>2783</v>
      </c>
      <c r="D3937" s="1" t="s">
        <v>2784</v>
      </c>
      <c r="E3937" t="s">
        <v>14</v>
      </c>
      <c r="F3937">
        <v>61.420299999999997</v>
      </c>
      <c r="G3937">
        <v>23.6175</v>
      </c>
      <c r="H3937">
        <v>2</v>
      </c>
      <c r="I3937">
        <v>118.9</v>
      </c>
      <c r="J3937" t="str">
        <f>HYPERLINK("https://climate.onebuilding.org/WMO_Region_6_Europe/FIN_Finland/TR_Tampere_Region/FIN_TR_Tampere.Pirkkala.AP.029440_TMYx.2007-2021.zip")</f>
        <v>https://climate.onebuilding.org/WMO_Region_6_Europe/FIN_Finland/TR_Tampere_Region/FIN_TR_Tampere.Pirkkala.AP.029440_TMYx.2007-2021.zip</v>
      </c>
    </row>
    <row r="3938" spans="1:10" x14ac:dyDescent="0.25">
      <c r="A3938" t="s">
        <v>2310</v>
      </c>
      <c r="B3938" t="s">
        <v>155</v>
      </c>
      <c r="C3938" t="s">
        <v>2783</v>
      </c>
      <c r="D3938" s="1" t="s">
        <v>2784</v>
      </c>
      <c r="E3938" t="s">
        <v>14</v>
      </c>
      <c r="F3938">
        <v>61.420299999999997</v>
      </c>
      <c r="G3938">
        <v>23.6175</v>
      </c>
      <c r="H3938">
        <v>2</v>
      </c>
      <c r="I3938">
        <v>118.9</v>
      </c>
      <c r="J3938" t="str">
        <f>HYPERLINK("https://climate.onebuilding.org/WMO_Region_6_Europe/FIN_Finland/TR_Tampere_Region/FIN_TR_Tampere.Pirkkala.AP.029440_TMYx.2009-2023.zip")</f>
        <v>https://climate.onebuilding.org/WMO_Region_6_Europe/FIN_Finland/TR_Tampere_Region/FIN_TR_Tampere.Pirkkala.AP.029440_TMYx.2009-2023.zip</v>
      </c>
    </row>
    <row r="3939" spans="1:10" x14ac:dyDescent="0.25">
      <c r="A3939" t="s">
        <v>2310</v>
      </c>
      <c r="B3939" t="s">
        <v>155</v>
      </c>
      <c r="C3939" t="s">
        <v>2783</v>
      </c>
      <c r="D3939" s="1" t="s">
        <v>2784</v>
      </c>
      <c r="E3939" t="s">
        <v>14</v>
      </c>
      <c r="F3939">
        <v>61.420299999999997</v>
      </c>
      <c r="G3939">
        <v>23.6175</v>
      </c>
      <c r="H3939">
        <v>2</v>
      </c>
      <c r="I3939">
        <v>118.9</v>
      </c>
      <c r="J3939" t="str">
        <f>HYPERLINK("https://climate.onebuilding.org/WMO_Region_6_Europe/FIN_Finland/TR_Tampere_Region/FIN_TR_Tampere.Pirkkala.AP.029440_TMYx.zip")</f>
        <v>https://climate.onebuilding.org/WMO_Region_6_Europe/FIN_Finland/TR_Tampere_Region/FIN_TR_Tampere.Pirkkala.AP.029440_TMYx.zip</v>
      </c>
    </row>
    <row r="3940" spans="1:10" x14ac:dyDescent="0.25">
      <c r="A3940" t="s">
        <v>2310</v>
      </c>
      <c r="B3940" t="s">
        <v>2459</v>
      </c>
      <c r="C3940" t="s">
        <v>2786</v>
      </c>
      <c r="D3940" s="1" t="s">
        <v>2787</v>
      </c>
      <c r="E3940" t="s">
        <v>2788</v>
      </c>
      <c r="F3940">
        <v>61.8553</v>
      </c>
      <c r="G3940">
        <v>24.8047</v>
      </c>
      <c r="H3940">
        <v>2</v>
      </c>
      <c r="I3940">
        <v>146</v>
      </c>
      <c r="J3940" t="str">
        <f>HYPERLINK("https://climate.onebuilding.org/WMO_Region_6_Europe/FIN_Finland/CF_Central_Finland/FIN_CF_Jamsa-Halli.AB.029450_TMYx.2004-2018.zip")</f>
        <v>https://climate.onebuilding.org/WMO_Region_6_Europe/FIN_Finland/CF_Central_Finland/FIN_CF_Jamsa-Halli.AB.029450_TMYx.2004-2018.zip</v>
      </c>
    </row>
    <row r="3941" spans="1:10" x14ac:dyDescent="0.25">
      <c r="A3941" t="s">
        <v>2310</v>
      </c>
      <c r="B3941" t="s">
        <v>2459</v>
      </c>
      <c r="C3941" t="s">
        <v>2786</v>
      </c>
      <c r="D3941" s="1" t="s">
        <v>2787</v>
      </c>
      <c r="E3941" t="s">
        <v>14</v>
      </c>
      <c r="F3941">
        <v>61.8553</v>
      </c>
      <c r="G3941">
        <v>24.8047</v>
      </c>
      <c r="H3941">
        <v>2</v>
      </c>
      <c r="I3941">
        <v>146</v>
      </c>
      <c r="J3941" t="str">
        <f>HYPERLINK("https://climate.onebuilding.org/WMO_Region_6_Europe/FIN_Finland/CF_Central_Finland/FIN_CF_Jamsa-Halli.AB.029450_TMYx.2007-2021.zip")</f>
        <v>https://climate.onebuilding.org/WMO_Region_6_Europe/FIN_Finland/CF_Central_Finland/FIN_CF_Jamsa-Halli.AB.029450_TMYx.2007-2021.zip</v>
      </c>
    </row>
    <row r="3942" spans="1:10" x14ac:dyDescent="0.25">
      <c r="A3942" t="s">
        <v>2310</v>
      </c>
      <c r="B3942" t="s">
        <v>2459</v>
      </c>
      <c r="C3942" t="s">
        <v>2786</v>
      </c>
      <c r="D3942" s="1" t="s">
        <v>2787</v>
      </c>
      <c r="E3942" t="s">
        <v>14</v>
      </c>
      <c r="F3942">
        <v>61.8553</v>
      </c>
      <c r="G3942">
        <v>24.8047</v>
      </c>
      <c r="H3942">
        <v>2</v>
      </c>
      <c r="I3942">
        <v>146</v>
      </c>
      <c r="J3942" t="str">
        <f>HYPERLINK("https://climate.onebuilding.org/WMO_Region_6_Europe/FIN_Finland/CF_Central_Finland/FIN_CF_Jamsa-Halli.AB.029450_TMYx.2009-2023.zip")</f>
        <v>https://climate.onebuilding.org/WMO_Region_6_Europe/FIN_Finland/CF_Central_Finland/FIN_CF_Jamsa-Halli.AB.029450_TMYx.2009-2023.zip</v>
      </c>
    </row>
    <row r="3943" spans="1:10" x14ac:dyDescent="0.25">
      <c r="A3943" t="s">
        <v>2310</v>
      </c>
      <c r="B3943" t="s">
        <v>2459</v>
      </c>
      <c r="C3943" t="s">
        <v>2786</v>
      </c>
      <c r="D3943" s="1" t="s">
        <v>2787</v>
      </c>
      <c r="E3943" t="s">
        <v>14</v>
      </c>
      <c r="F3943">
        <v>61.8553</v>
      </c>
      <c r="G3943">
        <v>24.8047</v>
      </c>
      <c r="H3943">
        <v>2</v>
      </c>
      <c r="I3943">
        <v>146</v>
      </c>
      <c r="J3943" t="str">
        <f>HYPERLINK("https://climate.onebuilding.org/WMO_Region_6_Europe/FIN_Finland/CF_Central_Finland/FIN_CF_Jamsa-Halli.AB.029450_TMYx.zip")</f>
        <v>https://climate.onebuilding.org/WMO_Region_6_Europe/FIN_Finland/CF_Central_Finland/FIN_CF_Jamsa-Halli.AB.029450_TMYx.zip</v>
      </c>
    </row>
    <row r="3944" spans="1:10" x14ac:dyDescent="0.25">
      <c r="A3944" t="s">
        <v>2310</v>
      </c>
      <c r="B3944" t="s">
        <v>2459</v>
      </c>
      <c r="C3944" t="s">
        <v>2789</v>
      </c>
      <c r="D3944" s="1" t="s">
        <v>2790</v>
      </c>
      <c r="E3944" t="s">
        <v>2791</v>
      </c>
      <c r="F3944">
        <v>61.861499999999999</v>
      </c>
      <c r="G3944">
        <v>24.818999999999999</v>
      </c>
      <c r="H3944">
        <v>2</v>
      </c>
      <c r="I3944">
        <v>126</v>
      </c>
      <c r="J3944" t="str">
        <f>HYPERLINK("https://climate.onebuilding.org/WMO_Region_6_Europe/FIN_Finland/CF_Central_Finland/FIN_CF_Jamsa.Halli.Lentoasemantie.029460_TMYx.2004-2018.zip")</f>
        <v>https://climate.onebuilding.org/WMO_Region_6_Europe/FIN_Finland/CF_Central_Finland/FIN_CF_Jamsa.Halli.Lentoasemantie.029460_TMYx.2004-2018.zip</v>
      </c>
    </row>
    <row r="3945" spans="1:10" x14ac:dyDescent="0.25">
      <c r="A3945" t="s">
        <v>2310</v>
      </c>
      <c r="B3945" t="s">
        <v>2459</v>
      </c>
      <c r="C3945" t="s">
        <v>2789</v>
      </c>
      <c r="D3945" s="1" t="s">
        <v>2790</v>
      </c>
      <c r="E3945" t="s">
        <v>14</v>
      </c>
      <c r="F3945">
        <v>61.861499999999999</v>
      </c>
      <c r="G3945">
        <v>24.818999999999999</v>
      </c>
      <c r="H3945">
        <v>2</v>
      </c>
      <c r="I3945">
        <v>126</v>
      </c>
      <c r="J3945" t="str">
        <f>HYPERLINK("https://climate.onebuilding.org/WMO_Region_6_Europe/FIN_Finland/CF_Central_Finland/FIN_CF_Jamsa.Halli.Lentoasemantie.029460_TMYx.2007-2021.zip")</f>
        <v>https://climate.onebuilding.org/WMO_Region_6_Europe/FIN_Finland/CF_Central_Finland/FIN_CF_Jamsa.Halli.Lentoasemantie.029460_TMYx.2007-2021.zip</v>
      </c>
    </row>
    <row r="3946" spans="1:10" x14ac:dyDescent="0.25">
      <c r="A3946" t="s">
        <v>2310</v>
      </c>
      <c r="B3946" t="s">
        <v>2459</v>
      </c>
      <c r="C3946" t="s">
        <v>2789</v>
      </c>
      <c r="D3946" s="1" t="s">
        <v>2790</v>
      </c>
      <c r="E3946" t="s">
        <v>14</v>
      </c>
      <c r="F3946">
        <v>61.861499999999999</v>
      </c>
      <c r="G3946">
        <v>24.818999999999999</v>
      </c>
      <c r="H3946">
        <v>2</v>
      </c>
      <c r="I3946">
        <v>126</v>
      </c>
      <c r="J3946" t="str">
        <f>HYPERLINK("https://climate.onebuilding.org/WMO_Region_6_Europe/FIN_Finland/CF_Central_Finland/FIN_CF_Jamsa.Halli.Lentoasemantie.029460_TMYx.2009-2023.zip")</f>
        <v>https://climate.onebuilding.org/WMO_Region_6_Europe/FIN_Finland/CF_Central_Finland/FIN_CF_Jamsa.Halli.Lentoasemantie.029460_TMYx.2009-2023.zip</v>
      </c>
    </row>
    <row r="3947" spans="1:10" x14ac:dyDescent="0.25">
      <c r="A3947" t="s">
        <v>2310</v>
      </c>
      <c r="B3947" t="s">
        <v>2459</v>
      </c>
      <c r="C3947" t="s">
        <v>2789</v>
      </c>
      <c r="D3947" s="1" t="s">
        <v>2790</v>
      </c>
      <c r="E3947" t="s">
        <v>14</v>
      </c>
      <c r="F3947">
        <v>61.861499999999999</v>
      </c>
      <c r="G3947">
        <v>24.818999999999999</v>
      </c>
      <c r="H3947">
        <v>2</v>
      </c>
      <c r="I3947">
        <v>126</v>
      </c>
      <c r="J3947" t="str">
        <f>HYPERLINK("https://climate.onebuilding.org/WMO_Region_6_Europe/FIN_Finland/CF_Central_Finland/FIN_CF_Jamsa.Halli.Lentoasemantie.029460_TMYx.zip")</f>
        <v>https://climate.onebuilding.org/WMO_Region_6_Europe/FIN_Finland/CF_Central_Finland/FIN_CF_Jamsa.Halli.Lentoasemantie.029460_TMYx.zip</v>
      </c>
    </row>
    <row r="3948" spans="1:10" x14ac:dyDescent="0.25">
      <c r="A3948" t="s">
        <v>2310</v>
      </c>
      <c r="B3948" t="s">
        <v>2347</v>
      </c>
      <c r="C3948" t="s">
        <v>2792</v>
      </c>
      <c r="D3948" s="1" t="s">
        <v>2793</v>
      </c>
      <c r="E3948" t="s">
        <v>2794</v>
      </c>
      <c r="F3948">
        <v>61.688600000000001</v>
      </c>
      <c r="G3948">
        <v>27.202200000000001</v>
      </c>
      <c r="H3948">
        <v>2</v>
      </c>
      <c r="I3948">
        <v>100.3</v>
      </c>
      <c r="J3948" t="str">
        <f>HYPERLINK("https://climate.onebuilding.org/WMO_Region_6_Europe/FIN_Finland/SS_South_Savo/FIN_SS_Mikkeli.AP.029470_TMYx.2004-2018.zip")</f>
        <v>https://climate.onebuilding.org/WMO_Region_6_Europe/FIN_Finland/SS_South_Savo/FIN_SS_Mikkeli.AP.029470_TMYx.2004-2018.zip</v>
      </c>
    </row>
    <row r="3949" spans="1:10" x14ac:dyDescent="0.25">
      <c r="A3949" t="s">
        <v>2310</v>
      </c>
      <c r="B3949" t="s">
        <v>2347</v>
      </c>
      <c r="C3949" t="s">
        <v>2792</v>
      </c>
      <c r="D3949" s="1" t="s">
        <v>2793</v>
      </c>
      <c r="E3949" t="s">
        <v>14</v>
      </c>
      <c r="F3949">
        <v>61.688600000000001</v>
      </c>
      <c r="G3949">
        <v>27.202200000000001</v>
      </c>
      <c r="H3949">
        <v>2</v>
      </c>
      <c r="I3949">
        <v>100.3</v>
      </c>
      <c r="J3949" t="str">
        <f>HYPERLINK("https://climate.onebuilding.org/WMO_Region_6_Europe/FIN_Finland/SS_South_Savo/FIN_SS_Mikkeli.AP.029470_TMYx.2007-2021.zip")</f>
        <v>https://climate.onebuilding.org/WMO_Region_6_Europe/FIN_Finland/SS_South_Savo/FIN_SS_Mikkeli.AP.029470_TMYx.2007-2021.zip</v>
      </c>
    </row>
    <row r="3950" spans="1:10" x14ac:dyDescent="0.25">
      <c r="A3950" t="s">
        <v>2310</v>
      </c>
      <c r="B3950" t="s">
        <v>2347</v>
      </c>
      <c r="C3950" t="s">
        <v>2792</v>
      </c>
      <c r="D3950" s="1" t="s">
        <v>2793</v>
      </c>
      <c r="E3950" t="s">
        <v>14</v>
      </c>
      <c r="F3950">
        <v>61.688600000000001</v>
      </c>
      <c r="G3950">
        <v>27.202200000000001</v>
      </c>
      <c r="H3950">
        <v>2</v>
      </c>
      <c r="I3950">
        <v>100.3</v>
      </c>
      <c r="J3950" t="str">
        <f>HYPERLINK("https://climate.onebuilding.org/WMO_Region_6_Europe/FIN_Finland/SS_South_Savo/FIN_SS_Mikkeli.AP.029470_TMYx.2009-2023.zip")</f>
        <v>https://climate.onebuilding.org/WMO_Region_6_Europe/FIN_Finland/SS_South_Savo/FIN_SS_Mikkeli.AP.029470_TMYx.2009-2023.zip</v>
      </c>
    </row>
    <row r="3951" spans="1:10" x14ac:dyDescent="0.25">
      <c r="A3951" t="s">
        <v>2310</v>
      </c>
      <c r="B3951" t="s">
        <v>2347</v>
      </c>
      <c r="C3951" t="s">
        <v>2792</v>
      </c>
      <c r="D3951" s="1" t="s">
        <v>2793</v>
      </c>
      <c r="E3951" t="s">
        <v>14</v>
      </c>
      <c r="F3951">
        <v>61.688600000000001</v>
      </c>
      <c r="G3951">
        <v>27.202200000000001</v>
      </c>
      <c r="H3951">
        <v>2</v>
      </c>
      <c r="I3951">
        <v>100.3</v>
      </c>
      <c r="J3951" t="str">
        <f>HYPERLINK("https://climate.onebuilding.org/WMO_Region_6_Europe/FIN_Finland/SS_South_Savo/FIN_SS_Mikkeli.AP.029470_TMYx.zip")</f>
        <v>https://climate.onebuilding.org/WMO_Region_6_Europe/FIN_Finland/SS_South_Savo/FIN_SS_Mikkeli.AP.029470_TMYx.zip</v>
      </c>
    </row>
    <row r="3952" spans="1:10" x14ac:dyDescent="0.25">
      <c r="A3952" t="s">
        <v>2310</v>
      </c>
      <c r="B3952" t="s">
        <v>2347</v>
      </c>
      <c r="C3952" t="s">
        <v>2795</v>
      </c>
      <c r="D3952" s="1" t="s">
        <v>2796</v>
      </c>
      <c r="E3952" t="s">
        <v>2797</v>
      </c>
      <c r="F3952">
        <v>61.946399999999997</v>
      </c>
      <c r="G3952">
        <v>28.931699999999999</v>
      </c>
      <c r="H3952">
        <v>2</v>
      </c>
      <c r="I3952">
        <v>94.8</v>
      </c>
      <c r="J3952" t="str">
        <f>HYPERLINK("https://climate.onebuilding.org/WMO_Region_6_Europe/FIN_Finland/SS_South_Savo/FIN_SS_Savonlinna.AP.029480_TMYx.2004-2018.zip")</f>
        <v>https://climate.onebuilding.org/WMO_Region_6_Europe/FIN_Finland/SS_South_Savo/FIN_SS_Savonlinna.AP.029480_TMYx.2004-2018.zip</v>
      </c>
    </row>
    <row r="3953" spans="1:10" x14ac:dyDescent="0.25">
      <c r="A3953" t="s">
        <v>2310</v>
      </c>
      <c r="B3953" t="s">
        <v>2347</v>
      </c>
      <c r="C3953" t="s">
        <v>2795</v>
      </c>
      <c r="D3953" s="1" t="s">
        <v>2796</v>
      </c>
      <c r="E3953" t="s">
        <v>14</v>
      </c>
      <c r="F3953">
        <v>61.946399999999997</v>
      </c>
      <c r="G3953">
        <v>28.931699999999999</v>
      </c>
      <c r="H3953">
        <v>2</v>
      </c>
      <c r="I3953">
        <v>94.8</v>
      </c>
      <c r="J3953" t="str">
        <f>HYPERLINK("https://climate.onebuilding.org/WMO_Region_6_Europe/FIN_Finland/SS_South_Savo/FIN_SS_Savonlinna.AP.029480_TMYx.2007-2021.zip")</f>
        <v>https://climate.onebuilding.org/WMO_Region_6_Europe/FIN_Finland/SS_South_Savo/FIN_SS_Savonlinna.AP.029480_TMYx.2007-2021.zip</v>
      </c>
    </row>
    <row r="3954" spans="1:10" x14ac:dyDescent="0.25">
      <c r="A3954" t="s">
        <v>2310</v>
      </c>
      <c r="B3954" t="s">
        <v>2347</v>
      </c>
      <c r="C3954" t="s">
        <v>2795</v>
      </c>
      <c r="D3954" s="1" t="s">
        <v>2796</v>
      </c>
      <c r="E3954" t="s">
        <v>14</v>
      </c>
      <c r="F3954">
        <v>61.946399999999997</v>
      </c>
      <c r="G3954">
        <v>28.931699999999999</v>
      </c>
      <c r="H3954">
        <v>2</v>
      </c>
      <c r="I3954">
        <v>94.8</v>
      </c>
      <c r="J3954" t="str">
        <f>HYPERLINK("https://climate.onebuilding.org/WMO_Region_6_Europe/FIN_Finland/SS_South_Savo/FIN_SS_Savonlinna.AP.029480_TMYx.2009-2023.zip")</f>
        <v>https://climate.onebuilding.org/WMO_Region_6_Europe/FIN_Finland/SS_South_Savo/FIN_SS_Savonlinna.AP.029480_TMYx.2009-2023.zip</v>
      </c>
    </row>
    <row r="3955" spans="1:10" x14ac:dyDescent="0.25">
      <c r="A3955" t="s">
        <v>2310</v>
      </c>
      <c r="B3955" t="s">
        <v>2347</v>
      </c>
      <c r="C3955" t="s">
        <v>2795</v>
      </c>
      <c r="D3955" s="1" t="s">
        <v>2796</v>
      </c>
      <c r="E3955" t="s">
        <v>14</v>
      </c>
      <c r="F3955">
        <v>61.946399999999997</v>
      </c>
      <c r="G3955">
        <v>28.931699999999999</v>
      </c>
      <c r="H3955">
        <v>2</v>
      </c>
      <c r="I3955">
        <v>94.8</v>
      </c>
      <c r="J3955" t="str">
        <f>HYPERLINK("https://climate.onebuilding.org/WMO_Region_6_Europe/FIN_Finland/SS_South_Savo/FIN_SS_Savonlinna.AP.029480_TMYx.zip")</f>
        <v>https://climate.onebuilding.org/WMO_Region_6_Europe/FIN_Finland/SS_South_Savo/FIN_SS_Savonlinna.AP.029480_TMYx.zip</v>
      </c>
    </row>
    <row r="3956" spans="1:10" x14ac:dyDescent="0.25">
      <c r="A3956" t="s">
        <v>2310</v>
      </c>
      <c r="B3956" t="s">
        <v>527</v>
      </c>
      <c r="C3956" t="s">
        <v>2798</v>
      </c>
      <c r="D3956" s="1" t="s">
        <v>2799</v>
      </c>
      <c r="E3956" t="s">
        <v>2800</v>
      </c>
      <c r="F3956">
        <v>60.646700000000003</v>
      </c>
      <c r="G3956">
        <v>23.805800000000001</v>
      </c>
      <c r="H3956">
        <v>2</v>
      </c>
      <c r="I3956">
        <v>143</v>
      </c>
      <c r="J3956" t="str">
        <f>HYPERLINK("https://climate.onebuilding.org/WMO_Region_6_Europe/FIN_Finland/SF_Southwest_Finland/FIN_SF_Somero.Salkola.029490_TMYx.2004-2018.zip")</f>
        <v>https://climate.onebuilding.org/WMO_Region_6_Europe/FIN_Finland/SF_Southwest_Finland/FIN_SF_Somero.Salkola.029490_TMYx.2004-2018.zip</v>
      </c>
    </row>
    <row r="3957" spans="1:10" x14ac:dyDescent="0.25">
      <c r="A3957" t="s">
        <v>2310</v>
      </c>
      <c r="B3957" t="s">
        <v>527</v>
      </c>
      <c r="C3957" t="s">
        <v>2798</v>
      </c>
      <c r="D3957" s="1" t="s">
        <v>2799</v>
      </c>
      <c r="E3957" t="s">
        <v>14</v>
      </c>
      <c r="F3957">
        <v>60.646700000000003</v>
      </c>
      <c r="G3957">
        <v>23.805800000000001</v>
      </c>
      <c r="H3957">
        <v>2</v>
      </c>
      <c r="I3957">
        <v>143</v>
      </c>
      <c r="J3957" t="str">
        <f>HYPERLINK("https://climate.onebuilding.org/WMO_Region_6_Europe/FIN_Finland/SF_Southwest_Finland/FIN_SF_Somero.Salkola.029490_TMYx.2007-2021.zip")</f>
        <v>https://climate.onebuilding.org/WMO_Region_6_Europe/FIN_Finland/SF_Southwest_Finland/FIN_SF_Somero.Salkola.029490_TMYx.2007-2021.zip</v>
      </c>
    </row>
    <row r="3958" spans="1:10" x14ac:dyDescent="0.25">
      <c r="A3958" t="s">
        <v>2310</v>
      </c>
      <c r="B3958" t="s">
        <v>527</v>
      </c>
      <c r="C3958" t="s">
        <v>2798</v>
      </c>
      <c r="D3958" s="1" t="s">
        <v>2799</v>
      </c>
      <c r="E3958" t="s">
        <v>14</v>
      </c>
      <c r="F3958">
        <v>60.646700000000003</v>
      </c>
      <c r="G3958">
        <v>23.805800000000001</v>
      </c>
      <c r="H3958">
        <v>2</v>
      </c>
      <c r="I3958">
        <v>143</v>
      </c>
      <c r="J3958" t="str">
        <f>HYPERLINK("https://climate.onebuilding.org/WMO_Region_6_Europe/FIN_Finland/SF_Southwest_Finland/FIN_SF_Somero.Salkola.029490_TMYx.2009-2023.zip")</f>
        <v>https://climate.onebuilding.org/WMO_Region_6_Europe/FIN_Finland/SF_Southwest_Finland/FIN_SF_Somero.Salkola.029490_TMYx.2009-2023.zip</v>
      </c>
    </row>
    <row r="3959" spans="1:10" x14ac:dyDescent="0.25">
      <c r="A3959" t="s">
        <v>2310</v>
      </c>
      <c r="B3959" t="s">
        <v>527</v>
      </c>
      <c r="C3959" t="s">
        <v>2798</v>
      </c>
      <c r="D3959" s="1" t="s">
        <v>2799</v>
      </c>
      <c r="E3959" t="s">
        <v>14</v>
      </c>
      <c r="F3959">
        <v>60.646700000000003</v>
      </c>
      <c r="G3959">
        <v>23.805800000000001</v>
      </c>
      <c r="H3959">
        <v>2</v>
      </c>
      <c r="I3959">
        <v>143</v>
      </c>
      <c r="J3959" t="str">
        <f>HYPERLINK("https://climate.onebuilding.org/WMO_Region_6_Europe/FIN_Finland/SF_Southwest_Finland/FIN_SF_Somero.Salkola.029490_TMYx.zip")</f>
        <v>https://climate.onebuilding.org/WMO_Region_6_Europe/FIN_Finland/SF_Southwest_Finland/FIN_SF_Somero.Salkola.029490_TMYx.zip</v>
      </c>
    </row>
    <row r="3960" spans="1:10" x14ac:dyDescent="0.25">
      <c r="A3960" t="s">
        <v>2310</v>
      </c>
      <c r="B3960" t="s">
        <v>527</v>
      </c>
      <c r="C3960" t="s">
        <v>2801</v>
      </c>
      <c r="D3960" s="1" t="s">
        <v>2802</v>
      </c>
      <c r="E3960" t="s">
        <v>2803</v>
      </c>
      <c r="F3960">
        <v>60.111699999999999</v>
      </c>
      <c r="G3960">
        <v>21.6983</v>
      </c>
      <c r="H3960">
        <v>2</v>
      </c>
      <c r="I3960">
        <v>4.5</v>
      </c>
      <c r="J3960" t="str">
        <f>HYPERLINK("https://climate.onebuilding.org/WMO_Region_6_Europe/FIN_Finland/SF_Southwest_Finland/FIN_SF_Parainen.Fagerholm.Island.029500_TMYx.2004-2018.zip")</f>
        <v>https://climate.onebuilding.org/WMO_Region_6_Europe/FIN_Finland/SF_Southwest_Finland/FIN_SF_Parainen.Fagerholm.Island.029500_TMYx.2004-2018.zip</v>
      </c>
    </row>
    <row r="3961" spans="1:10" x14ac:dyDescent="0.25">
      <c r="A3961" t="s">
        <v>2310</v>
      </c>
      <c r="B3961" t="s">
        <v>527</v>
      </c>
      <c r="C3961" t="s">
        <v>2801</v>
      </c>
      <c r="D3961" s="1" t="s">
        <v>2802</v>
      </c>
      <c r="E3961" t="s">
        <v>14</v>
      </c>
      <c r="F3961">
        <v>60.111699999999999</v>
      </c>
      <c r="G3961">
        <v>21.6983</v>
      </c>
      <c r="H3961">
        <v>2</v>
      </c>
      <c r="I3961">
        <v>4.5</v>
      </c>
      <c r="J3961" t="str">
        <f>HYPERLINK("https://climate.onebuilding.org/WMO_Region_6_Europe/FIN_Finland/SF_Southwest_Finland/FIN_SF_Parainen.Fagerholm.Island.029500_TMYx.2007-2021.zip")</f>
        <v>https://climate.onebuilding.org/WMO_Region_6_Europe/FIN_Finland/SF_Southwest_Finland/FIN_SF_Parainen.Fagerholm.Island.029500_TMYx.2007-2021.zip</v>
      </c>
    </row>
    <row r="3962" spans="1:10" x14ac:dyDescent="0.25">
      <c r="A3962" t="s">
        <v>2310</v>
      </c>
      <c r="B3962" t="s">
        <v>527</v>
      </c>
      <c r="C3962" t="s">
        <v>2801</v>
      </c>
      <c r="D3962" s="1" t="s">
        <v>2802</v>
      </c>
      <c r="E3962" t="s">
        <v>14</v>
      </c>
      <c r="F3962">
        <v>60.111699999999999</v>
      </c>
      <c r="G3962">
        <v>21.6983</v>
      </c>
      <c r="H3962">
        <v>2</v>
      </c>
      <c r="I3962">
        <v>4.5</v>
      </c>
      <c r="J3962" t="str">
        <f>HYPERLINK("https://climate.onebuilding.org/WMO_Region_6_Europe/FIN_Finland/SF_Southwest_Finland/FIN_SF_Parainen.Fagerholm.Island.029500_TMYx.2009-2023.zip")</f>
        <v>https://climate.onebuilding.org/WMO_Region_6_Europe/FIN_Finland/SF_Southwest_Finland/FIN_SF_Parainen.Fagerholm.Island.029500_TMYx.2009-2023.zip</v>
      </c>
    </row>
    <row r="3963" spans="1:10" x14ac:dyDescent="0.25">
      <c r="A3963" t="s">
        <v>2310</v>
      </c>
      <c r="B3963" t="s">
        <v>527</v>
      </c>
      <c r="C3963" t="s">
        <v>2801</v>
      </c>
      <c r="D3963" s="1" t="s">
        <v>2802</v>
      </c>
      <c r="E3963" t="s">
        <v>14</v>
      </c>
      <c r="F3963">
        <v>60.111699999999999</v>
      </c>
      <c r="G3963">
        <v>21.6983</v>
      </c>
      <c r="H3963">
        <v>2</v>
      </c>
      <c r="I3963">
        <v>4.5</v>
      </c>
      <c r="J3963" t="str">
        <f>HYPERLINK("https://climate.onebuilding.org/WMO_Region_6_Europe/FIN_Finland/SF_Southwest_Finland/FIN_SF_Parainen.Fagerholm.Island.029500_TMYx.zip")</f>
        <v>https://climate.onebuilding.org/WMO_Region_6_Europe/FIN_Finland/SF_Southwest_Finland/FIN_SF_Parainen.Fagerholm.Island.029500_TMYx.zip</v>
      </c>
    </row>
    <row r="3964" spans="1:10" x14ac:dyDescent="0.25">
      <c r="A3964" t="s">
        <v>2310</v>
      </c>
      <c r="B3964" t="s">
        <v>2286</v>
      </c>
      <c r="C3964" t="s">
        <v>2804</v>
      </c>
      <c r="D3964" s="1" t="s">
        <v>2805</v>
      </c>
      <c r="E3964" t="s">
        <v>2806</v>
      </c>
      <c r="F3964">
        <v>61.467199999999998</v>
      </c>
      <c r="G3964">
        <v>21.7881</v>
      </c>
      <c r="H3964">
        <v>2</v>
      </c>
      <c r="I3964">
        <v>13.4</v>
      </c>
      <c r="J3964" t="str">
        <f>HYPERLINK("https://climate.onebuilding.org/WMO_Region_6_Europe/FIN_Finland/SA_Satakunta/FIN_SA_Pori.AP.029520_TMYx.2004-2018.zip")</f>
        <v>https://climate.onebuilding.org/WMO_Region_6_Europe/FIN_Finland/SA_Satakunta/FIN_SA_Pori.AP.029520_TMYx.2004-2018.zip</v>
      </c>
    </row>
    <row r="3965" spans="1:10" x14ac:dyDescent="0.25">
      <c r="A3965" t="s">
        <v>2310</v>
      </c>
      <c r="B3965" t="s">
        <v>2286</v>
      </c>
      <c r="C3965" t="s">
        <v>2804</v>
      </c>
      <c r="D3965" s="1" t="s">
        <v>2805</v>
      </c>
      <c r="E3965" t="s">
        <v>14</v>
      </c>
      <c r="F3965">
        <v>61.467199999999998</v>
      </c>
      <c r="G3965">
        <v>21.7881</v>
      </c>
      <c r="H3965">
        <v>2</v>
      </c>
      <c r="I3965">
        <v>13.4</v>
      </c>
      <c r="J3965" t="str">
        <f>HYPERLINK("https://climate.onebuilding.org/WMO_Region_6_Europe/FIN_Finland/SA_Satakunta/FIN_SA_Pori.AP.029520_TMYx.2007-2021.zip")</f>
        <v>https://climate.onebuilding.org/WMO_Region_6_Europe/FIN_Finland/SA_Satakunta/FIN_SA_Pori.AP.029520_TMYx.2007-2021.zip</v>
      </c>
    </row>
    <row r="3966" spans="1:10" x14ac:dyDescent="0.25">
      <c r="A3966" t="s">
        <v>2310</v>
      </c>
      <c r="B3966" t="s">
        <v>2286</v>
      </c>
      <c r="C3966" t="s">
        <v>2804</v>
      </c>
      <c r="D3966" s="1" t="s">
        <v>2805</v>
      </c>
      <c r="E3966" t="s">
        <v>14</v>
      </c>
      <c r="F3966">
        <v>61.467199999999998</v>
      </c>
      <c r="G3966">
        <v>21.7881</v>
      </c>
      <c r="H3966">
        <v>2</v>
      </c>
      <c r="I3966">
        <v>13.4</v>
      </c>
      <c r="J3966" t="str">
        <f>HYPERLINK("https://climate.onebuilding.org/WMO_Region_6_Europe/FIN_Finland/SA_Satakunta/FIN_SA_Pori.AP.029520_TMYx.2009-2023.zip")</f>
        <v>https://climate.onebuilding.org/WMO_Region_6_Europe/FIN_Finland/SA_Satakunta/FIN_SA_Pori.AP.029520_TMYx.2009-2023.zip</v>
      </c>
    </row>
    <row r="3967" spans="1:10" x14ac:dyDescent="0.25">
      <c r="A3967" t="s">
        <v>2310</v>
      </c>
      <c r="B3967" t="s">
        <v>2286</v>
      </c>
      <c r="C3967" t="s">
        <v>2804</v>
      </c>
      <c r="D3967" s="1" t="s">
        <v>2805</v>
      </c>
      <c r="E3967" t="s">
        <v>14</v>
      </c>
      <c r="F3967">
        <v>61.467199999999998</v>
      </c>
      <c r="G3967">
        <v>21.7881</v>
      </c>
      <c r="H3967">
        <v>2</v>
      </c>
      <c r="I3967">
        <v>13.4</v>
      </c>
      <c r="J3967" t="str">
        <f>HYPERLINK("https://climate.onebuilding.org/WMO_Region_6_Europe/FIN_Finland/SA_Satakunta/FIN_SA_Pori.AP.029520_TMYx.zip")</f>
        <v>https://climate.onebuilding.org/WMO_Region_6_Europe/FIN_Finland/SA_Satakunta/FIN_SA_Pori.AP.029520_TMYx.zip</v>
      </c>
    </row>
    <row r="3968" spans="1:10" x14ac:dyDescent="0.25">
      <c r="A3968" t="s">
        <v>2310</v>
      </c>
      <c r="B3968" t="s">
        <v>2334</v>
      </c>
      <c r="C3968" t="s">
        <v>2807</v>
      </c>
      <c r="D3968" s="1" t="s">
        <v>2808</v>
      </c>
      <c r="E3968" t="s">
        <v>2809</v>
      </c>
      <c r="F3968">
        <v>62.892499999999998</v>
      </c>
      <c r="G3968">
        <v>27.633299999999998</v>
      </c>
      <c r="H3968">
        <v>2</v>
      </c>
      <c r="I3968">
        <v>88.3</v>
      </c>
      <c r="J3968" t="str">
        <f>HYPERLINK("https://climate.onebuilding.org/WMO_Region_6_Europe/FIN_Finland/NS_North_Savo/FIN_NS_Kuopio.Savilahti.029550_TMYx.2004-2018.zip")</f>
        <v>https://climate.onebuilding.org/WMO_Region_6_Europe/FIN_Finland/NS_North_Savo/FIN_NS_Kuopio.Savilahti.029550_TMYx.2004-2018.zip</v>
      </c>
    </row>
    <row r="3969" spans="1:10" x14ac:dyDescent="0.25">
      <c r="A3969" t="s">
        <v>2310</v>
      </c>
      <c r="B3969" t="s">
        <v>2334</v>
      </c>
      <c r="C3969" t="s">
        <v>2807</v>
      </c>
      <c r="D3969" s="1" t="s">
        <v>2808</v>
      </c>
      <c r="E3969" t="s">
        <v>14</v>
      </c>
      <c r="F3969">
        <v>62.892499999999998</v>
      </c>
      <c r="G3969">
        <v>27.633299999999998</v>
      </c>
      <c r="H3969">
        <v>2</v>
      </c>
      <c r="I3969">
        <v>88.3</v>
      </c>
      <c r="J3969" t="str">
        <f>HYPERLINK("https://climate.onebuilding.org/WMO_Region_6_Europe/FIN_Finland/NS_North_Savo/FIN_NS_Kuopio.Savilahti.029550_TMYx.2007-2021.zip")</f>
        <v>https://climate.onebuilding.org/WMO_Region_6_Europe/FIN_Finland/NS_North_Savo/FIN_NS_Kuopio.Savilahti.029550_TMYx.2007-2021.zip</v>
      </c>
    </row>
    <row r="3970" spans="1:10" x14ac:dyDescent="0.25">
      <c r="A3970" t="s">
        <v>2310</v>
      </c>
      <c r="B3970" t="s">
        <v>2334</v>
      </c>
      <c r="C3970" t="s">
        <v>2807</v>
      </c>
      <c r="D3970" s="1" t="s">
        <v>2808</v>
      </c>
      <c r="E3970" t="s">
        <v>14</v>
      </c>
      <c r="F3970">
        <v>62.892499999999998</v>
      </c>
      <c r="G3970">
        <v>27.633299999999998</v>
      </c>
      <c r="H3970">
        <v>2</v>
      </c>
      <c r="I3970">
        <v>88.3</v>
      </c>
      <c r="J3970" t="str">
        <f>HYPERLINK("https://climate.onebuilding.org/WMO_Region_6_Europe/FIN_Finland/NS_North_Savo/FIN_NS_Kuopio.Savilahti.029550_TMYx.2009-2023.zip")</f>
        <v>https://climate.onebuilding.org/WMO_Region_6_Europe/FIN_Finland/NS_North_Savo/FIN_NS_Kuopio.Savilahti.029550_TMYx.2009-2023.zip</v>
      </c>
    </row>
    <row r="3971" spans="1:10" x14ac:dyDescent="0.25">
      <c r="A3971" t="s">
        <v>2310</v>
      </c>
      <c r="B3971" t="s">
        <v>2334</v>
      </c>
      <c r="C3971" t="s">
        <v>2807</v>
      </c>
      <c r="D3971" s="1" t="s">
        <v>2808</v>
      </c>
      <c r="E3971" t="s">
        <v>14</v>
      </c>
      <c r="F3971">
        <v>62.892499999999998</v>
      </c>
      <c r="G3971">
        <v>27.633299999999998</v>
      </c>
      <c r="H3971">
        <v>2</v>
      </c>
      <c r="I3971">
        <v>88.3</v>
      </c>
      <c r="J3971" t="str">
        <f>HYPERLINK("https://climate.onebuilding.org/WMO_Region_6_Europe/FIN_Finland/NS_North_Savo/FIN_NS_Kuopio.Savilahti.029550_TMYx.zip")</f>
        <v>https://climate.onebuilding.org/WMO_Region_6_Europe/FIN_Finland/NS_North_Savo/FIN_NS_Kuopio.Savilahti.029550_TMYx.zip</v>
      </c>
    </row>
    <row r="3972" spans="1:10" x14ac:dyDescent="0.25">
      <c r="A3972" t="s">
        <v>2310</v>
      </c>
      <c r="B3972" t="s">
        <v>2425</v>
      </c>
      <c r="C3972" t="s">
        <v>2810</v>
      </c>
      <c r="D3972" s="1" t="s">
        <v>2811</v>
      </c>
      <c r="E3972" t="s">
        <v>2812</v>
      </c>
      <c r="F3972">
        <v>63.0989</v>
      </c>
      <c r="G3972">
        <v>21.639399999999998</v>
      </c>
      <c r="H3972">
        <v>2</v>
      </c>
      <c r="I3972">
        <v>9</v>
      </c>
      <c r="J3972" t="str">
        <f>HYPERLINK("https://climate.onebuilding.org/WMO_Region_6_Europe/FIN_Finland/OS_Ostrobothnia/FIN_OS_Vaasa.Klemettila.029570_TMYx.2004-2018.zip")</f>
        <v>https://climate.onebuilding.org/WMO_Region_6_Europe/FIN_Finland/OS_Ostrobothnia/FIN_OS_Vaasa.Klemettila.029570_TMYx.2004-2018.zip</v>
      </c>
    </row>
    <row r="3973" spans="1:10" x14ac:dyDescent="0.25">
      <c r="A3973" t="s">
        <v>2310</v>
      </c>
      <c r="B3973" t="s">
        <v>2425</v>
      </c>
      <c r="C3973" t="s">
        <v>2810</v>
      </c>
      <c r="D3973" s="1" t="s">
        <v>2811</v>
      </c>
      <c r="E3973" t="s">
        <v>14</v>
      </c>
      <c r="F3973">
        <v>63.0989</v>
      </c>
      <c r="G3973">
        <v>21.639399999999998</v>
      </c>
      <c r="H3973">
        <v>2</v>
      </c>
      <c r="I3973">
        <v>9</v>
      </c>
      <c r="J3973" t="str">
        <f>HYPERLINK("https://climate.onebuilding.org/WMO_Region_6_Europe/FIN_Finland/OS_Ostrobothnia/FIN_OS_Vaasa.Klemettila.029570_TMYx.2007-2021.zip")</f>
        <v>https://climate.onebuilding.org/WMO_Region_6_Europe/FIN_Finland/OS_Ostrobothnia/FIN_OS_Vaasa.Klemettila.029570_TMYx.2007-2021.zip</v>
      </c>
    </row>
    <row r="3974" spans="1:10" x14ac:dyDescent="0.25">
      <c r="A3974" t="s">
        <v>2310</v>
      </c>
      <c r="B3974" t="s">
        <v>2425</v>
      </c>
      <c r="C3974" t="s">
        <v>2810</v>
      </c>
      <c r="D3974" s="1" t="s">
        <v>2811</v>
      </c>
      <c r="E3974" t="s">
        <v>14</v>
      </c>
      <c r="F3974">
        <v>63.0989</v>
      </c>
      <c r="G3974">
        <v>21.639399999999998</v>
      </c>
      <c r="H3974">
        <v>2</v>
      </c>
      <c r="I3974">
        <v>9</v>
      </c>
      <c r="J3974" t="str">
        <f>HYPERLINK("https://climate.onebuilding.org/WMO_Region_6_Europe/FIN_Finland/OS_Ostrobothnia/FIN_OS_Vaasa.Klemettila.029570_TMYx.2009-2023.zip")</f>
        <v>https://climate.onebuilding.org/WMO_Region_6_Europe/FIN_Finland/OS_Ostrobothnia/FIN_OS_Vaasa.Klemettila.029570_TMYx.2009-2023.zip</v>
      </c>
    </row>
    <row r="3975" spans="1:10" x14ac:dyDescent="0.25">
      <c r="A3975" t="s">
        <v>2310</v>
      </c>
      <c r="B3975" t="s">
        <v>2425</v>
      </c>
      <c r="C3975" t="s">
        <v>2810</v>
      </c>
      <c r="D3975" s="1" t="s">
        <v>2811</v>
      </c>
      <c r="E3975" t="s">
        <v>14</v>
      </c>
      <c r="F3975">
        <v>63.0989</v>
      </c>
      <c r="G3975">
        <v>21.639399999999998</v>
      </c>
      <c r="H3975">
        <v>2</v>
      </c>
      <c r="I3975">
        <v>9</v>
      </c>
      <c r="J3975" t="str">
        <f>HYPERLINK("https://climate.onebuilding.org/WMO_Region_6_Europe/FIN_Finland/OS_Ostrobothnia/FIN_OS_Vaasa.Klemettila.029570_TMYx.zip")</f>
        <v>https://climate.onebuilding.org/WMO_Region_6_Europe/FIN_Finland/OS_Ostrobothnia/FIN_OS_Vaasa.Klemettila.029570_TMYx.zip</v>
      </c>
    </row>
    <row r="3976" spans="1:10" x14ac:dyDescent="0.25">
      <c r="A3976" t="s">
        <v>2310</v>
      </c>
      <c r="B3976" t="s">
        <v>1239</v>
      </c>
      <c r="C3976" t="s">
        <v>2813</v>
      </c>
      <c r="D3976" s="1" t="s">
        <v>2814</v>
      </c>
      <c r="E3976" t="s">
        <v>2815</v>
      </c>
      <c r="F3976">
        <v>61.044199999999996</v>
      </c>
      <c r="G3976">
        <v>28.1511</v>
      </c>
      <c r="H3976">
        <v>2</v>
      </c>
      <c r="I3976">
        <v>106.4</v>
      </c>
      <c r="J3976" t="str">
        <f>HYPERLINK("https://climate.onebuilding.org/WMO_Region_6_Europe/FIN_Finland/SK_South_Karelia/FIN_SK_Lappeenranta.AP.029580_TMYx.2004-2018.zip")</f>
        <v>https://climate.onebuilding.org/WMO_Region_6_Europe/FIN_Finland/SK_South_Karelia/FIN_SK_Lappeenranta.AP.029580_TMYx.2004-2018.zip</v>
      </c>
    </row>
    <row r="3977" spans="1:10" x14ac:dyDescent="0.25">
      <c r="A3977" t="s">
        <v>2310</v>
      </c>
      <c r="B3977" t="s">
        <v>1239</v>
      </c>
      <c r="C3977" t="s">
        <v>2813</v>
      </c>
      <c r="D3977" s="1" t="s">
        <v>2814</v>
      </c>
      <c r="E3977" t="s">
        <v>14</v>
      </c>
      <c r="F3977">
        <v>61.044199999999996</v>
      </c>
      <c r="G3977">
        <v>28.1511</v>
      </c>
      <c r="H3977">
        <v>2</v>
      </c>
      <c r="I3977">
        <v>106.4</v>
      </c>
      <c r="J3977" t="str">
        <f>HYPERLINK("https://climate.onebuilding.org/WMO_Region_6_Europe/FIN_Finland/SK_South_Karelia/FIN_SK_Lappeenranta.AP.029580_TMYx.2007-2021.zip")</f>
        <v>https://climate.onebuilding.org/WMO_Region_6_Europe/FIN_Finland/SK_South_Karelia/FIN_SK_Lappeenranta.AP.029580_TMYx.2007-2021.zip</v>
      </c>
    </row>
    <row r="3978" spans="1:10" x14ac:dyDescent="0.25">
      <c r="A3978" t="s">
        <v>2310</v>
      </c>
      <c r="B3978" t="s">
        <v>1239</v>
      </c>
      <c r="C3978" t="s">
        <v>2813</v>
      </c>
      <c r="D3978" s="1" t="s">
        <v>2814</v>
      </c>
      <c r="E3978" t="s">
        <v>14</v>
      </c>
      <c r="F3978">
        <v>61.044199999999996</v>
      </c>
      <c r="G3978">
        <v>28.1511</v>
      </c>
      <c r="H3978">
        <v>2</v>
      </c>
      <c r="I3978">
        <v>106.4</v>
      </c>
      <c r="J3978" t="str">
        <f>HYPERLINK("https://climate.onebuilding.org/WMO_Region_6_Europe/FIN_Finland/SK_South_Karelia/FIN_SK_Lappeenranta.AP.029580_TMYx.2009-2023.zip")</f>
        <v>https://climate.onebuilding.org/WMO_Region_6_Europe/FIN_Finland/SK_South_Karelia/FIN_SK_Lappeenranta.AP.029580_TMYx.2009-2023.zip</v>
      </c>
    </row>
    <row r="3979" spans="1:10" x14ac:dyDescent="0.25">
      <c r="A3979" t="s">
        <v>2310</v>
      </c>
      <c r="B3979" t="s">
        <v>1239</v>
      </c>
      <c r="C3979" t="s">
        <v>2813</v>
      </c>
      <c r="D3979" s="1" t="s">
        <v>2814</v>
      </c>
      <c r="E3979" t="s">
        <v>14</v>
      </c>
      <c r="F3979">
        <v>61.044199999999996</v>
      </c>
      <c r="G3979">
        <v>28.1511</v>
      </c>
      <c r="H3979">
        <v>2</v>
      </c>
      <c r="I3979">
        <v>106.4</v>
      </c>
      <c r="J3979" t="str">
        <f>HYPERLINK("https://climate.onebuilding.org/WMO_Region_6_Europe/FIN_Finland/SK_South_Karelia/FIN_SK_Lappeenranta.AP.029580_TMYx.zip")</f>
        <v>https://climate.onebuilding.org/WMO_Region_6_Europe/FIN_Finland/SK_South_Karelia/FIN_SK_Lappeenranta.AP.029580_TMYx.zip</v>
      </c>
    </row>
    <row r="3980" spans="1:10" x14ac:dyDescent="0.25">
      <c r="A3980" t="s">
        <v>2310</v>
      </c>
      <c r="B3980" t="s">
        <v>1239</v>
      </c>
      <c r="C3980" t="s">
        <v>2816</v>
      </c>
      <c r="D3980" s="1" t="s">
        <v>2817</v>
      </c>
      <c r="E3980" t="s">
        <v>2818</v>
      </c>
      <c r="F3980">
        <v>61.057499999999997</v>
      </c>
      <c r="G3980">
        <v>28.208600000000001</v>
      </c>
      <c r="H3980">
        <v>2</v>
      </c>
      <c r="I3980">
        <v>104.4</v>
      </c>
      <c r="J3980" t="str">
        <f>HYPERLINK("https://climate.onebuilding.org/WMO_Region_6_Europe/FIN_Finland/SK_South_Karelia/FIN_SK_Lappeenranta.Lepola.029590_TMYx.2004-2018.zip")</f>
        <v>https://climate.onebuilding.org/WMO_Region_6_Europe/FIN_Finland/SK_South_Karelia/FIN_SK_Lappeenranta.Lepola.029590_TMYx.2004-2018.zip</v>
      </c>
    </row>
    <row r="3981" spans="1:10" x14ac:dyDescent="0.25">
      <c r="A3981" t="s">
        <v>2310</v>
      </c>
      <c r="B3981" t="s">
        <v>1239</v>
      </c>
      <c r="C3981" t="s">
        <v>2816</v>
      </c>
      <c r="D3981" s="1" t="s">
        <v>2817</v>
      </c>
      <c r="E3981" t="s">
        <v>14</v>
      </c>
      <c r="F3981">
        <v>61.057499999999997</v>
      </c>
      <c r="G3981">
        <v>28.208600000000001</v>
      </c>
      <c r="H3981">
        <v>2</v>
      </c>
      <c r="I3981">
        <v>104.4</v>
      </c>
      <c r="J3981" t="str">
        <f>HYPERLINK("https://climate.onebuilding.org/WMO_Region_6_Europe/FIN_Finland/SK_South_Karelia/FIN_SK_Lappeenranta.Lepola.029590_TMYx.2007-2021.zip")</f>
        <v>https://climate.onebuilding.org/WMO_Region_6_Europe/FIN_Finland/SK_South_Karelia/FIN_SK_Lappeenranta.Lepola.029590_TMYx.2007-2021.zip</v>
      </c>
    </row>
    <row r="3982" spans="1:10" x14ac:dyDescent="0.25">
      <c r="A3982" t="s">
        <v>2310</v>
      </c>
      <c r="B3982" t="s">
        <v>1239</v>
      </c>
      <c r="C3982" t="s">
        <v>2816</v>
      </c>
      <c r="D3982" s="1" t="s">
        <v>2817</v>
      </c>
      <c r="E3982" t="s">
        <v>14</v>
      </c>
      <c r="F3982">
        <v>61.057499999999997</v>
      </c>
      <c r="G3982">
        <v>28.208600000000001</v>
      </c>
      <c r="H3982">
        <v>2</v>
      </c>
      <c r="I3982">
        <v>104.4</v>
      </c>
      <c r="J3982" t="str">
        <f>HYPERLINK("https://climate.onebuilding.org/WMO_Region_6_Europe/FIN_Finland/SK_South_Karelia/FIN_SK_Lappeenranta.Lepola.029590_TMYx.2009-2023.zip")</f>
        <v>https://climate.onebuilding.org/WMO_Region_6_Europe/FIN_Finland/SK_South_Karelia/FIN_SK_Lappeenranta.Lepola.029590_TMYx.2009-2023.zip</v>
      </c>
    </row>
    <row r="3983" spans="1:10" x14ac:dyDescent="0.25">
      <c r="A3983" t="s">
        <v>2310</v>
      </c>
      <c r="B3983" t="s">
        <v>1239</v>
      </c>
      <c r="C3983" t="s">
        <v>2816</v>
      </c>
      <c r="D3983" s="1" t="s">
        <v>2817</v>
      </c>
      <c r="E3983" t="s">
        <v>14</v>
      </c>
      <c r="F3983">
        <v>61.057499999999997</v>
      </c>
      <c r="G3983">
        <v>28.208600000000001</v>
      </c>
      <c r="H3983">
        <v>2</v>
      </c>
      <c r="I3983">
        <v>104.4</v>
      </c>
      <c r="J3983" t="str">
        <f>HYPERLINK("https://climate.onebuilding.org/WMO_Region_6_Europe/FIN_Finland/SK_South_Karelia/FIN_SK_Lappeenranta.Lepola.029590_TMYx.zip")</f>
        <v>https://climate.onebuilding.org/WMO_Region_6_Europe/FIN_Finland/SK_South_Karelia/FIN_SK_Lappeenranta.Lepola.029590_TMYx.zip</v>
      </c>
    </row>
    <row r="3984" spans="1:10" x14ac:dyDescent="0.25">
      <c r="A3984" t="s">
        <v>2310</v>
      </c>
      <c r="B3984" t="s">
        <v>2286</v>
      </c>
      <c r="C3984" t="s">
        <v>2819</v>
      </c>
      <c r="D3984" s="1" t="s">
        <v>2820</v>
      </c>
      <c r="E3984" t="s">
        <v>14</v>
      </c>
      <c r="F3984">
        <v>61.133899999999997</v>
      </c>
      <c r="G3984">
        <v>21.366800000000001</v>
      </c>
      <c r="H3984">
        <v>2</v>
      </c>
      <c r="I3984">
        <v>10</v>
      </c>
      <c r="J3984" t="str">
        <f>HYPERLINK("https://climate.onebuilding.org/WMO_Region_6_Europe/FIN_Finland/SA_Satakunta/FIN_SA_Kuuskajaskari.029610_TMYx.zip")</f>
        <v>https://climate.onebuilding.org/WMO_Region_6_Europe/FIN_Finland/SA_Satakunta/FIN_SA_Kuuskajaskari.029610_TMYx.zip</v>
      </c>
    </row>
    <row r="3985" spans="1:10" x14ac:dyDescent="0.25">
      <c r="A3985" t="s">
        <v>2310</v>
      </c>
      <c r="B3985" t="s">
        <v>2321</v>
      </c>
      <c r="C3985" t="s">
        <v>2821</v>
      </c>
      <c r="D3985" s="1" t="s">
        <v>2822</v>
      </c>
      <c r="E3985" t="s">
        <v>2823</v>
      </c>
      <c r="F3985">
        <v>60.817</v>
      </c>
      <c r="G3985">
        <v>23.5</v>
      </c>
      <c r="H3985">
        <v>2</v>
      </c>
      <c r="I3985">
        <v>103</v>
      </c>
      <c r="J3985" t="str">
        <f>HYPERLINK("https://climate.onebuilding.org/WMO_Region_6_Europe/FIN_Finland/KH_Kanta-Hame/FIN_KH_Jokioinen.Obs.029630_TMYx.2004-2018.zip")</f>
        <v>https://climate.onebuilding.org/WMO_Region_6_Europe/FIN_Finland/KH_Kanta-Hame/FIN_KH_Jokioinen.Obs.029630_TMYx.2004-2018.zip</v>
      </c>
    </row>
    <row r="3986" spans="1:10" x14ac:dyDescent="0.25">
      <c r="A3986" t="s">
        <v>2310</v>
      </c>
      <c r="B3986" t="s">
        <v>2321</v>
      </c>
      <c r="C3986" t="s">
        <v>2821</v>
      </c>
      <c r="D3986" s="1" t="s">
        <v>2822</v>
      </c>
      <c r="E3986" t="s">
        <v>14</v>
      </c>
      <c r="F3986">
        <v>60.817</v>
      </c>
      <c r="G3986">
        <v>23.5</v>
      </c>
      <c r="H3986">
        <v>2</v>
      </c>
      <c r="I3986">
        <v>103</v>
      </c>
      <c r="J3986" t="str">
        <f>HYPERLINK("https://climate.onebuilding.org/WMO_Region_6_Europe/FIN_Finland/KH_Kanta-Hame/FIN_KH_Jokioinen.Obs.029630_TMYx.2007-2021.zip")</f>
        <v>https://climate.onebuilding.org/WMO_Region_6_Europe/FIN_Finland/KH_Kanta-Hame/FIN_KH_Jokioinen.Obs.029630_TMYx.2007-2021.zip</v>
      </c>
    </row>
    <row r="3987" spans="1:10" x14ac:dyDescent="0.25">
      <c r="A3987" t="s">
        <v>2310</v>
      </c>
      <c r="B3987" t="s">
        <v>2321</v>
      </c>
      <c r="C3987" t="s">
        <v>2821</v>
      </c>
      <c r="D3987" s="1" t="s">
        <v>2822</v>
      </c>
      <c r="E3987" t="s">
        <v>14</v>
      </c>
      <c r="F3987">
        <v>60.817</v>
      </c>
      <c r="G3987">
        <v>23.5</v>
      </c>
      <c r="H3987">
        <v>2</v>
      </c>
      <c r="I3987">
        <v>103</v>
      </c>
      <c r="J3987" t="str">
        <f>HYPERLINK("https://climate.onebuilding.org/WMO_Region_6_Europe/FIN_Finland/KH_Kanta-Hame/FIN_KH_Jokioinen.Obs.029630_TMYx.2009-2023.zip")</f>
        <v>https://climate.onebuilding.org/WMO_Region_6_Europe/FIN_Finland/KH_Kanta-Hame/FIN_KH_Jokioinen.Obs.029630_TMYx.2009-2023.zip</v>
      </c>
    </row>
    <row r="3988" spans="1:10" x14ac:dyDescent="0.25">
      <c r="A3988" t="s">
        <v>2310</v>
      </c>
      <c r="B3988" t="s">
        <v>2321</v>
      </c>
      <c r="C3988" t="s">
        <v>2821</v>
      </c>
      <c r="D3988" s="1" t="s">
        <v>2822</v>
      </c>
      <c r="E3988" t="s">
        <v>14</v>
      </c>
      <c r="F3988">
        <v>60.817</v>
      </c>
      <c r="G3988">
        <v>23.5</v>
      </c>
      <c r="H3988">
        <v>2</v>
      </c>
      <c r="I3988">
        <v>103</v>
      </c>
      <c r="J3988" t="str">
        <f>HYPERLINK("https://climate.onebuilding.org/WMO_Region_6_Europe/FIN_Finland/KH_Kanta-Hame/FIN_KH_Jokioinen.Obs.029630_TMYx.zip")</f>
        <v>https://climate.onebuilding.org/WMO_Region_6_Europe/FIN_Finland/KH_Kanta-Hame/FIN_KH_Jokioinen.Obs.029630_TMYx.zip</v>
      </c>
    </row>
    <row r="3989" spans="1:10" x14ac:dyDescent="0.25">
      <c r="A3989" t="s">
        <v>2310</v>
      </c>
      <c r="B3989" t="s">
        <v>527</v>
      </c>
      <c r="C3989" t="s">
        <v>2824</v>
      </c>
      <c r="D3989" s="1" t="s">
        <v>2825</v>
      </c>
      <c r="E3989" t="s">
        <v>2826</v>
      </c>
      <c r="F3989">
        <v>60.722200000000001</v>
      </c>
      <c r="G3989">
        <v>21.026700000000002</v>
      </c>
      <c r="H3989">
        <v>2</v>
      </c>
      <c r="I3989">
        <v>3.9</v>
      </c>
      <c r="J3989" t="str">
        <f>HYPERLINK("https://climate.onebuilding.org/WMO_Region_6_Europe/FIN_Finland/SF_Southwest_Finland/FIN_SF_Kustavi.Isokari.029640_TMYx.2004-2018.zip")</f>
        <v>https://climate.onebuilding.org/WMO_Region_6_Europe/FIN_Finland/SF_Southwest_Finland/FIN_SF_Kustavi.Isokari.029640_TMYx.2004-2018.zip</v>
      </c>
    </row>
    <row r="3990" spans="1:10" x14ac:dyDescent="0.25">
      <c r="A3990" t="s">
        <v>2310</v>
      </c>
      <c r="B3990" t="s">
        <v>527</v>
      </c>
      <c r="C3990" t="s">
        <v>2824</v>
      </c>
      <c r="D3990" s="1" t="s">
        <v>2825</v>
      </c>
      <c r="E3990" t="s">
        <v>14</v>
      </c>
      <c r="F3990">
        <v>60.722200000000001</v>
      </c>
      <c r="G3990">
        <v>21.026700000000002</v>
      </c>
      <c r="H3990">
        <v>2</v>
      </c>
      <c r="I3990">
        <v>3.9</v>
      </c>
      <c r="J3990" t="str">
        <f>HYPERLINK("https://climate.onebuilding.org/WMO_Region_6_Europe/FIN_Finland/SF_Southwest_Finland/FIN_SF_Kustavi.Isokari.029640_TMYx.2007-2021.zip")</f>
        <v>https://climate.onebuilding.org/WMO_Region_6_Europe/FIN_Finland/SF_Southwest_Finland/FIN_SF_Kustavi.Isokari.029640_TMYx.2007-2021.zip</v>
      </c>
    </row>
    <row r="3991" spans="1:10" x14ac:dyDescent="0.25">
      <c r="A3991" t="s">
        <v>2310</v>
      </c>
      <c r="B3991" t="s">
        <v>527</v>
      </c>
      <c r="C3991" t="s">
        <v>2824</v>
      </c>
      <c r="D3991" s="1" t="s">
        <v>2825</v>
      </c>
      <c r="E3991" t="s">
        <v>14</v>
      </c>
      <c r="F3991">
        <v>60.722200000000001</v>
      </c>
      <c r="G3991">
        <v>21.026700000000002</v>
      </c>
      <c r="H3991">
        <v>2</v>
      </c>
      <c r="I3991">
        <v>3.9</v>
      </c>
      <c r="J3991" t="str">
        <f>HYPERLINK("https://climate.onebuilding.org/WMO_Region_6_Europe/FIN_Finland/SF_Southwest_Finland/FIN_SF_Kustavi.Isokari.029640_TMYx.2009-2023.zip")</f>
        <v>https://climate.onebuilding.org/WMO_Region_6_Europe/FIN_Finland/SF_Southwest_Finland/FIN_SF_Kustavi.Isokari.029640_TMYx.2009-2023.zip</v>
      </c>
    </row>
    <row r="3992" spans="1:10" x14ac:dyDescent="0.25">
      <c r="A3992" t="s">
        <v>2310</v>
      </c>
      <c r="B3992" t="s">
        <v>527</v>
      </c>
      <c r="C3992" t="s">
        <v>2824</v>
      </c>
      <c r="D3992" s="1" t="s">
        <v>2825</v>
      </c>
      <c r="E3992" t="s">
        <v>14</v>
      </c>
      <c r="F3992">
        <v>60.722200000000001</v>
      </c>
      <c r="G3992">
        <v>21.026700000000002</v>
      </c>
      <c r="H3992">
        <v>2</v>
      </c>
      <c r="I3992">
        <v>3.9</v>
      </c>
      <c r="J3992" t="str">
        <f>HYPERLINK("https://climate.onebuilding.org/WMO_Region_6_Europe/FIN_Finland/SF_Southwest_Finland/FIN_SF_Kustavi.Isokari.029640_TMYx.zip")</f>
        <v>https://climate.onebuilding.org/WMO_Region_6_Europe/FIN_Finland/SF_Southwest_Finland/FIN_SF_Kustavi.Isokari.029640_TMYx.zip</v>
      </c>
    </row>
    <row r="3993" spans="1:10" x14ac:dyDescent="0.25">
      <c r="A3993" t="s">
        <v>2310</v>
      </c>
      <c r="B3993" t="s">
        <v>2373</v>
      </c>
      <c r="C3993" t="s">
        <v>2827</v>
      </c>
      <c r="D3993" s="1" t="s">
        <v>2828</v>
      </c>
      <c r="E3993" t="s">
        <v>2829</v>
      </c>
      <c r="F3993">
        <v>60.962200000000003</v>
      </c>
      <c r="G3993">
        <v>25.630800000000001</v>
      </c>
      <c r="H3993">
        <v>2</v>
      </c>
      <c r="I3993">
        <v>78.7</v>
      </c>
      <c r="J3993" t="str">
        <f>HYPERLINK("https://climate.onebuilding.org/WMO_Region_6_Europe/FIN_Finland/PH_Paijat-Hame/FIN_PH_Lahti.Laune.029650_TMYx.2004-2018.zip")</f>
        <v>https://climate.onebuilding.org/WMO_Region_6_Europe/FIN_Finland/PH_Paijat-Hame/FIN_PH_Lahti.Laune.029650_TMYx.2004-2018.zip</v>
      </c>
    </row>
    <row r="3994" spans="1:10" x14ac:dyDescent="0.25">
      <c r="A3994" t="s">
        <v>2310</v>
      </c>
      <c r="B3994" t="s">
        <v>2373</v>
      </c>
      <c r="C3994" t="s">
        <v>2827</v>
      </c>
      <c r="D3994" s="1" t="s">
        <v>2828</v>
      </c>
      <c r="E3994" t="s">
        <v>14</v>
      </c>
      <c r="F3994">
        <v>60.962200000000003</v>
      </c>
      <c r="G3994">
        <v>25.630800000000001</v>
      </c>
      <c r="H3994">
        <v>2</v>
      </c>
      <c r="I3994">
        <v>78.7</v>
      </c>
      <c r="J3994" t="str">
        <f>HYPERLINK("https://climate.onebuilding.org/WMO_Region_6_Europe/FIN_Finland/PH_Paijat-Hame/FIN_PH_Lahti.Laune.029650_TMYx.2007-2021.zip")</f>
        <v>https://climate.onebuilding.org/WMO_Region_6_Europe/FIN_Finland/PH_Paijat-Hame/FIN_PH_Lahti.Laune.029650_TMYx.2007-2021.zip</v>
      </c>
    </row>
    <row r="3995" spans="1:10" x14ac:dyDescent="0.25">
      <c r="A3995" t="s">
        <v>2310</v>
      </c>
      <c r="B3995" t="s">
        <v>2373</v>
      </c>
      <c r="C3995" t="s">
        <v>2827</v>
      </c>
      <c r="D3995" s="1" t="s">
        <v>2828</v>
      </c>
      <c r="E3995" t="s">
        <v>14</v>
      </c>
      <c r="F3995">
        <v>60.962200000000003</v>
      </c>
      <c r="G3995">
        <v>25.630800000000001</v>
      </c>
      <c r="H3995">
        <v>2</v>
      </c>
      <c r="I3995">
        <v>78.7</v>
      </c>
      <c r="J3995" t="str">
        <f>HYPERLINK("https://climate.onebuilding.org/WMO_Region_6_Europe/FIN_Finland/PH_Paijat-Hame/FIN_PH_Lahti.Laune.029650_TMYx.2009-2023.zip")</f>
        <v>https://climate.onebuilding.org/WMO_Region_6_Europe/FIN_Finland/PH_Paijat-Hame/FIN_PH_Lahti.Laune.029650_TMYx.2009-2023.zip</v>
      </c>
    </row>
    <row r="3996" spans="1:10" x14ac:dyDescent="0.25">
      <c r="A3996" t="s">
        <v>2310</v>
      </c>
      <c r="B3996" t="s">
        <v>2373</v>
      </c>
      <c r="C3996" t="s">
        <v>2827</v>
      </c>
      <c r="D3996" s="1" t="s">
        <v>2828</v>
      </c>
      <c r="E3996" t="s">
        <v>14</v>
      </c>
      <c r="F3996">
        <v>60.962200000000003</v>
      </c>
      <c r="G3996">
        <v>25.630800000000001</v>
      </c>
      <c r="H3996">
        <v>2</v>
      </c>
      <c r="I3996">
        <v>78.7</v>
      </c>
      <c r="J3996" t="str">
        <f>HYPERLINK("https://climate.onebuilding.org/WMO_Region_6_Europe/FIN_Finland/PH_Paijat-Hame/FIN_PH_Lahti.Laune.029650_TMYx.zip")</f>
        <v>https://climate.onebuilding.org/WMO_Region_6_Europe/FIN_Finland/PH_Paijat-Hame/FIN_PH_Lahti.Laune.029650_TMYx.zip</v>
      </c>
    </row>
    <row r="3997" spans="1:10" x14ac:dyDescent="0.25">
      <c r="A3997" t="s">
        <v>2310</v>
      </c>
      <c r="B3997" t="s">
        <v>530</v>
      </c>
      <c r="C3997" t="s">
        <v>2830</v>
      </c>
      <c r="D3997" s="1" t="s">
        <v>2831</v>
      </c>
      <c r="E3997" t="s">
        <v>2832</v>
      </c>
      <c r="F3997">
        <v>60.890599999999999</v>
      </c>
      <c r="G3997">
        <v>26.941099999999999</v>
      </c>
      <c r="H3997">
        <v>2</v>
      </c>
      <c r="I3997">
        <v>103.3</v>
      </c>
      <c r="J3997" t="str">
        <f>HYPERLINK("https://climate.onebuilding.org/WMO_Region_6_Europe/FIN_Finland/KY_Kymenlaakso/FIN_KY_Kouvola-Utti.AB.029660_TMYx.2004-2018.zip")</f>
        <v>https://climate.onebuilding.org/WMO_Region_6_Europe/FIN_Finland/KY_Kymenlaakso/FIN_KY_Kouvola-Utti.AB.029660_TMYx.2004-2018.zip</v>
      </c>
    </row>
    <row r="3998" spans="1:10" x14ac:dyDescent="0.25">
      <c r="A3998" t="s">
        <v>2310</v>
      </c>
      <c r="B3998" t="s">
        <v>530</v>
      </c>
      <c r="C3998" t="s">
        <v>2830</v>
      </c>
      <c r="D3998" s="1" t="s">
        <v>2831</v>
      </c>
      <c r="E3998" t="s">
        <v>14</v>
      </c>
      <c r="F3998">
        <v>60.890599999999999</v>
      </c>
      <c r="G3998">
        <v>26.941099999999999</v>
      </c>
      <c r="H3998">
        <v>2</v>
      </c>
      <c r="I3998">
        <v>103.3</v>
      </c>
      <c r="J3998" t="str">
        <f>HYPERLINK("https://climate.onebuilding.org/WMO_Region_6_Europe/FIN_Finland/KY_Kymenlaakso/FIN_KY_Kouvola-Utti.AB.029660_TMYx.2007-2021.zip")</f>
        <v>https://climate.onebuilding.org/WMO_Region_6_Europe/FIN_Finland/KY_Kymenlaakso/FIN_KY_Kouvola-Utti.AB.029660_TMYx.2007-2021.zip</v>
      </c>
    </row>
    <row r="3999" spans="1:10" x14ac:dyDescent="0.25">
      <c r="A3999" t="s">
        <v>2310</v>
      </c>
      <c r="B3999" t="s">
        <v>530</v>
      </c>
      <c r="C3999" t="s">
        <v>2830</v>
      </c>
      <c r="D3999" s="1" t="s">
        <v>2831</v>
      </c>
      <c r="E3999" t="s">
        <v>14</v>
      </c>
      <c r="F3999">
        <v>60.890599999999999</v>
      </c>
      <c r="G3999">
        <v>26.941099999999999</v>
      </c>
      <c r="H3999">
        <v>2</v>
      </c>
      <c r="I3999">
        <v>103.3</v>
      </c>
      <c r="J3999" t="str">
        <f>HYPERLINK("https://climate.onebuilding.org/WMO_Region_6_Europe/FIN_Finland/KY_Kymenlaakso/FIN_KY_Kouvola-Utti.AB.029660_TMYx.2009-2023.zip")</f>
        <v>https://climate.onebuilding.org/WMO_Region_6_Europe/FIN_Finland/KY_Kymenlaakso/FIN_KY_Kouvola-Utti.AB.029660_TMYx.2009-2023.zip</v>
      </c>
    </row>
    <row r="4000" spans="1:10" x14ac:dyDescent="0.25">
      <c r="A4000" t="s">
        <v>2310</v>
      </c>
      <c r="B4000" t="s">
        <v>530</v>
      </c>
      <c r="C4000" t="s">
        <v>2830</v>
      </c>
      <c r="D4000" s="1" t="s">
        <v>2831</v>
      </c>
      <c r="E4000" t="s">
        <v>14</v>
      </c>
      <c r="F4000">
        <v>60.890599999999999</v>
      </c>
      <c r="G4000">
        <v>26.941099999999999</v>
      </c>
      <c r="H4000">
        <v>2</v>
      </c>
      <c r="I4000">
        <v>103.3</v>
      </c>
      <c r="J4000" t="str">
        <f>HYPERLINK("https://climate.onebuilding.org/WMO_Region_6_Europe/FIN_Finland/KY_Kymenlaakso/FIN_KY_Kouvola-Utti.AB.029660_TMYx.zip")</f>
        <v>https://climate.onebuilding.org/WMO_Region_6_Europe/FIN_Finland/KY_Kymenlaakso/FIN_KY_Kouvola-Utti.AB.029660_TMYx.zip</v>
      </c>
    </row>
    <row r="4001" spans="1:10" x14ac:dyDescent="0.25">
      <c r="A4001" t="s">
        <v>2310</v>
      </c>
      <c r="B4001" t="s">
        <v>530</v>
      </c>
      <c r="C4001" t="s">
        <v>2833</v>
      </c>
      <c r="D4001" s="1" t="s">
        <v>2834</v>
      </c>
      <c r="E4001" t="s">
        <v>2835</v>
      </c>
      <c r="F4001">
        <v>60.286700000000003</v>
      </c>
      <c r="G4001">
        <v>27.185300000000002</v>
      </c>
      <c r="H4001">
        <v>2</v>
      </c>
      <c r="I4001">
        <v>5.5</v>
      </c>
      <c r="J4001" t="str">
        <f>HYPERLINK("https://climate.onebuilding.org/WMO_Region_6_Europe/FIN_Finland/KY_Kymenlaakso/FIN_KY_Kotka.Haapasaari.029670_TMYx.2004-2018.zip")</f>
        <v>https://climate.onebuilding.org/WMO_Region_6_Europe/FIN_Finland/KY_Kymenlaakso/FIN_KY_Kotka.Haapasaari.029670_TMYx.2004-2018.zip</v>
      </c>
    </row>
    <row r="4002" spans="1:10" x14ac:dyDescent="0.25">
      <c r="A4002" t="s">
        <v>2310</v>
      </c>
      <c r="B4002" t="s">
        <v>530</v>
      </c>
      <c r="C4002" t="s">
        <v>2833</v>
      </c>
      <c r="D4002" s="1" t="s">
        <v>2834</v>
      </c>
      <c r="E4002" t="s">
        <v>14</v>
      </c>
      <c r="F4002">
        <v>60.286700000000003</v>
      </c>
      <c r="G4002">
        <v>27.185300000000002</v>
      </c>
      <c r="H4002">
        <v>2</v>
      </c>
      <c r="I4002">
        <v>5.5</v>
      </c>
      <c r="J4002" t="str">
        <f>HYPERLINK("https://climate.onebuilding.org/WMO_Region_6_Europe/FIN_Finland/KY_Kymenlaakso/FIN_KY_Kotka.Haapasaari.029670_TMYx.2007-2021.zip")</f>
        <v>https://climate.onebuilding.org/WMO_Region_6_Europe/FIN_Finland/KY_Kymenlaakso/FIN_KY_Kotka.Haapasaari.029670_TMYx.2007-2021.zip</v>
      </c>
    </row>
    <row r="4003" spans="1:10" x14ac:dyDescent="0.25">
      <c r="A4003" t="s">
        <v>2310</v>
      </c>
      <c r="B4003" t="s">
        <v>530</v>
      </c>
      <c r="C4003" t="s">
        <v>2833</v>
      </c>
      <c r="D4003" s="1" t="s">
        <v>2834</v>
      </c>
      <c r="E4003" t="s">
        <v>14</v>
      </c>
      <c r="F4003">
        <v>60.286700000000003</v>
      </c>
      <c r="G4003">
        <v>27.185300000000002</v>
      </c>
      <c r="H4003">
        <v>2</v>
      </c>
      <c r="I4003">
        <v>5.5</v>
      </c>
      <c r="J4003" t="str">
        <f>HYPERLINK("https://climate.onebuilding.org/WMO_Region_6_Europe/FIN_Finland/KY_Kymenlaakso/FIN_KY_Kotka.Haapasaari.029670_TMYx.2009-2023.zip")</f>
        <v>https://climate.onebuilding.org/WMO_Region_6_Europe/FIN_Finland/KY_Kymenlaakso/FIN_KY_Kotka.Haapasaari.029670_TMYx.2009-2023.zip</v>
      </c>
    </row>
    <row r="4004" spans="1:10" x14ac:dyDescent="0.25">
      <c r="A4004" t="s">
        <v>2310</v>
      </c>
      <c r="B4004" t="s">
        <v>530</v>
      </c>
      <c r="C4004" t="s">
        <v>2833</v>
      </c>
      <c r="D4004" s="1" t="s">
        <v>2834</v>
      </c>
      <c r="E4004" t="s">
        <v>14</v>
      </c>
      <c r="F4004">
        <v>60.286700000000003</v>
      </c>
      <c r="G4004">
        <v>27.185300000000002</v>
      </c>
      <c r="H4004">
        <v>2</v>
      </c>
      <c r="I4004">
        <v>5.5</v>
      </c>
      <c r="J4004" t="str">
        <f>HYPERLINK("https://climate.onebuilding.org/WMO_Region_6_Europe/FIN_Finland/KY_Kymenlaakso/FIN_KY_Kotka.Haapasaari.029670_TMYx.zip")</f>
        <v>https://climate.onebuilding.org/WMO_Region_6_Europe/FIN_Finland/KY_Kymenlaakso/FIN_KY_Kotka.Haapasaari.029670_TMYx.zip</v>
      </c>
    </row>
    <row r="4005" spans="1:10" x14ac:dyDescent="0.25">
      <c r="A4005" t="s">
        <v>2310</v>
      </c>
      <c r="B4005" t="s">
        <v>527</v>
      </c>
      <c r="C4005" t="s">
        <v>2836</v>
      </c>
      <c r="D4005" s="1" t="s">
        <v>2837</v>
      </c>
      <c r="E4005" t="s">
        <v>2838</v>
      </c>
      <c r="F4005">
        <v>60.515599999999999</v>
      </c>
      <c r="G4005">
        <v>22.279199999999999</v>
      </c>
      <c r="H4005">
        <v>2</v>
      </c>
      <c r="I4005">
        <v>49.1</v>
      </c>
      <c r="J4005" t="str">
        <f>HYPERLINK("https://climate.onebuilding.org/WMO_Region_6_Europe/FIN_Finland/SF_Southwest_Finland/FIN_SF_Turku.AP.029720_TMYx.2004-2018.zip")</f>
        <v>https://climate.onebuilding.org/WMO_Region_6_Europe/FIN_Finland/SF_Southwest_Finland/FIN_SF_Turku.AP.029720_TMYx.2004-2018.zip</v>
      </c>
    </row>
    <row r="4006" spans="1:10" x14ac:dyDescent="0.25">
      <c r="A4006" t="s">
        <v>2310</v>
      </c>
      <c r="B4006" t="s">
        <v>527</v>
      </c>
      <c r="C4006" t="s">
        <v>2836</v>
      </c>
      <c r="D4006" s="1" t="s">
        <v>2837</v>
      </c>
      <c r="E4006" t="s">
        <v>14</v>
      </c>
      <c r="F4006">
        <v>60.515599999999999</v>
      </c>
      <c r="G4006">
        <v>22.279199999999999</v>
      </c>
      <c r="H4006">
        <v>2</v>
      </c>
      <c r="I4006">
        <v>49.1</v>
      </c>
      <c r="J4006" t="str">
        <f>HYPERLINK("https://climate.onebuilding.org/WMO_Region_6_Europe/FIN_Finland/SF_Southwest_Finland/FIN_SF_Turku.AP.029720_TMYx.2007-2021.zip")</f>
        <v>https://climate.onebuilding.org/WMO_Region_6_Europe/FIN_Finland/SF_Southwest_Finland/FIN_SF_Turku.AP.029720_TMYx.2007-2021.zip</v>
      </c>
    </row>
    <row r="4007" spans="1:10" x14ac:dyDescent="0.25">
      <c r="A4007" t="s">
        <v>2310</v>
      </c>
      <c r="B4007" t="s">
        <v>527</v>
      </c>
      <c r="C4007" t="s">
        <v>2836</v>
      </c>
      <c r="D4007" s="1" t="s">
        <v>2837</v>
      </c>
      <c r="E4007" t="s">
        <v>14</v>
      </c>
      <c r="F4007">
        <v>60.515599999999999</v>
      </c>
      <c r="G4007">
        <v>22.279199999999999</v>
      </c>
      <c r="H4007">
        <v>2</v>
      </c>
      <c r="I4007">
        <v>49.1</v>
      </c>
      <c r="J4007" t="str">
        <f>HYPERLINK("https://climate.onebuilding.org/WMO_Region_6_Europe/FIN_Finland/SF_Southwest_Finland/FIN_SF_Turku.AP.029720_TMYx.2009-2023.zip")</f>
        <v>https://climate.onebuilding.org/WMO_Region_6_Europe/FIN_Finland/SF_Southwest_Finland/FIN_SF_Turku.AP.029720_TMYx.2009-2023.zip</v>
      </c>
    </row>
    <row r="4008" spans="1:10" x14ac:dyDescent="0.25">
      <c r="A4008" t="s">
        <v>2310</v>
      </c>
      <c r="B4008" t="s">
        <v>527</v>
      </c>
      <c r="C4008" t="s">
        <v>2836</v>
      </c>
      <c r="D4008" s="1" t="s">
        <v>2837</v>
      </c>
      <c r="E4008" t="s">
        <v>14</v>
      </c>
      <c r="F4008">
        <v>60.515599999999999</v>
      </c>
      <c r="G4008">
        <v>22.279199999999999</v>
      </c>
      <c r="H4008">
        <v>2</v>
      </c>
      <c r="I4008">
        <v>49.1</v>
      </c>
      <c r="J4008" t="str">
        <f>HYPERLINK("https://climate.onebuilding.org/WMO_Region_6_Europe/FIN_Finland/SF_Southwest_Finland/FIN_SF_Turku.AP.029720_TMYx.zip")</f>
        <v>https://climate.onebuilding.org/WMO_Region_6_Europe/FIN_Finland/SF_Southwest_Finland/FIN_SF_Turku.AP.029720_TMYx.zip</v>
      </c>
    </row>
    <row r="4009" spans="1:10" x14ac:dyDescent="0.25">
      <c r="A4009" t="s">
        <v>2310</v>
      </c>
      <c r="B4009" t="s">
        <v>527</v>
      </c>
      <c r="C4009" t="s">
        <v>2839</v>
      </c>
      <c r="D4009" s="1" t="s">
        <v>2840</v>
      </c>
      <c r="E4009" t="s">
        <v>14</v>
      </c>
      <c r="F4009">
        <v>60.4</v>
      </c>
      <c r="G4009">
        <v>23.766999999999999</v>
      </c>
      <c r="H4009">
        <v>2</v>
      </c>
      <c r="I4009">
        <v>86</v>
      </c>
      <c r="J4009" t="str">
        <f>HYPERLINK("https://climate.onebuilding.org/WMO_Region_6_Europe/FIN_Finland/SF_Southwest_Finland/FIN_SF_Suomusjarvi.029730_TMYx.zip")</f>
        <v>https://climate.onebuilding.org/WMO_Region_6_Europe/FIN_Finland/SF_Southwest_Finland/FIN_SF_Suomusjarvi.029730_TMYx.zip</v>
      </c>
    </row>
    <row r="4010" spans="1:10" x14ac:dyDescent="0.25">
      <c r="A4010" t="s">
        <v>2310</v>
      </c>
      <c r="B4010" t="s">
        <v>2317</v>
      </c>
      <c r="C4010" t="s">
        <v>2841</v>
      </c>
      <c r="D4010" s="1" t="s">
        <v>2842</v>
      </c>
      <c r="E4010" t="s">
        <v>2843</v>
      </c>
      <c r="F4010">
        <v>60.317</v>
      </c>
      <c r="G4010">
        <v>24.963000000000001</v>
      </c>
      <c r="H4010">
        <v>2</v>
      </c>
      <c r="I4010">
        <v>54.6</v>
      </c>
      <c r="J4010" t="str">
        <f>HYPERLINK("https://climate.onebuilding.org/WMO_Region_6_Europe/FIN_Finland/US_Uusimaa/FIN_US_Helsinki-Vantaa.AP.029740_TMYx.2004-2018.zip")</f>
        <v>https://climate.onebuilding.org/WMO_Region_6_Europe/FIN_Finland/US_Uusimaa/FIN_US_Helsinki-Vantaa.AP.029740_TMYx.2004-2018.zip</v>
      </c>
    </row>
    <row r="4011" spans="1:10" x14ac:dyDescent="0.25">
      <c r="A4011" t="s">
        <v>2310</v>
      </c>
      <c r="B4011" t="s">
        <v>2317</v>
      </c>
      <c r="C4011" t="s">
        <v>2841</v>
      </c>
      <c r="D4011" s="1" t="s">
        <v>2842</v>
      </c>
      <c r="E4011" t="s">
        <v>14</v>
      </c>
      <c r="F4011">
        <v>60.317</v>
      </c>
      <c r="G4011">
        <v>24.963000000000001</v>
      </c>
      <c r="H4011">
        <v>2</v>
      </c>
      <c r="I4011">
        <v>54.6</v>
      </c>
      <c r="J4011" t="str">
        <f>HYPERLINK("https://climate.onebuilding.org/WMO_Region_6_Europe/FIN_Finland/US_Uusimaa/FIN_US_Helsinki-Vantaa.AP.029740_TMYx.2007-2021.zip")</f>
        <v>https://climate.onebuilding.org/WMO_Region_6_Europe/FIN_Finland/US_Uusimaa/FIN_US_Helsinki-Vantaa.AP.029740_TMYx.2007-2021.zip</v>
      </c>
    </row>
    <row r="4012" spans="1:10" x14ac:dyDescent="0.25">
      <c r="A4012" t="s">
        <v>2310</v>
      </c>
      <c r="B4012" t="s">
        <v>2317</v>
      </c>
      <c r="C4012" t="s">
        <v>2841</v>
      </c>
      <c r="D4012" s="1" t="s">
        <v>2842</v>
      </c>
      <c r="E4012" t="s">
        <v>14</v>
      </c>
      <c r="F4012">
        <v>60.317</v>
      </c>
      <c r="G4012">
        <v>24.963000000000001</v>
      </c>
      <c r="H4012">
        <v>2</v>
      </c>
      <c r="I4012">
        <v>54.6</v>
      </c>
      <c r="J4012" t="str">
        <f>HYPERLINK("https://climate.onebuilding.org/WMO_Region_6_Europe/FIN_Finland/US_Uusimaa/FIN_US_Helsinki-Vantaa.AP.029740_TMYx.2009-2023.zip")</f>
        <v>https://climate.onebuilding.org/WMO_Region_6_Europe/FIN_Finland/US_Uusimaa/FIN_US_Helsinki-Vantaa.AP.029740_TMYx.2009-2023.zip</v>
      </c>
    </row>
    <row r="4013" spans="1:10" x14ac:dyDescent="0.25">
      <c r="A4013" t="s">
        <v>2310</v>
      </c>
      <c r="B4013" t="s">
        <v>2317</v>
      </c>
      <c r="C4013" t="s">
        <v>2841</v>
      </c>
      <c r="D4013" s="1" t="s">
        <v>2842</v>
      </c>
      <c r="E4013" t="s">
        <v>14</v>
      </c>
      <c r="F4013">
        <v>60.317</v>
      </c>
      <c r="G4013">
        <v>24.963000000000001</v>
      </c>
      <c r="H4013">
        <v>2</v>
      </c>
      <c r="I4013">
        <v>54.6</v>
      </c>
      <c r="J4013" t="str">
        <f>HYPERLINK("https://climate.onebuilding.org/WMO_Region_6_Europe/FIN_Finland/US_Uusimaa/FIN_US_Helsinki-Vantaa.AP.029740_TMYx.zip")</f>
        <v>https://climate.onebuilding.org/WMO_Region_6_Europe/FIN_Finland/US_Uusimaa/FIN_US_Helsinki-Vantaa.AP.029740_TMYx.zip</v>
      </c>
    </row>
    <row r="4014" spans="1:10" x14ac:dyDescent="0.25">
      <c r="A4014" t="s">
        <v>2310</v>
      </c>
      <c r="B4014" t="s">
        <v>2317</v>
      </c>
      <c r="C4014" t="s">
        <v>2844</v>
      </c>
      <c r="D4014" s="1" t="s">
        <v>2845</v>
      </c>
      <c r="E4014" t="s">
        <v>2846</v>
      </c>
      <c r="F4014">
        <v>60.255000000000003</v>
      </c>
      <c r="G4014">
        <v>25.042999999999999</v>
      </c>
      <c r="H4014">
        <v>2</v>
      </c>
      <c r="I4014">
        <v>17.399999999999999</v>
      </c>
      <c r="J4014" t="str">
        <f>HYPERLINK("https://climate.onebuilding.org/WMO_Region_6_Europe/FIN_Finland/US_Uusimaa/FIN_US_Helsinki-Malmi.AP.029750_TMYx.2004-2018.zip")</f>
        <v>https://climate.onebuilding.org/WMO_Region_6_Europe/FIN_Finland/US_Uusimaa/FIN_US_Helsinki-Malmi.AP.029750_TMYx.2004-2018.zip</v>
      </c>
    </row>
    <row r="4015" spans="1:10" x14ac:dyDescent="0.25">
      <c r="A4015" t="s">
        <v>2310</v>
      </c>
      <c r="B4015" t="s">
        <v>2317</v>
      </c>
      <c r="C4015" t="s">
        <v>2844</v>
      </c>
      <c r="D4015" s="1" t="s">
        <v>2845</v>
      </c>
      <c r="E4015" t="s">
        <v>14</v>
      </c>
      <c r="F4015">
        <v>60.255000000000003</v>
      </c>
      <c r="G4015">
        <v>25.042999999999999</v>
      </c>
      <c r="H4015">
        <v>2</v>
      </c>
      <c r="I4015">
        <v>17.399999999999999</v>
      </c>
      <c r="J4015" t="str">
        <f>HYPERLINK("https://climate.onebuilding.org/WMO_Region_6_Europe/FIN_Finland/US_Uusimaa/FIN_US_Helsinki-Malmi.AP.029750_TMYx.2007-2021.zip")</f>
        <v>https://climate.onebuilding.org/WMO_Region_6_Europe/FIN_Finland/US_Uusimaa/FIN_US_Helsinki-Malmi.AP.029750_TMYx.2007-2021.zip</v>
      </c>
    </row>
    <row r="4016" spans="1:10" x14ac:dyDescent="0.25">
      <c r="A4016" t="s">
        <v>2310</v>
      </c>
      <c r="B4016" t="s">
        <v>2317</v>
      </c>
      <c r="C4016" t="s">
        <v>2844</v>
      </c>
      <c r="D4016" s="1" t="s">
        <v>2845</v>
      </c>
      <c r="E4016" t="s">
        <v>14</v>
      </c>
      <c r="F4016">
        <v>60.255000000000003</v>
      </c>
      <c r="G4016">
        <v>25.042999999999999</v>
      </c>
      <c r="H4016">
        <v>2</v>
      </c>
      <c r="I4016">
        <v>17.399999999999999</v>
      </c>
      <c r="J4016" t="str">
        <f>HYPERLINK("https://climate.onebuilding.org/WMO_Region_6_Europe/FIN_Finland/US_Uusimaa/FIN_US_Helsinki-Malmi.AP.029750_TMYx.2009-2023.zip")</f>
        <v>https://climate.onebuilding.org/WMO_Region_6_Europe/FIN_Finland/US_Uusimaa/FIN_US_Helsinki-Malmi.AP.029750_TMYx.2009-2023.zip</v>
      </c>
    </row>
    <row r="4017" spans="1:10" x14ac:dyDescent="0.25">
      <c r="A4017" t="s">
        <v>2310</v>
      </c>
      <c r="B4017" t="s">
        <v>2317</v>
      </c>
      <c r="C4017" t="s">
        <v>2844</v>
      </c>
      <c r="D4017" s="1" t="s">
        <v>2845</v>
      </c>
      <c r="E4017" t="s">
        <v>14</v>
      </c>
      <c r="F4017">
        <v>60.255000000000003</v>
      </c>
      <c r="G4017">
        <v>25.042999999999999</v>
      </c>
      <c r="H4017">
        <v>2</v>
      </c>
      <c r="I4017">
        <v>17.399999999999999</v>
      </c>
      <c r="J4017" t="str">
        <f>HYPERLINK("https://climate.onebuilding.org/WMO_Region_6_Europe/FIN_Finland/US_Uusimaa/FIN_US_Helsinki-Malmi.AP.029750_TMYx.zip")</f>
        <v>https://climate.onebuilding.org/WMO_Region_6_Europe/FIN_Finland/US_Uusimaa/FIN_US_Helsinki-Malmi.AP.029750_TMYx.zip</v>
      </c>
    </row>
    <row r="4018" spans="1:10" x14ac:dyDescent="0.25">
      <c r="A4018" t="s">
        <v>2310</v>
      </c>
      <c r="B4018" t="s">
        <v>530</v>
      </c>
      <c r="C4018" t="s">
        <v>2847</v>
      </c>
      <c r="D4018" s="1" t="s">
        <v>2848</v>
      </c>
      <c r="E4018" t="s">
        <v>2849</v>
      </c>
      <c r="F4018">
        <v>60.375300000000003</v>
      </c>
      <c r="G4018">
        <v>26.9589</v>
      </c>
      <c r="H4018">
        <v>2</v>
      </c>
      <c r="I4018">
        <v>13.1</v>
      </c>
      <c r="J4018" t="str">
        <f>HYPERLINK("https://climate.onebuilding.org/WMO_Region_6_Europe/FIN_Finland/KY_Kymenlaakso/FIN_KY_Kotka.Rankki.029760_TMYx.2004-2018.zip")</f>
        <v>https://climate.onebuilding.org/WMO_Region_6_Europe/FIN_Finland/KY_Kymenlaakso/FIN_KY_Kotka.Rankki.029760_TMYx.2004-2018.zip</v>
      </c>
    </row>
    <row r="4019" spans="1:10" x14ac:dyDescent="0.25">
      <c r="A4019" t="s">
        <v>2310</v>
      </c>
      <c r="B4019" t="s">
        <v>530</v>
      </c>
      <c r="C4019" t="s">
        <v>2847</v>
      </c>
      <c r="D4019" s="1" t="s">
        <v>2848</v>
      </c>
      <c r="E4019" t="s">
        <v>14</v>
      </c>
      <c r="F4019">
        <v>60.375300000000003</v>
      </c>
      <c r="G4019">
        <v>26.9589</v>
      </c>
      <c r="H4019">
        <v>2</v>
      </c>
      <c r="I4019">
        <v>13.1</v>
      </c>
      <c r="J4019" t="str">
        <f>HYPERLINK("https://climate.onebuilding.org/WMO_Region_6_Europe/FIN_Finland/KY_Kymenlaakso/FIN_KY_Kotka.Rankki.029760_TMYx.2007-2021.zip")</f>
        <v>https://climate.onebuilding.org/WMO_Region_6_Europe/FIN_Finland/KY_Kymenlaakso/FIN_KY_Kotka.Rankki.029760_TMYx.2007-2021.zip</v>
      </c>
    </row>
    <row r="4020" spans="1:10" x14ac:dyDescent="0.25">
      <c r="A4020" t="s">
        <v>2310</v>
      </c>
      <c r="B4020" t="s">
        <v>530</v>
      </c>
      <c r="C4020" t="s">
        <v>2847</v>
      </c>
      <c r="D4020" s="1" t="s">
        <v>2848</v>
      </c>
      <c r="E4020" t="s">
        <v>14</v>
      </c>
      <c r="F4020">
        <v>60.375300000000003</v>
      </c>
      <c r="G4020">
        <v>26.9589</v>
      </c>
      <c r="H4020">
        <v>2</v>
      </c>
      <c r="I4020">
        <v>13.1</v>
      </c>
      <c r="J4020" t="str">
        <f>HYPERLINK("https://climate.onebuilding.org/WMO_Region_6_Europe/FIN_Finland/KY_Kymenlaakso/FIN_KY_Kotka.Rankki.029760_TMYx.2009-2023.zip")</f>
        <v>https://climate.onebuilding.org/WMO_Region_6_Europe/FIN_Finland/KY_Kymenlaakso/FIN_KY_Kotka.Rankki.029760_TMYx.2009-2023.zip</v>
      </c>
    </row>
    <row r="4021" spans="1:10" x14ac:dyDescent="0.25">
      <c r="A4021" t="s">
        <v>2310</v>
      </c>
      <c r="B4021" t="s">
        <v>530</v>
      </c>
      <c r="C4021" t="s">
        <v>2847</v>
      </c>
      <c r="D4021" s="1" t="s">
        <v>2848</v>
      </c>
      <c r="E4021" t="s">
        <v>14</v>
      </c>
      <c r="F4021">
        <v>60.375300000000003</v>
      </c>
      <c r="G4021">
        <v>26.9589</v>
      </c>
      <c r="H4021">
        <v>2</v>
      </c>
      <c r="I4021">
        <v>13.1</v>
      </c>
      <c r="J4021" t="str">
        <f>HYPERLINK("https://climate.onebuilding.org/WMO_Region_6_Europe/FIN_Finland/KY_Kymenlaakso/FIN_KY_Kotka.Rankki.029760_TMYx.zip")</f>
        <v>https://climate.onebuilding.org/WMO_Region_6_Europe/FIN_Finland/KY_Kymenlaakso/FIN_KY_Kotka.Rankki.029760_TMYx.zip</v>
      </c>
    </row>
    <row r="4022" spans="1:10" x14ac:dyDescent="0.25">
      <c r="A4022" t="s">
        <v>2310</v>
      </c>
      <c r="B4022" t="s">
        <v>2317</v>
      </c>
      <c r="C4022" t="s">
        <v>2850</v>
      </c>
      <c r="D4022" s="1" t="s">
        <v>2851</v>
      </c>
      <c r="E4022" t="s">
        <v>2852</v>
      </c>
      <c r="F4022">
        <v>60.1753</v>
      </c>
      <c r="G4022">
        <v>24.944700000000001</v>
      </c>
      <c r="H4022">
        <v>2</v>
      </c>
      <c r="I4022">
        <v>4</v>
      </c>
      <c r="J4022" t="str">
        <f>HYPERLINK("https://climate.onebuilding.org/WMO_Region_6_Europe/FIN_Finland/US_Uusimaa/FIN_US_Helsinki-Kaisaniemi.029780_TMYx.2004-2018.zip")</f>
        <v>https://climate.onebuilding.org/WMO_Region_6_Europe/FIN_Finland/US_Uusimaa/FIN_US_Helsinki-Kaisaniemi.029780_TMYx.2004-2018.zip</v>
      </c>
    </row>
    <row r="4023" spans="1:10" x14ac:dyDescent="0.25">
      <c r="A4023" t="s">
        <v>2310</v>
      </c>
      <c r="B4023" t="s">
        <v>2317</v>
      </c>
      <c r="C4023" t="s">
        <v>2850</v>
      </c>
      <c r="D4023" s="1" t="s">
        <v>2851</v>
      </c>
      <c r="E4023" t="s">
        <v>14</v>
      </c>
      <c r="F4023">
        <v>60.1753</v>
      </c>
      <c r="G4023">
        <v>24.944700000000001</v>
      </c>
      <c r="H4023">
        <v>2</v>
      </c>
      <c r="I4023">
        <v>4</v>
      </c>
      <c r="J4023" t="str">
        <f>HYPERLINK("https://climate.onebuilding.org/WMO_Region_6_Europe/FIN_Finland/US_Uusimaa/FIN_US_Helsinki-Kaisaniemi.029780_TMYx.2007-2021.zip")</f>
        <v>https://climate.onebuilding.org/WMO_Region_6_Europe/FIN_Finland/US_Uusimaa/FIN_US_Helsinki-Kaisaniemi.029780_TMYx.2007-2021.zip</v>
      </c>
    </row>
    <row r="4024" spans="1:10" x14ac:dyDescent="0.25">
      <c r="A4024" t="s">
        <v>2310</v>
      </c>
      <c r="B4024" t="s">
        <v>2317</v>
      </c>
      <c r="C4024" t="s">
        <v>2850</v>
      </c>
      <c r="D4024" s="1" t="s">
        <v>2851</v>
      </c>
      <c r="E4024" t="s">
        <v>14</v>
      </c>
      <c r="F4024">
        <v>60.1753</v>
      </c>
      <c r="G4024">
        <v>24.944700000000001</v>
      </c>
      <c r="H4024">
        <v>2</v>
      </c>
      <c r="I4024">
        <v>4</v>
      </c>
      <c r="J4024" t="str">
        <f>HYPERLINK("https://climate.onebuilding.org/WMO_Region_6_Europe/FIN_Finland/US_Uusimaa/FIN_US_Helsinki-Kaisaniemi.029780_TMYx.2009-2023.zip")</f>
        <v>https://climate.onebuilding.org/WMO_Region_6_Europe/FIN_Finland/US_Uusimaa/FIN_US_Helsinki-Kaisaniemi.029780_TMYx.2009-2023.zip</v>
      </c>
    </row>
    <row r="4025" spans="1:10" x14ac:dyDescent="0.25">
      <c r="A4025" t="s">
        <v>2310</v>
      </c>
      <c r="B4025" t="s">
        <v>2317</v>
      </c>
      <c r="C4025" t="s">
        <v>2850</v>
      </c>
      <c r="D4025" s="1" t="s">
        <v>2851</v>
      </c>
      <c r="E4025" t="s">
        <v>14</v>
      </c>
      <c r="F4025">
        <v>60.1753</v>
      </c>
      <c r="G4025">
        <v>24.944700000000001</v>
      </c>
      <c r="H4025">
        <v>2</v>
      </c>
      <c r="I4025">
        <v>4</v>
      </c>
      <c r="J4025" t="str">
        <f>HYPERLINK("https://climate.onebuilding.org/WMO_Region_6_Europe/FIN_Finland/US_Uusimaa/FIN_US_Helsinki-Kaisaniemi.029780_TMYx.zip")</f>
        <v>https://climate.onebuilding.org/WMO_Region_6_Europe/FIN_Finland/US_Uusimaa/FIN_US_Helsinki-Kaisaniemi.029780_TMYx.zip</v>
      </c>
    </row>
    <row r="4026" spans="1:10" x14ac:dyDescent="0.25">
      <c r="A4026" t="s">
        <v>2310</v>
      </c>
      <c r="B4026" t="s">
        <v>2317</v>
      </c>
      <c r="C4026" t="s">
        <v>2853</v>
      </c>
      <c r="D4026" s="1" t="s">
        <v>2854</v>
      </c>
      <c r="E4026" t="s">
        <v>2855</v>
      </c>
      <c r="F4026">
        <v>59.773600000000002</v>
      </c>
      <c r="G4026">
        <v>22.951899999999998</v>
      </c>
      <c r="H4026">
        <v>2</v>
      </c>
      <c r="I4026">
        <v>6.5</v>
      </c>
      <c r="J4026" t="str">
        <f>HYPERLINK("https://climate.onebuilding.org/WMO_Region_6_Europe/FIN_Finland/US_Uusimaa/FIN_US_Hanko.Russaro.029820_TMYx.2004-2018.zip")</f>
        <v>https://climate.onebuilding.org/WMO_Region_6_Europe/FIN_Finland/US_Uusimaa/FIN_US_Hanko.Russaro.029820_TMYx.2004-2018.zip</v>
      </c>
    </row>
    <row r="4027" spans="1:10" x14ac:dyDescent="0.25">
      <c r="A4027" t="s">
        <v>2310</v>
      </c>
      <c r="B4027" t="s">
        <v>2317</v>
      </c>
      <c r="C4027" t="s">
        <v>2853</v>
      </c>
      <c r="D4027" s="1" t="s">
        <v>2854</v>
      </c>
      <c r="E4027" t="s">
        <v>14</v>
      </c>
      <c r="F4027">
        <v>59.773600000000002</v>
      </c>
      <c r="G4027">
        <v>22.951899999999998</v>
      </c>
      <c r="H4027">
        <v>2</v>
      </c>
      <c r="I4027">
        <v>6.5</v>
      </c>
      <c r="J4027" t="str">
        <f>HYPERLINK("https://climate.onebuilding.org/WMO_Region_6_Europe/FIN_Finland/US_Uusimaa/FIN_US_Hanko.Russaro.029820_TMYx.2007-2021.zip")</f>
        <v>https://climate.onebuilding.org/WMO_Region_6_Europe/FIN_Finland/US_Uusimaa/FIN_US_Hanko.Russaro.029820_TMYx.2007-2021.zip</v>
      </c>
    </row>
    <row r="4028" spans="1:10" x14ac:dyDescent="0.25">
      <c r="A4028" t="s">
        <v>2310</v>
      </c>
      <c r="B4028" t="s">
        <v>2317</v>
      </c>
      <c r="C4028" t="s">
        <v>2853</v>
      </c>
      <c r="D4028" s="1" t="s">
        <v>2854</v>
      </c>
      <c r="E4028" t="s">
        <v>14</v>
      </c>
      <c r="F4028">
        <v>59.773600000000002</v>
      </c>
      <c r="G4028">
        <v>22.951899999999998</v>
      </c>
      <c r="H4028">
        <v>2</v>
      </c>
      <c r="I4028">
        <v>6.5</v>
      </c>
      <c r="J4028" t="str">
        <f>HYPERLINK("https://climate.onebuilding.org/WMO_Region_6_Europe/FIN_Finland/US_Uusimaa/FIN_US_Hanko.Russaro.029820_TMYx.2009-2023.zip")</f>
        <v>https://climate.onebuilding.org/WMO_Region_6_Europe/FIN_Finland/US_Uusimaa/FIN_US_Hanko.Russaro.029820_TMYx.2009-2023.zip</v>
      </c>
    </row>
    <row r="4029" spans="1:10" x14ac:dyDescent="0.25">
      <c r="A4029" t="s">
        <v>2310</v>
      </c>
      <c r="B4029" t="s">
        <v>2317</v>
      </c>
      <c r="C4029" t="s">
        <v>2853</v>
      </c>
      <c r="D4029" s="1" t="s">
        <v>2854</v>
      </c>
      <c r="E4029" t="s">
        <v>14</v>
      </c>
      <c r="F4029">
        <v>59.773600000000002</v>
      </c>
      <c r="G4029">
        <v>22.951899999999998</v>
      </c>
      <c r="H4029">
        <v>2</v>
      </c>
      <c r="I4029">
        <v>6.5</v>
      </c>
      <c r="J4029" t="str">
        <f>HYPERLINK("https://climate.onebuilding.org/WMO_Region_6_Europe/FIN_Finland/US_Uusimaa/FIN_US_Hanko.Russaro.029820_TMYx.zip")</f>
        <v>https://climate.onebuilding.org/WMO_Region_6_Europe/FIN_Finland/US_Uusimaa/FIN_US_Hanko.Russaro.029820_TMYx.zip</v>
      </c>
    </row>
    <row r="4030" spans="1:10" x14ac:dyDescent="0.25">
      <c r="A4030" t="s">
        <v>2310</v>
      </c>
      <c r="B4030" t="s">
        <v>2317</v>
      </c>
      <c r="C4030" t="s">
        <v>2856</v>
      </c>
      <c r="D4030" s="1" t="s">
        <v>2857</v>
      </c>
      <c r="E4030" t="s">
        <v>2858</v>
      </c>
      <c r="F4030">
        <v>60.508899999999997</v>
      </c>
      <c r="G4030">
        <v>24.653600000000001</v>
      </c>
      <c r="H4030">
        <v>2</v>
      </c>
      <c r="I4030">
        <v>113</v>
      </c>
      <c r="J4030" t="str">
        <f>HYPERLINK("https://climate.onebuilding.org/WMO_Region_6_Europe/FIN_Finland/US_Uusimaa/FIN_US_Nurmijarvi.Geophysical.Obs.029830_TMYx.2004-2018.zip")</f>
        <v>https://climate.onebuilding.org/WMO_Region_6_Europe/FIN_Finland/US_Uusimaa/FIN_US_Nurmijarvi.Geophysical.Obs.029830_TMYx.2004-2018.zip</v>
      </c>
    </row>
    <row r="4031" spans="1:10" x14ac:dyDescent="0.25">
      <c r="A4031" t="s">
        <v>2310</v>
      </c>
      <c r="B4031" t="s">
        <v>2317</v>
      </c>
      <c r="C4031" t="s">
        <v>2856</v>
      </c>
      <c r="D4031" s="1" t="s">
        <v>2857</v>
      </c>
      <c r="E4031" t="s">
        <v>14</v>
      </c>
      <c r="F4031">
        <v>60.508899999999997</v>
      </c>
      <c r="G4031">
        <v>24.653600000000001</v>
      </c>
      <c r="H4031">
        <v>2</v>
      </c>
      <c r="I4031">
        <v>113</v>
      </c>
      <c r="J4031" t="str">
        <f>HYPERLINK("https://climate.onebuilding.org/WMO_Region_6_Europe/FIN_Finland/US_Uusimaa/FIN_US_Nurmijarvi.Geophysical.Obs.029830_TMYx.2007-2021.zip")</f>
        <v>https://climate.onebuilding.org/WMO_Region_6_Europe/FIN_Finland/US_Uusimaa/FIN_US_Nurmijarvi.Geophysical.Obs.029830_TMYx.2007-2021.zip</v>
      </c>
    </row>
    <row r="4032" spans="1:10" x14ac:dyDescent="0.25">
      <c r="A4032" t="s">
        <v>2310</v>
      </c>
      <c r="B4032" t="s">
        <v>2317</v>
      </c>
      <c r="C4032" t="s">
        <v>2856</v>
      </c>
      <c r="D4032" s="1" t="s">
        <v>2857</v>
      </c>
      <c r="E4032" t="s">
        <v>14</v>
      </c>
      <c r="F4032">
        <v>60.508899999999997</v>
      </c>
      <c r="G4032">
        <v>24.653600000000001</v>
      </c>
      <c r="H4032">
        <v>2</v>
      </c>
      <c r="I4032">
        <v>113</v>
      </c>
      <c r="J4032" t="str">
        <f>HYPERLINK("https://climate.onebuilding.org/WMO_Region_6_Europe/FIN_Finland/US_Uusimaa/FIN_US_Nurmijarvi.Geophysical.Obs.029830_TMYx.2009-2023.zip")</f>
        <v>https://climate.onebuilding.org/WMO_Region_6_Europe/FIN_Finland/US_Uusimaa/FIN_US_Nurmijarvi.Geophysical.Obs.029830_TMYx.2009-2023.zip</v>
      </c>
    </row>
    <row r="4033" spans="1:10" x14ac:dyDescent="0.25">
      <c r="A4033" t="s">
        <v>2310</v>
      </c>
      <c r="B4033" t="s">
        <v>2317</v>
      </c>
      <c r="C4033" t="s">
        <v>2856</v>
      </c>
      <c r="D4033" s="1" t="s">
        <v>2857</v>
      </c>
      <c r="E4033" t="s">
        <v>14</v>
      </c>
      <c r="F4033">
        <v>60.508899999999997</v>
      </c>
      <c r="G4033">
        <v>24.653600000000001</v>
      </c>
      <c r="H4033">
        <v>2</v>
      </c>
      <c r="I4033">
        <v>113</v>
      </c>
      <c r="J4033" t="str">
        <f>HYPERLINK("https://climate.onebuilding.org/WMO_Region_6_Europe/FIN_Finland/US_Uusimaa/FIN_US_Nurmijarvi.Geophysical.Obs.029830_TMYx.zip")</f>
        <v>https://climate.onebuilding.org/WMO_Region_6_Europe/FIN_Finland/US_Uusimaa/FIN_US_Nurmijarvi.Geophysical.Obs.029830_TMYx.zip</v>
      </c>
    </row>
    <row r="4034" spans="1:10" x14ac:dyDescent="0.25">
      <c r="A4034" t="s">
        <v>2310</v>
      </c>
      <c r="B4034" t="s">
        <v>2317</v>
      </c>
      <c r="C4034" t="s">
        <v>2859</v>
      </c>
      <c r="D4034" s="1" t="s">
        <v>2860</v>
      </c>
      <c r="E4034" t="s">
        <v>2861</v>
      </c>
      <c r="F4034">
        <v>59.931100000000001</v>
      </c>
      <c r="G4034">
        <v>24.014199999999999</v>
      </c>
      <c r="H4034">
        <v>2</v>
      </c>
      <c r="I4034">
        <v>12</v>
      </c>
      <c r="J4034" t="str">
        <f>HYPERLINK("https://climate.onebuilding.org/WMO_Region_6_Europe/FIN_Finland/US_Uusimaa/FIN_US_Inkoo.Bagaskar.029840_TMYx.2004-2018.zip")</f>
        <v>https://climate.onebuilding.org/WMO_Region_6_Europe/FIN_Finland/US_Uusimaa/FIN_US_Inkoo.Bagaskar.029840_TMYx.2004-2018.zip</v>
      </c>
    </row>
    <row r="4035" spans="1:10" x14ac:dyDescent="0.25">
      <c r="A4035" t="s">
        <v>2310</v>
      </c>
      <c r="B4035" t="s">
        <v>2317</v>
      </c>
      <c r="C4035" t="s">
        <v>2859</v>
      </c>
      <c r="D4035" s="1" t="s">
        <v>2860</v>
      </c>
      <c r="E4035" t="s">
        <v>14</v>
      </c>
      <c r="F4035">
        <v>59.931100000000001</v>
      </c>
      <c r="G4035">
        <v>24.014199999999999</v>
      </c>
      <c r="H4035">
        <v>2</v>
      </c>
      <c r="I4035">
        <v>12</v>
      </c>
      <c r="J4035" t="str">
        <f>HYPERLINK("https://climate.onebuilding.org/WMO_Region_6_Europe/FIN_Finland/US_Uusimaa/FIN_US_Inkoo.Bagaskar.029840_TMYx.2007-2021.zip")</f>
        <v>https://climate.onebuilding.org/WMO_Region_6_Europe/FIN_Finland/US_Uusimaa/FIN_US_Inkoo.Bagaskar.029840_TMYx.2007-2021.zip</v>
      </c>
    </row>
    <row r="4036" spans="1:10" x14ac:dyDescent="0.25">
      <c r="A4036" t="s">
        <v>2310</v>
      </c>
      <c r="B4036" t="s">
        <v>2317</v>
      </c>
      <c r="C4036" t="s">
        <v>2859</v>
      </c>
      <c r="D4036" s="1" t="s">
        <v>2860</v>
      </c>
      <c r="E4036" t="s">
        <v>14</v>
      </c>
      <c r="F4036">
        <v>59.931100000000001</v>
      </c>
      <c r="G4036">
        <v>24.014199999999999</v>
      </c>
      <c r="H4036">
        <v>2</v>
      </c>
      <c r="I4036">
        <v>12</v>
      </c>
      <c r="J4036" t="str">
        <f>HYPERLINK("https://climate.onebuilding.org/WMO_Region_6_Europe/FIN_Finland/US_Uusimaa/FIN_US_Inkoo.Bagaskar.029840_TMYx.2009-2023.zip")</f>
        <v>https://climate.onebuilding.org/WMO_Region_6_Europe/FIN_Finland/US_Uusimaa/FIN_US_Inkoo.Bagaskar.029840_TMYx.2009-2023.zip</v>
      </c>
    </row>
    <row r="4037" spans="1:10" x14ac:dyDescent="0.25">
      <c r="A4037" t="s">
        <v>2310</v>
      </c>
      <c r="B4037" t="s">
        <v>2317</v>
      </c>
      <c r="C4037" t="s">
        <v>2859</v>
      </c>
      <c r="D4037" s="1" t="s">
        <v>2860</v>
      </c>
      <c r="E4037" t="s">
        <v>14</v>
      </c>
      <c r="F4037">
        <v>59.931100000000001</v>
      </c>
      <c r="G4037">
        <v>24.014199999999999</v>
      </c>
      <c r="H4037">
        <v>2</v>
      </c>
      <c r="I4037">
        <v>12</v>
      </c>
      <c r="J4037" t="str">
        <f>HYPERLINK("https://climate.onebuilding.org/WMO_Region_6_Europe/FIN_Finland/US_Uusimaa/FIN_US_Inkoo.Bagaskar.029840_TMYx.zip")</f>
        <v>https://climate.onebuilding.org/WMO_Region_6_Europe/FIN_Finland/US_Uusimaa/FIN_US_Inkoo.Bagaskar.029840_TMYx.zip</v>
      </c>
    </row>
    <row r="4038" spans="1:10" x14ac:dyDescent="0.25">
      <c r="A4038" t="s">
        <v>2310</v>
      </c>
      <c r="B4038" t="s">
        <v>2317</v>
      </c>
      <c r="C4038" t="s">
        <v>2862</v>
      </c>
      <c r="D4038" s="1" t="s">
        <v>2863</v>
      </c>
      <c r="E4038" t="s">
        <v>14</v>
      </c>
      <c r="F4038">
        <v>60.183</v>
      </c>
      <c r="G4038">
        <v>24.783000000000001</v>
      </c>
      <c r="H4038">
        <v>2</v>
      </c>
      <c r="I4038">
        <v>7.5</v>
      </c>
      <c r="J4038" t="str">
        <f>HYPERLINK("https://climate.onebuilding.org/WMO_Region_6_Europe/FIN_Finland/US_Uusimaa/FIN_US_Espoo.Tapiola.029851_TMYx.2007-2021.zip")</f>
        <v>https://climate.onebuilding.org/WMO_Region_6_Europe/FIN_Finland/US_Uusimaa/FIN_US_Espoo.Tapiola.029851_TMYx.2007-2021.zip</v>
      </c>
    </row>
    <row r="4039" spans="1:10" x14ac:dyDescent="0.25">
      <c r="A4039" t="s">
        <v>2310</v>
      </c>
      <c r="B4039" t="s">
        <v>2317</v>
      </c>
      <c r="C4039" t="s">
        <v>2862</v>
      </c>
      <c r="D4039" s="1" t="s">
        <v>2863</v>
      </c>
      <c r="E4039" t="s">
        <v>14</v>
      </c>
      <c r="F4039">
        <v>60.183</v>
      </c>
      <c r="G4039">
        <v>24.783000000000001</v>
      </c>
      <c r="H4039">
        <v>2</v>
      </c>
      <c r="I4039">
        <v>7.5</v>
      </c>
      <c r="J4039" t="str">
        <f>HYPERLINK("https://climate.onebuilding.org/WMO_Region_6_Europe/FIN_Finland/US_Uusimaa/FIN_US_Espoo.Tapiola.029851_TMYx.2009-2023.zip")</f>
        <v>https://climate.onebuilding.org/WMO_Region_6_Europe/FIN_Finland/US_Uusimaa/FIN_US_Espoo.Tapiola.029851_TMYx.2009-2023.zip</v>
      </c>
    </row>
    <row r="4040" spans="1:10" x14ac:dyDescent="0.25">
      <c r="A4040" t="s">
        <v>2310</v>
      </c>
      <c r="B4040" t="s">
        <v>2317</v>
      </c>
      <c r="C4040" t="s">
        <v>2862</v>
      </c>
      <c r="D4040" s="1" t="s">
        <v>2863</v>
      </c>
      <c r="E4040" t="s">
        <v>14</v>
      </c>
      <c r="F4040">
        <v>60.183</v>
      </c>
      <c r="G4040">
        <v>24.783000000000001</v>
      </c>
      <c r="H4040">
        <v>2</v>
      </c>
      <c r="I4040">
        <v>7.5</v>
      </c>
      <c r="J4040" t="str">
        <f>HYPERLINK("https://climate.onebuilding.org/WMO_Region_6_Europe/FIN_Finland/US_Uusimaa/FIN_US_Espoo.Tapiola.029851_TMYx.zip")</f>
        <v>https://climate.onebuilding.org/WMO_Region_6_Europe/FIN_Finland/US_Uusimaa/FIN_US_Espoo.Tapiola.029851_TMYx.zip</v>
      </c>
    </row>
    <row r="4041" spans="1:10" x14ac:dyDescent="0.25">
      <c r="A4041" t="s">
        <v>2310</v>
      </c>
      <c r="B4041" t="s">
        <v>2317</v>
      </c>
      <c r="C4041" t="s">
        <v>2864</v>
      </c>
      <c r="D4041" s="1" t="s">
        <v>2865</v>
      </c>
      <c r="E4041" t="s">
        <v>14</v>
      </c>
      <c r="F4041">
        <v>60.1</v>
      </c>
      <c r="G4041">
        <v>24.917000000000002</v>
      </c>
      <c r="H4041">
        <v>2</v>
      </c>
      <c r="I4041">
        <v>7</v>
      </c>
      <c r="J4041" t="str">
        <f>HYPERLINK("https://climate.onebuilding.org/WMO_Region_6_Europe/FIN_Finland/US_Uusimaa/FIN_US_Katajaluoto.029860_TMYx.zip")</f>
        <v>https://climate.onebuilding.org/WMO_Region_6_Europe/FIN_Finland/US_Uusimaa/FIN_US_Katajaluoto.029860_TMYx.zip</v>
      </c>
    </row>
    <row r="4042" spans="1:10" x14ac:dyDescent="0.25">
      <c r="A4042" t="s">
        <v>2310</v>
      </c>
      <c r="B4042" t="s">
        <v>2317</v>
      </c>
      <c r="C4042" t="s">
        <v>2866</v>
      </c>
      <c r="D4042" s="1" t="s">
        <v>2867</v>
      </c>
      <c r="E4042" t="s">
        <v>2868</v>
      </c>
      <c r="F4042">
        <v>59.985300000000002</v>
      </c>
      <c r="G4042">
        <v>25.598600000000001</v>
      </c>
      <c r="H4042">
        <v>2</v>
      </c>
      <c r="I4042">
        <v>23.3</v>
      </c>
      <c r="J4042" t="str">
        <f>HYPERLINK("https://climate.onebuilding.org/WMO_Region_6_Europe/FIN_Finland/US_Uusimaa/FIN_US_Porvoo.Kallbadagrund.029870_TMYx.2004-2018.zip")</f>
        <v>https://climate.onebuilding.org/WMO_Region_6_Europe/FIN_Finland/US_Uusimaa/FIN_US_Porvoo.Kallbadagrund.029870_TMYx.2004-2018.zip</v>
      </c>
    </row>
    <row r="4043" spans="1:10" x14ac:dyDescent="0.25">
      <c r="A4043" t="s">
        <v>2310</v>
      </c>
      <c r="B4043" t="s">
        <v>2317</v>
      </c>
      <c r="C4043" t="s">
        <v>2866</v>
      </c>
      <c r="D4043" s="1" t="s">
        <v>2867</v>
      </c>
      <c r="E4043" t="s">
        <v>14</v>
      </c>
      <c r="F4043">
        <v>59.985300000000002</v>
      </c>
      <c r="G4043">
        <v>25.598600000000001</v>
      </c>
      <c r="H4043">
        <v>2</v>
      </c>
      <c r="I4043">
        <v>23.3</v>
      </c>
      <c r="J4043" t="str">
        <f>HYPERLINK("https://climate.onebuilding.org/WMO_Region_6_Europe/FIN_Finland/US_Uusimaa/FIN_US_Porvoo.Kallbadagrund.029870_TMYx.2007-2021.zip")</f>
        <v>https://climate.onebuilding.org/WMO_Region_6_Europe/FIN_Finland/US_Uusimaa/FIN_US_Porvoo.Kallbadagrund.029870_TMYx.2007-2021.zip</v>
      </c>
    </row>
    <row r="4044" spans="1:10" x14ac:dyDescent="0.25">
      <c r="A4044" t="s">
        <v>2310</v>
      </c>
      <c r="B4044" t="s">
        <v>2317</v>
      </c>
      <c r="C4044" t="s">
        <v>2866</v>
      </c>
      <c r="D4044" s="1" t="s">
        <v>2867</v>
      </c>
      <c r="E4044" t="s">
        <v>14</v>
      </c>
      <c r="F4044">
        <v>59.985300000000002</v>
      </c>
      <c r="G4044">
        <v>25.598600000000001</v>
      </c>
      <c r="H4044">
        <v>2</v>
      </c>
      <c r="I4044">
        <v>23.3</v>
      </c>
      <c r="J4044" t="str">
        <f>HYPERLINK("https://climate.onebuilding.org/WMO_Region_6_Europe/FIN_Finland/US_Uusimaa/FIN_US_Porvoo.Kallbadagrund.029870_TMYx.2009-2023.zip")</f>
        <v>https://climate.onebuilding.org/WMO_Region_6_Europe/FIN_Finland/US_Uusimaa/FIN_US_Porvoo.Kallbadagrund.029870_TMYx.2009-2023.zip</v>
      </c>
    </row>
    <row r="4045" spans="1:10" x14ac:dyDescent="0.25">
      <c r="A4045" t="s">
        <v>2310</v>
      </c>
      <c r="B4045" t="s">
        <v>2317</v>
      </c>
      <c r="C4045" t="s">
        <v>2866</v>
      </c>
      <c r="D4045" s="1" t="s">
        <v>2867</v>
      </c>
      <c r="E4045" t="s">
        <v>14</v>
      </c>
      <c r="F4045">
        <v>59.985300000000002</v>
      </c>
      <c r="G4045">
        <v>25.598600000000001</v>
      </c>
      <c r="H4045">
        <v>2</v>
      </c>
      <c r="I4045">
        <v>23.3</v>
      </c>
      <c r="J4045" t="str">
        <f>HYPERLINK("https://climate.onebuilding.org/WMO_Region_6_Europe/FIN_Finland/US_Uusimaa/FIN_US_Porvoo.Kallbadagrund.029870_TMYx.zip")</f>
        <v>https://climate.onebuilding.org/WMO_Region_6_Europe/FIN_Finland/US_Uusimaa/FIN_US_Porvoo.Kallbadagrund.029870_TMYx.zip</v>
      </c>
    </row>
    <row r="4046" spans="1:10" x14ac:dyDescent="0.25">
      <c r="A4046" t="s">
        <v>2310</v>
      </c>
      <c r="B4046" t="s">
        <v>2317</v>
      </c>
      <c r="C4046" t="s">
        <v>2869</v>
      </c>
      <c r="D4046" s="1" t="s">
        <v>2870</v>
      </c>
      <c r="E4046" t="s">
        <v>14</v>
      </c>
      <c r="F4046">
        <v>60.102699999999999</v>
      </c>
      <c r="G4046">
        <v>25.062100000000001</v>
      </c>
      <c r="H4046">
        <v>2</v>
      </c>
      <c r="I4046">
        <v>9</v>
      </c>
      <c r="J4046" t="str">
        <f>HYPERLINK("https://climate.onebuilding.org/WMO_Region_6_Europe/FIN_Finland/US_Uusimaa/FIN_US_Isosaari.029880_TMYx.zip")</f>
        <v>https://climate.onebuilding.org/WMO_Region_6_Europe/FIN_Finland/US_Uusimaa/FIN_US_Isosaari.029880_TMYx.zip</v>
      </c>
    </row>
    <row r="4047" spans="1:10" x14ac:dyDescent="0.25">
      <c r="A4047" t="s">
        <v>2310</v>
      </c>
      <c r="B4047" t="s">
        <v>2317</v>
      </c>
      <c r="C4047" t="s">
        <v>2871</v>
      </c>
      <c r="D4047" s="1" t="s">
        <v>2872</v>
      </c>
      <c r="E4047" t="s">
        <v>2873</v>
      </c>
      <c r="F4047">
        <v>59.948999999999998</v>
      </c>
      <c r="G4047">
        <v>24.926400000000001</v>
      </c>
      <c r="H4047">
        <v>2</v>
      </c>
      <c r="I4047">
        <v>20.2</v>
      </c>
      <c r="J4047" t="str">
        <f>HYPERLINK("https://climate.onebuilding.org/WMO_Region_6_Europe/FIN_Finland/US_Uusimaa/FIN_US_Helsinki.Lighthouse.029890_TMYx.2004-2018.zip")</f>
        <v>https://climate.onebuilding.org/WMO_Region_6_Europe/FIN_Finland/US_Uusimaa/FIN_US_Helsinki.Lighthouse.029890_TMYx.2004-2018.zip</v>
      </c>
    </row>
    <row r="4048" spans="1:10" x14ac:dyDescent="0.25">
      <c r="A4048" t="s">
        <v>2310</v>
      </c>
      <c r="B4048" t="s">
        <v>2317</v>
      </c>
      <c r="C4048" t="s">
        <v>2871</v>
      </c>
      <c r="D4048" s="1" t="s">
        <v>2872</v>
      </c>
      <c r="E4048" t="s">
        <v>14</v>
      </c>
      <c r="F4048">
        <v>59.948999999999998</v>
      </c>
      <c r="G4048">
        <v>24.926400000000001</v>
      </c>
      <c r="H4048">
        <v>2</v>
      </c>
      <c r="I4048">
        <v>20.2</v>
      </c>
      <c r="J4048" t="str">
        <f>HYPERLINK("https://climate.onebuilding.org/WMO_Region_6_Europe/FIN_Finland/US_Uusimaa/FIN_US_Helsinki.Lighthouse.029890_TMYx.2007-2021.zip")</f>
        <v>https://climate.onebuilding.org/WMO_Region_6_Europe/FIN_Finland/US_Uusimaa/FIN_US_Helsinki.Lighthouse.029890_TMYx.2007-2021.zip</v>
      </c>
    </row>
    <row r="4049" spans="1:10" x14ac:dyDescent="0.25">
      <c r="A4049" t="s">
        <v>2310</v>
      </c>
      <c r="B4049" t="s">
        <v>2317</v>
      </c>
      <c r="C4049" t="s">
        <v>2871</v>
      </c>
      <c r="D4049" s="1" t="s">
        <v>2872</v>
      </c>
      <c r="E4049" t="s">
        <v>14</v>
      </c>
      <c r="F4049">
        <v>59.948999999999998</v>
      </c>
      <c r="G4049">
        <v>24.926400000000001</v>
      </c>
      <c r="H4049">
        <v>2</v>
      </c>
      <c r="I4049">
        <v>20.2</v>
      </c>
      <c r="J4049" t="str">
        <f>HYPERLINK("https://climate.onebuilding.org/WMO_Region_6_Europe/FIN_Finland/US_Uusimaa/FIN_US_Helsinki.Lighthouse.029890_TMYx.2009-2023.zip")</f>
        <v>https://climate.onebuilding.org/WMO_Region_6_Europe/FIN_Finland/US_Uusimaa/FIN_US_Helsinki.Lighthouse.029890_TMYx.2009-2023.zip</v>
      </c>
    </row>
    <row r="4050" spans="1:10" x14ac:dyDescent="0.25">
      <c r="A4050" t="s">
        <v>2310</v>
      </c>
      <c r="B4050" t="s">
        <v>2317</v>
      </c>
      <c r="C4050" t="s">
        <v>2871</v>
      </c>
      <c r="D4050" s="1" t="s">
        <v>2872</v>
      </c>
      <c r="E4050" t="s">
        <v>14</v>
      </c>
      <c r="F4050">
        <v>59.948999999999998</v>
      </c>
      <c r="G4050">
        <v>24.926400000000001</v>
      </c>
      <c r="H4050">
        <v>2</v>
      </c>
      <c r="I4050">
        <v>20.2</v>
      </c>
      <c r="J4050" t="str">
        <f>HYPERLINK("https://climate.onebuilding.org/WMO_Region_6_Europe/FIN_Finland/US_Uusimaa/FIN_US_Helsinki.Lighthouse.029890_TMYx.zip")</f>
        <v>https://climate.onebuilding.org/WMO_Region_6_Europe/FIN_Finland/US_Uusimaa/FIN_US_Helsinki.Lighthouse.029890_TMYx.zip</v>
      </c>
    </row>
    <row r="4051" spans="1:10" x14ac:dyDescent="0.25">
      <c r="A4051" t="s">
        <v>2310</v>
      </c>
      <c r="B4051" t="s">
        <v>2317</v>
      </c>
      <c r="C4051" t="s">
        <v>2874</v>
      </c>
      <c r="D4051" s="1" t="s">
        <v>2875</v>
      </c>
      <c r="E4051" t="s">
        <v>2876</v>
      </c>
      <c r="F4051">
        <v>60.203899999999997</v>
      </c>
      <c r="G4051">
        <v>25.625599999999999</v>
      </c>
      <c r="H4051">
        <v>2</v>
      </c>
      <c r="I4051">
        <v>27.1</v>
      </c>
      <c r="J4051" t="str">
        <f>HYPERLINK("https://climate.onebuilding.org/WMO_Region_6_Europe/FIN_Finland/US_Uusimaa/FIN_US_Porvoo.Emasalo.029910_TMYx.2004-2018.zip")</f>
        <v>https://climate.onebuilding.org/WMO_Region_6_Europe/FIN_Finland/US_Uusimaa/FIN_US_Porvoo.Emasalo.029910_TMYx.2004-2018.zip</v>
      </c>
    </row>
    <row r="4052" spans="1:10" x14ac:dyDescent="0.25">
      <c r="A4052" t="s">
        <v>2310</v>
      </c>
      <c r="B4052" t="s">
        <v>2317</v>
      </c>
      <c r="C4052" t="s">
        <v>2874</v>
      </c>
      <c r="D4052" s="1" t="s">
        <v>2875</v>
      </c>
      <c r="E4052" t="s">
        <v>14</v>
      </c>
      <c r="F4052">
        <v>60.203899999999997</v>
      </c>
      <c r="G4052">
        <v>25.625599999999999</v>
      </c>
      <c r="H4052">
        <v>2</v>
      </c>
      <c r="I4052">
        <v>27.1</v>
      </c>
      <c r="J4052" t="str">
        <f>HYPERLINK("https://climate.onebuilding.org/WMO_Region_6_Europe/FIN_Finland/US_Uusimaa/FIN_US_Porvoo.Emasalo.029910_TMYx.2007-2021.zip")</f>
        <v>https://climate.onebuilding.org/WMO_Region_6_Europe/FIN_Finland/US_Uusimaa/FIN_US_Porvoo.Emasalo.029910_TMYx.2007-2021.zip</v>
      </c>
    </row>
    <row r="4053" spans="1:10" x14ac:dyDescent="0.25">
      <c r="A4053" t="s">
        <v>2310</v>
      </c>
      <c r="B4053" t="s">
        <v>2317</v>
      </c>
      <c r="C4053" t="s">
        <v>2874</v>
      </c>
      <c r="D4053" s="1" t="s">
        <v>2875</v>
      </c>
      <c r="E4053" t="s">
        <v>14</v>
      </c>
      <c r="F4053">
        <v>60.203899999999997</v>
      </c>
      <c r="G4053">
        <v>25.625599999999999</v>
      </c>
      <c r="H4053">
        <v>2</v>
      </c>
      <c r="I4053">
        <v>27.1</v>
      </c>
      <c r="J4053" t="str">
        <f>HYPERLINK("https://climate.onebuilding.org/WMO_Region_6_Europe/FIN_Finland/US_Uusimaa/FIN_US_Porvoo.Emasalo.029910_TMYx.2009-2023.zip")</f>
        <v>https://climate.onebuilding.org/WMO_Region_6_Europe/FIN_Finland/US_Uusimaa/FIN_US_Porvoo.Emasalo.029910_TMYx.2009-2023.zip</v>
      </c>
    </row>
    <row r="4054" spans="1:10" x14ac:dyDescent="0.25">
      <c r="A4054" t="s">
        <v>2310</v>
      </c>
      <c r="B4054" t="s">
        <v>2317</v>
      </c>
      <c r="C4054" t="s">
        <v>2874</v>
      </c>
      <c r="D4054" s="1" t="s">
        <v>2875</v>
      </c>
      <c r="E4054" t="s">
        <v>14</v>
      </c>
      <c r="F4054">
        <v>60.203899999999997</v>
      </c>
      <c r="G4054">
        <v>25.625599999999999</v>
      </c>
      <c r="H4054">
        <v>2</v>
      </c>
      <c r="I4054">
        <v>27.1</v>
      </c>
      <c r="J4054" t="str">
        <f>HYPERLINK("https://climate.onebuilding.org/WMO_Region_6_Europe/FIN_Finland/US_Uusimaa/FIN_US_Porvoo.Emasalo.029910_TMYx.zip")</f>
        <v>https://climate.onebuilding.org/WMO_Region_6_Europe/FIN_Finland/US_Uusimaa/FIN_US_Porvoo.Emasalo.029910_TMYx.zip</v>
      </c>
    </row>
    <row r="4055" spans="1:10" x14ac:dyDescent="0.25">
      <c r="A4055" t="s">
        <v>2310</v>
      </c>
      <c r="B4055" t="s">
        <v>2317</v>
      </c>
      <c r="C4055" t="s">
        <v>2877</v>
      </c>
      <c r="D4055" s="1" t="s">
        <v>2878</v>
      </c>
      <c r="E4055" t="s">
        <v>2879</v>
      </c>
      <c r="F4055">
        <v>60.274999999999999</v>
      </c>
      <c r="G4055">
        <v>26.444400000000002</v>
      </c>
      <c r="H4055">
        <v>2</v>
      </c>
      <c r="I4055">
        <v>3.5</v>
      </c>
      <c r="J4055" t="str">
        <f>HYPERLINK("https://climate.onebuilding.org/WMO_Region_6_Europe/FIN_Finland/US_Uusimaa/FIN_US_Loviisa.Orrengrund.029920_TMYx.2004-2018.zip")</f>
        <v>https://climate.onebuilding.org/WMO_Region_6_Europe/FIN_Finland/US_Uusimaa/FIN_US_Loviisa.Orrengrund.029920_TMYx.2004-2018.zip</v>
      </c>
    </row>
    <row r="4056" spans="1:10" x14ac:dyDescent="0.25">
      <c r="A4056" t="s">
        <v>2310</v>
      </c>
      <c r="B4056" t="s">
        <v>2317</v>
      </c>
      <c r="C4056" t="s">
        <v>2877</v>
      </c>
      <c r="D4056" s="1" t="s">
        <v>2878</v>
      </c>
      <c r="E4056" t="s">
        <v>14</v>
      </c>
      <c r="F4056">
        <v>60.274999999999999</v>
      </c>
      <c r="G4056">
        <v>26.444400000000002</v>
      </c>
      <c r="H4056">
        <v>2</v>
      </c>
      <c r="I4056">
        <v>3.5</v>
      </c>
      <c r="J4056" t="str">
        <f>HYPERLINK("https://climate.onebuilding.org/WMO_Region_6_Europe/FIN_Finland/US_Uusimaa/FIN_US_Loviisa.Orrengrund.029920_TMYx.2007-2021.zip")</f>
        <v>https://climate.onebuilding.org/WMO_Region_6_Europe/FIN_Finland/US_Uusimaa/FIN_US_Loviisa.Orrengrund.029920_TMYx.2007-2021.zip</v>
      </c>
    </row>
    <row r="4057" spans="1:10" x14ac:dyDescent="0.25">
      <c r="A4057" t="s">
        <v>2310</v>
      </c>
      <c r="B4057" t="s">
        <v>2317</v>
      </c>
      <c r="C4057" t="s">
        <v>2877</v>
      </c>
      <c r="D4057" s="1" t="s">
        <v>2878</v>
      </c>
      <c r="E4057" t="s">
        <v>14</v>
      </c>
      <c r="F4057">
        <v>60.274999999999999</v>
      </c>
      <c r="G4057">
        <v>26.444400000000002</v>
      </c>
      <c r="H4057">
        <v>2</v>
      </c>
      <c r="I4057">
        <v>3.5</v>
      </c>
      <c r="J4057" t="str">
        <f>HYPERLINK("https://climate.onebuilding.org/WMO_Region_6_Europe/FIN_Finland/US_Uusimaa/FIN_US_Loviisa.Orrengrund.029920_TMYx.2009-2023.zip")</f>
        <v>https://climate.onebuilding.org/WMO_Region_6_Europe/FIN_Finland/US_Uusimaa/FIN_US_Loviisa.Orrengrund.029920_TMYx.2009-2023.zip</v>
      </c>
    </row>
    <row r="4058" spans="1:10" x14ac:dyDescent="0.25">
      <c r="A4058" t="s">
        <v>2310</v>
      </c>
      <c r="B4058" t="s">
        <v>2317</v>
      </c>
      <c r="C4058" t="s">
        <v>2877</v>
      </c>
      <c r="D4058" s="1" t="s">
        <v>2878</v>
      </c>
      <c r="E4058" t="s">
        <v>14</v>
      </c>
      <c r="F4058">
        <v>60.274999999999999</v>
      </c>
      <c r="G4058">
        <v>26.444400000000002</v>
      </c>
      <c r="H4058">
        <v>2</v>
      </c>
      <c r="I4058">
        <v>3.5</v>
      </c>
      <c r="J4058" t="str">
        <f>HYPERLINK("https://climate.onebuilding.org/WMO_Region_6_Europe/FIN_Finland/US_Uusimaa/FIN_US_Loviisa.Orrengrund.029920_TMYx.zip")</f>
        <v>https://climate.onebuilding.org/WMO_Region_6_Europe/FIN_Finland/US_Uusimaa/FIN_US_Loviisa.Orrengrund.029920_TMYx.zip</v>
      </c>
    </row>
    <row r="4059" spans="1:10" x14ac:dyDescent="0.25">
      <c r="A4059" t="s">
        <v>2310</v>
      </c>
      <c r="B4059" t="s">
        <v>2317</v>
      </c>
      <c r="C4059" t="s">
        <v>2880</v>
      </c>
      <c r="D4059" s="1" t="s">
        <v>2881</v>
      </c>
      <c r="E4059" t="s">
        <v>2882</v>
      </c>
      <c r="F4059">
        <v>60.203099999999999</v>
      </c>
      <c r="G4059">
        <v>24.961400000000001</v>
      </c>
      <c r="H4059">
        <v>2</v>
      </c>
      <c r="I4059">
        <v>25.3</v>
      </c>
      <c r="J4059" t="str">
        <f>HYPERLINK("https://climate.onebuilding.org/WMO_Region_6_Europe/FIN_Finland/US_Uusimaa/FIN_US_Helsinki-Kumpula.029980_TMYx.2004-2018.zip")</f>
        <v>https://climate.onebuilding.org/WMO_Region_6_Europe/FIN_Finland/US_Uusimaa/FIN_US_Helsinki-Kumpula.029980_TMYx.2004-2018.zip</v>
      </c>
    </row>
    <row r="4060" spans="1:10" x14ac:dyDescent="0.25">
      <c r="A4060" t="s">
        <v>2310</v>
      </c>
      <c r="B4060" t="s">
        <v>2317</v>
      </c>
      <c r="C4060" t="s">
        <v>2880</v>
      </c>
      <c r="D4060" s="1" t="s">
        <v>2881</v>
      </c>
      <c r="E4060" t="s">
        <v>14</v>
      </c>
      <c r="F4060">
        <v>60.203099999999999</v>
      </c>
      <c r="G4060">
        <v>24.961400000000001</v>
      </c>
      <c r="H4060">
        <v>2</v>
      </c>
      <c r="I4060">
        <v>25.3</v>
      </c>
      <c r="J4060" t="str">
        <f>HYPERLINK("https://climate.onebuilding.org/WMO_Region_6_Europe/FIN_Finland/US_Uusimaa/FIN_US_Helsinki-Kumpula.029980_TMYx.2007-2021.zip")</f>
        <v>https://climate.onebuilding.org/WMO_Region_6_Europe/FIN_Finland/US_Uusimaa/FIN_US_Helsinki-Kumpula.029980_TMYx.2007-2021.zip</v>
      </c>
    </row>
    <row r="4061" spans="1:10" x14ac:dyDescent="0.25">
      <c r="A4061" t="s">
        <v>2310</v>
      </c>
      <c r="B4061" t="s">
        <v>2317</v>
      </c>
      <c r="C4061" t="s">
        <v>2880</v>
      </c>
      <c r="D4061" s="1" t="s">
        <v>2881</v>
      </c>
      <c r="E4061" t="s">
        <v>14</v>
      </c>
      <c r="F4061">
        <v>60.203099999999999</v>
      </c>
      <c r="G4061">
        <v>24.961400000000001</v>
      </c>
      <c r="H4061">
        <v>2</v>
      </c>
      <c r="I4061">
        <v>25.3</v>
      </c>
      <c r="J4061" t="str">
        <f>HYPERLINK("https://climate.onebuilding.org/WMO_Region_6_Europe/FIN_Finland/US_Uusimaa/FIN_US_Helsinki-Kumpula.029980_TMYx.2009-2023.zip")</f>
        <v>https://climate.onebuilding.org/WMO_Region_6_Europe/FIN_Finland/US_Uusimaa/FIN_US_Helsinki-Kumpula.029980_TMYx.2009-2023.zip</v>
      </c>
    </row>
    <row r="4062" spans="1:10" x14ac:dyDescent="0.25">
      <c r="A4062" t="s">
        <v>2310</v>
      </c>
      <c r="B4062" t="s">
        <v>2317</v>
      </c>
      <c r="C4062" t="s">
        <v>2880</v>
      </c>
      <c r="D4062" s="1" t="s">
        <v>2881</v>
      </c>
      <c r="E4062" t="s">
        <v>14</v>
      </c>
      <c r="F4062">
        <v>60.203099999999999</v>
      </c>
      <c r="G4062">
        <v>24.961400000000001</v>
      </c>
      <c r="H4062">
        <v>2</v>
      </c>
      <c r="I4062">
        <v>25.3</v>
      </c>
      <c r="J4062" t="str">
        <f>HYPERLINK("https://climate.onebuilding.org/WMO_Region_6_Europe/FIN_Finland/US_Uusimaa/FIN_US_Helsinki-Kumpula.029980_TMYx.zip")</f>
        <v>https://climate.onebuilding.org/WMO_Region_6_Europe/FIN_Finland/US_Uusimaa/FIN_US_Helsinki-Kumpula.029980_TMYx.zip</v>
      </c>
    </row>
    <row r="4063" spans="1:10" x14ac:dyDescent="0.25">
      <c r="A4063" t="s">
        <v>2883</v>
      </c>
      <c r="B4063" t="s">
        <v>2028</v>
      </c>
      <c r="C4063" t="s">
        <v>2884</v>
      </c>
      <c r="D4063" s="1" t="s">
        <v>2885</v>
      </c>
      <c r="E4063" t="s">
        <v>2886</v>
      </c>
      <c r="F4063">
        <v>50.732500000000002</v>
      </c>
      <c r="G4063">
        <v>1.5996999999999999</v>
      </c>
      <c r="H4063">
        <v>1</v>
      </c>
      <c r="I4063">
        <v>68</v>
      </c>
      <c r="J4063" t="str">
        <f>HYPERLINK("https://climate.onebuilding.org/WMO_Region_6_Europe/FRA_France/NC_Hauts-de-France/FRA_NC_Boulogne.sur.Mer.070020_TMYx.2004-2018.zip")</f>
        <v>https://climate.onebuilding.org/WMO_Region_6_Europe/FRA_France/NC_Hauts-de-France/FRA_NC_Boulogne.sur.Mer.070020_TMYx.2004-2018.zip</v>
      </c>
    </row>
    <row r="4064" spans="1:10" x14ac:dyDescent="0.25">
      <c r="A4064" t="s">
        <v>2883</v>
      </c>
      <c r="B4064" t="s">
        <v>2028</v>
      </c>
      <c r="C4064" t="s">
        <v>2884</v>
      </c>
      <c r="D4064" s="1" t="s">
        <v>2885</v>
      </c>
      <c r="E4064" t="s">
        <v>14</v>
      </c>
      <c r="F4064">
        <v>50.732500000000002</v>
      </c>
      <c r="G4064">
        <v>1.5996999999999999</v>
      </c>
      <c r="H4064">
        <v>1</v>
      </c>
      <c r="I4064">
        <v>68</v>
      </c>
      <c r="J4064" t="str">
        <f>HYPERLINK("https://climate.onebuilding.org/WMO_Region_6_Europe/FRA_France/NC_Hauts-de-France/FRA_NC_Boulogne.sur.Mer.070020_TMYx.2007-2021.zip")</f>
        <v>https://climate.onebuilding.org/WMO_Region_6_Europe/FRA_France/NC_Hauts-de-France/FRA_NC_Boulogne.sur.Mer.070020_TMYx.2007-2021.zip</v>
      </c>
    </row>
    <row r="4065" spans="1:10" x14ac:dyDescent="0.25">
      <c r="A4065" t="s">
        <v>2883</v>
      </c>
      <c r="B4065" t="s">
        <v>2028</v>
      </c>
      <c r="C4065" t="s">
        <v>2884</v>
      </c>
      <c r="D4065" s="1" t="s">
        <v>2885</v>
      </c>
      <c r="E4065" t="s">
        <v>14</v>
      </c>
      <c r="F4065">
        <v>50.732500000000002</v>
      </c>
      <c r="G4065">
        <v>1.5996999999999999</v>
      </c>
      <c r="H4065">
        <v>1</v>
      </c>
      <c r="I4065">
        <v>68</v>
      </c>
      <c r="J4065" t="str">
        <f>HYPERLINK("https://climate.onebuilding.org/WMO_Region_6_Europe/FRA_France/NC_Hauts-de-France/FRA_NC_Boulogne.sur.Mer.070020_TMYx.2009-2023.zip")</f>
        <v>https://climate.onebuilding.org/WMO_Region_6_Europe/FRA_France/NC_Hauts-de-France/FRA_NC_Boulogne.sur.Mer.070020_TMYx.2009-2023.zip</v>
      </c>
    </row>
    <row r="4066" spans="1:10" x14ac:dyDescent="0.25">
      <c r="A4066" t="s">
        <v>2883</v>
      </c>
      <c r="B4066" t="s">
        <v>2028</v>
      </c>
      <c r="C4066" t="s">
        <v>2884</v>
      </c>
      <c r="D4066" s="1" t="s">
        <v>2885</v>
      </c>
      <c r="E4066" t="s">
        <v>14</v>
      </c>
      <c r="F4066">
        <v>50.732500000000002</v>
      </c>
      <c r="G4066">
        <v>1.5996999999999999</v>
      </c>
      <c r="H4066">
        <v>1</v>
      </c>
      <c r="I4066">
        <v>68</v>
      </c>
      <c r="J4066" t="str">
        <f>HYPERLINK("https://climate.onebuilding.org/WMO_Region_6_Europe/FRA_France/NC_Hauts-de-France/FRA_NC_Boulogne.sur.Mer.070020_TMYx.zip")</f>
        <v>https://climate.onebuilding.org/WMO_Region_6_Europe/FRA_France/NC_Hauts-de-France/FRA_NC_Boulogne.sur.Mer.070020_TMYx.zip</v>
      </c>
    </row>
    <row r="4067" spans="1:10" x14ac:dyDescent="0.25">
      <c r="A4067" t="s">
        <v>2883</v>
      </c>
      <c r="B4067" t="s">
        <v>2028</v>
      </c>
      <c r="C4067" t="s">
        <v>2887</v>
      </c>
      <c r="D4067" s="1" t="s">
        <v>2888</v>
      </c>
      <c r="E4067" t="s">
        <v>2889</v>
      </c>
      <c r="F4067">
        <v>50.514499999999998</v>
      </c>
      <c r="G4067">
        <v>1.6228</v>
      </c>
      <c r="H4067">
        <v>1</v>
      </c>
      <c r="I4067">
        <v>20</v>
      </c>
      <c r="J4067" t="str">
        <f>HYPERLINK("https://climate.onebuilding.org/WMO_Region_6_Europe/FRA_France/NC_Hauts-de-France/FRA_NC_Le.Touquet.Intl.AP.070030_TMYx.2004-2018.zip")</f>
        <v>https://climate.onebuilding.org/WMO_Region_6_Europe/FRA_France/NC_Hauts-de-France/FRA_NC_Le.Touquet.Intl.AP.070030_TMYx.2004-2018.zip</v>
      </c>
    </row>
    <row r="4068" spans="1:10" x14ac:dyDescent="0.25">
      <c r="A4068" t="s">
        <v>2883</v>
      </c>
      <c r="B4068" t="s">
        <v>2028</v>
      </c>
      <c r="C4068" t="s">
        <v>2887</v>
      </c>
      <c r="D4068" s="1" t="s">
        <v>2888</v>
      </c>
      <c r="E4068" t="s">
        <v>14</v>
      </c>
      <c r="F4068">
        <v>50.514499999999998</v>
      </c>
      <c r="G4068">
        <v>1.6228</v>
      </c>
      <c r="H4068">
        <v>1</v>
      </c>
      <c r="I4068">
        <v>20</v>
      </c>
      <c r="J4068" t="str">
        <f>HYPERLINK("https://climate.onebuilding.org/WMO_Region_6_Europe/FRA_France/NC_Hauts-de-France/FRA_NC_Le.Touquet.Intl.AP.070030_TMYx.2007-2021.zip")</f>
        <v>https://climate.onebuilding.org/WMO_Region_6_Europe/FRA_France/NC_Hauts-de-France/FRA_NC_Le.Touquet.Intl.AP.070030_TMYx.2007-2021.zip</v>
      </c>
    </row>
    <row r="4069" spans="1:10" x14ac:dyDescent="0.25">
      <c r="A4069" t="s">
        <v>2883</v>
      </c>
      <c r="B4069" t="s">
        <v>2028</v>
      </c>
      <c r="C4069" t="s">
        <v>2887</v>
      </c>
      <c r="D4069" s="1" t="s">
        <v>2888</v>
      </c>
      <c r="E4069" t="s">
        <v>14</v>
      </c>
      <c r="F4069">
        <v>50.514499999999998</v>
      </c>
      <c r="G4069">
        <v>1.6228</v>
      </c>
      <c r="H4069">
        <v>1</v>
      </c>
      <c r="I4069">
        <v>20</v>
      </c>
      <c r="J4069" t="str">
        <f>HYPERLINK("https://climate.onebuilding.org/WMO_Region_6_Europe/FRA_France/NC_Hauts-de-France/FRA_NC_Le.Touquet.Intl.AP.070030_TMYx.2009-2023.zip")</f>
        <v>https://climate.onebuilding.org/WMO_Region_6_Europe/FRA_France/NC_Hauts-de-France/FRA_NC_Le.Touquet.Intl.AP.070030_TMYx.2009-2023.zip</v>
      </c>
    </row>
    <row r="4070" spans="1:10" x14ac:dyDescent="0.25">
      <c r="A4070" t="s">
        <v>2883</v>
      </c>
      <c r="B4070" t="s">
        <v>2028</v>
      </c>
      <c r="C4070" t="s">
        <v>2887</v>
      </c>
      <c r="D4070" s="1" t="s">
        <v>2888</v>
      </c>
      <c r="E4070" t="s">
        <v>14</v>
      </c>
      <c r="F4070">
        <v>50.514499999999998</v>
      </c>
      <c r="G4070">
        <v>1.6228</v>
      </c>
      <c r="H4070">
        <v>1</v>
      </c>
      <c r="I4070">
        <v>20</v>
      </c>
      <c r="J4070" t="str">
        <f>HYPERLINK("https://climate.onebuilding.org/WMO_Region_6_Europe/FRA_France/NC_Hauts-de-France/FRA_NC_Le.Touquet.Intl.AP.070030_TMYx.zip")</f>
        <v>https://climate.onebuilding.org/WMO_Region_6_Europe/FRA_France/NC_Hauts-de-France/FRA_NC_Le.Touquet.Intl.AP.070030_TMYx.zip</v>
      </c>
    </row>
    <row r="4071" spans="1:10" x14ac:dyDescent="0.25">
      <c r="A4071" t="s">
        <v>2883</v>
      </c>
      <c r="B4071" t="s">
        <v>2028</v>
      </c>
      <c r="C4071" t="s">
        <v>2890</v>
      </c>
      <c r="D4071" s="1" t="s">
        <v>2891</v>
      </c>
      <c r="E4071" t="s">
        <v>2892</v>
      </c>
      <c r="F4071">
        <v>50.136099999999999</v>
      </c>
      <c r="G4071">
        <v>1.8339000000000001</v>
      </c>
      <c r="H4071">
        <v>1</v>
      </c>
      <c r="I4071">
        <v>72</v>
      </c>
      <c r="J4071" t="str">
        <f>HYPERLINK("https://climate.onebuilding.org/WMO_Region_6_Europe/FRA_France/NC_Hauts-de-France/FRA_NC_Abbeville.AF.070050_TMYx.2004-2018.zip")</f>
        <v>https://climate.onebuilding.org/WMO_Region_6_Europe/FRA_France/NC_Hauts-de-France/FRA_NC_Abbeville.AF.070050_TMYx.2004-2018.zip</v>
      </c>
    </row>
    <row r="4072" spans="1:10" x14ac:dyDescent="0.25">
      <c r="A4072" t="s">
        <v>2883</v>
      </c>
      <c r="B4072" t="s">
        <v>2028</v>
      </c>
      <c r="C4072" t="s">
        <v>2890</v>
      </c>
      <c r="D4072" s="1" t="s">
        <v>2891</v>
      </c>
      <c r="E4072" t="s">
        <v>14</v>
      </c>
      <c r="F4072">
        <v>50.136099999999999</v>
      </c>
      <c r="G4072">
        <v>1.8339000000000001</v>
      </c>
      <c r="H4072">
        <v>1</v>
      </c>
      <c r="I4072">
        <v>72</v>
      </c>
      <c r="J4072" t="str">
        <f>HYPERLINK("https://climate.onebuilding.org/WMO_Region_6_Europe/FRA_France/NC_Hauts-de-France/FRA_NC_Abbeville.AF.070050_TMYx.2007-2021.zip")</f>
        <v>https://climate.onebuilding.org/WMO_Region_6_Europe/FRA_France/NC_Hauts-de-France/FRA_NC_Abbeville.AF.070050_TMYx.2007-2021.zip</v>
      </c>
    </row>
    <row r="4073" spans="1:10" x14ac:dyDescent="0.25">
      <c r="A4073" t="s">
        <v>2883</v>
      </c>
      <c r="B4073" t="s">
        <v>2028</v>
      </c>
      <c r="C4073" t="s">
        <v>2890</v>
      </c>
      <c r="D4073" s="1" t="s">
        <v>2891</v>
      </c>
      <c r="E4073" t="s">
        <v>14</v>
      </c>
      <c r="F4073">
        <v>50.136099999999999</v>
      </c>
      <c r="G4073">
        <v>1.8339000000000001</v>
      </c>
      <c r="H4073">
        <v>1</v>
      </c>
      <c r="I4073">
        <v>72</v>
      </c>
      <c r="J4073" t="str">
        <f>HYPERLINK("https://climate.onebuilding.org/WMO_Region_6_Europe/FRA_France/NC_Hauts-de-France/FRA_NC_Abbeville.AF.070050_TMYx.2009-2023.zip")</f>
        <v>https://climate.onebuilding.org/WMO_Region_6_Europe/FRA_France/NC_Hauts-de-France/FRA_NC_Abbeville.AF.070050_TMYx.2009-2023.zip</v>
      </c>
    </row>
    <row r="4074" spans="1:10" x14ac:dyDescent="0.25">
      <c r="A4074" t="s">
        <v>2883</v>
      </c>
      <c r="B4074" t="s">
        <v>2028</v>
      </c>
      <c r="C4074" t="s">
        <v>2890</v>
      </c>
      <c r="D4074" s="1" t="s">
        <v>2891</v>
      </c>
      <c r="E4074" t="s">
        <v>14</v>
      </c>
      <c r="F4074">
        <v>50.136099999999999</v>
      </c>
      <c r="G4074">
        <v>1.8339000000000001</v>
      </c>
      <c r="H4074">
        <v>1</v>
      </c>
      <c r="I4074">
        <v>72</v>
      </c>
      <c r="J4074" t="str">
        <f>HYPERLINK("https://climate.onebuilding.org/WMO_Region_6_Europe/FRA_France/NC_Hauts-de-France/FRA_NC_Abbeville.AF.070050_TMYx.zip")</f>
        <v>https://climate.onebuilding.org/WMO_Region_6_Europe/FRA_France/NC_Hauts-de-France/FRA_NC_Abbeville.AF.070050_TMYx.zip</v>
      </c>
    </row>
    <row r="4075" spans="1:10" x14ac:dyDescent="0.25">
      <c r="A4075" t="s">
        <v>2883</v>
      </c>
      <c r="B4075" t="s">
        <v>2028</v>
      </c>
      <c r="C4075" t="s">
        <v>2893</v>
      </c>
      <c r="D4075" s="1" t="s">
        <v>2894</v>
      </c>
      <c r="E4075" t="s">
        <v>2895</v>
      </c>
      <c r="F4075">
        <v>50.966999999999999</v>
      </c>
      <c r="G4075">
        <v>1.95</v>
      </c>
      <c r="H4075">
        <v>1</v>
      </c>
      <c r="I4075">
        <v>3</v>
      </c>
      <c r="J4075" t="str">
        <f>HYPERLINK("https://climate.onebuilding.org/WMO_Region_6_Europe/FRA_France/NC_Hauts-de-France/FRA_NC_Calais-Dunkerque.AP.070090_TMYx.2004-2018.zip")</f>
        <v>https://climate.onebuilding.org/WMO_Region_6_Europe/FRA_France/NC_Hauts-de-France/FRA_NC_Calais-Dunkerque.AP.070090_TMYx.2004-2018.zip</v>
      </c>
    </row>
    <row r="4076" spans="1:10" x14ac:dyDescent="0.25">
      <c r="A4076" t="s">
        <v>2883</v>
      </c>
      <c r="B4076" t="s">
        <v>2028</v>
      </c>
      <c r="C4076" t="s">
        <v>2893</v>
      </c>
      <c r="D4076" s="1" t="s">
        <v>2894</v>
      </c>
      <c r="E4076" t="s">
        <v>14</v>
      </c>
      <c r="F4076">
        <v>50.966999999999999</v>
      </c>
      <c r="G4076">
        <v>1.95</v>
      </c>
      <c r="H4076">
        <v>1</v>
      </c>
      <c r="I4076">
        <v>3</v>
      </c>
      <c r="J4076" t="str">
        <f>HYPERLINK("https://climate.onebuilding.org/WMO_Region_6_Europe/FRA_France/NC_Hauts-de-France/FRA_NC_Calais-Dunkerque.AP.070090_TMYx.2007-2021.zip")</f>
        <v>https://climate.onebuilding.org/WMO_Region_6_Europe/FRA_France/NC_Hauts-de-France/FRA_NC_Calais-Dunkerque.AP.070090_TMYx.2007-2021.zip</v>
      </c>
    </row>
    <row r="4077" spans="1:10" x14ac:dyDescent="0.25">
      <c r="A4077" t="s">
        <v>2883</v>
      </c>
      <c r="B4077" t="s">
        <v>2028</v>
      </c>
      <c r="C4077" t="s">
        <v>2893</v>
      </c>
      <c r="D4077" s="1" t="s">
        <v>2894</v>
      </c>
      <c r="E4077" t="s">
        <v>14</v>
      </c>
      <c r="F4077">
        <v>50.966999999999999</v>
      </c>
      <c r="G4077">
        <v>1.95</v>
      </c>
      <c r="H4077">
        <v>1</v>
      </c>
      <c r="I4077">
        <v>3</v>
      </c>
      <c r="J4077" t="str">
        <f>HYPERLINK("https://climate.onebuilding.org/WMO_Region_6_Europe/FRA_France/NC_Hauts-de-France/FRA_NC_Calais-Dunkerque.AP.070090_TMYx.2009-2023.zip")</f>
        <v>https://climate.onebuilding.org/WMO_Region_6_Europe/FRA_France/NC_Hauts-de-France/FRA_NC_Calais-Dunkerque.AP.070090_TMYx.2009-2023.zip</v>
      </c>
    </row>
    <row r="4078" spans="1:10" x14ac:dyDescent="0.25">
      <c r="A4078" t="s">
        <v>2883</v>
      </c>
      <c r="B4078" t="s">
        <v>2028</v>
      </c>
      <c r="C4078" t="s">
        <v>2893</v>
      </c>
      <c r="D4078" s="1" t="s">
        <v>2894</v>
      </c>
      <c r="E4078" t="s">
        <v>14</v>
      </c>
      <c r="F4078">
        <v>50.966999999999999</v>
      </c>
      <c r="G4078">
        <v>1.95</v>
      </c>
      <c r="H4078">
        <v>1</v>
      </c>
      <c r="I4078">
        <v>3</v>
      </c>
      <c r="J4078" t="str">
        <f>HYPERLINK("https://climate.onebuilding.org/WMO_Region_6_Europe/FRA_France/NC_Hauts-de-France/FRA_NC_Calais-Dunkerque.AP.070090_TMYx.zip")</f>
        <v>https://climate.onebuilding.org/WMO_Region_6_Europe/FRA_France/NC_Hauts-de-France/FRA_NC_Calais-Dunkerque.AP.070090_TMYx.zip</v>
      </c>
    </row>
    <row r="4079" spans="1:10" x14ac:dyDescent="0.25">
      <c r="A4079" t="s">
        <v>2883</v>
      </c>
      <c r="B4079" t="s">
        <v>2028</v>
      </c>
      <c r="C4079" t="s">
        <v>2896</v>
      </c>
      <c r="D4079" s="1" t="s">
        <v>2897</v>
      </c>
      <c r="E4079" t="s">
        <v>2898</v>
      </c>
      <c r="F4079">
        <v>51.055799999999998</v>
      </c>
      <c r="G4079">
        <v>2.3393999999999999</v>
      </c>
      <c r="H4079">
        <v>1</v>
      </c>
      <c r="I4079">
        <v>16</v>
      </c>
      <c r="J4079" t="str">
        <f>HYPERLINK("https://climate.onebuilding.org/WMO_Region_6_Europe/FRA_France/NC_Hauts-de-France/FRA_NC_Dunkerque.070100_TMYx.2004-2018.zip")</f>
        <v>https://climate.onebuilding.org/WMO_Region_6_Europe/FRA_France/NC_Hauts-de-France/FRA_NC_Dunkerque.070100_TMYx.2004-2018.zip</v>
      </c>
    </row>
    <row r="4080" spans="1:10" x14ac:dyDescent="0.25">
      <c r="A4080" t="s">
        <v>2883</v>
      </c>
      <c r="B4080" t="s">
        <v>2028</v>
      </c>
      <c r="C4080" t="s">
        <v>2896</v>
      </c>
      <c r="D4080" s="1" t="s">
        <v>2897</v>
      </c>
      <c r="E4080" t="s">
        <v>14</v>
      </c>
      <c r="F4080">
        <v>51.055799999999998</v>
      </c>
      <c r="G4080">
        <v>2.3393999999999999</v>
      </c>
      <c r="H4080">
        <v>1</v>
      </c>
      <c r="I4080">
        <v>16</v>
      </c>
      <c r="J4080" t="str">
        <f>HYPERLINK("https://climate.onebuilding.org/WMO_Region_6_Europe/FRA_France/NC_Hauts-de-France/FRA_NC_Dunkerque.070100_TMYx.2007-2021.zip")</f>
        <v>https://climate.onebuilding.org/WMO_Region_6_Europe/FRA_France/NC_Hauts-de-France/FRA_NC_Dunkerque.070100_TMYx.2007-2021.zip</v>
      </c>
    </row>
    <row r="4081" spans="1:10" x14ac:dyDescent="0.25">
      <c r="A4081" t="s">
        <v>2883</v>
      </c>
      <c r="B4081" t="s">
        <v>2028</v>
      </c>
      <c r="C4081" t="s">
        <v>2896</v>
      </c>
      <c r="D4081" s="1" t="s">
        <v>2897</v>
      </c>
      <c r="E4081" t="s">
        <v>14</v>
      </c>
      <c r="F4081">
        <v>51.055799999999998</v>
      </c>
      <c r="G4081">
        <v>2.3393999999999999</v>
      </c>
      <c r="H4081">
        <v>1</v>
      </c>
      <c r="I4081">
        <v>16</v>
      </c>
      <c r="J4081" t="str">
        <f>HYPERLINK("https://climate.onebuilding.org/WMO_Region_6_Europe/FRA_France/NC_Hauts-de-France/FRA_NC_Dunkerque.070100_TMYx.2009-2023.zip")</f>
        <v>https://climate.onebuilding.org/WMO_Region_6_Europe/FRA_France/NC_Hauts-de-France/FRA_NC_Dunkerque.070100_TMYx.2009-2023.zip</v>
      </c>
    </row>
    <row r="4082" spans="1:10" x14ac:dyDescent="0.25">
      <c r="A4082" t="s">
        <v>2883</v>
      </c>
      <c r="B4082" t="s">
        <v>2028</v>
      </c>
      <c r="C4082" t="s">
        <v>2896</v>
      </c>
      <c r="D4082" s="1" t="s">
        <v>2897</v>
      </c>
      <c r="E4082" t="s">
        <v>14</v>
      </c>
      <c r="F4082">
        <v>51.055799999999998</v>
      </c>
      <c r="G4082">
        <v>2.3393999999999999</v>
      </c>
      <c r="H4082">
        <v>1</v>
      </c>
      <c r="I4082">
        <v>16</v>
      </c>
      <c r="J4082" t="str">
        <f>HYPERLINK("https://climate.onebuilding.org/WMO_Region_6_Europe/FRA_France/NC_Hauts-de-France/FRA_NC_Dunkerque.070100_TMYx.zip")</f>
        <v>https://climate.onebuilding.org/WMO_Region_6_Europe/FRA_France/NC_Hauts-de-France/FRA_NC_Dunkerque.070100_TMYx.zip</v>
      </c>
    </row>
    <row r="4083" spans="1:10" x14ac:dyDescent="0.25">
      <c r="A4083" t="s">
        <v>2883</v>
      </c>
      <c r="B4083" t="s">
        <v>2028</v>
      </c>
      <c r="C4083" t="s">
        <v>2899</v>
      </c>
      <c r="D4083" s="1" t="s">
        <v>2900</v>
      </c>
      <c r="E4083" t="s">
        <v>2901</v>
      </c>
      <c r="F4083">
        <v>50.57</v>
      </c>
      <c r="G4083">
        <v>3.0975000000000001</v>
      </c>
      <c r="H4083">
        <v>1</v>
      </c>
      <c r="I4083">
        <v>47</v>
      </c>
      <c r="J4083" t="str">
        <f>HYPERLINK("https://climate.onebuilding.org/WMO_Region_6_Europe/FRA_France/NC_Hauts-de-France/FRA_NC_Lille-Lesquin.AP.070150_TMYx.2004-2018.zip")</f>
        <v>https://climate.onebuilding.org/WMO_Region_6_Europe/FRA_France/NC_Hauts-de-France/FRA_NC_Lille-Lesquin.AP.070150_TMYx.2004-2018.zip</v>
      </c>
    </row>
    <row r="4084" spans="1:10" x14ac:dyDescent="0.25">
      <c r="A4084" t="s">
        <v>2883</v>
      </c>
      <c r="B4084" t="s">
        <v>2028</v>
      </c>
      <c r="C4084" t="s">
        <v>2899</v>
      </c>
      <c r="D4084" s="1" t="s">
        <v>2900</v>
      </c>
      <c r="E4084" t="s">
        <v>14</v>
      </c>
      <c r="F4084">
        <v>50.57</v>
      </c>
      <c r="G4084">
        <v>3.0975000000000001</v>
      </c>
      <c r="H4084">
        <v>1</v>
      </c>
      <c r="I4084">
        <v>47</v>
      </c>
      <c r="J4084" t="str">
        <f>HYPERLINK("https://climate.onebuilding.org/WMO_Region_6_Europe/FRA_France/NC_Hauts-de-France/FRA_NC_Lille-Lesquin.AP.070150_TMYx.2007-2021.zip")</f>
        <v>https://climate.onebuilding.org/WMO_Region_6_Europe/FRA_France/NC_Hauts-de-France/FRA_NC_Lille-Lesquin.AP.070150_TMYx.2007-2021.zip</v>
      </c>
    </row>
    <row r="4085" spans="1:10" x14ac:dyDescent="0.25">
      <c r="A4085" t="s">
        <v>2883</v>
      </c>
      <c r="B4085" t="s">
        <v>2028</v>
      </c>
      <c r="C4085" t="s">
        <v>2899</v>
      </c>
      <c r="D4085" s="1" t="s">
        <v>2900</v>
      </c>
      <c r="E4085" t="s">
        <v>14</v>
      </c>
      <c r="F4085">
        <v>50.57</v>
      </c>
      <c r="G4085">
        <v>3.0975000000000001</v>
      </c>
      <c r="H4085">
        <v>1</v>
      </c>
      <c r="I4085">
        <v>47</v>
      </c>
      <c r="J4085" t="str">
        <f>HYPERLINK("https://climate.onebuilding.org/WMO_Region_6_Europe/FRA_France/NC_Hauts-de-France/FRA_NC_Lille-Lesquin.AP.070150_TMYx.2009-2023.zip")</f>
        <v>https://climate.onebuilding.org/WMO_Region_6_Europe/FRA_France/NC_Hauts-de-France/FRA_NC_Lille-Lesquin.AP.070150_TMYx.2009-2023.zip</v>
      </c>
    </row>
    <row r="4086" spans="1:10" x14ac:dyDescent="0.25">
      <c r="A4086" t="s">
        <v>2883</v>
      </c>
      <c r="B4086" t="s">
        <v>2028</v>
      </c>
      <c r="C4086" t="s">
        <v>2899</v>
      </c>
      <c r="D4086" s="1" t="s">
        <v>2900</v>
      </c>
      <c r="E4086" t="s">
        <v>14</v>
      </c>
      <c r="F4086">
        <v>50.57</v>
      </c>
      <c r="G4086">
        <v>3.0975000000000001</v>
      </c>
      <c r="H4086">
        <v>1</v>
      </c>
      <c r="I4086">
        <v>47</v>
      </c>
      <c r="J4086" t="str">
        <f>HYPERLINK("https://climate.onebuilding.org/WMO_Region_6_Europe/FRA_France/NC_Hauts-de-France/FRA_NC_Lille-Lesquin.AP.070150_TMYx.zip")</f>
        <v>https://climate.onebuilding.org/WMO_Region_6_Europe/FRA_France/NC_Hauts-de-France/FRA_NC_Lille-Lesquin.AP.070150_TMYx.zip</v>
      </c>
    </row>
    <row r="4087" spans="1:10" x14ac:dyDescent="0.25">
      <c r="A4087" t="s">
        <v>2883</v>
      </c>
      <c r="B4087" t="s">
        <v>2028</v>
      </c>
      <c r="C4087" t="s">
        <v>2902</v>
      </c>
      <c r="D4087" s="1" t="s">
        <v>2903</v>
      </c>
      <c r="E4087" t="s">
        <v>14</v>
      </c>
      <c r="F4087">
        <v>50.335500000000003</v>
      </c>
      <c r="G4087">
        <v>2.9971999999999999</v>
      </c>
      <c r="H4087">
        <v>1</v>
      </c>
      <c r="I4087">
        <v>49</v>
      </c>
      <c r="J4087" t="str">
        <f>HYPERLINK("https://climate.onebuilding.org/WMO_Region_6_Europe/FRA_France/NC_Hauts-de-France/FRA_NC_Vitry.En.Artois.070160_TMYx.zip")</f>
        <v>https://climate.onebuilding.org/WMO_Region_6_Europe/FRA_France/NC_Hauts-de-France/FRA_NC_Vitry.En.Artois.070160_TMYx.zip</v>
      </c>
    </row>
    <row r="4088" spans="1:10" x14ac:dyDescent="0.25">
      <c r="A4088" t="s">
        <v>2883</v>
      </c>
      <c r="B4088" t="s">
        <v>2028</v>
      </c>
      <c r="C4088" t="s">
        <v>2904</v>
      </c>
      <c r="D4088" s="1" t="s">
        <v>2905</v>
      </c>
      <c r="E4088" t="s">
        <v>2906</v>
      </c>
      <c r="F4088">
        <v>50.222000000000001</v>
      </c>
      <c r="G4088">
        <v>3.1539999999999999</v>
      </c>
      <c r="H4088">
        <v>1</v>
      </c>
      <c r="I4088">
        <v>78.3</v>
      </c>
      <c r="J4088" t="str">
        <f>HYPERLINK("https://climate.onebuilding.org/WMO_Region_6_Europe/FRA_France/NC_Hauts-de-France/FRA_NC_Epinoy.AF.070170_TMYx.2004-2018.zip")</f>
        <v>https://climate.onebuilding.org/WMO_Region_6_Europe/FRA_France/NC_Hauts-de-France/FRA_NC_Epinoy.AF.070170_TMYx.2004-2018.zip</v>
      </c>
    </row>
    <row r="4089" spans="1:10" x14ac:dyDescent="0.25">
      <c r="A4089" t="s">
        <v>2883</v>
      </c>
      <c r="B4089" t="s">
        <v>2028</v>
      </c>
      <c r="C4089" t="s">
        <v>2904</v>
      </c>
      <c r="D4089" s="1" t="s">
        <v>2905</v>
      </c>
      <c r="E4089" t="s">
        <v>14</v>
      </c>
      <c r="F4089">
        <v>50.222000000000001</v>
      </c>
      <c r="G4089">
        <v>3.1539999999999999</v>
      </c>
      <c r="H4089">
        <v>1</v>
      </c>
      <c r="I4089">
        <v>78.3</v>
      </c>
      <c r="J4089" t="str">
        <f>HYPERLINK("https://climate.onebuilding.org/WMO_Region_6_Europe/FRA_France/NC_Hauts-de-France/FRA_NC_Epinoy.AF.070170_TMYx.2007-2021.zip")</f>
        <v>https://climate.onebuilding.org/WMO_Region_6_Europe/FRA_France/NC_Hauts-de-France/FRA_NC_Epinoy.AF.070170_TMYx.2007-2021.zip</v>
      </c>
    </row>
    <row r="4090" spans="1:10" x14ac:dyDescent="0.25">
      <c r="A4090" t="s">
        <v>2883</v>
      </c>
      <c r="B4090" t="s">
        <v>2028</v>
      </c>
      <c r="C4090" t="s">
        <v>2904</v>
      </c>
      <c r="D4090" s="1" t="s">
        <v>2905</v>
      </c>
      <c r="E4090" t="s">
        <v>14</v>
      </c>
      <c r="F4090">
        <v>50.222000000000001</v>
      </c>
      <c r="G4090">
        <v>3.1539999999999999</v>
      </c>
      <c r="H4090">
        <v>1</v>
      </c>
      <c r="I4090">
        <v>78.3</v>
      </c>
      <c r="J4090" t="str">
        <f>HYPERLINK("https://climate.onebuilding.org/WMO_Region_6_Europe/FRA_France/NC_Hauts-de-France/FRA_NC_Epinoy.AF.070170_TMYx.zip")</f>
        <v>https://climate.onebuilding.org/WMO_Region_6_Europe/FRA_France/NC_Hauts-de-France/FRA_NC_Epinoy.AF.070170_TMYx.zip</v>
      </c>
    </row>
    <row r="4091" spans="1:10" x14ac:dyDescent="0.25">
      <c r="A4091" t="s">
        <v>2883</v>
      </c>
      <c r="B4091" t="s">
        <v>1713</v>
      </c>
      <c r="C4091" t="s">
        <v>2907</v>
      </c>
      <c r="D4091" s="1" t="s">
        <v>2908</v>
      </c>
      <c r="E4091" t="s">
        <v>14</v>
      </c>
      <c r="F4091">
        <v>49.696599999999997</v>
      </c>
      <c r="G4091">
        <v>-1.2652000000000001</v>
      </c>
      <c r="H4091">
        <v>1</v>
      </c>
      <c r="I4091">
        <v>0</v>
      </c>
      <c r="J4091" t="str">
        <f>HYPERLINK("https://climate.onebuilding.org/WMO_Region_6_Europe/FRA_France/ND_Normandie/FRA_ND_Barfleur.Gatteville.Lighthouse.070190_TMYx.2007-2021.zip")</f>
        <v>https://climate.onebuilding.org/WMO_Region_6_Europe/FRA_France/ND_Normandie/FRA_ND_Barfleur.Gatteville.Lighthouse.070190_TMYx.2007-2021.zip</v>
      </c>
    </row>
    <row r="4092" spans="1:10" x14ac:dyDescent="0.25">
      <c r="A4092" t="s">
        <v>2883</v>
      </c>
      <c r="B4092" t="s">
        <v>1713</v>
      </c>
      <c r="C4092" t="s">
        <v>2907</v>
      </c>
      <c r="D4092" s="1" t="s">
        <v>2908</v>
      </c>
      <c r="E4092" t="s">
        <v>14</v>
      </c>
      <c r="F4092">
        <v>49.696599999999997</v>
      </c>
      <c r="G4092">
        <v>-1.2652000000000001</v>
      </c>
      <c r="H4092">
        <v>1</v>
      </c>
      <c r="I4092">
        <v>0</v>
      </c>
      <c r="J4092" t="str">
        <f>HYPERLINK("https://climate.onebuilding.org/WMO_Region_6_Europe/FRA_France/ND_Normandie/FRA_ND_Barfleur.Gatteville.Lighthouse.070190_TMYx.zip")</f>
        <v>https://climate.onebuilding.org/WMO_Region_6_Europe/FRA_France/ND_Normandie/FRA_ND_Barfleur.Gatteville.Lighthouse.070190_TMYx.zip</v>
      </c>
    </row>
    <row r="4093" spans="1:10" x14ac:dyDescent="0.25">
      <c r="A4093" t="s">
        <v>2883</v>
      </c>
      <c r="B4093" t="s">
        <v>1713</v>
      </c>
      <c r="C4093" t="s">
        <v>2909</v>
      </c>
      <c r="D4093" s="1" t="s">
        <v>2910</v>
      </c>
      <c r="E4093" t="s">
        <v>2911</v>
      </c>
      <c r="F4093">
        <v>49.725299999999997</v>
      </c>
      <c r="G4093">
        <v>-1.9397</v>
      </c>
      <c r="H4093">
        <v>1</v>
      </c>
      <c r="I4093">
        <v>12</v>
      </c>
      <c r="J4093" t="str">
        <f>HYPERLINK("https://climate.onebuilding.org/WMO_Region_6_Europe/FRA_France/ND_Normandie/FRA_ND_Point.la.Hague.070200_TMYx.2004-2018.zip")</f>
        <v>https://climate.onebuilding.org/WMO_Region_6_Europe/FRA_France/ND_Normandie/FRA_ND_Point.la.Hague.070200_TMYx.2004-2018.zip</v>
      </c>
    </row>
    <row r="4094" spans="1:10" x14ac:dyDescent="0.25">
      <c r="A4094" t="s">
        <v>2883</v>
      </c>
      <c r="B4094" t="s">
        <v>1713</v>
      </c>
      <c r="C4094" t="s">
        <v>2909</v>
      </c>
      <c r="D4094" s="1" t="s">
        <v>2910</v>
      </c>
      <c r="E4094" t="s">
        <v>14</v>
      </c>
      <c r="F4094">
        <v>49.725299999999997</v>
      </c>
      <c r="G4094">
        <v>-1.9397</v>
      </c>
      <c r="H4094">
        <v>1</v>
      </c>
      <c r="I4094">
        <v>12</v>
      </c>
      <c r="J4094" t="str">
        <f>HYPERLINK("https://climate.onebuilding.org/WMO_Region_6_Europe/FRA_France/ND_Normandie/FRA_ND_Point.la.Hague.070200_TMYx.2007-2021.zip")</f>
        <v>https://climate.onebuilding.org/WMO_Region_6_Europe/FRA_France/ND_Normandie/FRA_ND_Point.la.Hague.070200_TMYx.2007-2021.zip</v>
      </c>
    </row>
    <row r="4095" spans="1:10" x14ac:dyDescent="0.25">
      <c r="A4095" t="s">
        <v>2883</v>
      </c>
      <c r="B4095" t="s">
        <v>1713</v>
      </c>
      <c r="C4095" t="s">
        <v>2909</v>
      </c>
      <c r="D4095" s="1" t="s">
        <v>2910</v>
      </c>
      <c r="E4095" t="s">
        <v>14</v>
      </c>
      <c r="F4095">
        <v>49.725299999999997</v>
      </c>
      <c r="G4095">
        <v>-1.9397</v>
      </c>
      <c r="H4095">
        <v>1</v>
      </c>
      <c r="I4095">
        <v>12</v>
      </c>
      <c r="J4095" t="str">
        <f>HYPERLINK("https://climate.onebuilding.org/WMO_Region_6_Europe/FRA_France/ND_Normandie/FRA_ND_Point.la.Hague.070200_TMYx.2009-2023.zip")</f>
        <v>https://climate.onebuilding.org/WMO_Region_6_Europe/FRA_France/ND_Normandie/FRA_ND_Point.la.Hague.070200_TMYx.2009-2023.zip</v>
      </c>
    </row>
    <row r="4096" spans="1:10" x14ac:dyDescent="0.25">
      <c r="A4096" t="s">
        <v>2883</v>
      </c>
      <c r="B4096" t="s">
        <v>1713</v>
      </c>
      <c r="C4096" t="s">
        <v>2909</v>
      </c>
      <c r="D4096" s="1" t="s">
        <v>2910</v>
      </c>
      <c r="E4096" t="s">
        <v>14</v>
      </c>
      <c r="F4096">
        <v>49.725299999999997</v>
      </c>
      <c r="G4096">
        <v>-1.9397</v>
      </c>
      <c r="H4096">
        <v>1</v>
      </c>
      <c r="I4096">
        <v>12</v>
      </c>
      <c r="J4096" t="str">
        <f>HYPERLINK("https://climate.onebuilding.org/WMO_Region_6_Europe/FRA_France/ND_Normandie/FRA_ND_Point.la.Hague.070200_TMYx.zip")</f>
        <v>https://climate.onebuilding.org/WMO_Region_6_Europe/FRA_France/ND_Normandie/FRA_ND_Point.la.Hague.070200_TMYx.zip</v>
      </c>
    </row>
    <row r="4097" spans="1:10" x14ac:dyDescent="0.25">
      <c r="A4097" t="s">
        <v>2883</v>
      </c>
      <c r="B4097" t="s">
        <v>1713</v>
      </c>
      <c r="C4097" t="s">
        <v>2912</v>
      </c>
      <c r="D4097" s="1" t="s">
        <v>2913</v>
      </c>
      <c r="E4097" t="s">
        <v>2914</v>
      </c>
      <c r="F4097">
        <v>49.65</v>
      </c>
      <c r="G4097">
        <v>-1.5</v>
      </c>
      <c r="H4097">
        <v>1</v>
      </c>
      <c r="I4097">
        <v>130</v>
      </c>
      <c r="J4097" t="str">
        <f>HYPERLINK("https://climate.onebuilding.org/WMO_Region_6_Europe/FRA_France/ND_Normandie/FRA_ND_Vigite.du.Haumet.070220_TMYx.2004-2018.zip")</f>
        <v>https://climate.onebuilding.org/WMO_Region_6_Europe/FRA_France/ND_Normandie/FRA_ND_Vigite.du.Haumet.070220_TMYx.2004-2018.zip</v>
      </c>
    </row>
    <row r="4098" spans="1:10" x14ac:dyDescent="0.25">
      <c r="A4098" t="s">
        <v>2883</v>
      </c>
      <c r="B4098" t="s">
        <v>1713</v>
      </c>
      <c r="C4098" t="s">
        <v>2912</v>
      </c>
      <c r="D4098" s="1" t="s">
        <v>2913</v>
      </c>
      <c r="E4098" t="s">
        <v>14</v>
      </c>
      <c r="F4098">
        <v>49.65</v>
      </c>
      <c r="G4098">
        <v>-1.5</v>
      </c>
      <c r="H4098">
        <v>1</v>
      </c>
      <c r="I4098">
        <v>130</v>
      </c>
      <c r="J4098" t="str">
        <f>HYPERLINK("https://climate.onebuilding.org/WMO_Region_6_Europe/FRA_France/ND_Normandie/FRA_ND_Vigite.du.Haumet.070220_TMYx.2007-2021.zip")</f>
        <v>https://climate.onebuilding.org/WMO_Region_6_Europe/FRA_France/ND_Normandie/FRA_ND_Vigite.du.Haumet.070220_TMYx.2007-2021.zip</v>
      </c>
    </row>
    <row r="4099" spans="1:10" x14ac:dyDescent="0.25">
      <c r="A4099" t="s">
        <v>2883</v>
      </c>
      <c r="B4099" t="s">
        <v>1713</v>
      </c>
      <c r="C4099" t="s">
        <v>2912</v>
      </c>
      <c r="D4099" s="1" t="s">
        <v>2913</v>
      </c>
      <c r="E4099" t="s">
        <v>14</v>
      </c>
      <c r="F4099">
        <v>49.65</v>
      </c>
      <c r="G4099">
        <v>-1.5</v>
      </c>
      <c r="H4099">
        <v>1</v>
      </c>
      <c r="I4099">
        <v>130</v>
      </c>
      <c r="J4099" t="str">
        <f>HYPERLINK("https://climate.onebuilding.org/WMO_Region_6_Europe/FRA_France/ND_Normandie/FRA_ND_Vigite.du.Haumet.070220_TMYx.2009-2023.zip")</f>
        <v>https://climate.onebuilding.org/WMO_Region_6_Europe/FRA_France/ND_Normandie/FRA_ND_Vigite.du.Haumet.070220_TMYx.2009-2023.zip</v>
      </c>
    </row>
    <row r="4100" spans="1:10" x14ac:dyDescent="0.25">
      <c r="A4100" t="s">
        <v>2883</v>
      </c>
      <c r="B4100" t="s">
        <v>1713</v>
      </c>
      <c r="C4100" t="s">
        <v>2912</v>
      </c>
      <c r="D4100" s="1" t="s">
        <v>2913</v>
      </c>
      <c r="E4100" t="s">
        <v>14</v>
      </c>
      <c r="F4100">
        <v>49.65</v>
      </c>
      <c r="G4100">
        <v>-1.5</v>
      </c>
      <c r="H4100">
        <v>1</v>
      </c>
      <c r="I4100">
        <v>130</v>
      </c>
      <c r="J4100" t="str">
        <f>HYPERLINK("https://climate.onebuilding.org/WMO_Region_6_Europe/FRA_France/ND_Normandie/FRA_ND_Vigite.du.Haumet.070220_TMYx.zip")</f>
        <v>https://climate.onebuilding.org/WMO_Region_6_Europe/FRA_France/ND_Normandie/FRA_ND_Vigite.du.Haumet.070220_TMYx.zip</v>
      </c>
    </row>
    <row r="4101" spans="1:10" x14ac:dyDescent="0.25">
      <c r="A4101" t="s">
        <v>2883</v>
      </c>
      <c r="B4101" t="s">
        <v>1713</v>
      </c>
      <c r="C4101" t="s">
        <v>2915</v>
      </c>
      <c r="D4101" s="1" t="s">
        <v>2916</v>
      </c>
      <c r="E4101" t="s">
        <v>2917</v>
      </c>
      <c r="F4101">
        <v>49.652799999999999</v>
      </c>
      <c r="G4101">
        <v>-1.4636</v>
      </c>
      <c r="H4101">
        <v>1</v>
      </c>
      <c r="I4101">
        <v>138</v>
      </c>
      <c r="J4101" t="str">
        <f>HYPERLINK("https://climate.onebuilding.org/WMO_Region_6_Europe/FRA_France/ND_Normandie/FRA_ND_Cherbourg-Maupertus.AB.070240_TMYx.2004-2018.zip")</f>
        <v>https://climate.onebuilding.org/WMO_Region_6_Europe/FRA_France/ND_Normandie/FRA_ND_Cherbourg-Maupertus.AB.070240_TMYx.2004-2018.zip</v>
      </c>
    </row>
    <row r="4102" spans="1:10" x14ac:dyDescent="0.25">
      <c r="A4102" t="s">
        <v>2883</v>
      </c>
      <c r="B4102" t="s">
        <v>1713</v>
      </c>
      <c r="C4102" t="s">
        <v>2915</v>
      </c>
      <c r="D4102" s="1" t="s">
        <v>2916</v>
      </c>
      <c r="E4102" t="s">
        <v>14</v>
      </c>
      <c r="F4102">
        <v>49.652799999999999</v>
      </c>
      <c r="G4102">
        <v>-1.4636</v>
      </c>
      <c r="H4102">
        <v>1</v>
      </c>
      <c r="I4102">
        <v>138</v>
      </c>
      <c r="J4102" t="str">
        <f>HYPERLINK("https://climate.onebuilding.org/WMO_Region_6_Europe/FRA_France/ND_Normandie/FRA_ND_Cherbourg-Maupertus.AB.070240_TMYx.2007-2021.zip")</f>
        <v>https://climate.onebuilding.org/WMO_Region_6_Europe/FRA_France/ND_Normandie/FRA_ND_Cherbourg-Maupertus.AB.070240_TMYx.2007-2021.zip</v>
      </c>
    </row>
    <row r="4103" spans="1:10" x14ac:dyDescent="0.25">
      <c r="A4103" t="s">
        <v>2883</v>
      </c>
      <c r="B4103" t="s">
        <v>1713</v>
      </c>
      <c r="C4103" t="s">
        <v>2915</v>
      </c>
      <c r="D4103" s="1" t="s">
        <v>2916</v>
      </c>
      <c r="E4103" t="s">
        <v>14</v>
      </c>
      <c r="F4103">
        <v>49.652799999999999</v>
      </c>
      <c r="G4103">
        <v>-1.4636</v>
      </c>
      <c r="H4103">
        <v>1</v>
      </c>
      <c r="I4103">
        <v>138</v>
      </c>
      <c r="J4103" t="str">
        <f>HYPERLINK("https://climate.onebuilding.org/WMO_Region_6_Europe/FRA_France/ND_Normandie/FRA_ND_Cherbourg-Maupertus.AB.070240_TMYx.2009-2023.zip")</f>
        <v>https://climate.onebuilding.org/WMO_Region_6_Europe/FRA_France/ND_Normandie/FRA_ND_Cherbourg-Maupertus.AB.070240_TMYx.2009-2023.zip</v>
      </c>
    </row>
    <row r="4104" spans="1:10" x14ac:dyDescent="0.25">
      <c r="A4104" t="s">
        <v>2883</v>
      </c>
      <c r="B4104" t="s">
        <v>1713</v>
      </c>
      <c r="C4104" t="s">
        <v>2915</v>
      </c>
      <c r="D4104" s="1" t="s">
        <v>2916</v>
      </c>
      <c r="E4104" t="s">
        <v>14</v>
      </c>
      <c r="F4104">
        <v>49.652799999999999</v>
      </c>
      <c r="G4104">
        <v>-1.4636</v>
      </c>
      <c r="H4104">
        <v>1</v>
      </c>
      <c r="I4104">
        <v>138</v>
      </c>
      <c r="J4104" t="str">
        <f>HYPERLINK("https://climate.onebuilding.org/WMO_Region_6_Europe/FRA_France/ND_Normandie/FRA_ND_Cherbourg-Maupertus.AB.070240_TMYx.zip")</f>
        <v>https://climate.onebuilding.org/WMO_Region_6_Europe/FRA_France/ND_Normandie/FRA_ND_Cherbourg-Maupertus.AB.070240_TMYx.zip</v>
      </c>
    </row>
    <row r="4105" spans="1:10" x14ac:dyDescent="0.25">
      <c r="A4105" t="s">
        <v>2883</v>
      </c>
      <c r="B4105" t="s">
        <v>1713</v>
      </c>
      <c r="C4105" t="s">
        <v>2918</v>
      </c>
      <c r="D4105" s="1" t="s">
        <v>2919</v>
      </c>
      <c r="E4105" t="s">
        <v>2920</v>
      </c>
      <c r="F4105">
        <v>49.18</v>
      </c>
      <c r="G4105">
        <v>-0.45610000000000001</v>
      </c>
      <c r="H4105">
        <v>1</v>
      </c>
      <c r="I4105">
        <v>67</v>
      </c>
      <c r="J4105" t="str">
        <f>HYPERLINK("https://climate.onebuilding.org/WMO_Region_6_Europe/FRA_France/ND_Normandie/FRA_ND_Caen-Carpiquet.AP.070270_TMYx.2004-2018.zip")</f>
        <v>https://climate.onebuilding.org/WMO_Region_6_Europe/FRA_France/ND_Normandie/FRA_ND_Caen-Carpiquet.AP.070270_TMYx.2004-2018.zip</v>
      </c>
    </row>
    <row r="4106" spans="1:10" x14ac:dyDescent="0.25">
      <c r="A4106" t="s">
        <v>2883</v>
      </c>
      <c r="B4106" t="s">
        <v>1713</v>
      </c>
      <c r="C4106" t="s">
        <v>2918</v>
      </c>
      <c r="D4106" s="1" t="s">
        <v>2919</v>
      </c>
      <c r="E4106" t="s">
        <v>14</v>
      </c>
      <c r="F4106">
        <v>49.18</v>
      </c>
      <c r="G4106">
        <v>-0.45610000000000001</v>
      </c>
      <c r="H4106">
        <v>1</v>
      </c>
      <c r="I4106">
        <v>67</v>
      </c>
      <c r="J4106" t="str">
        <f>HYPERLINK("https://climate.onebuilding.org/WMO_Region_6_Europe/FRA_France/ND_Normandie/FRA_ND_Caen-Carpiquet.AP.070270_TMYx.2007-2021.zip")</f>
        <v>https://climate.onebuilding.org/WMO_Region_6_Europe/FRA_France/ND_Normandie/FRA_ND_Caen-Carpiquet.AP.070270_TMYx.2007-2021.zip</v>
      </c>
    </row>
    <row r="4107" spans="1:10" x14ac:dyDescent="0.25">
      <c r="A4107" t="s">
        <v>2883</v>
      </c>
      <c r="B4107" t="s">
        <v>1713</v>
      </c>
      <c r="C4107" t="s">
        <v>2918</v>
      </c>
      <c r="D4107" s="1" t="s">
        <v>2919</v>
      </c>
      <c r="E4107" t="s">
        <v>14</v>
      </c>
      <c r="F4107">
        <v>49.18</v>
      </c>
      <c r="G4107">
        <v>-0.45610000000000001</v>
      </c>
      <c r="H4107">
        <v>1</v>
      </c>
      <c r="I4107">
        <v>67</v>
      </c>
      <c r="J4107" t="str">
        <f>HYPERLINK("https://climate.onebuilding.org/WMO_Region_6_Europe/FRA_France/ND_Normandie/FRA_ND_Caen-Carpiquet.AP.070270_TMYx.2009-2023.zip")</f>
        <v>https://climate.onebuilding.org/WMO_Region_6_Europe/FRA_France/ND_Normandie/FRA_ND_Caen-Carpiquet.AP.070270_TMYx.2009-2023.zip</v>
      </c>
    </row>
    <row r="4108" spans="1:10" x14ac:dyDescent="0.25">
      <c r="A4108" t="s">
        <v>2883</v>
      </c>
      <c r="B4108" t="s">
        <v>1713</v>
      </c>
      <c r="C4108" t="s">
        <v>2918</v>
      </c>
      <c r="D4108" s="1" t="s">
        <v>2919</v>
      </c>
      <c r="E4108" t="s">
        <v>14</v>
      </c>
      <c r="F4108">
        <v>49.18</v>
      </c>
      <c r="G4108">
        <v>-0.45610000000000001</v>
      </c>
      <c r="H4108">
        <v>1</v>
      </c>
      <c r="I4108">
        <v>67</v>
      </c>
      <c r="J4108" t="str">
        <f>HYPERLINK("https://climate.onebuilding.org/WMO_Region_6_Europe/FRA_France/ND_Normandie/FRA_ND_Caen-Carpiquet.AP.070270_TMYx.zip")</f>
        <v>https://climate.onebuilding.org/WMO_Region_6_Europe/FRA_France/ND_Normandie/FRA_ND_Caen-Carpiquet.AP.070270_TMYx.zip</v>
      </c>
    </row>
    <row r="4109" spans="1:10" x14ac:dyDescent="0.25">
      <c r="A4109" t="s">
        <v>2883</v>
      </c>
      <c r="B4109" t="s">
        <v>1713</v>
      </c>
      <c r="C4109" t="s">
        <v>2921</v>
      </c>
      <c r="D4109" s="1" t="s">
        <v>2922</v>
      </c>
      <c r="E4109" t="s">
        <v>2923</v>
      </c>
      <c r="F4109">
        <v>49.508899999999997</v>
      </c>
      <c r="G4109" s="1" t="s">
        <v>2924</v>
      </c>
      <c r="H4109">
        <v>1</v>
      </c>
      <c r="I4109">
        <v>104</v>
      </c>
      <c r="J4109" t="str">
        <f>HYPERLINK("https://climate.onebuilding.org/WMO_Region_6_Europe/FRA_France/ND_Normandie/FRA_ND_Cap.de.la.Heve.070280_TMYx.2004-2018.zip")</f>
        <v>https://climate.onebuilding.org/WMO_Region_6_Europe/FRA_France/ND_Normandie/FRA_ND_Cap.de.la.Heve.070280_TMYx.2004-2018.zip</v>
      </c>
    </row>
    <row r="4110" spans="1:10" x14ac:dyDescent="0.25">
      <c r="A4110" t="s">
        <v>2883</v>
      </c>
      <c r="B4110" t="s">
        <v>1713</v>
      </c>
      <c r="C4110" t="s">
        <v>2921</v>
      </c>
      <c r="D4110" s="1" t="s">
        <v>2922</v>
      </c>
      <c r="E4110" t="s">
        <v>14</v>
      </c>
      <c r="F4110">
        <v>49.508899999999997</v>
      </c>
      <c r="G4110" s="1" t="s">
        <v>2924</v>
      </c>
      <c r="H4110">
        <v>1</v>
      </c>
      <c r="I4110">
        <v>104</v>
      </c>
      <c r="J4110" t="str">
        <f>HYPERLINK("https://climate.onebuilding.org/WMO_Region_6_Europe/FRA_France/ND_Normandie/FRA_ND_Cap.de.la.Heve.070280_TMYx.2007-2021.zip")</f>
        <v>https://climate.onebuilding.org/WMO_Region_6_Europe/FRA_France/ND_Normandie/FRA_ND_Cap.de.la.Heve.070280_TMYx.2007-2021.zip</v>
      </c>
    </row>
    <row r="4111" spans="1:10" x14ac:dyDescent="0.25">
      <c r="A4111" t="s">
        <v>2883</v>
      </c>
      <c r="B4111" t="s">
        <v>1713</v>
      </c>
      <c r="C4111" t="s">
        <v>2921</v>
      </c>
      <c r="D4111" s="1" t="s">
        <v>2922</v>
      </c>
      <c r="E4111" t="s">
        <v>14</v>
      </c>
      <c r="F4111">
        <v>49.508899999999997</v>
      </c>
      <c r="G4111" s="1" t="s">
        <v>2924</v>
      </c>
      <c r="H4111">
        <v>1</v>
      </c>
      <c r="I4111">
        <v>104</v>
      </c>
      <c r="J4111" t="str">
        <f>HYPERLINK("https://climate.onebuilding.org/WMO_Region_6_Europe/FRA_France/ND_Normandie/FRA_ND_Cap.de.la.Heve.070280_TMYx.2009-2023.zip")</f>
        <v>https://climate.onebuilding.org/WMO_Region_6_Europe/FRA_France/ND_Normandie/FRA_ND_Cap.de.la.Heve.070280_TMYx.2009-2023.zip</v>
      </c>
    </row>
    <row r="4112" spans="1:10" x14ac:dyDescent="0.25">
      <c r="A4112" t="s">
        <v>2883</v>
      </c>
      <c r="B4112" t="s">
        <v>1713</v>
      </c>
      <c r="C4112" t="s">
        <v>2921</v>
      </c>
      <c r="D4112" s="1" t="s">
        <v>2922</v>
      </c>
      <c r="E4112" t="s">
        <v>14</v>
      </c>
      <c r="F4112">
        <v>49.508899999999997</v>
      </c>
      <c r="G4112" s="1" t="s">
        <v>2924</v>
      </c>
      <c r="H4112">
        <v>1</v>
      </c>
      <c r="I4112">
        <v>104</v>
      </c>
      <c r="J4112" t="str">
        <f>HYPERLINK("https://climate.onebuilding.org/WMO_Region_6_Europe/FRA_France/ND_Normandie/FRA_ND_Cap.de.la.Heve.070280_TMYx.zip")</f>
        <v>https://climate.onebuilding.org/WMO_Region_6_Europe/FRA_France/ND_Normandie/FRA_ND_Cap.de.la.Heve.070280_TMYx.zip</v>
      </c>
    </row>
    <row r="4113" spans="1:10" x14ac:dyDescent="0.25">
      <c r="A4113" t="s">
        <v>2883</v>
      </c>
      <c r="B4113" t="s">
        <v>1713</v>
      </c>
      <c r="C4113" t="s">
        <v>2925</v>
      </c>
      <c r="D4113" s="1" t="s">
        <v>2926</v>
      </c>
      <c r="E4113" t="s">
        <v>14</v>
      </c>
      <c r="F4113">
        <v>49.35</v>
      </c>
      <c r="G4113">
        <v>-0.76700000000000002</v>
      </c>
      <c r="H4113">
        <v>1</v>
      </c>
      <c r="I4113">
        <v>73</v>
      </c>
      <c r="J4113" t="str">
        <f>HYPERLINK("https://climate.onebuilding.org/WMO_Region_6_Europe/FRA_France/ND_Normandie/FRA_ND_Port.en.Bessin.070290_TMYx.zip")</f>
        <v>https://climate.onebuilding.org/WMO_Region_6_Europe/FRA_France/ND_Normandie/FRA_ND_Port.en.Bessin.070290_TMYx.zip</v>
      </c>
    </row>
    <row r="4114" spans="1:10" x14ac:dyDescent="0.25">
      <c r="A4114" t="s">
        <v>2883</v>
      </c>
      <c r="B4114" t="s">
        <v>1713</v>
      </c>
      <c r="C4114" t="s">
        <v>2927</v>
      </c>
      <c r="D4114" s="1" t="s">
        <v>2928</v>
      </c>
      <c r="E4114" t="s">
        <v>2929</v>
      </c>
      <c r="F4114">
        <v>49.364400000000003</v>
      </c>
      <c r="G4114">
        <v>0.16689999999999999</v>
      </c>
      <c r="H4114">
        <v>1</v>
      </c>
      <c r="I4114">
        <v>143</v>
      </c>
      <c r="J4114" t="str">
        <f>HYPERLINK("https://climate.onebuilding.org/WMO_Region_6_Europe/FRA_France/ND_Normandie/FRA_ND_Deauville-Normandie-St.Gatien.AP.070310_TMYx.2004-2018.zip")</f>
        <v>https://climate.onebuilding.org/WMO_Region_6_Europe/FRA_France/ND_Normandie/FRA_ND_Deauville-Normandie-St.Gatien.AP.070310_TMYx.2004-2018.zip</v>
      </c>
    </row>
    <row r="4115" spans="1:10" x14ac:dyDescent="0.25">
      <c r="A4115" t="s">
        <v>2883</v>
      </c>
      <c r="B4115" t="s">
        <v>1713</v>
      </c>
      <c r="C4115" t="s">
        <v>2927</v>
      </c>
      <c r="D4115" s="1" t="s">
        <v>2928</v>
      </c>
      <c r="E4115" t="s">
        <v>14</v>
      </c>
      <c r="F4115">
        <v>49.364400000000003</v>
      </c>
      <c r="G4115">
        <v>0.16689999999999999</v>
      </c>
      <c r="H4115">
        <v>1</v>
      </c>
      <c r="I4115">
        <v>143</v>
      </c>
      <c r="J4115" t="str">
        <f>HYPERLINK("https://climate.onebuilding.org/WMO_Region_6_Europe/FRA_France/ND_Normandie/FRA_ND_Deauville-Normandie-St.Gatien.AP.070310_TMYx.2007-2021.zip")</f>
        <v>https://climate.onebuilding.org/WMO_Region_6_Europe/FRA_France/ND_Normandie/FRA_ND_Deauville-Normandie-St.Gatien.AP.070310_TMYx.2007-2021.zip</v>
      </c>
    </row>
    <row r="4116" spans="1:10" x14ac:dyDescent="0.25">
      <c r="A4116" t="s">
        <v>2883</v>
      </c>
      <c r="B4116" t="s">
        <v>1713</v>
      </c>
      <c r="C4116" t="s">
        <v>2927</v>
      </c>
      <c r="D4116" s="1" t="s">
        <v>2928</v>
      </c>
      <c r="E4116" t="s">
        <v>14</v>
      </c>
      <c r="F4116">
        <v>49.364400000000003</v>
      </c>
      <c r="G4116">
        <v>0.16689999999999999</v>
      </c>
      <c r="H4116">
        <v>1</v>
      </c>
      <c r="I4116">
        <v>143</v>
      </c>
      <c r="J4116" t="str">
        <f>HYPERLINK("https://climate.onebuilding.org/WMO_Region_6_Europe/FRA_France/ND_Normandie/FRA_ND_Deauville-Normandie-St.Gatien.AP.070310_TMYx.2009-2023.zip")</f>
        <v>https://climate.onebuilding.org/WMO_Region_6_Europe/FRA_France/ND_Normandie/FRA_ND_Deauville-Normandie-St.Gatien.AP.070310_TMYx.2009-2023.zip</v>
      </c>
    </row>
    <row r="4117" spans="1:10" x14ac:dyDescent="0.25">
      <c r="A4117" t="s">
        <v>2883</v>
      </c>
      <c r="B4117" t="s">
        <v>1713</v>
      </c>
      <c r="C4117" t="s">
        <v>2927</v>
      </c>
      <c r="D4117" s="1" t="s">
        <v>2928</v>
      </c>
      <c r="E4117" t="s">
        <v>14</v>
      </c>
      <c r="F4117">
        <v>49.364400000000003</v>
      </c>
      <c r="G4117">
        <v>0.16689999999999999</v>
      </c>
      <c r="H4117">
        <v>1</v>
      </c>
      <c r="I4117">
        <v>143</v>
      </c>
      <c r="J4117" t="str">
        <f>HYPERLINK("https://climate.onebuilding.org/WMO_Region_6_Europe/FRA_France/ND_Normandie/FRA_ND_Deauville-Normandie-St.Gatien.AP.070310_TMYx.zip")</f>
        <v>https://climate.onebuilding.org/WMO_Region_6_Europe/FRA_France/ND_Normandie/FRA_ND_Deauville-Normandie-St.Gatien.AP.070310_TMYx.zip</v>
      </c>
    </row>
    <row r="4118" spans="1:10" x14ac:dyDescent="0.25">
      <c r="A4118" t="s">
        <v>2883</v>
      </c>
      <c r="B4118" t="s">
        <v>1713</v>
      </c>
      <c r="C4118" t="s">
        <v>2930</v>
      </c>
      <c r="D4118" s="1" t="s">
        <v>2931</v>
      </c>
      <c r="E4118" t="s">
        <v>14</v>
      </c>
      <c r="F4118">
        <v>49.832999999999998</v>
      </c>
      <c r="G4118">
        <v>0.65</v>
      </c>
      <c r="H4118">
        <v>1</v>
      </c>
      <c r="I4118">
        <v>83</v>
      </c>
      <c r="J4118" t="str">
        <f>HYPERLINK("https://climate.onebuilding.org/WMO_Region_6_Europe/FRA_France/ND_Normandie/FRA_ND_Saint.Valery-Vittefleur.Airstrip.070330_TMYx.zip")</f>
        <v>https://climate.onebuilding.org/WMO_Region_6_Europe/FRA_France/ND_Normandie/FRA_ND_Saint.Valery-Vittefleur.Airstrip.070330_TMYx.zip</v>
      </c>
    </row>
    <row r="4119" spans="1:10" x14ac:dyDescent="0.25">
      <c r="A4119" t="s">
        <v>2883</v>
      </c>
      <c r="B4119" t="s">
        <v>1713</v>
      </c>
      <c r="C4119" t="s">
        <v>2932</v>
      </c>
      <c r="D4119" s="1" t="s">
        <v>2933</v>
      </c>
      <c r="E4119" t="s">
        <v>14</v>
      </c>
      <c r="F4119">
        <v>49.374499999999998</v>
      </c>
      <c r="G4119">
        <v>-1.7786</v>
      </c>
      <c r="H4119">
        <v>1</v>
      </c>
      <c r="I4119">
        <v>1</v>
      </c>
      <c r="J4119" t="str">
        <f>HYPERLINK("https://climate.onebuilding.org/WMO_Region_6_Europe/FRA_France/ND_Normandie/FRA_ND_Carteret.070340_TMYx.zip")</f>
        <v>https://climate.onebuilding.org/WMO_Region_6_Europe/FRA_France/ND_Normandie/FRA_ND_Carteret.070340_TMYx.zip</v>
      </c>
    </row>
    <row r="4120" spans="1:10" x14ac:dyDescent="0.25">
      <c r="A4120" t="s">
        <v>2883</v>
      </c>
      <c r="B4120" t="s">
        <v>1713</v>
      </c>
      <c r="C4120" t="s">
        <v>2934</v>
      </c>
      <c r="D4120" s="1" t="s">
        <v>2935</v>
      </c>
      <c r="E4120" t="s">
        <v>2936</v>
      </c>
      <c r="F4120">
        <v>49.383000000000003</v>
      </c>
      <c r="G4120">
        <v>1.1817</v>
      </c>
      <c r="H4120">
        <v>1</v>
      </c>
      <c r="I4120">
        <v>152</v>
      </c>
      <c r="J4120" t="str">
        <f>HYPERLINK("https://climate.onebuilding.org/WMO_Region_6_Europe/FRA_France/ND_Normandie/FRA_ND_Rouen-Vallee.de.Seine.AP.070370_TMYx.2004-2018.zip")</f>
        <v>https://climate.onebuilding.org/WMO_Region_6_Europe/FRA_France/ND_Normandie/FRA_ND_Rouen-Vallee.de.Seine.AP.070370_TMYx.2004-2018.zip</v>
      </c>
    </row>
    <row r="4121" spans="1:10" x14ac:dyDescent="0.25">
      <c r="A4121" t="s">
        <v>2883</v>
      </c>
      <c r="B4121" t="s">
        <v>1713</v>
      </c>
      <c r="C4121" t="s">
        <v>2934</v>
      </c>
      <c r="D4121" s="1" t="s">
        <v>2935</v>
      </c>
      <c r="E4121" t="s">
        <v>14</v>
      </c>
      <c r="F4121">
        <v>49.383000000000003</v>
      </c>
      <c r="G4121">
        <v>1.1817</v>
      </c>
      <c r="H4121">
        <v>1</v>
      </c>
      <c r="I4121">
        <v>152</v>
      </c>
      <c r="J4121" t="str">
        <f>HYPERLINK("https://climate.onebuilding.org/WMO_Region_6_Europe/FRA_France/ND_Normandie/FRA_ND_Rouen-Vallee.de.Seine.AP.070370_TMYx.2007-2021.zip")</f>
        <v>https://climate.onebuilding.org/WMO_Region_6_Europe/FRA_France/ND_Normandie/FRA_ND_Rouen-Vallee.de.Seine.AP.070370_TMYx.2007-2021.zip</v>
      </c>
    </row>
    <row r="4122" spans="1:10" x14ac:dyDescent="0.25">
      <c r="A4122" t="s">
        <v>2883</v>
      </c>
      <c r="B4122" t="s">
        <v>1713</v>
      </c>
      <c r="C4122" t="s">
        <v>2934</v>
      </c>
      <c r="D4122" s="1" t="s">
        <v>2935</v>
      </c>
      <c r="E4122" t="s">
        <v>14</v>
      </c>
      <c r="F4122">
        <v>49.383000000000003</v>
      </c>
      <c r="G4122">
        <v>1.1817</v>
      </c>
      <c r="H4122">
        <v>1</v>
      </c>
      <c r="I4122">
        <v>152</v>
      </c>
      <c r="J4122" t="str">
        <f>HYPERLINK("https://climate.onebuilding.org/WMO_Region_6_Europe/FRA_France/ND_Normandie/FRA_ND_Rouen-Vallee.de.Seine.AP.070370_TMYx.2009-2023.zip")</f>
        <v>https://climate.onebuilding.org/WMO_Region_6_Europe/FRA_France/ND_Normandie/FRA_ND_Rouen-Vallee.de.Seine.AP.070370_TMYx.2009-2023.zip</v>
      </c>
    </row>
    <row r="4123" spans="1:10" x14ac:dyDescent="0.25">
      <c r="A4123" t="s">
        <v>2883</v>
      </c>
      <c r="B4123" t="s">
        <v>1713</v>
      </c>
      <c r="C4123" t="s">
        <v>2934</v>
      </c>
      <c r="D4123" s="1" t="s">
        <v>2935</v>
      </c>
      <c r="E4123" t="s">
        <v>14</v>
      </c>
      <c r="F4123">
        <v>49.383000000000003</v>
      </c>
      <c r="G4123">
        <v>1.1817</v>
      </c>
      <c r="H4123">
        <v>1</v>
      </c>
      <c r="I4123">
        <v>152</v>
      </c>
      <c r="J4123" t="str">
        <f>HYPERLINK("https://climate.onebuilding.org/WMO_Region_6_Europe/FRA_France/ND_Normandie/FRA_ND_Rouen-Vallee.de.Seine.AP.070370_TMYx.zip")</f>
        <v>https://climate.onebuilding.org/WMO_Region_6_Europe/FRA_France/ND_Normandie/FRA_ND_Rouen-Vallee.de.Seine.AP.070370_TMYx.zip</v>
      </c>
    </row>
    <row r="4124" spans="1:10" x14ac:dyDescent="0.25">
      <c r="A4124" t="s">
        <v>2883</v>
      </c>
      <c r="B4124" t="s">
        <v>1713</v>
      </c>
      <c r="C4124" t="s">
        <v>2937</v>
      </c>
      <c r="D4124" s="1" t="s">
        <v>2938</v>
      </c>
      <c r="E4124" t="s">
        <v>2939</v>
      </c>
      <c r="F4124">
        <v>49.024999999999999</v>
      </c>
      <c r="G4124">
        <v>1.2217</v>
      </c>
      <c r="H4124">
        <v>1</v>
      </c>
      <c r="I4124">
        <v>138</v>
      </c>
      <c r="J4124" t="str">
        <f>HYPERLINK("https://climate.onebuilding.org/WMO_Region_6_Europe/FRA_France/ND_Normandie/FRA_ND_Evreux-Fauville-Evreux-Huest.AB.070380_TMYx.2004-2018.zip")</f>
        <v>https://climate.onebuilding.org/WMO_Region_6_Europe/FRA_France/ND_Normandie/FRA_ND_Evreux-Fauville-Evreux-Huest.AB.070380_TMYx.2004-2018.zip</v>
      </c>
    </row>
    <row r="4125" spans="1:10" x14ac:dyDescent="0.25">
      <c r="A4125" t="s">
        <v>2883</v>
      </c>
      <c r="B4125" t="s">
        <v>1713</v>
      </c>
      <c r="C4125" t="s">
        <v>2937</v>
      </c>
      <c r="D4125" s="1" t="s">
        <v>2938</v>
      </c>
      <c r="E4125" t="s">
        <v>14</v>
      </c>
      <c r="F4125">
        <v>49.024999999999999</v>
      </c>
      <c r="G4125">
        <v>1.2217</v>
      </c>
      <c r="H4125">
        <v>1</v>
      </c>
      <c r="I4125">
        <v>138</v>
      </c>
      <c r="J4125" t="str">
        <f>HYPERLINK("https://climate.onebuilding.org/WMO_Region_6_Europe/FRA_France/ND_Normandie/FRA_ND_Evreux-Fauville-Evreux-Huest.AB.070380_TMYx.2007-2021.zip")</f>
        <v>https://climate.onebuilding.org/WMO_Region_6_Europe/FRA_France/ND_Normandie/FRA_ND_Evreux-Fauville-Evreux-Huest.AB.070380_TMYx.2007-2021.zip</v>
      </c>
    </row>
    <row r="4126" spans="1:10" x14ac:dyDescent="0.25">
      <c r="A4126" t="s">
        <v>2883</v>
      </c>
      <c r="B4126" t="s">
        <v>1713</v>
      </c>
      <c r="C4126" t="s">
        <v>2937</v>
      </c>
      <c r="D4126" s="1" t="s">
        <v>2938</v>
      </c>
      <c r="E4126" t="s">
        <v>14</v>
      </c>
      <c r="F4126">
        <v>49.024999999999999</v>
      </c>
      <c r="G4126">
        <v>1.2217</v>
      </c>
      <c r="H4126">
        <v>1</v>
      </c>
      <c r="I4126">
        <v>138</v>
      </c>
      <c r="J4126" t="str">
        <f>HYPERLINK("https://climate.onebuilding.org/WMO_Region_6_Europe/FRA_France/ND_Normandie/FRA_ND_Evreux-Fauville-Evreux-Huest.AB.070380_TMYx.2009-2023.zip")</f>
        <v>https://climate.onebuilding.org/WMO_Region_6_Europe/FRA_France/ND_Normandie/FRA_ND_Evreux-Fauville-Evreux-Huest.AB.070380_TMYx.2009-2023.zip</v>
      </c>
    </row>
    <row r="4127" spans="1:10" x14ac:dyDescent="0.25">
      <c r="A4127" t="s">
        <v>2883</v>
      </c>
      <c r="B4127" t="s">
        <v>1713</v>
      </c>
      <c r="C4127" t="s">
        <v>2937</v>
      </c>
      <c r="D4127" s="1" t="s">
        <v>2938</v>
      </c>
      <c r="E4127" t="s">
        <v>14</v>
      </c>
      <c r="F4127">
        <v>49.024999999999999</v>
      </c>
      <c r="G4127">
        <v>1.2217</v>
      </c>
      <c r="H4127">
        <v>1</v>
      </c>
      <c r="I4127">
        <v>138</v>
      </c>
      <c r="J4127" t="str">
        <f>HYPERLINK("https://climate.onebuilding.org/WMO_Region_6_Europe/FRA_France/ND_Normandie/FRA_ND_Evreux-Fauville-Evreux-Huest.AB.070380_TMYx.zip")</f>
        <v>https://climate.onebuilding.org/WMO_Region_6_Europe/FRA_France/ND_Normandie/FRA_ND_Evreux-Fauville-Evreux-Huest.AB.070380_TMYx.zip</v>
      </c>
    </row>
    <row r="4128" spans="1:10" x14ac:dyDescent="0.25">
      <c r="A4128" t="s">
        <v>2883</v>
      </c>
      <c r="B4128" t="s">
        <v>1713</v>
      </c>
      <c r="C4128" t="s">
        <v>2940</v>
      </c>
      <c r="D4128" s="1" t="s">
        <v>2941</v>
      </c>
      <c r="E4128" t="s">
        <v>2942</v>
      </c>
      <c r="F4128">
        <v>49.517000000000003</v>
      </c>
      <c r="G4128">
        <v>-1.5</v>
      </c>
      <c r="H4128">
        <v>1</v>
      </c>
      <c r="I4128">
        <v>61</v>
      </c>
      <c r="J4128" t="str">
        <f>HYPERLINK("https://climate.onebuilding.org/WMO_Region_6_Europe/FRA_France/ND_Normandie/FRA_ND_Valognes.070390_TMYx.2004-2018.zip")</f>
        <v>https://climate.onebuilding.org/WMO_Region_6_Europe/FRA_France/ND_Normandie/FRA_ND_Valognes.070390_TMYx.2004-2018.zip</v>
      </c>
    </row>
    <row r="4129" spans="1:10" x14ac:dyDescent="0.25">
      <c r="A4129" t="s">
        <v>2883</v>
      </c>
      <c r="B4129" t="s">
        <v>1713</v>
      </c>
      <c r="C4129" t="s">
        <v>2940</v>
      </c>
      <c r="D4129" s="1" t="s">
        <v>2941</v>
      </c>
      <c r="E4129" t="s">
        <v>14</v>
      </c>
      <c r="F4129">
        <v>49.517000000000003</v>
      </c>
      <c r="G4129">
        <v>-1.5</v>
      </c>
      <c r="H4129">
        <v>1</v>
      </c>
      <c r="I4129">
        <v>61</v>
      </c>
      <c r="J4129" t="str">
        <f>HYPERLINK("https://climate.onebuilding.org/WMO_Region_6_Europe/FRA_France/ND_Normandie/FRA_ND_Valognes.070390_TMYx.zip")</f>
        <v>https://climate.onebuilding.org/WMO_Region_6_Europe/FRA_France/ND_Normandie/FRA_ND_Valognes.070390_TMYx.zip</v>
      </c>
    </row>
    <row r="4130" spans="1:10" x14ac:dyDescent="0.25">
      <c r="A4130" t="s">
        <v>2883</v>
      </c>
      <c r="B4130" t="s">
        <v>1713</v>
      </c>
      <c r="C4130" t="s">
        <v>2943</v>
      </c>
      <c r="D4130" s="1" t="s">
        <v>2944</v>
      </c>
      <c r="E4130" t="s">
        <v>2945</v>
      </c>
      <c r="F4130">
        <v>49.932499999999997</v>
      </c>
      <c r="G4130">
        <v>1.0889</v>
      </c>
      <c r="H4130">
        <v>1</v>
      </c>
      <c r="I4130">
        <v>40</v>
      </c>
      <c r="J4130" t="str">
        <f>HYPERLINK("https://climate.onebuilding.org/WMO_Region_6_Europe/FRA_France/ND_Normandie/FRA_ND_Dieppe.070400_TMYx.2004-2018.zip")</f>
        <v>https://climate.onebuilding.org/WMO_Region_6_Europe/FRA_France/ND_Normandie/FRA_ND_Dieppe.070400_TMYx.2004-2018.zip</v>
      </c>
    </row>
    <row r="4131" spans="1:10" x14ac:dyDescent="0.25">
      <c r="A4131" t="s">
        <v>2883</v>
      </c>
      <c r="B4131" t="s">
        <v>1713</v>
      </c>
      <c r="C4131" t="s">
        <v>2943</v>
      </c>
      <c r="D4131" s="1" t="s">
        <v>2944</v>
      </c>
      <c r="E4131" t="s">
        <v>14</v>
      </c>
      <c r="F4131">
        <v>49.932499999999997</v>
      </c>
      <c r="G4131">
        <v>1.0889</v>
      </c>
      <c r="H4131">
        <v>1</v>
      </c>
      <c r="I4131">
        <v>40</v>
      </c>
      <c r="J4131" t="str">
        <f>HYPERLINK("https://climate.onebuilding.org/WMO_Region_6_Europe/FRA_France/ND_Normandie/FRA_ND_Dieppe.070400_TMYx.2007-2021.zip")</f>
        <v>https://climate.onebuilding.org/WMO_Region_6_Europe/FRA_France/ND_Normandie/FRA_ND_Dieppe.070400_TMYx.2007-2021.zip</v>
      </c>
    </row>
    <row r="4132" spans="1:10" x14ac:dyDescent="0.25">
      <c r="A4132" t="s">
        <v>2883</v>
      </c>
      <c r="B4132" t="s">
        <v>1713</v>
      </c>
      <c r="C4132" t="s">
        <v>2943</v>
      </c>
      <c r="D4132" s="1" t="s">
        <v>2944</v>
      </c>
      <c r="E4132" t="s">
        <v>14</v>
      </c>
      <c r="F4132">
        <v>49.932499999999997</v>
      </c>
      <c r="G4132">
        <v>1.0889</v>
      </c>
      <c r="H4132">
        <v>1</v>
      </c>
      <c r="I4132">
        <v>40</v>
      </c>
      <c r="J4132" t="str">
        <f>HYPERLINK("https://climate.onebuilding.org/WMO_Region_6_Europe/FRA_France/ND_Normandie/FRA_ND_Dieppe.070400_TMYx.2009-2023.zip")</f>
        <v>https://climate.onebuilding.org/WMO_Region_6_Europe/FRA_France/ND_Normandie/FRA_ND_Dieppe.070400_TMYx.2009-2023.zip</v>
      </c>
    </row>
    <row r="4133" spans="1:10" x14ac:dyDescent="0.25">
      <c r="A4133" t="s">
        <v>2883</v>
      </c>
      <c r="B4133" t="s">
        <v>1713</v>
      </c>
      <c r="C4133" t="s">
        <v>2943</v>
      </c>
      <c r="D4133" s="1" t="s">
        <v>2944</v>
      </c>
      <c r="E4133" t="s">
        <v>14</v>
      </c>
      <c r="F4133">
        <v>49.932499999999997</v>
      </c>
      <c r="G4133">
        <v>1.0889</v>
      </c>
      <c r="H4133">
        <v>1</v>
      </c>
      <c r="I4133">
        <v>40</v>
      </c>
      <c r="J4133" t="str">
        <f>HYPERLINK("https://climate.onebuilding.org/WMO_Region_6_Europe/FRA_France/ND_Normandie/FRA_ND_Dieppe.070400_TMYx.zip")</f>
        <v>https://climate.onebuilding.org/WMO_Region_6_Europe/FRA_France/ND_Normandie/FRA_ND_Dieppe.070400_TMYx.zip</v>
      </c>
    </row>
    <row r="4134" spans="1:10" x14ac:dyDescent="0.25">
      <c r="A4134" t="s">
        <v>2883</v>
      </c>
      <c r="B4134" t="s">
        <v>1713</v>
      </c>
      <c r="C4134" t="s">
        <v>2946</v>
      </c>
      <c r="D4134" s="1" t="s">
        <v>2947</v>
      </c>
      <c r="E4134" t="s">
        <v>2948</v>
      </c>
      <c r="F4134">
        <v>49.533099999999997</v>
      </c>
      <c r="G4134" s="1" t="s">
        <v>2949</v>
      </c>
      <c r="H4134">
        <v>1</v>
      </c>
      <c r="I4134">
        <v>95</v>
      </c>
      <c r="J4134" t="str">
        <f>HYPERLINK("https://climate.onebuilding.org/WMO_Region_6_Europe/FRA_France/ND_Normandie/FRA_ND_Le.Havre-Octeville.AP.070460_TMYx.2004-2018.zip")</f>
        <v>https://climate.onebuilding.org/WMO_Region_6_Europe/FRA_France/ND_Normandie/FRA_ND_Le.Havre-Octeville.AP.070460_TMYx.2004-2018.zip</v>
      </c>
    </row>
    <row r="4135" spans="1:10" x14ac:dyDescent="0.25">
      <c r="A4135" t="s">
        <v>2883</v>
      </c>
      <c r="B4135" t="s">
        <v>1713</v>
      </c>
      <c r="C4135" t="s">
        <v>2946</v>
      </c>
      <c r="D4135" s="1" t="s">
        <v>2947</v>
      </c>
      <c r="E4135" t="s">
        <v>14</v>
      </c>
      <c r="F4135">
        <v>49.533099999999997</v>
      </c>
      <c r="G4135" s="1" t="s">
        <v>2949</v>
      </c>
      <c r="H4135">
        <v>1</v>
      </c>
      <c r="I4135">
        <v>95</v>
      </c>
      <c r="J4135" t="str">
        <f>HYPERLINK("https://climate.onebuilding.org/WMO_Region_6_Europe/FRA_France/ND_Normandie/FRA_ND_Le.Havre-Octeville.AP.070460_TMYx.2007-2021.zip")</f>
        <v>https://climate.onebuilding.org/WMO_Region_6_Europe/FRA_France/ND_Normandie/FRA_ND_Le.Havre-Octeville.AP.070460_TMYx.2007-2021.zip</v>
      </c>
    </row>
    <row r="4136" spans="1:10" x14ac:dyDescent="0.25">
      <c r="A4136" t="s">
        <v>2883</v>
      </c>
      <c r="B4136" t="s">
        <v>1713</v>
      </c>
      <c r="C4136" t="s">
        <v>2946</v>
      </c>
      <c r="D4136" s="1" t="s">
        <v>2947</v>
      </c>
      <c r="E4136" t="s">
        <v>14</v>
      </c>
      <c r="F4136">
        <v>49.533099999999997</v>
      </c>
      <c r="G4136" s="1" t="s">
        <v>2949</v>
      </c>
      <c r="H4136">
        <v>1</v>
      </c>
      <c r="I4136">
        <v>95</v>
      </c>
      <c r="J4136" t="str">
        <f>HYPERLINK("https://climate.onebuilding.org/WMO_Region_6_Europe/FRA_France/ND_Normandie/FRA_ND_Le.Havre-Octeville.AP.070460_TMYx.2009-2023.zip")</f>
        <v>https://climate.onebuilding.org/WMO_Region_6_Europe/FRA_France/ND_Normandie/FRA_ND_Le.Havre-Octeville.AP.070460_TMYx.2009-2023.zip</v>
      </c>
    </row>
    <row r="4137" spans="1:10" x14ac:dyDescent="0.25">
      <c r="A4137" t="s">
        <v>2883</v>
      </c>
      <c r="B4137" t="s">
        <v>1713</v>
      </c>
      <c r="C4137" t="s">
        <v>2946</v>
      </c>
      <c r="D4137" s="1" t="s">
        <v>2947</v>
      </c>
      <c r="E4137" t="s">
        <v>14</v>
      </c>
      <c r="F4137">
        <v>49.533099999999997</v>
      </c>
      <c r="G4137" s="1" t="s">
        <v>2949</v>
      </c>
      <c r="H4137">
        <v>1</v>
      </c>
      <c r="I4137">
        <v>95</v>
      </c>
      <c r="J4137" t="str">
        <f>HYPERLINK("https://climate.onebuilding.org/WMO_Region_6_Europe/FRA_France/ND_Normandie/FRA_ND_Le.Havre-Octeville.AP.070460_TMYx.zip")</f>
        <v>https://climate.onebuilding.org/WMO_Region_6_Europe/FRA_France/ND_Normandie/FRA_ND_Le.Havre-Octeville.AP.070460_TMYx.zip</v>
      </c>
    </row>
    <row r="4138" spans="1:10" x14ac:dyDescent="0.25">
      <c r="A4138" t="s">
        <v>2883</v>
      </c>
      <c r="B4138" t="s">
        <v>2950</v>
      </c>
      <c r="C4138" t="s">
        <v>2951</v>
      </c>
      <c r="D4138" s="1" t="s">
        <v>2952</v>
      </c>
      <c r="E4138" t="s">
        <v>2953</v>
      </c>
      <c r="F4138">
        <v>49.090299999999999</v>
      </c>
      <c r="G4138">
        <v>2.0286</v>
      </c>
      <c r="H4138">
        <v>1</v>
      </c>
      <c r="I4138">
        <v>88</v>
      </c>
      <c r="J4138" t="str">
        <f>HYPERLINK("https://climate.onebuilding.org/WMO_Region_6_Europe/FRA_France/IF_Ile-de-France/FRA_IF_Pontoise.AP.070530_TMYx.2004-2018.zip")</f>
        <v>https://climate.onebuilding.org/WMO_Region_6_Europe/FRA_France/IF_Ile-de-France/FRA_IF_Pontoise.AP.070530_TMYx.2004-2018.zip</v>
      </c>
    </row>
    <row r="4139" spans="1:10" x14ac:dyDescent="0.25">
      <c r="A4139" t="s">
        <v>2883</v>
      </c>
      <c r="B4139" t="s">
        <v>2950</v>
      </c>
      <c r="C4139" t="s">
        <v>2951</v>
      </c>
      <c r="D4139" s="1" t="s">
        <v>2952</v>
      </c>
      <c r="E4139" t="s">
        <v>14</v>
      </c>
      <c r="F4139">
        <v>49.090299999999999</v>
      </c>
      <c r="G4139">
        <v>2.0286</v>
      </c>
      <c r="H4139">
        <v>1</v>
      </c>
      <c r="I4139">
        <v>88</v>
      </c>
      <c r="J4139" t="str">
        <f>HYPERLINK("https://climate.onebuilding.org/WMO_Region_6_Europe/FRA_France/IF_Ile-de-France/FRA_IF_Pontoise.AP.070530_TMYx.2007-2021.zip")</f>
        <v>https://climate.onebuilding.org/WMO_Region_6_Europe/FRA_France/IF_Ile-de-France/FRA_IF_Pontoise.AP.070530_TMYx.2007-2021.zip</v>
      </c>
    </row>
    <row r="4140" spans="1:10" x14ac:dyDescent="0.25">
      <c r="A4140" t="s">
        <v>2883</v>
      </c>
      <c r="B4140" t="s">
        <v>2950</v>
      </c>
      <c r="C4140" t="s">
        <v>2951</v>
      </c>
      <c r="D4140" s="1" t="s">
        <v>2952</v>
      </c>
      <c r="E4140" t="s">
        <v>14</v>
      </c>
      <c r="F4140">
        <v>49.090299999999999</v>
      </c>
      <c r="G4140">
        <v>2.0286</v>
      </c>
      <c r="H4140">
        <v>1</v>
      </c>
      <c r="I4140">
        <v>88</v>
      </c>
      <c r="J4140" t="str">
        <f>HYPERLINK("https://climate.onebuilding.org/WMO_Region_6_Europe/FRA_France/IF_Ile-de-France/FRA_IF_Pontoise.AP.070530_TMYx.2009-2023.zip")</f>
        <v>https://climate.onebuilding.org/WMO_Region_6_Europe/FRA_France/IF_Ile-de-France/FRA_IF_Pontoise.AP.070530_TMYx.2009-2023.zip</v>
      </c>
    </row>
    <row r="4141" spans="1:10" x14ac:dyDescent="0.25">
      <c r="A4141" t="s">
        <v>2883</v>
      </c>
      <c r="B4141" t="s">
        <v>2950</v>
      </c>
      <c r="C4141" t="s">
        <v>2951</v>
      </c>
      <c r="D4141" s="1" t="s">
        <v>2952</v>
      </c>
      <c r="E4141" t="s">
        <v>14</v>
      </c>
      <c r="F4141">
        <v>49.090299999999999</v>
      </c>
      <c r="G4141">
        <v>2.0286</v>
      </c>
      <c r="H4141">
        <v>1</v>
      </c>
      <c r="I4141">
        <v>88</v>
      </c>
      <c r="J4141" t="str">
        <f>HYPERLINK("https://climate.onebuilding.org/WMO_Region_6_Europe/FRA_France/IF_Ile-de-France/FRA_IF_Pontoise.AP.070530_TMYx.zip")</f>
        <v>https://climate.onebuilding.org/WMO_Region_6_Europe/FRA_France/IF_Ile-de-France/FRA_IF_Pontoise.AP.070530_TMYx.zip</v>
      </c>
    </row>
    <row r="4142" spans="1:10" x14ac:dyDescent="0.25">
      <c r="A4142" t="s">
        <v>2883</v>
      </c>
      <c r="B4142" t="s">
        <v>2028</v>
      </c>
      <c r="C4142" t="s">
        <v>2954</v>
      </c>
      <c r="D4142" s="1" t="s">
        <v>2955</v>
      </c>
      <c r="E4142" t="s">
        <v>2956</v>
      </c>
      <c r="F4142">
        <v>49.446399999999997</v>
      </c>
      <c r="G4142">
        <v>2.1272000000000002</v>
      </c>
      <c r="H4142">
        <v>1</v>
      </c>
      <c r="I4142">
        <v>111</v>
      </c>
      <c r="J4142" t="str">
        <f>HYPERLINK("https://climate.onebuilding.org/WMO_Region_6_Europe/FRA_France/NC_Hauts-de-France/FRA_NC_Beauvais.AP.070550_TMYx.2004-2018.zip")</f>
        <v>https://climate.onebuilding.org/WMO_Region_6_Europe/FRA_France/NC_Hauts-de-France/FRA_NC_Beauvais.AP.070550_TMYx.2004-2018.zip</v>
      </c>
    </row>
    <row r="4143" spans="1:10" x14ac:dyDescent="0.25">
      <c r="A4143" t="s">
        <v>2883</v>
      </c>
      <c r="B4143" t="s">
        <v>2028</v>
      </c>
      <c r="C4143" t="s">
        <v>2954</v>
      </c>
      <c r="D4143" s="1" t="s">
        <v>2955</v>
      </c>
      <c r="E4143" t="s">
        <v>14</v>
      </c>
      <c r="F4143">
        <v>49.446399999999997</v>
      </c>
      <c r="G4143">
        <v>2.1272000000000002</v>
      </c>
      <c r="H4143">
        <v>1</v>
      </c>
      <c r="I4143">
        <v>111</v>
      </c>
      <c r="J4143" t="str">
        <f>HYPERLINK("https://climate.onebuilding.org/WMO_Region_6_Europe/FRA_France/NC_Hauts-de-France/FRA_NC_Beauvais.AP.070550_TMYx.2007-2021.zip")</f>
        <v>https://climate.onebuilding.org/WMO_Region_6_Europe/FRA_France/NC_Hauts-de-France/FRA_NC_Beauvais.AP.070550_TMYx.2007-2021.zip</v>
      </c>
    </row>
    <row r="4144" spans="1:10" x14ac:dyDescent="0.25">
      <c r="A4144" t="s">
        <v>2883</v>
      </c>
      <c r="B4144" t="s">
        <v>2028</v>
      </c>
      <c r="C4144" t="s">
        <v>2954</v>
      </c>
      <c r="D4144" s="1" t="s">
        <v>2955</v>
      </c>
      <c r="E4144" t="s">
        <v>14</v>
      </c>
      <c r="F4144">
        <v>49.446399999999997</v>
      </c>
      <c r="G4144">
        <v>2.1272000000000002</v>
      </c>
      <c r="H4144">
        <v>1</v>
      </c>
      <c r="I4144">
        <v>111</v>
      </c>
      <c r="J4144" t="str">
        <f>HYPERLINK("https://climate.onebuilding.org/WMO_Region_6_Europe/FRA_France/NC_Hauts-de-France/FRA_NC_Beauvais.AP.070550_TMYx.2009-2023.zip")</f>
        <v>https://climate.onebuilding.org/WMO_Region_6_Europe/FRA_France/NC_Hauts-de-France/FRA_NC_Beauvais.AP.070550_TMYx.2009-2023.zip</v>
      </c>
    </row>
    <row r="4145" spans="1:10" x14ac:dyDescent="0.25">
      <c r="A4145" t="s">
        <v>2883</v>
      </c>
      <c r="B4145" t="s">
        <v>2028</v>
      </c>
      <c r="C4145" t="s">
        <v>2954</v>
      </c>
      <c r="D4145" s="1" t="s">
        <v>2955</v>
      </c>
      <c r="E4145" t="s">
        <v>14</v>
      </c>
      <c r="F4145">
        <v>49.446399999999997</v>
      </c>
      <c r="G4145">
        <v>2.1272000000000002</v>
      </c>
      <c r="H4145">
        <v>1</v>
      </c>
      <c r="I4145">
        <v>111</v>
      </c>
      <c r="J4145" t="str">
        <f>HYPERLINK("https://climate.onebuilding.org/WMO_Region_6_Europe/FRA_France/NC_Hauts-de-France/FRA_NC_Beauvais.AP.070550_TMYx.zip")</f>
        <v>https://climate.onebuilding.org/WMO_Region_6_Europe/FRA_France/NC_Hauts-de-France/FRA_NC_Beauvais.AP.070550_TMYx.zip</v>
      </c>
    </row>
    <row r="4146" spans="1:10" x14ac:dyDescent="0.25">
      <c r="A4146" t="s">
        <v>2883</v>
      </c>
      <c r="B4146" t="s">
        <v>2028</v>
      </c>
      <c r="C4146" t="s">
        <v>2957</v>
      </c>
      <c r="D4146" s="1" t="s">
        <v>2958</v>
      </c>
      <c r="E4146" t="s">
        <v>2959</v>
      </c>
      <c r="F4146">
        <v>49.252200000000002</v>
      </c>
      <c r="G4146">
        <v>2.5207999999999999</v>
      </c>
      <c r="H4146">
        <v>1</v>
      </c>
      <c r="I4146">
        <v>88</v>
      </c>
      <c r="J4146" t="str">
        <f>HYPERLINK("https://climate.onebuilding.org/WMO_Region_6_Europe/FRA_France/NC_Hauts-de-France/FRA_NC_Creil.AB.070570_TMYx.2004-2018.zip")</f>
        <v>https://climate.onebuilding.org/WMO_Region_6_Europe/FRA_France/NC_Hauts-de-France/FRA_NC_Creil.AB.070570_TMYx.2004-2018.zip</v>
      </c>
    </row>
    <row r="4147" spans="1:10" x14ac:dyDescent="0.25">
      <c r="A4147" t="s">
        <v>2883</v>
      </c>
      <c r="B4147" t="s">
        <v>2028</v>
      </c>
      <c r="C4147" t="s">
        <v>2957</v>
      </c>
      <c r="D4147" s="1" t="s">
        <v>2958</v>
      </c>
      <c r="E4147" t="s">
        <v>14</v>
      </c>
      <c r="F4147">
        <v>49.252200000000002</v>
      </c>
      <c r="G4147">
        <v>2.5207999999999999</v>
      </c>
      <c r="H4147">
        <v>1</v>
      </c>
      <c r="I4147">
        <v>88</v>
      </c>
      <c r="J4147" t="str">
        <f>HYPERLINK("https://climate.onebuilding.org/WMO_Region_6_Europe/FRA_France/NC_Hauts-de-France/FRA_NC_Creil.AB.070570_TMYx.2007-2021.zip")</f>
        <v>https://climate.onebuilding.org/WMO_Region_6_Europe/FRA_France/NC_Hauts-de-France/FRA_NC_Creil.AB.070570_TMYx.2007-2021.zip</v>
      </c>
    </row>
    <row r="4148" spans="1:10" x14ac:dyDescent="0.25">
      <c r="A4148" t="s">
        <v>2883</v>
      </c>
      <c r="B4148" t="s">
        <v>2028</v>
      </c>
      <c r="C4148" t="s">
        <v>2957</v>
      </c>
      <c r="D4148" s="1" t="s">
        <v>2958</v>
      </c>
      <c r="E4148" t="s">
        <v>14</v>
      </c>
      <c r="F4148">
        <v>49.252200000000002</v>
      </c>
      <c r="G4148">
        <v>2.5207999999999999</v>
      </c>
      <c r="H4148">
        <v>1</v>
      </c>
      <c r="I4148">
        <v>88</v>
      </c>
      <c r="J4148" t="str">
        <f>HYPERLINK("https://climate.onebuilding.org/WMO_Region_6_Europe/FRA_France/NC_Hauts-de-France/FRA_NC_Creil.AB.070570_TMYx.2009-2023.zip")</f>
        <v>https://climate.onebuilding.org/WMO_Region_6_Europe/FRA_France/NC_Hauts-de-France/FRA_NC_Creil.AB.070570_TMYx.2009-2023.zip</v>
      </c>
    </row>
    <row r="4149" spans="1:10" x14ac:dyDescent="0.25">
      <c r="A4149" t="s">
        <v>2883</v>
      </c>
      <c r="B4149" t="s">
        <v>2028</v>
      </c>
      <c r="C4149" t="s">
        <v>2957</v>
      </c>
      <c r="D4149" s="1" t="s">
        <v>2958</v>
      </c>
      <c r="E4149" t="s">
        <v>14</v>
      </c>
      <c r="F4149">
        <v>49.252200000000002</v>
      </c>
      <c r="G4149">
        <v>2.5207999999999999</v>
      </c>
      <c r="H4149">
        <v>1</v>
      </c>
      <c r="I4149">
        <v>88</v>
      </c>
      <c r="J4149" t="str">
        <f>HYPERLINK("https://climate.onebuilding.org/WMO_Region_6_Europe/FRA_France/NC_Hauts-de-France/FRA_NC_Creil.AB.070570_TMYx.zip")</f>
        <v>https://climate.onebuilding.org/WMO_Region_6_Europe/FRA_France/NC_Hauts-de-France/FRA_NC_Creil.AB.070570_TMYx.zip</v>
      </c>
    </row>
    <row r="4150" spans="1:10" x14ac:dyDescent="0.25">
      <c r="A4150" t="s">
        <v>2883</v>
      </c>
      <c r="B4150" t="s">
        <v>2028</v>
      </c>
      <c r="C4150" t="s">
        <v>2960</v>
      </c>
      <c r="D4150" s="1" t="s">
        <v>2961</v>
      </c>
      <c r="E4150" t="s">
        <v>2962</v>
      </c>
      <c r="F4150">
        <v>49.972000000000001</v>
      </c>
      <c r="G4150">
        <v>2.7039</v>
      </c>
      <c r="H4150">
        <v>1</v>
      </c>
      <c r="I4150">
        <v>112</v>
      </c>
      <c r="J4150" t="str">
        <f>HYPERLINK("https://climate.onebuilding.org/WMO_Region_6_Europe/FRA_France/NC_Hauts-de-France/FRA_NC_Albert-Picardie.AP.070590_TMYx.2004-2018.zip")</f>
        <v>https://climate.onebuilding.org/WMO_Region_6_Europe/FRA_France/NC_Hauts-de-France/FRA_NC_Albert-Picardie.AP.070590_TMYx.2004-2018.zip</v>
      </c>
    </row>
    <row r="4151" spans="1:10" x14ac:dyDescent="0.25">
      <c r="A4151" t="s">
        <v>2883</v>
      </c>
      <c r="B4151" t="s">
        <v>2028</v>
      </c>
      <c r="C4151" t="s">
        <v>2960</v>
      </c>
      <c r="D4151" s="1" t="s">
        <v>2961</v>
      </c>
      <c r="E4151" t="s">
        <v>14</v>
      </c>
      <c r="F4151">
        <v>49.972000000000001</v>
      </c>
      <c r="G4151">
        <v>2.7039</v>
      </c>
      <c r="H4151">
        <v>1</v>
      </c>
      <c r="I4151">
        <v>112</v>
      </c>
      <c r="J4151" t="str">
        <f>HYPERLINK("https://climate.onebuilding.org/WMO_Region_6_Europe/FRA_France/NC_Hauts-de-France/FRA_NC_Albert-Picardie.AP.070590_TMYx.2007-2021.zip")</f>
        <v>https://climate.onebuilding.org/WMO_Region_6_Europe/FRA_France/NC_Hauts-de-France/FRA_NC_Albert-Picardie.AP.070590_TMYx.2007-2021.zip</v>
      </c>
    </row>
    <row r="4152" spans="1:10" x14ac:dyDescent="0.25">
      <c r="A4152" t="s">
        <v>2883</v>
      </c>
      <c r="B4152" t="s">
        <v>2028</v>
      </c>
      <c r="C4152" t="s">
        <v>2960</v>
      </c>
      <c r="D4152" s="1" t="s">
        <v>2961</v>
      </c>
      <c r="E4152" t="s">
        <v>14</v>
      </c>
      <c r="F4152">
        <v>49.972000000000001</v>
      </c>
      <c r="G4152">
        <v>2.7039</v>
      </c>
      <c r="H4152">
        <v>1</v>
      </c>
      <c r="I4152">
        <v>112</v>
      </c>
      <c r="J4152" t="str">
        <f>HYPERLINK("https://climate.onebuilding.org/WMO_Region_6_Europe/FRA_France/NC_Hauts-de-France/FRA_NC_Albert-Picardie.AP.070590_TMYx.2009-2023.zip")</f>
        <v>https://climate.onebuilding.org/WMO_Region_6_Europe/FRA_France/NC_Hauts-de-France/FRA_NC_Albert-Picardie.AP.070590_TMYx.2009-2023.zip</v>
      </c>
    </row>
    <row r="4153" spans="1:10" x14ac:dyDescent="0.25">
      <c r="A4153" t="s">
        <v>2883</v>
      </c>
      <c r="B4153" t="s">
        <v>2028</v>
      </c>
      <c r="C4153" t="s">
        <v>2960</v>
      </c>
      <c r="D4153" s="1" t="s">
        <v>2961</v>
      </c>
      <c r="E4153" t="s">
        <v>14</v>
      </c>
      <c r="F4153">
        <v>49.972000000000001</v>
      </c>
      <c r="G4153">
        <v>2.7039</v>
      </c>
      <c r="H4153">
        <v>1</v>
      </c>
      <c r="I4153">
        <v>112</v>
      </c>
      <c r="J4153" t="str">
        <f>HYPERLINK("https://climate.onebuilding.org/WMO_Region_6_Europe/FRA_France/NC_Hauts-de-France/FRA_NC_Albert-Picardie.AP.070590_TMYx.zip")</f>
        <v>https://climate.onebuilding.org/WMO_Region_6_Europe/FRA_France/NC_Hauts-de-France/FRA_NC_Albert-Picardie.AP.070590_TMYx.zip</v>
      </c>
    </row>
    <row r="4154" spans="1:10" x14ac:dyDescent="0.25">
      <c r="A4154" t="s">
        <v>2883</v>
      </c>
      <c r="B4154" t="s">
        <v>2028</v>
      </c>
      <c r="C4154" t="s">
        <v>2963</v>
      </c>
      <c r="D4154" s="1" t="s">
        <v>2964</v>
      </c>
      <c r="E4154" t="s">
        <v>2965</v>
      </c>
      <c r="F4154">
        <v>49.818300000000001</v>
      </c>
      <c r="G4154">
        <v>3.2061000000000002</v>
      </c>
      <c r="H4154">
        <v>1</v>
      </c>
      <c r="I4154">
        <v>98</v>
      </c>
      <c r="J4154" t="str">
        <f>HYPERLINK("https://climate.onebuilding.org/WMO_Region_6_Europe/FRA_France/NC_Hauts-de-France/FRA_NC_St.Quentin-Roupy.AP.070610_TMYx.2004-2018.zip")</f>
        <v>https://climate.onebuilding.org/WMO_Region_6_Europe/FRA_France/NC_Hauts-de-France/FRA_NC_St.Quentin-Roupy.AP.070610_TMYx.2004-2018.zip</v>
      </c>
    </row>
    <row r="4155" spans="1:10" x14ac:dyDescent="0.25">
      <c r="A4155" t="s">
        <v>2883</v>
      </c>
      <c r="B4155" t="s">
        <v>2028</v>
      </c>
      <c r="C4155" t="s">
        <v>2963</v>
      </c>
      <c r="D4155" s="1" t="s">
        <v>2964</v>
      </c>
      <c r="E4155" t="s">
        <v>14</v>
      </c>
      <c r="F4155">
        <v>49.818300000000001</v>
      </c>
      <c r="G4155">
        <v>3.2061000000000002</v>
      </c>
      <c r="H4155">
        <v>1</v>
      </c>
      <c r="I4155">
        <v>98</v>
      </c>
      <c r="J4155" t="str">
        <f>HYPERLINK("https://climate.onebuilding.org/WMO_Region_6_Europe/FRA_France/NC_Hauts-de-France/FRA_NC_St.Quentin-Roupy.AP.070610_TMYx.2007-2021.zip")</f>
        <v>https://climate.onebuilding.org/WMO_Region_6_Europe/FRA_France/NC_Hauts-de-France/FRA_NC_St.Quentin-Roupy.AP.070610_TMYx.2007-2021.zip</v>
      </c>
    </row>
    <row r="4156" spans="1:10" x14ac:dyDescent="0.25">
      <c r="A4156" t="s">
        <v>2883</v>
      </c>
      <c r="B4156" t="s">
        <v>2028</v>
      </c>
      <c r="C4156" t="s">
        <v>2963</v>
      </c>
      <c r="D4156" s="1" t="s">
        <v>2964</v>
      </c>
      <c r="E4156" t="s">
        <v>14</v>
      </c>
      <c r="F4156">
        <v>49.818300000000001</v>
      </c>
      <c r="G4156">
        <v>3.2061000000000002</v>
      </c>
      <c r="H4156">
        <v>1</v>
      </c>
      <c r="I4156">
        <v>98</v>
      </c>
      <c r="J4156" t="str">
        <f>HYPERLINK("https://climate.onebuilding.org/WMO_Region_6_Europe/FRA_France/NC_Hauts-de-France/FRA_NC_St.Quentin-Roupy.AP.070610_TMYx.2009-2023.zip")</f>
        <v>https://climate.onebuilding.org/WMO_Region_6_Europe/FRA_France/NC_Hauts-de-France/FRA_NC_St.Quentin-Roupy.AP.070610_TMYx.2009-2023.zip</v>
      </c>
    </row>
    <row r="4157" spans="1:10" x14ac:dyDescent="0.25">
      <c r="A4157" t="s">
        <v>2883</v>
      </c>
      <c r="B4157" t="s">
        <v>2028</v>
      </c>
      <c r="C4157" t="s">
        <v>2963</v>
      </c>
      <c r="D4157" s="1" t="s">
        <v>2964</v>
      </c>
      <c r="E4157" t="s">
        <v>14</v>
      </c>
      <c r="F4157">
        <v>49.818300000000001</v>
      </c>
      <c r="G4157">
        <v>3.2061000000000002</v>
      </c>
      <c r="H4157">
        <v>1</v>
      </c>
      <c r="I4157">
        <v>98</v>
      </c>
      <c r="J4157" t="str">
        <f>HYPERLINK("https://climate.onebuilding.org/WMO_Region_6_Europe/FRA_France/NC_Hauts-de-France/FRA_NC_St.Quentin-Roupy.AP.070610_TMYx.zip")</f>
        <v>https://climate.onebuilding.org/WMO_Region_6_Europe/FRA_France/NC_Hauts-de-France/FRA_NC_St.Quentin-Roupy.AP.070610_TMYx.zip</v>
      </c>
    </row>
    <row r="4158" spans="1:10" x14ac:dyDescent="0.25">
      <c r="A4158" t="s">
        <v>2883</v>
      </c>
      <c r="B4158" t="s">
        <v>2966</v>
      </c>
      <c r="C4158" t="s">
        <v>2967</v>
      </c>
      <c r="D4158" s="1" t="s">
        <v>2968</v>
      </c>
      <c r="E4158" t="s">
        <v>2969</v>
      </c>
      <c r="F4158">
        <v>49.31</v>
      </c>
      <c r="G4158">
        <v>4.05</v>
      </c>
      <c r="H4158">
        <v>1</v>
      </c>
      <c r="I4158">
        <v>95.1</v>
      </c>
      <c r="J4158" t="str">
        <f>HYPERLINK("https://climate.onebuilding.org/WMO_Region_6_Europe/FRA_France/AO_Grand_Est/FRA_AO_Reims-Champagne.AB.070700_TMYx.2004-2018.zip")</f>
        <v>https://climate.onebuilding.org/WMO_Region_6_Europe/FRA_France/AO_Grand_Est/FRA_AO_Reims-Champagne.AB.070700_TMYx.2004-2018.zip</v>
      </c>
    </row>
    <row r="4159" spans="1:10" x14ac:dyDescent="0.25">
      <c r="A4159" t="s">
        <v>2883</v>
      </c>
      <c r="B4159" t="s">
        <v>2966</v>
      </c>
      <c r="C4159" t="s">
        <v>2967</v>
      </c>
      <c r="D4159" s="1" t="s">
        <v>2968</v>
      </c>
      <c r="E4159" t="s">
        <v>14</v>
      </c>
      <c r="F4159">
        <v>49.31</v>
      </c>
      <c r="G4159">
        <v>4.05</v>
      </c>
      <c r="H4159">
        <v>1</v>
      </c>
      <c r="I4159">
        <v>95.1</v>
      </c>
      <c r="J4159" t="str">
        <f>HYPERLINK("https://climate.onebuilding.org/WMO_Region_6_Europe/FRA_France/AO_Grand_Est/FRA_AO_Reims-Champagne.AB.070700_TMYx.2007-2021.zip")</f>
        <v>https://climate.onebuilding.org/WMO_Region_6_Europe/FRA_France/AO_Grand_Est/FRA_AO_Reims-Champagne.AB.070700_TMYx.2007-2021.zip</v>
      </c>
    </row>
    <row r="4160" spans="1:10" x14ac:dyDescent="0.25">
      <c r="A4160" t="s">
        <v>2883</v>
      </c>
      <c r="B4160" t="s">
        <v>2966</v>
      </c>
      <c r="C4160" t="s">
        <v>2967</v>
      </c>
      <c r="D4160" s="1" t="s">
        <v>2968</v>
      </c>
      <c r="E4160" t="s">
        <v>14</v>
      </c>
      <c r="F4160">
        <v>49.31</v>
      </c>
      <c r="G4160">
        <v>4.05</v>
      </c>
      <c r="H4160">
        <v>1</v>
      </c>
      <c r="I4160">
        <v>95.1</v>
      </c>
      <c r="J4160" t="str">
        <f>HYPERLINK("https://climate.onebuilding.org/WMO_Region_6_Europe/FRA_France/AO_Grand_Est/FRA_AO_Reims-Champagne.AB.070700_TMYx.zip")</f>
        <v>https://climate.onebuilding.org/WMO_Region_6_Europe/FRA_France/AO_Grand_Est/FRA_AO_Reims-Champagne.AB.070700_TMYx.zip</v>
      </c>
    </row>
    <row r="4161" spans="1:10" x14ac:dyDescent="0.25">
      <c r="A4161" t="s">
        <v>2883</v>
      </c>
      <c r="B4161" t="s">
        <v>2966</v>
      </c>
      <c r="C4161" t="s">
        <v>2970</v>
      </c>
      <c r="D4161" s="1" t="s">
        <v>2971</v>
      </c>
      <c r="E4161" t="s">
        <v>2972</v>
      </c>
      <c r="F4161">
        <v>49.209699999999998</v>
      </c>
      <c r="G4161">
        <v>4.1553000000000004</v>
      </c>
      <c r="H4161">
        <v>1</v>
      </c>
      <c r="I4161">
        <v>95</v>
      </c>
      <c r="J4161" t="str">
        <f>HYPERLINK("https://climate.onebuilding.org/WMO_Region_6_Europe/FRA_France/AO_Grand_Est/FRA_AO_Reims-Prunay.AP.070720_TMYx.2004-2018.zip")</f>
        <v>https://climate.onebuilding.org/WMO_Region_6_Europe/FRA_France/AO_Grand_Est/FRA_AO_Reims-Prunay.AP.070720_TMYx.2004-2018.zip</v>
      </c>
    </row>
    <row r="4162" spans="1:10" x14ac:dyDescent="0.25">
      <c r="A4162" t="s">
        <v>2883</v>
      </c>
      <c r="B4162" t="s">
        <v>2966</v>
      </c>
      <c r="C4162" t="s">
        <v>2970</v>
      </c>
      <c r="D4162" s="1" t="s">
        <v>2971</v>
      </c>
      <c r="E4162" t="s">
        <v>14</v>
      </c>
      <c r="F4162">
        <v>49.209699999999998</v>
      </c>
      <c r="G4162">
        <v>4.1553000000000004</v>
      </c>
      <c r="H4162">
        <v>1</v>
      </c>
      <c r="I4162">
        <v>95</v>
      </c>
      <c r="J4162" t="str">
        <f>HYPERLINK("https://climate.onebuilding.org/WMO_Region_6_Europe/FRA_France/AO_Grand_Est/FRA_AO_Reims-Prunay.AP.070720_TMYx.2007-2021.zip")</f>
        <v>https://climate.onebuilding.org/WMO_Region_6_Europe/FRA_France/AO_Grand_Est/FRA_AO_Reims-Prunay.AP.070720_TMYx.2007-2021.zip</v>
      </c>
    </row>
    <row r="4163" spans="1:10" x14ac:dyDescent="0.25">
      <c r="A4163" t="s">
        <v>2883</v>
      </c>
      <c r="B4163" t="s">
        <v>2966</v>
      </c>
      <c r="C4163" t="s">
        <v>2970</v>
      </c>
      <c r="D4163" s="1" t="s">
        <v>2971</v>
      </c>
      <c r="E4163" t="s">
        <v>14</v>
      </c>
      <c r="F4163">
        <v>49.209699999999998</v>
      </c>
      <c r="G4163">
        <v>4.1553000000000004</v>
      </c>
      <c r="H4163">
        <v>1</v>
      </c>
      <c r="I4163">
        <v>95</v>
      </c>
      <c r="J4163" t="str">
        <f>HYPERLINK("https://climate.onebuilding.org/WMO_Region_6_Europe/FRA_France/AO_Grand_Est/FRA_AO_Reims-Prunay.AP.070720_TMYx.2009-2023.zip")</f>
        <v>https://climate.onebuilding.org/WMO_Region_6_Europe/FRA_France/AO_Grand_Est/FRA_AO_Reims-Prunay.AP.070720_TMYx.2009-2023.zip</v>
      </c>
    </row>
    <row r="4164" spans="1:10" x14ac:dyDescent="0.25">
      <c r="A4164" t="s">
        <v>2883</v>
      </c>
      <c r="B4164" t="s">
        <v>2966</v>
      </c>
      <c r="C4164" t="s">
        <v>2970</v>
      </c>
      <c r="D4164" s="1" t="s">
        <v>2971</v>
      </c>
      <c r="E4164" t="s">
        <v>14</v>
      </c>
      <c r="F4164">
        <v>49.209699999999998</v>
      </c>
      <c r="G4164">
        <v>4.1553000000000004</v>
      </c>
      <c r="H4164">
        <v>1</v>
      </c>
      <c r="I4164">
        <v>95</v>
      </c>
      <c r="J4164" t="str">
        <f>HYPERLINK("https://climate.onebuilding.org/WMO_Region_6_Europe/FRA_France/AO_Grand_Est/FRA_AO_Reims-Prunay.AP.070720_TMYx.zip")</f>
        <v>https://climate.onebuilding.org/WMO_Region_6_Europe/FRA_France/AO_Grand_Est/FRA_AO_Reims-Prunay.AP.070720_TMYx.zip</v>
      </c>
    </row>
    <row r="4165" spans="1:10" x14ac:dyDescent="0.25">
      <c r="A4165" t="s">
        <v>2883</v>
      </c>
      <c r="B4165" t="s">
        <v>2966</v>
      </c>
      <c r="C4165" t="s">
        <v>2973</v>
      </c>
      <c r="D4165" s="1" t="s">
        <v>2974</v>
      </c>
      <c r="E4165" t="s">
        <v>14</v>
      </c>
      <c r="F4165">
        <v>49.132300000000001</v>
      </c>
      <c r="G4165">
        <v>4.5320999999999998</v>
      </c>
      <c r="H4165">
        <v>1</v>
      </c>
      <c r="I4165">
        <v>140</v>
      </c>
      <c r="J4165" t="str">
        <f>HYPERLINK("https://climate.onebuilding.org/WMO_Region_6_Europe/FRA_France/AO_Grand_Est/FRA_AO_Suippes.Met.Stn.070740_TMYx.zip")</f>
        <v>https://climate.onebuilding.org/WMO_Region_6_Europe/FRA_France/AO_Grand_Est/FRA_AO_Suippes.Met.Stn.070740_TMYx.zip</v>
      </c>
    </row>
    <row r="4166" spans="1:10" x14ac:dyDescent="0.25">
      <c r="A4166" t="s">
        <v>2883</v>
      </c>
      <c r="B4166" t="s">
        <v>2966</v>
      </c>
      <c r="C4166" t="s">
        <v>2975</v>
      </c>
      <c r="D4166" s="1" t="s">
        <v>2976</v>
      </c>
      <c r="E4166" t="s">
        <v>2977</v>
      </c>
      <c r="F4166">
        <v>49.782800000000002</v>
      </c>
      <c r="G4166">
        <v>4.6430999999999996</v>
      </c>
      <c r="H4166">
        <v>1</v>
      </c>
      <c r="I4166">
        <v>148</v>
      </c>
      <c r="J4166" t="str">
        <f>HYPERLINK("https://climate.onebuilding.org/WMO_Region_6_Europe/FRA_France/AO_Grand_Est/FRA_AO_Charleville-Mezieres.AF.070750_TMYx.2004-2018.zip")</f>
        <v>https://climate.onebuilding.org/WMO_Region_6_Europe/FRA_France/AO_Grand_Est/FRA_AO_Charleville-Mezieres.AF.070750_TMYx.2004-2018.zip</v>
      </c>
    </row>
    <row r="4167" spans="1:10" x14ac:dyDescent="0.25">
      <c r="A4167" t="s">
        <v>2883</v>
      </c>
      <c r="B4167" t="s">
        <v>2966</v>
      </c>
      <c r="C4167" t="s">
        <v>2975</v>
      </c>
      <c r="D4167" s="1" t="s">
        <v>2976</v>
      </c>
      <c r="E4167" t="s">
        <v>14</v>
      </c>
      <c r="F4167">
        <v>49.782800000000002</v>
      </c>
      <c r="G4167">
        <v>4.6430999999999996</v>
      </c>
      <c r="H4167">
        <v>1</v>
      </c>
      <c r="I4167">
        <v>148</v>
      </c>
      <c r="J4167" t="str">
        <f>HYPERLINK("https://climate.onebuilding.org/WMO_Region_6_Europe/FRA_France/AO_Grand_Est/FRA_AO_Charleville-Mezieres.AF.070750_TMYx.2007-2021.zip")</f>
        <v>https://climate.onebuilding.org/WMO_Region_6_Europe/FRA_France/AO_Grand_Est/FRA_AO_Charleville-Mezieres.AF.070750_TMYx.2007-2021.zip</v>
      </c>
    </row>
    <row r="4168" spans="1:10" x14ac:dyDescent="0.25">
      <c r="A4168" t="s">
        <v>2883</v>
      </c>
      <c r="B4168" t="s">
        <v>2966</v>
      </c>
      <c r="C4168" t="s">
        <v>2975</v>
      </c>
      <c r="D4168" s="1" t="s">
        <v>2976</v>
      </c>
      <c r="E4168" t="s">
        <v>14</v>
      </c>
      <c r="F4168">
        <v>49.782800000000002</v>
      </c>
      <c r="G4168">
        <v>4.6430999999999996</v>
      </c>
      <c r="H4168">
        <v>1</v>
      </c>
      <c r="I4168">
        <v>148</v>
      </c>
      <c r="J4168" t="str">
        <f>HYPERLINK("https://climate.onebuilding.org/WMO_Region_6_Europe/FRA_France/AO_Grand_Est/FRA_AO_Charleville-Mezieres.AF.070750_TMYx.2009-2023.zip")</f>
        <v>https://climate.onebuilding.org/WMO_Region_6_Europe/FRA_France/AO_Grand_Est/FRA_AO_Charleville-Mezieres.AF.070750_TMYx.2009-2023.zip</v>
      </c>
    </row>
    <row r="4169" spans="1:10" x14ac:dyDescent="0.25">
      <c r="A4169" t="s">
        <v>2883</v>
      </c>
      <c r="B4169" t="s">
        <v>2966</v>
      </c>
      <c r="C4169" t="s">
        <v>2975</v>
      </c>
      <c r="D4169" s="1" t="s">
        <v>2976</v>
      </c>
      <c r="E4169" t="s">
        <v>14</v>
      </c>
      <c r="F4169">
        <v>49.782800000000002</v>
      </c>
      <c r="G4169">
        <v>4.6430999999999996</v>
      </c>
      <c r="H4169">
        <v>1</v>
      </c>
      <c r="I4169">
        <v>148</v>
      </c>
      <c r="J4169" t="str">
        <f>HYPERLINK("https://climate.onebuilding.org/WMO_Region_6_Europe/FRA_France/AO_Grand_Est/FRA_AO_Charleville-Mezieres.AF.070750_TMYx.zip")</f>
        <v>https://climate.onebuilding.org/WMO_Region_6_Europe/FRA_France/AO_Grand_Est/FRA_AO_Charleville-Mezieres.AF.070750_TMYx.zip</v>
      </c>
    </row>
    <row r="4170" spans="1:10" x14ac:dyDescent="0.25">
      <c r="A4170" t="s">
        <v>2883</v>
      </c>
      <c r="B4170" t="s">
        <v>2966</v>
      </c>
      <c r="C4170" t="s">
        <v>2978</v>
      </c>
      <c r="D4170" s="1" t="s">
        <v>2979</v>
      </c>
      <c r="E4170" t="s">
        <v>2980</v>
      </c>
      <c r="F4170">
        <v>49.072000000000003</v>
      </c>
      <c r="G4170">
        <v>6.1319999999999997</v>
      </c>
      <c r="H4170">
        <v>1</v>
      </c>
      <c r="I4170">
        <v>191.7</v>
      </c>
      <c r="J4170" t="str">
        <f>HYPERLINK("https://climate.onebuilding.org/WMO_Region_6_Europe/FRA_France/AO_Grand_Est/FRA_AO_Metz-Frescaty.AB.070900_TMYx.2004-2018.zip")</f>
        <v>https://climate.onebuilding.org/WMO_Region_6_Europe/FRA_France/AO_Grand_Est/FRA_AO_Metz-Frescaty.AB.070900_TMYx.2004-2018.zip</v>
      </c>
    </row>
    <row r="4171" spans="1:10" x14ac:dyDescent="0.25">
      <c r="A4171" t="s">
        <v>2883</v>
      </c>
      <c r="B4171" t="s">
        <v>2966</v>
      </c>
      <c r="C4171" t="s">
        <v>2978</v>
      </c>
      <c r="D4171" s="1" t="s">
        <v>2979</v>
      </c>
      <c r="E4171" t="s">
        <v>14</v>
      </c>
      <c r="F4171">
        <v>49.072000000000003</v>
      </c>
      <c r="G4171">
        <v>6.1319999999999997</v>
      </c>
      <c r="H4171">
        <v>1</v>
      </c>
      <c r="I4171">
        <v>191.7</v>
      </c>
      <c r="J4171" t="str">
        <f>HYPERLINK("https://climate.onebuilding.org/WMO_Region_6_Europe/FRA_France/AO_Grand_Est/FRA_AO_Metz-Frescaty.AB.070900_TMYx.2007-2021.zip")</f>
        <v>https://climate.onebuilding.org/WMO_Region_6_Europe/FRA_France/AO_Grand_Est/FRA_AO_Metz-Frescaty.AB.070900_TMYx.2007-2021.zip</v>
      </c>
    </row>
    <row r="4172" spans="1:10" x14ac:dyDescent="0.25">
      <c r="A4172" t="s">
        <v>2883</v>
      </c>
      <c r="B4172" t="s">
        <v>2966</v>
      </c>
      <c r="C4172" t="s">
        <v>2978</v>
      </c>
      <c r="D4172" s="1" t="s">
        <v>2979</v>
      </c>
      <c r="E4172" t="s">
        <v>14</v>
      </c>
      <c r="F4172">
        <v>49.072000000000003</v>
      </c>
      <c r="G4172">
        <v>6.1319999999999997</v>
      </c>
      <c r="H4172">
        <v>1</v>
      </c>
      <c r="I4172">
        <v>191.7</v>
      </c>
      <c r="J4172" t="str">
        <f>HYPERLINK("https://climate.onebuilding.org/WMO_Region_6_Europe/FRA_France/AO_Grand_Est/FRA_AO_Metz-Frescaty.AB.070900_TMYx.2009-2023.zip")</f>
        <v>https://climate.onebuilding.org/WMO_Region_6_Europe/FRA_France/AO_Grand_Est/FRA_AO_Metz-Frescaty.AB.070900_TMYx.2009-2023.zip</v>
      </c>
    </row>
    <row r="4173" spans="1:10" x14ac:dyDescent="0.25">
      <c r="A4173" t="s">
        <v>2883</v>
      </c>
      <c r="B4173" t="s">
        <v>2966</v>
      </c>
      <c r="C4173" t="s">
        <v>2978</v>
      </c>
      <c r="D4173" s="1" t="s">
        <v>2979</v>
      </c>
      <c r="E4173" t="s">
        <v>14</v>
      </c>
      <c r="F4173">
        <v>49.072000000000003</v>
      </c>
      <c r="G4173">
        <v>6.1319999999999997</v>
      </c>
      <c r="H4173">
        <v>1</v>
      </c>
      <c r="I4173">
        <v>191.7</v>
      </c>
      <c r="J4173" t="str">
        <f>HYPERLINK("https://climate.onebuilding.org/WMO_Region_6_Europe/FRA_France/AO_Grand_Est/FRA_AO_Metz-Frescaty.AB.070900_TMYx.zip")</f>
        <v>https://climate.onebuilding.org/WMO_Region_6_Europe/FRA_France/AO_Grand_Est/FRA_AO_Metz-Frescaty.AB.070900_TMYx.zip</v>
      </c>
    </row>
    <row r="4174" spans="1:10" x14ac:dyDescent="0.25">
      <c r="A4174" t="s">
        <v>2883</v>
      </c>
      <c r="B4174" t="s">
        <v>2966</v>
      </c>
      <c r="C4174" t="s">
        <v>2981</v>
      </c>
      <c r="D4174" s="1" t="s">
        <v>2982</v>
      </c>
      <c r="E4174" t="s">
        <v>2983</v>
      </c>
      <c r="F4174">
        <v>48.979500000000002</v>
      </c>
      <c r="G4174">
        <v>6.2431000000000001</v>
      </c>
      <c r="H4174">
        <v>1</v>
      </c>
      <c r="I4174">
        <v>258</v>
      </c>
      <c r="J4174" t="str">
        <f>HYPERLINK("https://climate.onebuilding.org/WMO_Region_6_Europe/FRA_France/AO_Grand_Est/FRA_AO_Metz-Nancy-Lorraine.AP.070930_TMYx.2004-2018.zip")</f>
        <v>https://climate.onebuilding.org/WMO_Region_6_Europe/FRA_France/AO_Grand_Est/FRA_AO_Metz-Nancy-Lorraine.AP.070930_TMYx.2004-2018.zip</v>
      </c>
    </row>
    <row r="4175" spans="1:10" x14ac:dyDescent="0.25">
      <c r="A4175" t="s">
        <v>2883</v>
      </c>
      <c r="B4175" t="s">
        <v>2966</v>
      </c>
      <c r="C4175" t="s">
        <v>2981</v>
      </c>
      <c r="D4175" s="1" t="s">
        <v>2982</v>
      </c>
      <c r="E4175" t="s">
        <v>14</v>
      </c>
      <c r="F4175">
        <v>48.979500000000002</v>
      </c>
      <c r="G4175">
        <v>6.2431000000000001</v>
      </c>
      <c r="H4175">
        <v>1</v>
      </c>
      <c r="I4175">
        <v>258</v>
      </c>
      <c r="J4175" t="str">
        <f>HYPERLINK("https://climate.onebuilding.org/WMO_Region_6_Europe/FRA_France/AO_Grand_Est/FRA_AO_Metz-Nancy-Lorraine.AP.070930_TMYx.2007-2021.zip")</f>
        <v>https://climate.onebuilding.org/WMO_Region_6_Europe/FRA_France/AO_Grand_Est/FRA_AO_Metz-Nancy-Lorraine.AP.070930_TMYx.2007-2021.zip</v>
      </c>
    </row>
    <row r="4176" spans="1:10" x14ac:dyDescent="0.25">
      <c r="A4176" t="s">
        <v>2883</v>
      </c>
      <c r="B4176" t="s">
        <v>2966</v>
      </c>
      <c r="C4176" t="s">
        <v>2981</v>
      </c>
      <c r="D4176" s="1" t="s">
        <v>2982</v>
      </c>
      <c r="E4176" t="s">
        <v>14</v>
      </c>
      <c r="F4176">
        <v>48.979500000000002</v>
      </c>
      <c r="G4176">
        <v>6.2431000000000001</v>
      </c>
      <c r="H4176">
        <v>1</v>
      </c>
      <c r="I4176">
        <v>258</v>
      </c>
      <c r="J4176" t="str">
        <f>HYPERLINK("https://climate.onebuilding.org/WMO_Region_6_Europe/FRA_France/AO_Grand_Est/FRA_AO_Metz-Nancy-Lorraine.AP.070930_TMYx.2009-2023.zip")</f>
        <v>https://climate.onebuilding.org/WMO_Region_6_Europe/FRA_France/AO_Grand_Est/FRA_AO_Metz-Nancy-Lorraine.AP.070930_TMYx.2009-2023.zip</v>
      </c>
    </row>
    <row r="4177" spans="1:10" x14ac:dyDescent="0.25">
      <c r="A4177" t="s">
        <v>2883</v>
      </c>
      <c r="B4177" t="s">
        <v>2966</v>
      </c>
      <c r="C4177" t="s">
        <v>2981</v>
      </c>
      <c r="D4177" s="1" t="s">
        <v>2982</v>
      </c>
      <c r="E4177" t="s">
        <v>14</v>
      </c>
      <c r="F4177">
        <v>48.979500000000002</v>
      </c>
      <c r="G4177">
        <v>6.2431000000000001</v>
      </c>
      <c r="H4177">
        <v>1</v>
      </c>
      <c r="I4177">
        <v>258</v>
      </c>
      <c r="J4177" t="str">
        <f>HYPERLINK("https://climate.onebuilding.org/WMO_Region_6_Europe/FRA_France/AO_Grand_Est/FRA_AO_Metz-Nancy-Lorraine.AP.070930_TMYx.zip")</f>
        <v>https://climate.onebuilding.org/WMO_Region_6_Europe/FRA_France/AO_Grand_Est/FRA_AO_Metz-Nancy-Lorraine.AP.070930_TMYx.zip</v>
      </c>
    </row>
    <row r="4178" spans="1:10" x14ac:dyDescent="0.25">
      <c r="A4178" t="s">
        <v>2883</v>
      </c>
      <c r="B4178" t="s">
        <v>2984</v>
      </c>
      <c r="C4178" t="s">
        <v>2985</v>
      </c>
      <c r="D4178" s="1" t="s">
        <v>2986</v>
      </c>
      <c r="E4178" t="s">
        <v>2987</v>
      </c>
      <c r="F4178">
        <v>48.473300000000002</v>
      </c>
      <c r="G4178">
        <v>-5.0570000000000004</v>
      </c>
      <c r="H4178">
        <v>1</v>
      </c>
      <c r="I4178">
        <v>68</v>
      </c>
      <c r="J4178" t="str">
        <f>HYPERLINK("https://climate.onebuilding.org/WMO_Region_6_Europe/FRA_France/BT_Bretagne/FRA_BT_Le.Stiff-Ouessant.Island.071000_TMYx.2004-2018.zip")</f>
        <v>https://climate.onebuilding.org/WMO_Region_6_Europe/FRA_France/BT_Bretagne/FRA_BT_Le.Stiff-Ouessant.Island.071000_TMYx.2004-2018.zip</v>
      </c>
    </row>
    <row r="4179" spans="1:10" x14ac:dyDescent="0.25">
      <c r="A4179" t="s">
        <v>2883</v>
      </c>
      <c r="B4179" t="s">
        <v>2984</v>
      </c>
      <c r="C4179" t="s">
        <v>2985</v>
      </c>
      <c r="D4179" s="1" t="s">
        <v>2986</v>
      </c>
      <c r="E4179" t="s">
        <v>14</v>
      </c>
      <c r="F4179">
        <v>48.473300000000002</v>
      </c>
      <c r="G4179">
        <v>-5.0570000000000004</v>
      </c>
      <c r="H4179">
        <v>1</v>
      </c>
      <c r="I4179">
        <v>68</v>
      </c>
      <c r="J4179" t="str">
        <f>HYPERLINK("https://climate.onebuilding.org/WMO_Region_6_Europe/FRA_France/BT_Bretagne/FRA_BT_Le.Stiff-Ouessant.Island.071000_TMYx.2007-2021.zip")</f>
        <v>https://climate.onebuilding.org/WMO_Region_6_Europe/FRA_France/BT_Bretagne/FRA_BT_Le.Stiff-Ouessant.Island.071000_TMYx.2007-2021.zip</v>
      </c>
    </row>
    <row r="4180" spans="1:10" x14ac:dyDescent="0.25">
      <c r="A4180" t="s">
        <v>2883</v>
      </c>
      <c r="B4180" t="s">
        <v>2984</v>
      </c>
      <c r="C4180" t="s">
        <v>2985</v>
      </c>
      <c r="D4180" s="1" t="s">
        <v>2986</v>
      </c>
      <c r="E4180" t="s">
        <v>14</v>
      </c>
      <c r="F4180">
        <v>48.473300000000002</v>
      </c>
      <c r="G4180">
        <v>-5.0570000000000004</v>
      </c>
      <c r="H4180">
        <v>1</v>
      </c>
      <c r="I4180">
        <v>68</v>
      </c>
      <c r="J4180" t="str">
        <f>HYPERLINK("https://climate.onebuilding.org/WMO_Region_6_Europe/FRA_France/BT_Bretagne/FRA_BT_Le.Stiff-Ouessant.Island.071000_TMYx.2009-2023.zip")</f>
        <v>https://climate.onebuilding.org/WMO_Region_6_Europe/FRA_France/BT_Bretagne/FRA_BT_Le.Stiff-Ouessant.Island.071000_TMYx.2009-2023.zip</v>
      </c>
    </row>
    <row r="4181" spans="1:10" x14ac:dyDescent="0.25">
      <c r="A4181" t="s">
        <v>2883</v>
      </c>
      <c r="B4181" t="s">
        <v>2984</v>
      </c>
      <c r="C4181" t="s">
        <v>2985</v>
      </c>
      <c r="D4181" s="1" t="s">
        <v>2986</v>
      </c>
      <c r="E4181" t="s">
        <v>14</v>
      </c>
      <c r="F4181">
        <v>48.473300000000002</v>
      </c>
      <c r="G4181">
        <v>-5.0570000000000004</v>
      </c>
      <c r="H4181">
        <v>1</v>
      </c>
      <c r="I4181">
        <v>68</v>
      </c>
      <c r="J4181" t="str">
        <f>HYPERLINK("https://climate.onebuilding.org/WMO_Region_6_Europe/FRA_France/BT_Bretagne/FRA_BT_Le.Stiff-Ouessant.Island.071000_TMYx.zip")</f>
        <v>https://climate.onebuilding.org/WMO_Region_6_Europe/FRA_France/BT_Bretagne/FRA_BT_Le.Stiff-Ouessant.Island.071000_TMYx.zip</v>
      </c>
    </row>
    <row r="4182" spans="1:10" x14ac:dyDescent="0.25">
      <c r="A4182" t="s">
        <v>2883</v>
      </c>
      <c r="B4182" t="s">
        <v>2984</v>
      </c>
      <c r="C4182" t="s">
        <v>2988</v>
      </c>
      <c r="D4182" s="1" t="s">
        <v>2989</v>
      </c>
      <c r="E4182" t="s">
        <v>14</v>
      </c>
      <c r="F4182">
        <v>48.332999999999998</v>
      </c>
      <c r="G4182">
        <v>-4.7670000000000003</v>
      </c>
      <c r="H4182">
        <v>1</v>
      </c>
      <c r="I4182">
        <v>17</v>
      </c>
      <c r="J4182" t="str">
        <f>HYPERLINK("https://climate.onebuilding.org/WMO_Region_6_Europe/FRA_France/BT_Bretagne/FRA_BT_Pointe.St.Mathieu.071020_TMYx.2007-2021.zip")</f>
        <v>https://climate.onebuilding.org/WMO_Region_6_Europe/FRA_France/BT_Bretagne/FRA_BT_Pointe.St.Mathieu.071020_TMYx.2007-2021.zip</v>
      </c>
    </row>
    <row r="4183" spans="1:10" x14ac:dyDescent="0.25">
      <c r="A4183" t="s">
        <v>2883</v>
      </c>
      <c r="B4183" t="s">
        <v>2984</v>
      </c>
      <c r="C4183" t="s">
        <v>2988</v>
      </c>
      <c r="D4183" s="1" t="s">
        <v>2989</v>
      </c>
      <c r="E4183" t="s">
        <v>14</v>
      </c>
      <c r="F4183">
        <v>48.332999999999998</v>
      </c>
      <c r="G4183">
        <v>-4.7670000000000003</v>
      </c>
      <c r="H4183">
        <v>1</v>
      </c>
      <c r="I4183">
        <v>17</v>
      </c>
      <c r="J4183" t="str">
        <f>HYPERLINK("https://climate.onebuilding.org/WMO_Region_6_Europe/FRA_France/BT_Bretagne/FRA_BT_Pointe.St.Mathieu.071020_TMYx.2009-2023.zip")</f>
        <v>https://climate.onebuilding.org/WMO_Region_6_Europe/FRA_France/BT_Bretagne/FRA_BT_Pointe.St.Mathieu.071020_TMYx.2009-2023.zip</v>
      </c>
    </row>
    <row r="4184" spans="1:10" x14ac:dyDescent="0.25">
      <c r="A4184" t="s">
        <v>2883</v>
      </c>
      <c r="B4184" t="s">
        <v>2984</v>
      </c>
      <c r="C4184" t="s">
        <v>2988</v>
      </c>
      <c r="D4184" s="1" t="s">
        <v>2989</v>
      </c>
      <c r="E4184" t="s">
        <v>14</v>
      </c>
      <c r="F4184">
        <v>48.332999999999998</v>
      </c>
      <c r="G4184">
        <v>-4.7670000000000003</v>
      </c>
      <c r="H4184">
        <v>1</v>
      </c>
      <c r="I4184">
        <v>17</v>
      </c>
      <c r="J4184" t="str">
        <f>HYPERLINK("https://climate.onebuilding.org/WMO_Region_6_Europe/FRA_France/BT_Bretagne/FRA_BT_Pointe.St.Mathieu.071020_TMYx.zip")</f>
        <v>https://climate.onebuilding.org/WMO_Region_6_Europe/FRA_France/BT_Bretagne/FRA_BT_Pointe.St.Mathieu.071020_TMYx.zip</v>
      </c>
    </row>
    <row r="4185" spans="1:10" x14ac:dyDescent="0.25">
      <c r="A4185" t="s">
        <v>2883</v>
      </c>
      <c r="B4185" t="s">
        <v>2984</v>
      </c>
      <c r="C4185" t="s">
        <v>2990</v>
      </c>
      <c r="D4185" s="1" t="s">
        <v>2991</v>
      </c>
      <c r="E4185" t="s">
        <v>2992</v>
      </c>
      <c r="F4185">
        <v>48.0381</v>
      </c>
      <c r="G4185">
        <v>-4.7309000000000001</v>
      </c>
      <c r="H4185">
        <v>1</v>
      </c>
      <c r="I4185">
        <v>67</v>
      </c>
      <c r="J4185" t="str">
        <f>HYPERLINK("https://climate.onebuilding.org/WMO_Region_6_Europe/FRA_France/BT_Bretagne/FRA_BT_Pointe.du.Raz.071030_TMYx.2004-2018.zip")</f>
        <v>https://climate.onebuilding.org/WMO_Region_6_Europe/FRA_France/BT_Bretagne/FRA_BT_Pointe.du.Raz.071030_TMYx.2004-2018.zip</v>
      </c>
    </row>
    <row r="4186" spans="1:10" x14ac:dyDescent="0.25">
      <c r="A4186" t="s">
        <v>2883</v>
      </c>
      <c r="B4186" t="s">
        <v>2984</v>
      </c>
      <c r="C4186" t="s">
        <v>2990</v>
      </c>
      <c r="D4186" s="1" t="s">
        <v>2991</v>
      </c>
      <c r="E4186" t="s">
        <v>14</v>
      </c>
      <c r="F4186">
        <v>48.0381</v>
      </c>
      <c r="G4186">
        <v>-4.7309000000000001</v>
      </c>
      <c r="H4186">
        <v>1</v>
      </c>
      <c r="I4186">
        <v>67</v>
      </c>
      <c r="J4186" t="str">
        <f>HYPERLINK("https://climate.onebuilding.org/WMO_Region_6_Europe/FRA_France/BT_Bretagne/FRA_BT_Pointe.du.Raz.071030_TMYx.2007-2021.zip")</f>
        <v>https://climate.onebuilding.org/WMO_Region_6_Europe/FRA_France/BT_Bretagne/FRA_BT_Pointe.du.Raz.071030_TMYx.2007-2021.zip</v>
      </c>
    </row>
    <row r="4187" spans="1:10" x14ac:dyDescent="0.25">
      <c r="A4187" t="s">
        <v>2883</v>
      </c>
      <c r="B4187" t="s">
        <v>2984</v>
      </c>
      <c r="C4187" t="s">
        <v>2990</v>
      </c>
      <c r="D4187" s="1" t="s">
        <v>2991</v>
      </c>
      <c r="E4187" t="s">
        <v>14</v>
      </c>
      <c r="F4187">
        <v>48.0381</v>
      </c>
      <c r="G4187">
        <v>-4.7309000000000001</v>
      </c>
      <c r="H4187">
        <v>1</v>
      </c>
      <c r="I4187">
        <v>67</v>
      </c>
      <c r="J4187" t="str">
        <f>HYPERLINK("https://climate.onebuilding.org/WMO_Region_6_Europe/FRA_France/BT_Bretagne/FRA_BT_Pointe.du.Raz.071030_TMYx.2009-2023.zip")</f>
        <v>https://climate.onebuilding.org/WMO_Region_6_Europe/FRA_France/BT_Bretagne/FRA_BT_Pointe.du.Raz.071030_TMYx.2009-2023.zip</v>
      </c>
    </row>
    <row r="4188" spans="1:10" x14ac:dyDescent="0.25">
      <c r="A4188" t="s">
        <v>2883</v>
      </c>
      <c r="B4188" t="s">
        <v>2984</v>
      </c>
      <c r="C4188" t="s">
        <v>2990</v>
      </c>
      <c r="D4188" s="1" t="s">
        <v>2991</v>
      </c>
      <c r="E4188" t="s">
        <v>14</v>
      </c>
      <c r="F4188">
        <v>48.0381</v>
      </c>
      <c r="G4188">
        <v>-4.7309000000000001</v>
      </c>
      <c r="H4188">
        <v>1</v>
      </c>
      <c r="I4188">
        <v>67</v>
      </c>
      <c r="J4188" t="str">
        <f>HYPERLINK("https://climate.onebuilding.org/WMO_Region_6_Europe/FRA_France/BT_Bretagne/FRA_BT_Pointe.du.Raz.071030_TMYx.zip")</f>
        <v>https://climate.onebuilding.org/WMO_Region_6_Europe/FRA_France/BT_Bretagne/FRA_BT_Pointe.du.Raz.071030_TMYx.zip</v>
      </c>
    </row>
    <row r="4189" spans="1:10" x14ac:dyDescent="0.25">
      <c r="A4189" t="s">
        <v>2883</v>
      </c>
      <c r="B4189" t="s">
        <v>2984</v>
      </c>
      <c r="C4189" t="s">
        <v>2993</v>
      </c>
      <c r="D4189" s="1" t="s">
        <v>2994</v>
      </c>
      <c r="E4189" t="s">
        <v>14</v>
      </c>
      <c r="F4189">
        <v>48.279299999999999</v>
      </c>
      <c r="G4189">
        <v>-4.6212</v>
      </c>
      <c r="H4189">
        <v>1</v>
      </c>
      <c r="I4189">
        <v>50</v>
      </c>
      <c r="J4189" t="str">
        <f>HYPERLINK("https://climate.onebuilding.org/WMO_Region_6_Europe/FRA_France/BT_Bretagne/FRA_BT_Pointe.de.Toulinguet.071040_TMYx.2007-2021.zip")</f>
        <v>https://climate.onebuilding.org/WMO_Region_6_Europe/FRA_France/BT_Bretagne/FRA_BT_Pointe.de.Toulinguet.071040_TMYx.2007-2021.zip</v>
      </c>
    </row>
    <row r="4190" spans="1:10" x14ac:dyDescent="0.25">
      <c r="A4190" t="s">
        <v>2883</v>
      </c>
      <c r="B4190" t="s">
        <v>2984</v>
      </c>
      <c r="C4190" t="s">
        <v>2993</v>
      </c>
      <c r="D4190" s="1" t="s">
        <v>2994</v>
      </c>
      <c r="E4190" t="s">
        <v>14</v>
      </c>
      <c r="F4190">
        <v>48.279299999999999</v>
      </c>
      <c r="G4190">
        <v>-4.6212</v>
      </c>
      <c r="H4190">
        <v>1</v>
      </c>
      <c r="I4190">
        <v>50</v>
      </c>
      <c r="J4190" t="str">
        <f>HYPERLINK("https://climate.onebuilding.org/WMO_Region_6_Europe/FRA_France/BT_Bretagne/FRA_BT_Pointe.de.Toulinguet.071040_TMYx.zip")</f>
        <v>https://climate.onebuilding.org/WMO_Region_6_Europe/FRA_France/BT_Bretagne/FRA_BT_Pointe.de.Toulinguet.071040_TMYx.zip</v>
      </c>
    </row>
    <row r="4191" spans="1:10" x14ac:dyDescent="0.25">
      <c r="A4191" t="s">
        <v>2883</v>
      </c>
      <c r="B4191" t="s">
        <v>2984</v>
      </c>
      <c r="C4191" t="s">
        <v>2995</v>
      </c>
      <c r="D4191" s="1" t="s">
        <v>2996</v>
      </c>
      <c r="E4191" t="s">
        <v>2997</v>
      </c>
      <c r="F4191">
        <v>48.525599999999997</v>
      </c>
      <c r="G4191">
        <v>-4.1471999999999998</v>
      </c>
      <c r="H4191">
        <v>1</v>
      </c>
      <c r="I4191">
        <v>106.1</v>
      </c>
      <c r="J4191" t="str">
        <f>HYPERLINK("https://climate.onebuilding.org/WMO_Region_6_Europe/FRA_France/BT_Bretagne/FRA_BT_Landivisiau.AB.071060_TMYx.2004-2018.zip")</f>
        <v>https://climate.onebuilding.org/WMO_Region_6_Europe/FRA_France/BT_Bretagne/FRA_BT_Landivisiau.AB.071060_TMYx.2004-2018.zip</v>
      </c>
    </row>
    <row r="4192" spans="1:10" x14ac:dyDescent="0.25">
      <c r="A4192" t="s">
        <v>2883</v>
      </c>
      <c r="B4192" t="s">
        <v>2984</v>
      </c>
      <c r="C4192" t="s">
        <v>2995</v>
      </c>
      <c r="D4192" s="1" t="s">
        <v>2996</v>
      </c>
      <c r="E4192" t="s">
        <v>14</v>
      </c>
      <c r="F4192">
        <v>48.525599999999997</v>
      </c>
      <c r="G4192">
        <v>-4.1471999999999998</v>
      </c>
      <c r="H4192">
        <v>1</v>
      </c>
      <c r="I4192">
        <v>106.1</v>
      </c>
      <c r="J4192" t="str">
        <f>HYPERLINK("https://climate.onebuilding.org/WMO_Region_6_Europe/FRA_France/BT_Bretagne/FRA_BT_Landivisiau.AB.071060_TMYx.2007-2021.zip")</f>
        <v>https://climate.onebuilding.org/WMO_Region_6_Europe/FRA_France/BT_Bretagne/FRA_BT_Landivisiau.AB.071060_TMYx.2007-2021.zip</v>
      </c>
    </row>
    <row r="4193" spans="1:10" x14ac:dyDescent="0.25">
      <c r="A4193" t="s">
        <v>2883</v>
      </c>
      <c r="B4193" t="s">
        <v>2984</v>
      </c>
      <c r="C4193" t="s">
        <v>2995</v>
      </c>
      <c r="D4193" s="1" t="s">
        <v>2996</v>
      </c>
      <c r="E4193" t="s">
        <v>14</v>
      </c>
      <c r="F4193">
        <v>48.525599999999997</v>
      </c>
      <c r="G4193">
        <v>-4.1471999999999998</v>
      </c>
      <c r="H4193">
        <v>1</v>
      </c>
      <c r="I4193">
        <v>106.1</v>
      </c>
      <c r="J4193" t="str">
        <f>HYPERLINK("https://climate.onebuilding.org/WMO_Region_6_Europe/FRA_France/BT_Bretagne/FRA_BT_Landivisiau.AB.071060_TMYx.2009-2023.zip")</f>
        <v>https://climate.onebuilding.org/WMO_Region_6_Europe/FRA_France/BT_Bretagne/FRA_BT_Landivisiau.AB.071060_TMYx.2009-2023.zip</v>
      </c>
    </row>
    <row r="4194" spans="1:10" x14ac:dyDescent="0.25">
      <c r="A4194" t="s">
        <v>2883</v>
      </c>
      <c r="B4194" t="s">
        <v>2984</v>
      </c>
      <c r="C4194" t="s">
        <v>2995</v>
      </c>
      <c r="D4194" s="1" t="s">
        <v>2996</v>
      </c>
      <c r="E4194" t="s">
        <v>14</v>
      </c>
      <c r="F4194">
        <v>48.525599999999997</v>
      </c>
      <c r="G4194">
        <v>-4.1471999999999998</v>
      </c>
      <c r="H4194">
        <v>1</v>
      </c>
      <c r="I4194">
        <v>106.1</v>
      </c>
      <c r="J4194" t="str">
        <f>HYPERLINK("https://climate.onebuilding.org/WMO_Region_6_Europe/FRA_France/BT_Bretagne/FRA_BT_Landivisiau.AB.071060_TMYx.zip")</f>
        <v>https://climate.onebuilding.org/WMO_Region_6_Europe/FRA_France/BT_Bretagne/FRA_BT_Landivisiau.AB.071060_TMYx.zip</v>
      </c>
    </row>
    <row r="4195" spans="1:10" x14ac:dyDescent="0.25">
      <c r="A4195" t="s">
        <v>2883</v>
      </c>
      <c r="B4195" t="s">
        <v>2984</v>
      </c>
      <c r="C4195" t="s">
        <v>2998</v>
      </c>
      <c r="D4195" s="1" t="s">
        <v>2999</v>
      </c>
      <c r="E4195" t="s">
        <v>3000</v>
      </c>
      <c r="F4195">
        <v>48.664400000000001</v>
      </c>
      <c r="G4195">
        <v>-4.3266</v>
      </c>
      <c r="H4195">
        <v>1</v>
      </c>
      <c r="I4195">
        <v>9</v>
      </c>
      <c r="J4195" t="str">
        <f>HYPERLINK("https://climate.onebuilding.org/WMO_Region_6_Europe/FRA_France/BT_Bretagne/FRA_BT_Brignogan-Plages.071070_TMYx.2004-2018.zip")</f>
        <v>https://climate.onebuilding.org/WMO_Region_6_Europe/FRA_France/BT_Bretagne/FRA_BT_Brignogan-Plages.071070_TMYx.2004-2018.zip</v>
      </c>
    </row>
    <row r="4196" spans="1:10" x14ac:dyDescent="0.25">
      <c r="A4196" t="s">
        <v>2883</v>
      </c>
      <c r="B4196" t="s">
        <v>2984</v>
      </c>
      <c r="C4196" t="s">
        <v>2998</v>
      </c>
      <c r="D4196" s="1" t="s">
        <v>2999</v>
      </c>
      <c r="E4196" t="s">
        <v>14</v>
      </c>
      <c r="F4196">
        <v>48.664400000000001</v>
      </c>
      <c r="G4196">
        <v>-4.3266</v>
      </c>
      <c r="H4196">
        <v>1</v>
      </c>
      <c r="I4196">
        <v>9</v>
      </c>
      <c r="J4196" t="str">
        <f>HYPERLINK("https://climate.onebuilding.org/WMO_Region_6_Europe/FRA_France/BT_Bretagne/FRA_BT_Brignogan-Plages.071070_TMYx.2007-2021.zip")</f>
        <v>https://climate.onebuilding.org/WMO_Region_6_Europe/FRA_France/BT_Bretagne/FRA_BT_Brignogan-Plages.071070_TMYx.2007-2021.zip</v>
      </c>
    </row>
    <row r="4197" spans="1:10" x14ac:dyDescent="0.25">
      <c r="A4197" t="s">
        <v>2883</v>
      </c>
      <c r="B4197" t="s">
        <v>2984</v>
      </c>
      <c r="C4197" t="s">
        <v>2998</v>
      </c>
      <c r="D4197" s="1" t="s">
        <v>2999</v>
      </c>
      <c r="E4197" t="s">
        <v>14</v>
      </c>
      <c r="F4197">
        <v>48.664400000000001</v>
      </c>
      <c r="G4197">
        <v>-4.3266</v>
      </c>
      <c r="H4197">
        <v>1</v>
      </c>
      <c r="I4197">
        <v>9</v>
      </c>
      <c r="J4197" t="str">
        <f>HYPERLINK("https://climate.onebuilding.org/WMO_Region_6_Europe/FRA_France/BT_Bretagne/FRA_BT_Brignogan-Plages.071070_TMYx.2009-2023.zip")</f>
        <v>https://climate.onebuilding.org/WMO_Region_6_Europe/FRA_France/BT_Bretagne/FRA_BT_Brignogan-Plages.071070_TMYx.2009-2023.zip</v>
      </c>
    </row>
    <row r="4198" spans="1:10" x14ac:dyDescent="0.25">
      <c r="A4198" t="s">
        <v>2883</v>
      </c>
      <c r="B4198" t="s">
        <v>2984</v>
      </c>
      <c r="C4198" t="s">
        <v>2998</v>
      </c>
      <c r="D4198" s="1" t="s">
        <v>2999</v>
      </c>
      <c r="E4198" t="s">
        <v>14</v>
      </c>
      <c r="F4198">
        <v>48.664400000000001</v>
      </c>
      <c r="G4198">
        <v>-4.3266</v>
      </c>
      <c r="H4198">
        <v>1</v>
      </c>
      <c r="I4198">
        <v>9</v>
      </c>
      <c r="J4198" t="str">
        <f>HYPERLINK("https://climate.onebuilding.org/WMO_Region_6_Europe/FRA_France/BT_Bretagne/FRA_BT_Brignogan-Plages.071070_TMYx.zip")</f>
        <v>https://climate.onebuilding.org/WMO_Region_6_Europe/FRA_France/BT_Bretagne/FRA_BT_Brignogan-Plages.071070_TMYx.zip</v>
      </c>
    </row>
    <row r="4199" spans="1:10" x14ac:dyDescent="0.25">
      <c r="A4199" t="s">
        <v>2883</v>
      </c>
      <c r="B4199" t="s">
        <v>2984</v>
      </c>
      <c r="C4199" t="s">
        <v>3001</v>
      </c>
      <c r="D4199" s="1" t="s">
        <v>3002</v>
      </c>
      <c r="E4199" t="s">
        <v>3003</v>
      </c>
      <c r="F4199">
        <v>48.279400000000003</v>
      </c>
      <c r="G4199">
        <v>-4.4394</v>
      </c>
      <c r="H4199">
        <v>1</v>
      </c>
      <c r="I4199">
        <v>83</v>
      </c>
      <c r="J4199" t="str">
        <f>HYPERLINK("https://climate.onebuilding.org/WMO_Region_6_Europe/FRA_France/BT_Bretagne/FRA_BT_Lanveoc-Poulmic.AB.071090_TMYx.2004-2018.zip")</f>
        <v>https://climate.onebuilding.org/WMO_Region_6_Europe/FRA_France/BT_Bretagne/FRA_BT_Lanveoc-Poulmic.AB.071090_TMYx.2004-2018.zip</v>
      </c>
    </row>
    <row r="4200" spans="1:10" x14ac:dyDescent="0.25">
      <c r="A4200" t="s">
        <v>2883</v>
      </c>
      <c r="B4200" t="s">
        <v>2984</v>
      </c>
      <c r="C4200" t="s">
        <v>3001</v>
      </c>
      <c r="D4200" s="1" t="s">
        <v>3002</v>
      </c>
      <c r="E4200" t="s">
        <v>14</v>
      </c>
      <c r="F4200">
        <v>48.279400000000003</v>
      </c>
      <c r="G4200">
        <v>-4.4394</v>
      </c>
      <c r="H4200">
        <v>1</v>
      </c>
      <c r="I4200">
        <v>83</v>
      </c>
      <c r="J4200" t="str">
        <f>HYPERLINK("https://climate.onebuilding.org/WMO_Region_6_Europe/FRA_France/BT_Bretagne/FRA_BT_Lanveoc-Poulmic.AB.071090_TMYx.2007-2021.zip")</f>
        <v>https://climate.onebuilding.org/WMO_Region_6_Europe/FRA_France/BT_Bretagne/FRA_BT_Lanveoc-Poulmic.AB.071090_TMYx.2007-2021.zip</v>
      </c>
    </row>
    <row r="4201" spans="1:10" x14ac:dyDescent="0.25">
      <c r="A4201" t="s">
        <v>2883</v>
      </c>
      <c r="B4201" t="s">
        <v>2984</v>
      </c>
      <c r="C4201" t="s">
        <v>3001</v>
      </c>
      <c r="D4201" s="1" t="s">
        <v>3002</v>
      </c>
      <c r="E4201" t="s">
        <v>14</v>
      </c>
      <c r="F4201">
        <v>48.279400000000003</v>
      </c>
      <c r="G4201">
        <v>-4.4394</v>
      </c>
      <c r="H4201">
        <v>1</v>
      </c>
      <c r="I4201">
        <v>83</v>
      </c>
      <c r="J4201" t="str">
        <f>HYPERLINK("https://climate.onebuilding.org/WMO_Region_6_Europe/FRA_France/BT_Bretagne/FRA_BT_Lanveoc-Poulmic.AB.071090_TMYx.2009-2023.zip")</f>
        <v>https://climate.onebuilding.org/WMO_Region_6_Europe/FRA_France/BT_Bretagne/FRA_BT_Lanveoc-Poulmic.AB.071090_TMYx.2009-2023.zip</v>
      </c>
    </row>
    <row r="4202" spans="1:10" x14ac:dyDescent="0.25">
      <c r="A4202" t="s">
        <v>2883</v>
      </c>
      <c r="B4202" t="s">
        <v>2984</v>
      </c>
      <c r="C4202" t="s">
        <v>3001</v>
      </c>
      <c r="D4202" s="1" t="s">
        <v>3002</v>
      </c>
      <c r="E4202" t="s">
        <v>14</v>
      </c>
      <c r="F4202">
        <v>48.279400000000003</v>
      </c>
      <c r="G4202">
        <v>-4.4394</v>
      </c>
      <c r="H4202">
        <v>1</v>
      </c>
      <c r="I4202">
        <v>83</v>
      </c>
      <c r="J4202" t="str">
        <f>HYPERLINK("https://climate.onebuilding.org/WMO_Region_6_Europe/FRA_France/BT_Bretagne/FRA_BT_Lanveoc-Poulmic.AB.071090_TMYx.zip")</f>
        <v>https://climate.onebuilding.org/WMO_Region_6_Europe/FRA_France/BT_Bretagne/FRA_BT_Lanveoc-Poulmic.AB.071090_TMYx.zip</v>
      </c>
    </row>
    <row r="4203" spans="1:10" x14ac:dyDescent="0.25">
      <c r="A4203" t="s">
        <v>2883</v>
      </c>
      <c r="B4203" t="s">
        <v>2984</v>
      </c>
      <c r="C4203" t="s">
        <v>3004</v>
      </c>
      <c r="D4203" s="1" t="s">
        <v>3005</v>
      </c>
      <c r="E4203" t="s">
        <v>3006</v>
      </c>
      <c r="F4203">
        <v>48.45</v>
      </c>
      <c r="G4203">
        <v>-4.3833000000000002</v>
      </c>
      <c r="H4203">
        <v>1</v>
      </c>
      <c r="I4203">
        <v>95</v>
      </c>
      <c r="J4203" t="str">
        <f>HYPERLINK("https://climate.onebuilding.org/WMO_Region_6_Europe/FRA_France/BT_Bretagne/FRA_BT_Brest.Bretagne.AP.071100_TMYx.2004-2018.zip")</f>
        <v>https://climate.onebuilding.org/WMO_Region_6_Europe/FRA_France/BT_Bretagne/FRA_BT_Brest.Bretagne.AP.071100_TMYx.2004-2018.zip</v>
      </c>
    </row>
    <row r="4204" spans="1:10" x14ac:dyDescent="0.25">
      <c r="A4204" t="s">
        <v>2883</v>
      </c>
      <c r="B4204" t="s">
        <v>2984</v>
      </c>
      <c r="C4204" t="s">
        <v>3004</v>
      </c>
      <c r="D4204" s="1" t="s">
        <v>3005</v>
      </c>
      <c r="E4204" t="s">
        <v>14</v>
      </c>
      <c r="F4204">
        <v>48.45</v>
      </c>
      <c r="G4204">
        <v>-4.3833000000000002</v>
      </c>
      <c r="H4204">
        <v>1</v>
      </c>
      <c r="I4204">
        <v>95</v>
      </c>
      <c r="J4204" t="str">
        <f>HYPERLINK("https://climate.onebuilding.org/WMO_Region_6_Europe/FRA_France/BT_Bretagne/FRA_BT_Brest.Bretagne.AP.071100_TMYx.2007-2021.zip")</f>
        <v>https://climate.onebuilding.org/WMO_Region_6_Europe/FRA_France/BT_Bretagne/FRA_BT_Brest.Bretagne.AP.071100_TMYx.2007-2021.zip</v>
      </c>
    </row>
    <row r="4205" spans="1:10" x14ac:dyDescent="0.25">
      <c r="A4205" t="s">
        <v>2883</v>
      </c>
      <c r="B4205" t="s">
        <v>2984</v>
      </c>
      <c r="C4205" t="s">
        <v>3004</v>
      </c>
      <c r="D4205" s="1" t="s">
        <v>3005</v>
      </c>
      <c r="E4205" t="s">
        <v>14</v>
      </c>
      <c r="F4205">
        <v>48.45</v>
      </c>
      <c r="G4205">
        <v>-4.3833000000000002</v>
      </c>
      <c r="H4205">
        <v>1</v>
      </c>
      <c r="I4205">
        <v>95</v>
      </c>
      <c r="J4205" t="str">
        <f>HYPERLINK("https://climate.onebuilding.org/WMO_Region_6_Europe/FRA_France/BT_Bretagne/FRA_BT_Brest.Bretagne.AP.071100_TMYx.2009-2023.zip")</f>
        <v>https://climate.onebuilding.org/WMO_Region_6_Europe/FRA_France/BT_Bretagne/FRA_BT_Brest.Bretagne.AP.071100_TMYx.2009-2023.zip</v>
      </c>
    </row>
    <row r="4206" spans="1:10" x14ac:dyDescent="0.25">
      <c r="A4206" t="s">
        <v>2883</v>
      </c>
      <c r="B4206" t="s">
        <v>2984</v>
      </c>
      <c r="C4206" t="s">
        <v>3004</v>
      </c>
      <c r="D4206" s="1" t="s">
        <v>3005</v>
      </c>
      <c r="E4206" t="s">
        <v>14</v>
      </c>
      <c r="F4206">
        <v>48.45</v>
      </c>
      <c r="G4206">
        <v>-4.3833000000000002</v>
      </c>
      <c r="H4206">
        <v>1</v>
      </c>
      <c r="I4206">
        <v>95</v>
      </c>
      <c r="J4206" t="str">
        <f>HYPERLINK("https://climate.onebuilding.org/WMO_Region_6_Europe/FRA_France/BT_Bretagne/FRA_BT_Brest.Bretagne.AP.071100_TMYx.zip")</f>
        <v>https://climate.onebuilding.org/WMO_Region_6_Europe/FRA_France/BT_Bretagne/FRA_BT_Brest.Bretagne.AP.071100_TMYx.zip</v>
      </c>
    </row>
    <row r="4207" spans="1:10" x14ac:dyDescent="0.25">
      <c r="A4207" t="s">
        <v>2883</v>
      </c>
      <c r="B4207" t="s">
        <v>2984</v>
      </c>
      <c r="C4207" t="s">
        <v>3007</v>
      </c>
      <c r="D4207" s="1" t="s">
        <v>3008</v>
      </c>
      <c r="E4207" t="s">
        <v>3009</v>
      </c>
      <c r="F4207">
        <v>48.75</v>
      </c>
      <c r="G4207">
        <v>-4.0170000000000003</v>
      </c>
      <c r="H4207">
        <v>1</v>
      </c>
      <c r="I4207">
        <v>37</v>
      </c>
      <c r="J4207" t="str">
        <f>HYPERLINK("https://climate.onebuilding.org/WMO_Region_6_Europe/FRA_France/BT_Bretagne/FRA_BT_Batz.Island.071160_TMYx.2004-2018.zip")</f>
        <v>https://climate.onebuilding.org/WMO_Region_6_Europe/FRA_France/BT_Bretagne/FRA_BT_Batz.Island.071160_TMYx.2004-2018.zip</v>
      </c>
    </row>
    <row r="4208" spans="1:10" x14ac:dyDescent="0.25">
      <c r="A4208" t="s">
        <v>2883</v>
      </c>
      <c r="B4208" t="s">
        <v>2984</v>
      </c>
      <c r="C4208" t="s">
        <v>3007</v>
      </c>
      <c r="D4208" s="1" t="s">
        <v>3008</v>
      </c>
      <c r="E4208" t="s">
        <v>14</v>
      </c>
      <c r="F4208">
        <v>48.75</v>
      </c>
      <c r="G4208">
        <v>-4.0170000000000003</v>
      </c>
      <c r="H4208">
        <v>1</v>
      </c>
      <c r="I4208">
        <v>37</v>
      </c>
      <c r="J4208" t="str">
        <f>HYPERLINK("https://climate.onebuilding.org/WMO_Region_6_Europe/FRA_France/BT_Bretagne/FRA_BT_Batz.Island.071160_TMYx.2007-2021.zip")</f>
        <v>https://climate.onebuilding.org/WMO_Region_6_Europe/FRA_France/BT_Bretagne/FRA_BT_Batz.Island.071160_TMYx.2007-2021.zip</v>
      </c>
    </row>
    <row r="4209" spans="1:10" x14ac:dyDescent="0.25">
      <c r="A4209" t="s">
        <v>2883</v>
      </c>
      <c r="B4209" t="s">
        <v>2984</v>
      </c>
      <c r="C4209" t="s">
        <v>3007</v>
      </c>
      <c r="D4209" s="1" t="s">
        <v>3008</v>
      </c>
      <c r="E4209" t="s">
        <v>14</v>
      </c>
      <c r="F4209">
        <v>48.75</v>
      </c>
      <c r="G4209">
        <v>-4.0170000000000003</v>
      </c>
      <c r="H4209">
        <v>1</v>
      </c>
      <c r="I4209">
        <v>37</v>
      </c>
      <c r="J4209" t="str">
        <f>HYPERLINK("https://climate.onebuilding.org/WMO_Region_6_Europe/FRA_France/BT_Bretagne/FRA_BT_Batz.Island.071160_TMYx.2009-2023.zip")</f>
        <v>https://climate.onebuilding.org/WMO_Region_6_Europe/FRA_France/BT_Bretagne/FRA_BT_Batz.Island.071160_TMYx.2009-2023.zip</v>
      </c>
    </row>
    <row r="4210" spans="1:10" x14ac:dyDescent="0.25">
      <c r="A4210" t="s">
        <v>2883</v>
      </c>
      <c r="B4210" t="s">
        <v>2984</v>
      </c>
      <c r="C4210" t="s">
        <v>3007</v>
      </c>
      <c r="D4210" s="1" t="s">
        <v>3008</v>
      </c>
      <c r="E4210" t="s">
        <v>14</v>
      </c>
      <c r="F4210">
        <v>48.75</v>
      </c>
      <c r="G4210">
        <v>-4.0170000000000003</v>
      </c>
      <c r="H4210">
        <v>1</v>
      </c>
      <c r="I4210">
        <v>37</v>
      </c>
      <c r="J4210" t="str">
        <f>HYPERLINK("https://climate.onebuilding.org/WMO_Region_6_Europe/FRA_France/BT_Bretagne/FRA_BT_Batz.Island.071160_TMYx.zip")</f>
        <v>https://climate.onebuilding.org/WMO_Region_6_Europe/FRA_France/BT_Bretagne/FRA_BT_Batz.Island.071160_TMYx.zip</v>
      </c>
    </row>
    <row r="4211" spans="1:10" x14ac:dyDescent="0.25">
      <c r="A4211" t="s">
        <v>2883</v>
      </c>
      <c r="B4211" t="s">
        <v>2984</v>
      </c>
      <c r="C4211" t="s">
        <v>3010</v>
      </c>
      <c r="D4211" s="1" t="s">
        <v>3011</v>
      </c>
      <c r="E4211" t="s">
        <v>3012</v>
      </c>
      <c r="F4211">
        <v>48.825800000000001</v>
      </c>
      <c r="G4211">
        <v>-3.4731000000000001</v>
      </c>
      <c r="H4211">
        <v>1</v>
      </c>
      <c r="I4211">
        <v>58</v>
      </c>
      <c r="J4211" t="str">
        <f>HYPERLINK("https://climate.onebuilding.org/WMO_Region_6_Europe/FRA_France/BT_Bretagne/FRA_BT_Ploumanach-Perros-Guirec.071170_TMYx.2004-2018.zip")</f>
        <v>https://climate.onebuilding.org/WMO_Region_6_Europe/FRA_France/BT_Bretagne/FRA_BT_Ploumanach-Perros-Guirec.071170_TMYx.2004-2018.zip</v>
      </c>
    </row>
    <row r="4212" spans="1:10" x14ac:dyDescent="0.25">
      <c r="A4212" t="s">
        <v>2883</v>
      </c>
      <c r="B4212" t="s">
        <v>2984</v>
      </c>
      <c r="C4212" t="s">
        <v>3010</v>
      </c>
      <c r="D4212" s="1" t="s">
        <v>3011</v>
      </c>
      <c r="E4212" t="s">
        <v>14</v>
      </c>
      <c r="F4212">
        <v>48.825800000000001</v>
      </c>
      <c r="G4212">
        <v>-3.4731000000000001</v>
      </c>
      <c r="H4212">
        <v>1</v>
      </c>
      <c r="I4212">
        <v>58</v>
      </c>
      <c r="J4212" t="str">
        <f>HYPERLINK("https://climate.onebuilding.org/WMO_Region_6_Europe/FRA_France/BT_Bretagne/FRA_BT_Ploumanach-Perros-Guirec.071170_TMYx.2007-2021.zip")</f>
        <v>https://climate.onebuilding.org/WMO_Region_6_Europe/FRA_France/BT_Bretagne/FRA_BT_Ploumanach-Perros-Guirec.071170_TMYx.2007-2021.zip</v>
      </c>
    </row>
    <row r="4213" spans="1:10" x14ac:dyDescent="0.25">
      <c r="A4213" t="s">
        <v>2883</v>
      </c>
      <c r="B4213" t="s">
        <v>2984</v>
      </c>
      <c r="C4213" t="s">
        <v>3010</v>
      </c>
      <c r="D4213" s="1" t="s">
        <v>3011</v>
      </c>
      <c r="E4213" t="s">
        <v>14</v>
      </c>
      <c r="F4213">
        <v>48.825800000000001</v>
      </c>
      <c r="G4213">
        <v>-3.4731000000000001</v>
      </c>
      <c r="H4213">
        <v>1</v>
      </c>
      <c r="I4213">
        <v>58</v>
      </c>
      <c r="J4213" t="str">
        <f>HYPERLINK("https://climate.onebuilding.org/WMO_Region_6_Europe/FRA_France/BT_Bretagne/FRA_BT_Ploumanach-Perros-Guirec.071170_TMYx.2009-2023.zip")</f>
        <v>https://climate.onebuilding.org/WMO_Region_6_Europe/FRA_France/BT_Bretagne/FRA_BT_Ploumanach-Perros-Guirec.071170_TMYx.2009-2023.zip</v>
      </c>
    </row>
    <row r="4214" spans="1:10" x14ac:dyDescent="0.25">
      <c r="A4214" t="s">
        <v>2883</v>
      </c>
      <c r="B4214" t="s">
        <v>2984</v>
      </c>
      <c r="C4214" t="s">
        <v>3010</v>
      </c>
      <c r="D4214" s="1" t="s">
        <v>3011</v>
      </c>
      <c r="E4214" t="s">
        <v>14</v>
      </c>
      <c r="F4214">
        <v>48.825800000000001</v>
      </c>
      <c r="G4214">
        <v>-3.4731000000000001</v>
      </c>
      <c r="H4214">
        <v>1</v>
      </c>
      <c r="I4214">
        <v>58</v>
      </c>
      <c r="J4214" t="str">
        <f>HYPERLINK("https://climate.onebuilding.org/WMO_Region_6_Europe/FRA_France/BT_Bretagne/FRA_BT_Ploumanach-Perros-Guirec.071170_TMYx.zip")</f>
        <v>https://climate.onebuilding.org/WMO_Region_6_Europe/FRA_France/BT_Bretagne/FRA_BT_Ploumanach-Perros-Guirec.071170_TMYx.zip</v>
      </c>
    </row>
    <row r="4215" spans="1:10" x14ac:dyDescent="0.25">
      <c r="A4215" t="s">
        <v>2883</v>
      </c>
      <c r="B4215" t="s">
        <v>2984</v>
      </c>
      <c r="C4215" t="s">
        <v>3013</v>
      </c>
      <c r="D4215" s="1" t="s">
        <v>3014</v>
      </c>
      <c r="E4215" t="s">
        <v>3015</v>
      </c>
      <c r="F4215">
        <v>48.755299999999998</v>
      </c>
      <c r="G4215">
        <v>-3.4685999999999999</v>
      </c>
      <c r="H4215">
        <v>1</v>
      </c>
      <c r="I4215">
        <v>87</v>
      </c>
      <c r="J4215" t="str">
        <f>HYPERLINK("https://climate.onebuilding.org/WMO_Region_6_Europe/FRA_France/BT_Bretagne/FRA_BT_Lannion.AP.071180_TMYx.2004-2018.zip")</f>
        <v>https://climate.onebuilding.org/WMO_Region_6_Europe/FRA_France/BT_Bretagne/FRA_BT_Lannion.AP.071180_TMYx.2004-2018.zip</v>
      </c>
    </row>
    <row r="4216" spans="1:10" x14ac:dyDescent="0.25">
      <c r="A4216" t="s">
        <v>2883</v>
      </c>
      <c r="B4216" t="s">
        <v>2984</v>
      </c>
      <c r="C4216" t="s">
        <v>3013</v>
      </c>
      <c r="D4216" s="1" t="s">
        <v>3014</v>
      </c>
      <c r="E4216" t="s">
        <v>14</v>
      </c>
      <c r="F4216">
        <v>48.755299999999998</v>
      </c>
      <c r="G4216">
        <v>-3.4685999999999999</v>
      </c>
      <c r="H4216">
        <v>1</v>
      </c>
      <c r="I4216">
        <v>87</v>
      </c>
      <c r="J4216" t="str">
        <f>HYPERLINK("https://climate.onebuilding.org/WMO_Region_6_Europe/FRA_France/BT_Bretagne/FRA_BT_Lannion.AP.071180_TMYx.2007-2021.zip")</f>
        <v>https://climate.onebuilding.org/WMO_Region_6_Europe/FRA_France/BT_Bretagne/FRA_BT_Lannion.AP.071180_TMYx.2007-2021.zip</v>
      </c>
    </row>
    <row r="4217" spans="1:10" x14ac:dyDescent="0.25">
      <c r="A4217" t="s">
        <v>2883</v>
      </c>
      <c r="B4217" t="s">
        <v>2984</v>
      </c>
      <c r="C4217" t="s">
        <v>3013</v>
      </c>
      <c r="D4217" s="1" t="s">
        <v>3014</v>
      </c>
      <c r="E4217" t="s">
        <v>14</v>
      </c>
      <c r="F4217">
        <v>48.755299999999998</v>
      </c>
      <c r="G4217">
        <v>-3.4685999999999999</v>
      </c>
      <c r="H4217">
        <v>1</v>
      </c>
      <c r="I4217">
        <v>87</v>
      </c>
      <c r="J4217" t="str">
        <f>HYPERLINK("https://climate.onebuilding.org/WMO_Region_6_Europe/FRA_France/BT_Bretagne/FRA_BT_Lannion.AP.071180_TMYx.2009-2023.zip")</f>
        <v>https://climate.onebuilding.org/WMO_Region_6_Europe/FRA_France/BT_Bretagne/FRA_BT_Lannion.AP.071180_TMYx.2009-2023.zip</v>
      </c>
    </row>
    <row r="4218" spans="1:10" x14ac:dyDescent="0.25">
      <c r="A4218" t="s">
        <v>2883</v>
      </c>
      <c r="B4218" t="s">
        <v>2984</v>
      </c>
      <c r="C4218" t="s">
        <v>3013</v>
      </c>
      <c r="D4218" s="1" t="s">
        <v>3014</v>
      </c>
      <c r="E4218" t="s">
        <v>14</v>
      </c>
      <c r="F4218">
        <v>48.755299999999998</v>
      </c>
      <c r="G4218">
        <v>-3.4685999999999999</v>
      </c>
      <c r="H4218">
        <v>1</v>
      </c>
      <c r="I4218">
        <v>87</v>
      </c>
      <c r="J4218" t="str">
        <f>HYPERLINK("https://climate.onebuilding.org/WMO_Region_6_Europe/FRA_France/BT_Bretagne/FRA_BT_Lannion.AP.071180_TMYx.zip")</f>
        <v>https://climate.onebuilding.org/WMO_Region_6_Europe/FRA_France/BT_Bretagne/FRA_BT_Lannion.AP.071180_TMYx.zip</v>
      </c>
    </row>
    <row r="4219" spans="1:10" x14ac:dyDescent="0.25">
      <c r="A4219" t="s">
        <v>2883</v>
      </c>
      <c r="B4219" t="s">
        <v>2984</v>
      </c>
      <c r="C4219" t="s">
        <v>3016</v>
      </c>
      <c r="D4219" s="1" t="s">
        <v>3017</v>
      </c>
      <c r="E4219" t="s">
        <v>14</v>
      </c>
      <c r="F4219">
        <v>48.232999999999997</v>
      </c>
      <c r="G4219">
        <v>-3.3</v>
      </c>
      <c r="H4219">
        <v>1</v>
      </c>
      <c r="I4219">
        <v>262</v>
      </c>
      <c r="J4219" t="str">
        <f>HYPERLINK("https://climate.onebuilding.org/WMO_Region_6_Europe/FRA_France/BT_Bretagne/FRA_BT_Rostrenen.071190_TMYx.zip")</f>
        <v>https://climate.onebuilding.org/WMO_Region_6_Europe/FRA_France/BT_Bretagne/FRA_BT_Rostrenen.071190_TMYx.zip</v>
      </c>
    </row>
    <row r="4220" spans="1:10" x14ac:dyDescent="0.25">
      <c r="A4220" t="s">
        <v>2883</v>
      </c>
      <c r="B4220" t="s">
        <v>2984</v>
      </c>
      <c r="C4220" t="s">
        <v>3018</v>
      </c>
      <c r="D4220" s="1" t="s">
        <v>3019</v>
      </c>
      <c r="E4220" t="s">
        <v>3020</v>
      </c>
      <c r="F4220">
        <v>48.534700000000001</v>
      </c>
      <c r="G4220">
        <v>-2.8519000000000001</v>
      </c>
      <c r="H4220">
        <v>1</v>
      </c>
      <c r="I4220">
        <v>135</v>
      </c>
      <c r="J4220" t="str">
        <f>HYPERLINK("https://climate.onebuilding.org/WMO_Region_6_Europe/FRA_France/BT_Bretagne/FRA_BT_St.Brieuc-Armor.AP.071200_TMYx.2004-2018.zip")</f>
        <v>https://climate.onebuilding.org/WMO_Region_6_Europe/FRA_France/BT_Bretagne/FRA_BT_St.Brieuc-Armor.AP.071200_TMYx.2004-2018.zip</v>
      </c>
    </row>
    <row r="4221" spans="1:10" x14ac:dyDescent="0.25">
      <c r="A4221" t="s">
        <v>2883</v>
      </c>
      <c r="B4221" t="s">
        <v>2984</v>
      </c>
      <c r="C4221" t="s">
        <v>3018</v>
      </c>
      <c r="D4221" s="1" t="s">
        <v>3019</v>
      </c>
      <c r="E4221" t="s">
        <v>14</v>
      </c>
      <c r="F4221">
        <v>48.534700000000001</v>
      </c>
      <c r="G4221">
        <v>-2.8519000000000001</v>
      </c>
      <c r="H4221">
        <v>1</v>
      </c>
      <c r="I4221">
        <v>135</v>
      </c>
      <c r="J4221" t="str">
        <f>HYPERLINK("https://climate.onebuilding.org/WMO_Region_6_Europe/FRA_France/BT_Bretagne/FRA_BT_St.Brieuc-Armor.AP.071200_TMYx.2007-2021.zip")</f>
        <v>https://climate.onebuilding.org/WMO_Region_6_Europe/FRA_France/BT_Bretagne/FRA_BT_St.Brieuc-Armor.AP.071200_TMYx.2007-2021.zip</v>
      </c>
    </row>
    <row r="4222" spans="1:10" x14ac:dyDescent="0.25">
      <c r="A4222" t="s">
        <v>2883</v>
      </c>
      <c r="B4222" t="s">
        <v>2984</v>
      </c>
      <c r="C4222" t="s">
        <v>3018</v>
      </c>
      <c r="D4222" s="1" t="s">
        <v>3019</v>
      </c>
      <c r="E4222" t="s">
        <v>14</v>
      </c>
      <c r="F4222">
        <v>48.534700000000001</v>
      </c>
      <c r="G4222">
        <v>-2.8519000000000001</v>
      </c>
      <c r="H4222">
        <v>1</v>
      </c>
      <c r="I4222">
        <v>135</v>
      </c>
      <c r="J4222" t="str">
        <f>HYPERLINK("https://climate.onebuilding.org/WMO_Region_6_Europe/FRA_France/BT_Bretagne/FRA_BT_St.Brieuc-Armor.AP.071200_TMYx.2009-2023.zip")</f>
        <v>https://climate.onebuilding.org/WMO_Region_6_Europe/FRA_France/BT_Bretagne/FRA_BT_St.Brieuc-Armor.AP.071200_TMYx.2009-2023.zip</v>
      </c>
    </row>
    <row r="4223" spans="1:10" x14ac:dyDescent="0.25">
      <c r="A4223" t="s">
        <v>2883</v>
      </c>
      <c r="B4223" t="s">
        <v>2984</v>
      </c>
      <c r="C4223" t="s">
        <v>3018</v>
      </c>
      <c r="D4223" s="1" t="s">
        <v>3019</v>
      </c>
      <c r="E4223" t="s">
        <v>14</v>
      </c>
      <c r="F4223">
        <v>48.534700000000001</v>
      </c>
      <c r="G4223">
        <v>-2.8519000000000001</v>
      </c>
      <c r="H4223">
        <v>1</v>
      </c>
      <c r="I4223">
        <v>135</v>
      </c>
      <c r="J4223" t="str">
        <f>HYPERLINK("https://climate.onebuilding.org/WMO_Region_6_Europe/FRA_France/BT_Bretagne/FRA_BT_St.Brieuc-Armor.AP.071200_TMYx.zip")</f>
        <v>https://climate.onebuilding.org/WMO_Region_6_Europe/FRA_France/BT_Bretagne/FRA_BT_St.Brieuc-Armor.AP.071200_TMYx.zip</v>
      </c>
    </row>
    <row r="4224" spans="1:10" x14ac:dyDescent="0.25">
      <c r="A4224" t="s">
        <v>2883</v>
      </c>
      <c r="B4224" t="s">
        <v>2984</v>
      </c>
      <c r="C4224" t="s">
        <v>3021</v>
      </c>
      <c r="D4224" s="1" t="s">
        <v>3022</v>
      </c>
      <c r="E4224" t="s">
        <v>14</v>
      </c>
      <c r="F4224">
        <v>48.85</v>
      </c>
      <c r="G4224">
        <v>-3</v>
      </c>
      <c r="H4224">
        <v>1</v>
      </c>
      <c r="I4224">
        <v>36</v>
      </c>
      <c r="J4224" t="str">
        <f>HYPERLINK("https://climate.onebuilding.org/WMO_Region_6_Europe/FRA_France/BT_Bretagne/FRA_BT_Brehat.Island.071210_TMYx.2009-2023.zip")</f>
        <v>https://climate.onebuilding.org/WMO_Region_6_Europe/FRA_France/BT_Bretagne/FRA_BT_Brehat.Island.071210_TMYx.2009-2023.zip</v>
      </c>
    </row>
    <row r="4225" spans="1:10" x14ac:dyDescent="0.25">
      <c r="A4225" t="s">
        <v>2883</v>
      </c>
      <c r="B4225" t="s">
        <v>2984</v>
      </c>
      <c r="C4225" t="s">
        <v>3021</v>
      </c>
      <c r="D4225" s="1" t="s">
        <v>3022</v>
      </c>
      <c r="E4225" t="s">
        <v>14</v>
      </c>
      <c r="F4225">
        <v>48.85</v>
      </c>
      <c r="G4225">
        <v>-3</v>
      </c>
      <c r="H4225">
        <v>1</v>
      </c>
      <c r="I4225">
        <v>36</v>
      </c>
      <c r="J4225" t="str">
        <f>HYPERLINK("https://climate.onebuilding.org/WMO_Region_6_Europe/FRA_France/BT_Bretagne/FRA_BT_Brehat.Island.071210_TMYx.zip")</f>
        <v>https://climate.onebuilding.org/WMO_Region_6_Europe/FRA_France/BT_Bretagne/FRA_BT_Brehat.Island.071210_TMYx.zip</v>
      </c>
    </row>
    <row r="4226" spans="1:10" x14ac:dyDescent="0.25">
      <c r="A4226" t="s">
        <v>2883</v>
      </c>
      <c r="B4226" t="s">
        <v>2984</v>
      </c>
      <c r="C4226" t="s">
        <v>3023</v>
      </c>
      <c r="D4226" s="1" t="s">
        <v>3024</v>
      </c>
      <c r="E4226" t="s">
        <v>3025</v>
      </c>
      <c r="F4226">
        <v>48.588900000000002</v>
      </c>
      <c r="G4226">
        <v>-2.0758000000000001</v>
      </c>
      <c r="H4226">
        <v>1</v>
      </c>
      <c r="I4226">
        <v>59</v>
      </c>
      <c r="J4226" t="str">
        <f>HYPERLINK("https://climate.onebuilding.org/WMO_Region_6_Europe/FRA_France/BT_Bretagne/FRA_BT_Dinard-Bretagne.AP.071250_TMYx.2004-2018.zip")</f>
        <v>https://climate.onebuilding.org/WMO_Region_6_Europe/FRA_France/BT_Bretagne/FRA_BT_Dinard-Bretagne.AP.071250_TMYx.2004-2018.zip</v>
      </c>
    </row>
    <row r="4227" spans="1:10" x14ac:dyDescent="0.25">
      <c r="A4227" t="s">
        <v>2883</v>
      </c>
      <c r="B4227" t="s">
        <v>2984</v>
      </c>
      <c r="C4227" t="s">
        <v>3023</v>
      </c>
      <c r="D4227" s="1" t="s">
        <v>3024</v>
      </c>
      <c r="E4227" t="s">
        <v>14</v>
      </c>
      <c r="F4227">
        <v>48.588900000000002</v>
      </c>
      <c r="G4227">
        <v>-2.0758000000000001</v>
      </c>
      <c r="H4227">
        <v>1</v>
      </c>
      <c r="I4227">
        <v>59</v>
      </c>
      <c r="J4227" t="str">
        <f>HYPERLINK("https://climate.onebuilding.org/WMO_Region_6_Europe/FRA_France/BT_Bretagne/FRA_BT_Dinard-Bretagne.AP.071250_TMYx.2007-2021.zip")</f>
        <v>https://climate.onebuilding.org/WMO_Region_6_Europe/FRA_France/BT_Bretagne/FRA_BT_Dinard-Bretagne.AP.071250_TMYx.2007-2021.zip</v>
      </c>
    </row>
    <row r="4228" spans="1:10" x14ac:dyDescent="0.25">
      <c r="A4228" t="s">
        <v>2883</v>
      </c>
      <c r="B4228" t="s">
        <v>2984</v>
      </c>
      <c r="C4228" t="s">
        <v>3023</v>
      </c>
      <c r="D4228" s="1" t="s">
        <v>3024</v>
      </c>
      <c r="E4228" t="s">
        <v>14</v>
      </c>
      <c r="F4228">
        <v>48.588900000000002</v>
      </c>
      <c r="G4228">
        <v>-2.0758000000000001</v>
      </c>
      <c r="H4228">
        <v>1</v>
      </c>
      <c r="I4228">
        <v>59</v>
      </c>
      <c r="J4228" t="str">
        <f>HYPERLINK("https://climate.onebuilding.org/WMO_Region_6_Europe/FRA_France/BT_Bretagne/FRA_BT_Dinard-Bretagne.AP.071250_TMYx.2009-2023.zip")</f>
        <v>https://climate.onebuilding.org/WMO_Region_6_Europe/FRA_France/BT_Bretagne/FRA_BT_Dinard-Bretagne.AP.071250_TMYx.2009-2023.zip</v>
      </c>
    </row>
    <row r="4229" spans="1:10" x14ac:dyDescent="0.25">
      <c r="A4229" t="s">
        <v>2883</v>
      </c>
      <c r="B4229" t="s">
        <v>2984</v>
      </c>
      <c r="C4229" t="s">
        <v>3023</v>
      </c>
      <c r="D4229" s="1" t="s">
        <v>3024</v>
      </c>
      <c r="E4229" t="s">
        <v>14</v>
      </c>
      <c r="F4229">
        <v>48.588900000000002</v>
      </c>
      <c r="G4229">
        <v>-2.0758000000000001</v>
      </c>
      <c r="H4229">
        <v>1</v>
      </c>
      <c r="I4229">
        <v>59</v>
      </c>
      <c r="J4229" t="str">
        <f>HYPERLINK("https://climate.onebuilding.org/WMO_Region_6_Europe/FRA_France/BT_Bretagne/FRA_BT_Dinard-Bretagne.AP.071250_TMYx.zip")</f>
        <v>https://climate.onebuilding.org/WMO_Region_6_Europe/FRA_France/BT_Bretagne/FRA_BT_Dinard-Bretagne.AP.071250_TMYx.zip</v>
      </c>
    </row>
    <row r="4230" spans="1:10" x14ac:dyDescent="0.25">
      <c r="A4230" t="s">
        <v>2883</v>
      </c>
      <c r="B4230" t="s">
        <v>2984</v>
      </c>
      <c r="C4230" t="s">
        <v>3026</v>
      </c>
      <c r="D4230" s="1" t="s">
        <v>3027</v>
      </c>
      <c r="E4230" t="s">
        <v>14</v>
      </c>
      <c r="F4230">
        <v>48.704999999999998</v>
      </c>
      <c r="G4230">
        <v>-1.8487</v>
      </c>
      <c r="H4230">
        <v>1</v>
      </c>
      <c r="I4230">
        <v>30</v>
      </c>
      <c r="J4230" t="str">
        <f>HYPERLINK("https://climate.onebuilding.org/WMO_Region_6_Europe/FRA_France/BT_Bretagne/FRA_BT_Grouin.de.Cancale.071270_TMYx.zip")</f>
        <v>https://climate.onebuilding.org/WMO_Region_6_Europe/FRA_France/BT_Bretagne/FRA_BT_Grouin.de.Cancale.071270_TMYx.zip</v>
      </c>
    </row>
    <row r="4231" spans="1:10" x14ac:dyDescent="0.25">
      <c r="A4231" t="s">
        <v>2883</v>
      </c>
      <c r="B4231" t="s">
        <v>2984</v>
      </c>
      <c r="C4231" t="s">
        <v>3028</v>
      </c>
      <c r="D4231" s="1" t="s">
        <v>3029</v>
      </c>
      <c r="E4231" t="s">
        <v>3030</v>
      </c>
      <c r="F4231">
        <v>48.068899999999999</v>
      </c>
      <c r="G4231">
        <v>-1.7339</v>
      </c>
      <c r="H4231">
        <v>1</v>
      </c>
      <c r="I4231">
        <v>37</v>
      </c>
      <c r="J4231" t="str">
        <f>HYPERLINK("https://climate.onebuilding.org/WMO_Region_6_Europe/FRA_France/BT_Bretagne/FRA_BT_Rennes-St.Jacques.AP.071300_TMYx.2004-2018.zip")</f>
        <v>https://climate.onebuilding.org/WMO_Region_6_Europe/FRA_France/BT_Bretagne/FRA_BT_Rennes-St.Jacques.AP.071300_TMYx.2004-2018.zip</v>
      </c>
    </row>
    <row r="4232" spans="1:10" x14ac:dyDescent="0.25">
      <c r="A4232" t="s">
        <v>2883</v>
      </c>
      <c r="B4232" t="s">
        <v>2984</v>
      </c>
      <c r="C4232" t="s">
        <v>3028</v>
      </c>
      <c r="D4232" s="1" t="s">
        <v>3029</v>
      </c>
      <c r="E4232" t="s">
        <v>14</v>
      </c>
      <c r="F4232">
        <v>48.068899999999999</v>
      </c>
      <c r="G4232">
        <v>-1.7339</v>
      </c>
      <c r="H4232">
        <v>1</v>
      </c>
      <c r="I4232">
        <v>37</v>
      </c>
      <c r="J4232" t="str">
        <f>HYPERLINK("https://climate.onebuilding.org/WMO_Region_6_Europe/FRA_France/BT_Bretagne/FRA_BT_Rennes-St.Jacques.AP.071300_TMYx.2007-2021.zip")</f>
        <v>https://climate.onebuilding.org/WMO_Region_6_Europe/FRA_France/BT_Bretagne/FRA_BT_Rennes-St.Jacques.AP.071300_TMYx.2007-2021.zip</v>
      </c>
    </row>
    <row r="4233" spans="1:10" x14ac:dyDescent="0.25">
      <c r="A4233" t="s">
        <v>2883</v>
      </c>
      <c r="B4233" t="s">
        <v>2984</v>
      </c>
      <c r="C4233" t="s">
        <v>3028</v>
      </c>
      <c r="D4233" s="1" t="s">
        <v>3029</v>
      </c>
      <c r="E4233" t="s">
        <v>14</v>
      </c>
      <c r="F4233">
        <v>48.068899999999999</v>
      </c>
      <c r="G4233">
        <v>-1.7339</v>
      </c>
      <c r="H4233">
        <v>1</v>
      </c>
      <c r="I4233">
        <v>37</v>
      </c>
      <c r="J4233" t="str">
        <f>HYPERLINK("https://climate.onebuilding.org/WMO_Region_6_Europe/FRA_France/BT_Bretagne/FRA_BT_Rennes-St.Jacques.AP.071300_TMYx.2009-2023.zip")</f>
        <v>https://climate.onebuilding.org/WMO_Region_6_Europe/FRA_France/BT_Bretagne/FRA_BT_Rennes-St.Jacques.AP.071300_TMYx.2009-2023.zip</v>
      </c>
    </row>
    <row r="4234" spans="1:10" x14ac:dyDescent="0.25">
      <c r="A4234" t="s">
        <v>2883</v>
      </c>
      <c r="B4234" t="s">
        <v>2984</v>
      </c>
      <c r="C4234" t="s">
        <v>3028</v>
      </c>
      <c r="D4234" s="1" t="s">
        <v>3029</v>
      </c>
      <c r="E4234" t="s">
        <v>14</v>
      </c>
      <c r="F4234">
        <v>48.068899999999999</v>
      </c>
      <c r="G4234">
        <v>-1.7339</v>
      </c>
      <c r="H4234">
        <v>1</v>
      </c>
      <c r="I4234">
        <v>37</v>
      </c>
      <c r="J4234" t="str">
        <f>HYPERLINK("https://climate.onebuilding.org/WMO_Region_6_Europe/FRA_France/BT_Bretagne/FRA_BT_Rennes-St.Jacques.AP.071300_TMYx.zip")</f>
        <v>https://climate.onebuilding.org/WMO_Region_6_Europe/FRA_France/BT_Bretagne/FRA_BT_Rennes-St.Jacques.AP.071300_TMYx.zip</v>
      </c>
    </row>
    <row r="4235" spans="1:10" x14ac:dyDescent="0.25">
      <c r="A4235" t="s">
        <v>2883</v>
      </c>
      <c r="B4235" t="s">
        <v>1713</v>
      </c>
      <c r="C4235" t="s">
        <v>3031</v>
      </c>
      <c r="D4235" s="1" t="s">
        <v>3032</v>
      </c>
      <c r="E4235" t="s">
        <v>14</v>
      </c>
      <c r="F4235">
        <v>48.835500000000003</v>
      </c>
      <c r="G4235">
        <v>-1.6093</v>
      </c>
      <c r="H4235">
        <v>1</v>
      </c>
      <c r="I4235">
        <v>34</v>
      </c>
      <c r="J4235" t="str">
        <f>HYPERLINK("https://climate.onebuilding.org/WMO_Region_6_Europe/FRA_France/ND_Normandie/FRA_ND_Pointe.du.Roc.071330_TMYx.zip")</f>
        <v>https://climate.onebuilding.org/WMO_Region_6_Europe/FRA_France/ND_Normandie/FRA_ND_Pointe.du.Roc.071330_TMYx.zip</v>
      </c>
    </row>
    <row r="4236" spans="1:10" x14ac:dyDescent="0.25">
      <c r="A4236" t="s">
        <v>2883</v>
      </c>
      <c r="B4236" t="s">
        <v>3033</v>
      </c>
      <c r="C4236" t="s">
        <v>3034</v>
      </c>
      <c r="D4236" s="1" t="s">
        <v>3035</v>
      </c>
      <c r="E4236" t="s">
        <v>3036</v>
      </c>
      <c r="F4236">
        <v>48.0306</v>
      </c>
      <c r="G4236">
        <v>-0.74639999999999995</v>
      </c>
      <c r="H4236">
        <v>1</v>
      </c>
      <c r="I4236">
        <v>100</v>
      </c>
      <c r="J4236" t="str">
        <f>HYPERLINK("https://climate.onebuilding.org/WMO_Region_6_Europe/FRA_France/PL_Pays_de_la_Loire/FRA_PL_Laval-Etrammes.AP.071340_TMYx.2004-2018.zip")</f>
        <v>https://climate.onebuilding.org/WMO_Region_6_Europe/FRA_France/PL_Pays_de_la_Loire/FRA_PL_Laval-Etrammes.AP.071340_TMYx.2004-2018.zip</v>
      </c>
    </row>
    <row r="4237" spans="1:10" x14ac:dyDescent="0.25">
      <c r="A4237" t="s">
        <v>2883</v>
      </c>
      <c r="B4237" t="s">
        <v>3033</v>
      </c>
      <c r="C4237" t="s">
        <v>3034</v>
      </c>
      <c r="D4237" s="1" t="s">
        <v>3035</v>
      </c>
      <c r="E4237" t="s">
        <v>14</v>
      </c>
      <c r="F4237">
        <v>48.0306</v>
      </c>
      <c r="G4237">
        <v>-0.74639999999999995</v>
      </c>
      <c r="H4237">
        <v>1</v>
      </c>
      <c r="I4237">
        <v>100</v>
      </c>
      <c r="J4237" t="str">
        <f>HYPERLINK("https://climate.onebuilding.org/WMO_Region_6_Europe/FRA_France/PL_Pays_de_la_Loire/FRA_PL_Laval-Etrammes.AP.071340_TMYx.2007-2021.zip")</f>
        <v>https://climate.onebuilding.org/WMO_Region_6_Europe/FRA_France/PL_Pays_de_la_Loire/FRA_PL_Laval-Etrammes.AP.071340_TMYx.2007-2021.zip</v>
      </c>
    </row>
    <row r="4238" spans="1:10" x14ac:dyDescent="0.25">
      <c r="A4238" t="s">
        <v>2883</v>
      </c>
      <c r="B4238" t="s">
        <v>3033</v>
      </c>
      <c r="C4238" t="s">
        <v>3034</v>
      </c>
      <c r="D4238" s="1" t="s">
        <v>3035</v>
      </c>
      <c r="E4238" t="s">
        <v>14</v>
      </c>
      <c r="F4238">
        <v>48.0306</v>
      </c>
      <c r="G4238">
        <v>-0.74639999999999995</v>
      </c>
      <c r="H4238">
        <v>1</v>
      </c>
      <c r="I4238">
        <v>100</v>
      </c>
      <c r="J4238" t="str">
        <f>HYPERLINK("https://climate.onebuilding.org/WMO_Region_6_Europe/FRA_France/PL_Pays_de_la_Loire/FRA_PL_Laval-Etrammes.AP.071340_TMYx.2009-2023.zip")</f>
        <v>https://climate.onebuilding.org/WMO_Region_6_Europe/FRA_France/PL_Pays_de_la_Loire/FRA_PL_Laval-Etrammes.AP.071340_TMYx.2009-2023.zip</v>
      </c>
    </row>
    <row r="4239" spans="1:10" x14ac:dyDescent="0.25">
      <c r="A4239" t="s">
        <v>2883</v>
      </c>
      <c r="B4239" t="s">
        <v>3033</v>
      </c>
      <c r="C4239" t="s">
        <v>3034</v>
      </c>
      <c r="D4239" s="1" t="s">
        <v>3035</v>
      </c>
      <c r="E4239" t="s">
        <v>14</v>
      </c>
      <c r="F4239">
        <v>48.0306</v>
      </c>
      <c r="G4239">
        <v>-0.74639999999999995</v>
      </c>
      <c r="H4239">
        <v>1</v>
      </c>
      <c r="I4239">
        <v>100</v>
      </c>
      <c r="J4239" t="str">
        <f>HYPERLINK("https://climate.onebuilding.org/WMO_Region_6_Europe/FRA_France/PL_Pays_de_la_Loire/FRA_PL_Laval-Etrammes.AP.071340_TMYx.zip")</f>
        <v>https://climate.onebuilding.org/WMO_Region_6_Europe/FRA_France/PL_Pays_de_la_Loire/FRA_PL_Laval-Etrammes.AP.071340_TMYx.zip</v>
      </c>
    </row>
    <row r="4240" spans="1:10" x14ac:dyDescent="0.25">
      <c r="A4240" t="s">
        <v>2883</v>
      </c>
      <c r="B4240" t="s">
        <v>1713</v>
      </c>
      <c r="C4240" t="s">
        <v>3037</v>
      </c>
      <c r="D4240" s="1" t="s">
        <v>3038</v>
      </c>
      <c r="E4240" t="s">
        <v>3039</v>
      </c>
      <c r="F4240">
        <v>48.445599999999999</v>
      </c>
      <c r="G4240">
        <v>0.1103</v>
      </c>
      <c r="H4240">
        <v>1</v>
      </c>
      <c r="I4240">
        <v>145</v>
      </c>
      <c r="J4240" t="str">
        <f>HYPERLINK("https://climate.onebuilding.org/WMO_Region_6_Europe/FRA_France/ND_Normandie/FRA_ND_Alencon-Valframbert.AP.071390_TMYx.2004-2018.zip")</f>
        <v>https://climate.onebuilding.org/WMO_Region_6_Europe/FRA_France/ND_Normandie/FRA_ND_Alencon-Valframbert.AP.071390_TMYx.2004-2018.zip</v>
      </c>
    </row>
    <row r="4241" spans="1:10" x14ac:dyDescent="0.25">
      <c r="A4241" t="s">
        <v>2883</v>
      </c>
      <c r="B4241" t="s">
        <v>1713</v>
      </c>
      <c r="C4241" t="s">
        <v>3037</v>
      </c>
      <c r="D4241" s="1" t="s">
        <v>3038</v>
      </c>
      <c r="E4241" t="s">
        <v>14</v>
      </c>
      <c r="F4241">
        <v>48.445599999999999</v>
      </c>
      <c r="G4241">
        <v>0.1103</v>
      </c>
      <c r="H4241">
        <v>1</v>
      </c>
      <c r="I4241">
        <v>145</v>
      </c>
      <c r="J4241" t="str">
        <f>HYPERLINK("https://climate.onebuilding.org/WMO_Region_6_Europe/FRA_France/ND_Normandie/FRA_ND_Alencon-Valframbert.AP.071390_TMYx.2007-2021.zip")</f>
        <v>https://climate.onebuilding.org/WMO_Region_6_Europe/FRA_France/ND_Normandie/FRA_ND_Alencon-Valframbert.AP.071390_TMYx.2007-2021.zip</v>
      </c>
    </row>
    <row r="4242" spans="1:10" x14ac:dyDescent="0.25">
      <c r="A4242" t="s">
        <v>2883</v>
      </c>
      <c r="B4242" t="s">
        <v>1713</v>
      </c>
      <c r="C4242" t="s">
        <v>3037</v>
      </c>
      <c r="D4242" s="1" t="s">
        <v>3038</v>
      </c>
      <c r="E4242" t="s">
        <v>14</v>
      </c>
      <c r="F4242">
        <v>48.445599999999999</v>
      </c>
      <c r="G4242">
        <v>0.1103</v>
      </c>
      <c r="H4242">
        <v>1</v>
      </c>
      <c r="I4242">
        <v>145</v>
      </c>
      <c r="J4242" t="str">
        <f>HYPERLINK("https://climate.onebuilding.org/WMO_Region_6_Europe/FRA_France/ND_Normandie/FRA_ND_Alencon-Valframbert.AP.071390_TMYx.2009-2023.zip")</f>
        <v>https://climate.onebuilding.org/WMO_Region_6_Europe/FRA_France/ND_Normandie/FRA_ND_Alencon-Valframbert.AP.071390_TMYx.2009-2023.zip</v>
      </c>
    </row>
    <row r="4243" spans="1:10" x14ac:dyDescent="0.25">
      <c r="A4243" t="s">
        <v>2883</v>
      </c>
      <c r="B4243" t="s">
        <v>1713</v>
      </c>
      <c r="C4243" t="s">
        <v>3037</v>
      </c>
      <c r="D4243" s="1" t="s">
        <v>3038</v>
      </c>
      <c r="E4243" t="s">
        <v>14</v>
      </c>
      <c r="F4243">
        <v>48.445599999999999</v>
      </c>
      <c r="G4243">
        <v>0.1103</v>
      </c>
      <c r="H4243">
        <v>1</v>
      </c>
      <c r="I4243">
        <v>145</v>
      </c>
      <c r="J4243" t="str">
        <f>HYPERLINK("https://climate.onebuilding.org/WMO_Region_6_Europe/FRA_France/ND_Normandie/FRA_ND_Alencon-Valframbert.AP.071390_TMYx.zip")</f>
        <v>https://climate.onebuilding.org/WMO_Region_6_Europe/FRA_France/ND_Normandie/FRA_ND_Alencon-Valframbert.AP.071390_TMYx.zip</v>
      </c>
    </row>
    <row r="4244" spans="1:10" x14ac:dyDescent="0.25">
      <c r="A4244" t="s">
        <v>2883</v>
      </c>
      <c r="B4244" t="s">
        <v>3040</v>
      </c>
      <c r="C4244" t="s">
        <v>3041</v>
      </c>
      <c r="D4244" s="1" t="s">
        <v>3042</v>
      </c>
      <c r="E4244" t="s">
        <v>3043</v>
      </c>
      <c r="F4244">
        <v>48.061399999999999</v>
      </c>
      <c r="G4244">
        <v>1.3764000000000001</v>
      </c>
      <c r="H4244">
        <v>1</v>
      </c>
      <c r="I4244">
        <v>127</v>
      </c>
      <c r="J4244" t="str">
        <f>HYPERLINK("https://climate.onebuilding.org/WMO_Region_6_Europe/FRA_France/CN_Centre-Val_de_Loire/FRA_CN_Chateaudun.AB.071400_TMYx.2004-2018.zip")</f>
        <v>https://climate.onebuilding.org/WMO_Region_6_Europe/FRA_France/CN_Centre-Val_de_Loire/FRA_CN_Chateaudun.AB.071400_TMYx.2004-2018.zip</v>
      </c>
    </row>
    <row r="4245" spans="1:10" x14ac:dyDescent="0.25">
      <c r="A4245" t="s">
        <v>2883</v>
      </c>
      <c r="B4245" t="s">
        <v>3040</v>
      </c>
      <c r="C4245" t="s">
        <v>3041</v>
      </c>
      <c r="D4245" s="1" t="s">
        <v>3042</v>
      </c>
      <c r="E4245" t="s">
        <v>14</v>
      </c>
      <c r="F4245">
        <v>48.061399999999999</v>
      </c>
      <c r="G4245">
        <v>1.3764000000000001</v>
      </c>
      <c r="H4245">
        <v>1</v>
      </c>
      <c r="I4245">
        <v>127</v>
      </c>
      <c r="J4245" t="str">
        <f>HYPERLINK("https://climate.onebuilding.org/WMO_Region_6_Europe/FRA_France/CN_Centre-Val_de_Loire/FRA_CN_Chateaudun.AB.071400_TMYx.2007-2021.zip")</f>
        <v>https://climate.onebuilding.org/WMO_Region_6_Europe/FRA_France/CN_Centre-Val_de_Loire/FRA_CN_Chateaudun.AB.071400_TMYx.2007-2021.zip</v>
      </c>
    </row>
    <row r="4246" spans="1:10" x14ac:dyDescent="0.25">
      <c r="A4246" t="s">
        <v>2883</v>
      </c>
      <c r="B4246" t="s">
        <v>3040</v>
      </c>
      <c r="C4246" t="s">
        <v>3041</v>
      </c>
      <c r="D4246" s="1" t="s">
        <v>3042</v>
      </c>
      <c r="E4246" t="s">
        <v>14</v>
      </c>
      <c r="F4246">
        <v>48.061399999999999</v>
      </c>
      <c r="G4246">
        <v>1.3764000000000001</v>
      </c>
      <c r="H4246">
        <v>1</v>
      </c>
      <c r="I4246">
        <v>127</v>
      </c>
      <c r="J4246" t="str">
        <f>HYPERLINK("https://climate.onebuilding.org/WMO_Region_6_Europe/FRA_France/CN_Centre-Val_de_Loire/FRA_CN_Chateaudun.AB.071400_TMYx.2009-2023.zip")</f>
        <v>https://climate.onebuilding.org/WMO_Region_6_Europe/FRA_France/CN_Centre-Val_de_Loire/FRA_CN_Chateaudun.AB.071400_TMYx.2009-2023.zip</v>
      </c>
    </row>
    <row r="4247" spans="1:10" x14ac:dyDescent="0.25">
      <c r="A4247" t="s">
        <v>2883</v>
      </c>
      <c r="B4247" t="s">
        <v>3040</v>
      </c>
      <c r="C4247" t="s">
        <v>3041</v>
      </c>
      <c r="D4247" s="1" t="s">
        <v>3042</v>
      </c>
      <c r="E4247" t="s">
        <v>14</v>
      </c>
      <c r="F4247">
        <v>48.061399999999999</v>
      </c>
      <c r="G4247">
        <v>1.3764000000000001</v>
      </c>
      <c r="H4247">
        <v>1</v>
      </c>
      <c r="I4247">
        <v>127</v>
      </c>
      <c r="J4247" t="str">
        <f>HYPERLINK("https://climate.onebuilding.org/WMO_Region_6_Europe/FRA_France/CN_Centre-Val_de_Loire/FRA_CN_Chateaudun.AB.071400_TMYx.zip")</f>
        <v>https://climate.onebuilding.org/WMO_Region_6_Europe/FRA_France/CN_Centre-Val_de_Loire/FRA_CN_Chateaudun.AB.071400_TMYx.zip</v>
      </c>
    </row>
    <row r="4248" spans="1:10" x14ac:dyDescent="0.25">
      <c r="A4248" t="s">
        <v>2883</v>
      </c>
      <c r="B4248" t="s">
        <v>3040</v>
      </c>
      <c r="C4248" t="s">
        <v>3044</v>
      </c>
      <c r="D4248" s="1" t="s">
        <v>3045</v>
      </c>
      <c r="E4248" t="s">
        <v>3046</v>
      </c>
      <c r="F4248">
        <v>48.460299999999997</v>
      </c>
      <c r="G4248">
        <v>1.5011000000000001</v>
      </c>
      <c r="H4248">
        <v>1</v>
      </c>
      <c r="I4248">
        <v>156</v>
      </c>
      <c r="J4248" t="str">
        <f>HYPERLINK("https://climate.onebuilding.org/WMO_Region_6_Europe/FRA_France/CN_Centre-Val_de_Loire/FRA_CN_Chartres-Metropole.AF.071430_TMYx.2004-2018.zip")</f>
        <v>https://climate.onebuilding.org/WMO_Region_6_Europe/FRA_France/CN_Centre-Val_de_Loire/FRA_CN_Chartres-Metropole.AF.071430_TMYx.2004-2018.zip</v>
      </c>
    </row>
    <row r="4249" spans="1:10" x14ac:dyDescent="0.25">
      <c r="A4249" t="s">
        <v>2883</v>
      </c>
      <c r="B4249" t="s">
        <v>3040</v>
      </c>
      <c r="C4249" t="s">
        <v>3044</v>
      </c>
      <c r="D4249" s="1" t="s">
        <v>3045</v>
      </c>
      <c r="E4249" t="s">
        <v>14</v>
      </c>
      <c r="F4249">
        <v>48.460299999999997</v>
      </c>
      <c r="G4249">
        <v>1.5011000000000001</v>
      </c>
      <c r="H4249">
        <v>1</v>
      </c>
      <c r="I4249">
        <v>156</v>
      </c>
      <c r="J4249" t="str">
        <f>HYPERLINK("https://climate.onebuilding.org/WMO_Region_6_Europe/FRA_France/CN_Centre-Val_de_Loire/FRA_CN_Chartres-Metropole.AF.071430_TMYx.2007-2021.zip")</f>
        <v>https://climate.onebuilding.org/WMO_Region_6_Europe/FRA_France/CN_Centre-Val_de_Loire/FRA_CN_Chartres-Metropole.AF.071430_TMYx.2007-2021.zip</v>
      </c>
    </row>
    <row r="4250" spans="1:10" x14ac:dyDescent="0.25">
      <c r="A4250" t="s">
        <v>2883</v>
      </c>
      <c r="B4250" t="s">
        <v>3040</v>
      </c>
      <c r="C4250" t="s">
        <v>3044</v>
      </c>
      <c r="D4250" s="1" t="s">
        <v>3045</v>
      </c>
      <c r="E4250" t="s">
        <v>14</v>
      </c>
      <c r="F4250">
        <v>48.460299999999997</v>
      </c>
      <c r="G4250">
        <v>1.5011000000000001</v>
      </c>
      <c r="H4250">
        <v>1</v>
      </c>
      <c r="I4250">
        <v>156</v>
      </c>
      <c r="J4250" t="str">
        <f>HYPERLINK("https://climate.onebuilding.org/WMO_Region_6_Europe/FRA_France/CN_Centre-Val_de_Loire/FRA_CN_Chartres-Metropole.AF.071430_TMYx.2009-2023.zip")</f>
        <v>https://climate.onebuilding.org/WMO_Region_6_Europe/FRA_France/CN_Centre-Val_de_Loire/FRA_CN_Chartres-Metropole.AF.071430_TMYx.2009-2023.zip</v>
      </c>
    </row>
    <row r="4251" spans="1:10" x14ac:dyDescent="0.25">
      <c r="A4251" t="s">
        <v>2883</v>
      </c>
      <c r="B4251" t="s">
        <v>3040</v>
      </c>
      <c r="C4251" t="s">
        <v>3044</v>
      </c>
      <c r="D4251" s="1" t="s">
        <v>3045</v>
      </c>
      <c r="E4251" t="s">
        <v>14</v>
      </c>
      <c r="F4251">
        <v>48.460299999999997</v>
      </c>
      <c r="G4251">
        <v>1.5011000000000001</v>
      </c>
      <c r="H4251">
        <v>1</v>
      </c>
      <c r="I4251">
        <v>156</v>
      </c>
      <c r="J4251" t="str">
        <f>HYPERLINK("https://climate.onebuilding.org/WMO_Region_6_Europe/FRA_France/CN_Centre-Val_de_Loire/FRA_CN_Chartres-Metropole.AF.071430_TMYx.zip")</f>
        <v>https://climate.onebuilding.org/WMO_Region_6_Europe/FRA_France/CN_Centre-Val_de_Loire/FRA_CN_Chartres-Metropole.AF.071430_TMYx.zip</v>
      </c>
    </row>
    <row r="4252" spans="1:10" x14ac:dyDescent="0.25">
      <c r="A4252" t="s">
        <v>2883</v>
      </c>
      <c r="B4252" t="s">
        <v>2950</v>
      </c>
      <c r="C4252" t="s">
        <v>3047</v>
      </c>
      <c r="D4252" s="1" t="s">
        <v>3048</v>
      </c>
      <c r="E4252" t="s">
        <v>3049</v>
      </c>
      <c r="F4252">
        <v>48.7744</v>
      </c>
      <c r="G4252">
        <v>2.0097</v>
      </c>
      <c r="H4252">
        <v>1</v>
      </c>
      <c r="I4252">
        <v>174</v>
      </c>
      <c r="J4252" t="str">
        <f>HYPERLINK("https://climate.onebuilding.org/WMO_Region_6_Europe/FRA_France/IF_Ile-de-France/FRA_IF_Trappes.071450_TMYx.2004-2018.zip")</f>
        <v>https://climate.onebuilding.org/WMO_Region_6_Europe/FRA_France/IF_Ile-de-France/FRA_IF_Trappes.071450_TMYx.2004-2018.zip</v>
      </c>
    </row>
    <row r="4253" spans="1:10" x14ac:dyDescent="0.25">
      <c r="A4253" t="s">
        <v>2883</v>
      </c>
      <c r="B4253" t="s">
        <v>2950</v>
      </c>
      <c r="C4253" t="s">
        <v>3047</v>
      </c>
      <c r="D4253" s="1" t="s">
        <v>3048</v>
      </c>
      <c r="E4253" t="s">
        <v>14</v>
      </c>
      <c r="F4253">
        <v>48.7744</v>
      </c>
      <c r="G4253">
        <v>2.0097</v>
      </c>
      <c r="H4253">
        <v>1</v>
      </c>
      <c r="I4253">
        <v>174</v>
      </c>
      <c r="J4253" t="str">
        <f>HYPERLINK("https://climate.onebuilding.org/WMO_Region_6_Europe/FRA_France/IF_Ile-de-France/FRA_IF_Trappes.071450_TMYx.2007-2021.zip")</f>
        <v>https://climate.onebuilding.org/WMO_Region_6_Europe/FRA_France/IF_Ile-de-France/FRA_IF_Trappes.071450_TMYx.2007-2021.zip</v>
      </c>
    </row>
    <row r="4254" spans="1:10" x14ac:dyDescent="0.25">
      <c r="A4254" t="s">
        <v>2883</v>
      </c>
      <c r="B4254" t="s">
        <v>2950</v>
      </c>
      <c r="C4254" t="s">
        <v>3047</v>
      </c>
      <c r="D4254" s="1" t="s">
        <v>3048</v>
      </c>
      <c r="E4254" t="s">
        <v>14</v>
      </c>
      <c r="F4254">
        <v>48.7744</v>
      </c>
      <c r="G4254">
        <v>2.0097</v>
      </c>
      <c r="H4254">
        <v>1</v>
      </c>
      <c r="I4254">
        <v>174</v>
      </c>
      <c r="J4254" t="str">
        <f>HYPERLINK("https://climate.onebuilding.org/WMO_Region_6_Europe/FRA_France/IF_Ile-de-France/FRA_IF_Trappes.071450_TMYx.2009-2023.zip")</f>
        <v>https://climate.onebuilding.org/WMO_Region_6_Europe/FRA_France/IF_Ile-de-France/FRA_IF_Trappes.071450_TMYx.2009-2023.zip</v>
      </c>
    </row>
    <row r="4255" spans="1:10" x14ac:dyDescent="0.25">
      <c r="A4255" t="s">
        <v>2883</v>
      </c>
      <c r="B4255" t="s">
        <v>2950</v>
      </c>
      <c r="C4255" t="s">
        <v>3047</v>
      </c>
      <c r="D4255" s="1" t="s">
        <v>3048</v>
      </c>
      <c r="E4255" t="s">
        <v>14</v>
      </c>
      <c r="F4255">
        <v>48.7744</v>
      </c>
      <c r="G4255">
        <v>2.0097</v>
      </c>
      <c r="H4255">
        <v>1</v>
      </c>
      <c r="I4255">
        <v>174</v>
      </c>
      <c r="J4255" t="str">
        <f>HYPERLINK("https://climate.onebuilding.org/WMO_Region_6_Europe/FRA_France/IF_Ile-de-France/FRA_IF_Trappes.071450_TMYx.zip")</f>
        <v>https://climate.onebuilding.org/WMO_Region_6_Europe/FRA_France/IF_Ile-de-France/FRA_IF_Trappes.071450_TMYx.zip</v>
      </c>
    </row>
    <row r="4256" spans="1:10" x14ac:dyDescent="0.25">
      <c r="A4256" t="s">
        <v>2883</v>
      </c>
      <c r="B4256" t="s">
        <v>2950</v>
      </c>
      <c r="C4256" t="s">
        <v>3050</v>
      </c>
      <c r="D4256" s="1" t="s">
        <v>3051</v>
      </c>
      <c r="E4256" t="s">
        <v>3052</v>
      </c>
      <c r="F4256">
        <v>48.750599999999999</v>
      </c>
      <c r="G4256">
        <v>2.1133000000000002</v>
      </c>
      <c r="H4256">
        <v>1</v>
      </c>
      <c r="I4256">
        <v>161</v>
      </c>
      <c r="J4256" t="str">
        <f>HYPERLINK("https://climate.onebuilding.org/WMO_Region_6_Europe/FRA_France/IF_Ile-de-France/FRA_IF_Toussus-le-Noble.AF.071460_TMYx.2004-2018.zip")</f>
        <v>https://climate.onebuilding.org/WMO_Region_6_Europe/FRA_France/IF_Ile-de-France/FRA_IF_Toussus-le-Noble.AF.071460_TMYx.2004-2018.zip</v>
      </c>
    </row>
    <row r="4257" spans="1:10" x14ac:dyDescent="0.25">
      <c r="A4257" t="s">
        <v>2883</v>
      </c>
      <c r="B4257" t="s">
        <v>2950</v>
      </c>
      <c r="C4257" t="s">
        <v>3050</v>
      </c>
      <c r="D4257" s="1" t="s">
        <v>3051</v>
      </c>
      <c r="E4257" t="s">
        <v>14</v>
      </c>
      <c r="F4257">
        <v>48.750599999999999</v>
      </c>
      <c r="G4257">
        <v>2.1133000000000002</v>
      </c>
      <c r="H4257">
        <v>1</v>
      </c>
      <c r="I4257">
        <v>161</v>
      </c>
      <c r="J4257" t="str">
        <f>HYPERLINK("https://climate.onebuilding.org/WMO_Region_6_Europe/FRA_France/IF_Ile-de-France/FRA_IF_Toussus-le-Noble.AF.071460_TMYx.2007-2021.zip")</f>
        <v>https://climate.onebuilding.org/WMO_Region_6_Europe/FRA_France/IF_Ile-de-France/FRA_IF_Toussus-le-Noble.AF.071460_TMYx.2007-2021.zip</v>
      </c>
    </row>
    <row r="4258" spans="1:10" x14ac:dyDescent="0.25">
      <c r="A4258" t="s">
        <v>2883</v>
      </c>
      <c r="B4258" t="s">
        <v>2950</v>
      </c>
      <c r="C4258" t="s">
        <v>3050</v>
      </c>
      <c r="D4258" s="1" t="s">
        <v>3051</v>
      </c>
      <c r="E4258" t="s">
        <v>14</v>
      </c>
      <c r="F4258">
        <v>48.750599999999999</v>
      </c>
      <c r="G4258">
        <v>2.1133000000000002</v>
      </c>
      <c r="H4258">
        <v>1</v>
      </c>
      <c r="I4258">
        <v>161</v>
      </c>
      <c r="J4258" t="str">
        <f>HYPERLINK("https://climate.onebuilding.org/WMO_Region_6_Europe/FRA_France/IF_Ile-de-France/FRA_IF_Toussus-le-Noble.AF.071460_TMYx.2009-2023.zip")</f>
        <v>https://climate.onebuilding.org/WMO_Region_6_Europe/FRA_France/IF_Ile-de-France/FRA_IF_Toussus-le-Noble.AF.071460_TMYx.2009-2023.zip</v>
      </c>
    </row>
    <row r="4259" spans="1:10" x14ac:dyDescent="0.25">
      <c r="A4259" t="s">
        <v>2883</v>
      </c>
      <c r="B4259" t="s">
        <v>2950</v>
      </c>
      <c r="C4259" t="s">
        <v>3050</v>
      </c>
      <c r="D4259" s="1" t="s">
        <v>3051</v>
      </c>
      <c r="E4259" t="s">
        <v>14</v>
      </c>
      <c r="F4259">
        <v>48.750599999999999</v>
      </c>
      <c r="G4259">
        <v>2.1133000000000002</v>
      </c>
      <c r="H4259">
        <v>1</v>
      </c>
      <c r="I4259">
        <v>161</v>
      </c>
      <c r="J4259" t="str">
        <f>HYPERLINK("https://climate.onebuilding.org/WMO_Region_6_Europe/FRA_France/IF_Ile-de-France/FRA_IF_Toussus-le-Noble.AF.071460_TMYx.zip")</f>
        <v>https://climate.onebuilding.org/WMO_Region_6_Europe/FRA_France/IF_Ile-de-France/FRA_IF_Toussus-le-Noble.AF.071460_TMYx.zip</v>
      </c>
    </row>
    <row r="4260" spans="1:10" x14ac:dyDescent="0.25">
      <c r="A4260" t="s">
        <v>2883</v>
      </c>
      <c r="B4260" t="s">
        <v>2950</v>
      </c>
      <c r="C4260" t="s">
        <v>3053</v>
      </c>
      <c r="D4260" s="1" t="s">
        <v>3054</v>
      </c>
      <c r="E4260" t="s">
        <v>3055</v>
      </c>
      <c r="F4260">
        <v>48.77</v>
      </c>
      <c r="G4260">
        <v>2.2050000000000001</v>
      </c>
      <c r="H4260">
        <v>1</v>
      </c>
      <c r="I4260">
        <v>176</v>
      </c>
      <c r="J4260" t="str">
        <f>HYPERLINK("https://climate.onebuilding.org/WMO_Region_6_Europe/FRA_France/IF_Ile-de-France/FRA_IF_Velizy-Villacoublay.AB.071470_TMYx.2004-2018.zip")</f>
        <v>https://climate.onebuilding.org/WMO_Region_6_Europe/FRA_France/IF_Ile-de-France/FRA_IF_Velizy-Villacoublay.AB.071470_TMYx.2004-2018.zip</v>
      </c>
    </row>
    <row r="4261" spans="1:10" x14ac:dyDescent="0.25">
      <c r="A4261" t="s">
        <v>2883</v>
      </c>
      <c r="B4261" t="s">
        <v>2950</v>
      </c>
      <c r="C4261" t="s">
        <v>3053</v>
      </c>
      <c r="D4261" s="1" t="s">
        <v>3054</v>
      </c>
      <c r="E4261" t="s">
        <v>14</v>
      </c>
      <c r="F4261">
        <v>48.77</v>
      </c>
      <c r="G4261">
        <v>2.2050000000000001</v>
      </c>
      <c r="H4261">
        <v>1</v>
      </c>
      <c r="I4261">
        <v>176</v>
      </c>
      <c r="J4261" t="str">
        <f>HYPERLINK("https://climate.onebuilding.org/WMO_Region_6_Europe/FRA_France/IF_Ile-de-France/FRA_IF_Velizy-Villacoublay.AB.071470_TMYx.2007-2021.zip")</f>
        <v>https://climate.onebuilding.org/WMO_Region_6_Europe/FRA_France/IF_Ile-de-France/FRA_IF_Velizy-Villacoublay.AB.071470_TMYx.2007-2021.zip</v>
      </c>
    </row>
    <row r="4262" spans="1:10" x14ac:dyDescent="0.25">
      <c r="A4262" t="s">
        <v>2883</v>
      </c>
      <c r="B4262" t="s">
        <v>2950</v>
      </c>
      <c r="C4262" t="s">
        <v>3053</v>
      </c>
      <c r="D4262" s="1" t="s">
        <v>3054</v>
      </c>
      <c r="E4262" t="s">
        <v>14</v>
      </c>
      <c r="F4262">
        <v>48.77</v>
      </c>
      <c r="G4262">
        <v>2.2050000000000001</v>
      </c>
      <c r="H4262">
        <v>1</v>
      </c>
      <c r="I4262">
        <v>176</v>
      </c>
      <c r="J4262" t="str">
        <f>HYPERLINK("https://climate.onebuilding.org/WMO_Region_6_Europe/FRA_France/IF_Ile-de-France/FRA_IF_Velizy-Villacoublay.AB.071470_TMYx.2009-2023.zip")</f>
        <v>https://climate.onebuilding.org/WMO_Region_6_Europe/FRA_France/IF_Ile-de-France/FRA_IF_Velizy-Villacoublay.AB.071470_TMYx.2009-2023.zip</v>
      </c>
    </row>
    <row r="4263" spans="1:10" x14ac:dyDescent="0.25">
      <c r="A4263" t="s">
        <v>2883</v>
      </c>
      <c r="B4263" t="s">
        <v>2950</v>
      </c>
      <c r="C4263" t="s">
        <v>3053</v>
      </c>
      <c r="D4263" s="1" t="s">
        <v>3054</v>
      </c>
      <c r="E4263" t="s">
        <v>14</v>
      </c>
      <c r="F4263">
        <v>48.77</v>
      </c>
      <c r="G4263">
        <v>2.2050000000000001</v>
      </c>
      <c r="H4263">
        <v>1</v>
      </c>
      <c r="I4263">
        <v>176</v>
      </c>
      <c r="J4263" t="str">
        <f>HYPERLINK("https://climate.onebuilding.org/WMO_Region_6_Europe/FRA_France/IF_Ile-de-France/FRA_IF_Velizy-Villacoublay.AB.071470_TMYx.zip")</f>
        <v>https://climate.onebuilding.org/WMO_Region_6_Europe/FRA_France/IF_Ile-de-France/FRA_IF_Velizy-Villacoublay.AB.071470_TMYx.zip</v>
      </c>
    </row>
    <row r="4264" spans="1:10" x14ac:dyDescent="0.25">
      <c r="A4264" t="s">
        <v>2883</v>
      </c>
      <c r="B4264" t="s">
        <v>2950</v>
      </c>
      <c r="C4264" t="s">
        <v>3056</v>
      </c>
      <c r="D4264" s="1" t="s">
        <v>3057</v>
      </c>
      <c r="E4264" t="s">
        <v>14</v>
      </c>
      <c r="F4264">
        <v>48.597000000000001</v>
      </c>
      <c r="G4264">
        <v>2.331</v>
      </c>
      <c r="H4264">
        <v>1</v>
      </c>
      <c r="I4264">
        <v>84</v>
      </c>
      <c r="J4264" t="str">
        <f>HYPERLINK("https://climate.onebuilding.org/WMO_Region_6_Europe/FRA_France/IF_Ile-de-France/FRA_IF_Bretigny.Sur.Orge.AP.071480_TMYx.zip")</f>
        <v>https://climate.onebuilding.org/WMO_Region_6_Europe/FRA_France/IF_Ile-de-France/FRA_IF_Bretigny.Sur.Orge.AP.071480_TMYx.zip</v>
      </c>
    </row>
    <row r="4265" spans="1:10" x14ac:dyDescent="0.25">
      <c r="A4265" t="s">
        <v>2883</v>
      </c>
      <c r="B4265" t="s">
        <v>2950</v>
      </c>
      <c r="C4265" t="s">
        <v>3058</v>
      </c>
      <c r="D4265" s="1" t="s">
        <v>3059</v>
      </c>
      <c r="E4265" t="s">
        <v>3060</v>
      </c>
      <c r="F4265">
        <v>48.716700000000003</v>
      </c>
      <c r="G4265">
        <v>2.3843999999999999</v>
      </c>
      <c r="H4265">
        <v>1</v>
      </c>
      <c r="I4265">
        <v>90</v>
      </c>
      <c r="J4265" t="str">
        <f>HYPERLINK("https://climate.onebuilding.org/WMO_Region_6_Europe/FRA_France/IF_Ile-de-France/FRA_IF_Paris-Orly.AP.071490_TMYx.2004-2018.zip")</f>
        <v>https://climate.onebuilding.org/WMO_Region_6_Europe/FRA_France/IF_Ile-de-France/FRA_IF_Paris-Orly.AP.071490_TMYx.2004-2018.zip</v>
      </c>
    </row>
    <row r="4266" spans="1:10" x14ac:dyDescent="0.25">
      <c r="A4266" t="s">
        <v>2883</v>
      </c>
      <c r="B4266" t="s">
        <v>2950</v>
      </c>
      <c r="C4266" t="s">
        <v>3058</v>
      </c>
      <c r="D4266" s="1" t="s">
        <v>3059</v>
      </c>
      <c r="E4266" t="s">
        <v>14</v>
      </c>
      <c r="F4266">
        <v>48.716700000000003</v>
      </c>
      <c r="G4266">
        <v>2.3843999999999999</v>
      </c>
      <c r="H4266">
        <v>1</v>
      </c>
      <c r="I4266">
        <v>90</v>
      </c>
      <c r="J4266" t="str">
        <f>HYPERLINK("https://climate.onebuilding.org/WMO_Region_6_Europe/FRA_France/IF_Ile-de-France/FRA_IF_Paris-Orly.AP.071490_TMYx.2007-2021.zip")</f>
        <v>https://climate.onebuilding.org/WMO_Region_6_Europe/FRA_France/IF_Ile-de-France/FRA_IF_Paris-Orly.AP.071490_TMYx.2007-2021.zip</v>
      </c>
    </row>
    <row r="4267" spans="1:10" x14ac:dyDescent="0.25">
      <c r="A4267" t="s">
        <v>2883</v>
      </c>
      <c r="B4267" t="s">
        <v>2950</v>
      </c>
      <c r="C4267" t="s">
        <v>3058</v>
      </c>
      <c r="D4267" s="1" t="s">
        <v>3059</v>
      </c>
      <c r="E4267" t="s">
        <v>14</v>
      </c>
      <c r="F4267">
        <v>48.716700000000003</v>
      </c>
      <c r="G4267">
        <v>2.3843999999999999</v>
      </c>
      <c r="H4267">
        <v>1</v>
      </c>
      <c r="I4267">
        <v>90</v>
      </c>
      <c r="J4267" t="str">
        <f>HYPERLINK("https://climate.onebuilding.org/WMO_Region_6_Europe/FRA_France/IF_Ile-de-France/FRA_IF_Paris-Orly.AP.071490_TMYx.2009-2023.zip")</f>
        <v>https://climate.onebuilding.org/WMO_Region_6_Europe/FRA_France/IF_Ile-de-France/FRA_IF_Paris-Orly.AP.071490_TMYx.2009-2023.zip</v>
      </c>
    </row>
    <row r="4268" spans="1:10" x14ac:dyDescent="0.25">
      <c r="A4268" t="s">
        <v>2883</v>
      </c>
      <c r="B4268" t="s">
        <v>2950</v>
      </c>
      <c r="C4268" t="s">
        <v>3058</v>
      </c>
      <c r="D4268" s="1" t="s">
        <v>3059</v>
      </c>
      <c r="E4268" t="s">
        <v>14</v>
      </c>
      <c r="F4268">
        <v>48.716700000000003</v>
      </c>
      <c r="G4268">
        <v>2.3843999999999999</v>
      </c>
      <c r="H4268">
        <v>1</v>
      </c>
      <c r="I4268">
        <v>90</v>
      </c>
      <c r="J4268" t="str">
        <f>HYPERLINK("https://climate.onebuilding.org/WMO_Region_6_Europe/FRA_France/IF_Ile-de-France/FRA_IF_Paris-Orly.AP.071490_TMYx.zip")</f>
        <v>https://climate.onebuilding.org/WMO_Region_6_Europe/FRA_France/IF_Ile-de-France/FRA_IF_Paris-Orly.AP.071490_TMYx.zip</v>
      </c>
    </row>
    <row r="4269" spans="1:10" x14ac:dyDescent="0.25">
      <c r="A4269" t="s">
        <v>2883</v>
      </c>
      <c r="B4269" t="s">
        <v>2950</v>
      </c>
      <c r="C4269" t="s">
        <v>3061</v>
      </c>
      <c r="D4269" s="1" t="s">
        <v>3062</v>
      </c>
      <c r="E4269" t="s">
        <v>3063</v>
      </c>
      <c r="F4269">
        <v>48.967500000000001</v>
      </c>
      <c r="G4269">
        <v>2.4275000000000002</v>
      </c>
      <c r="H4269">
        <v>1</v>
      </c>
      <c r="I4269">
        <v>49</v>
      </c>
      <c r="J4269" t="str">
        <f>HYPERLINK("https://climate.onebuilding.org/WMO_Region_6_Europe/FRA_France/IF_Ile-de-France/FRA_IF_Paris-Le.Bourget.AP.071500_TMYx.2004-2018.zip")</f>
        <v>https://climate.onebuilding.org/WMO_Region_6_Europe/FRA_France/IF_Ile-de-France/FRA_IF_Paris-Le.Bourget.AP.071500_TMYx.2004-2018.zip</v>
      </c>
    </row>
    <row r="4270" spans="1:10" x14ac:dyDescent="0.25">
      <c r="A4270" t="s">
        <v>2883</v>
      </c>
      <c r="B4270" t="s">
        <v>2950</v>
      </c>
      <c r="C4270" t="s">
        <v>3061</v>
      </c>
      <c r="D4270" s="1" t="s">
        <v>3062</v>
      </c>
      <c r="E4270" t="s">
        <v>14</v>
      </c>
      <c r="F4270">
        <v>48.967500000000001</v>
      </c>
      <c r="G4270">
        <v>2.4275000000000002</v>
      </c>
      <c r="H4270">
        <v>1</v>
      </c>
      <c r="I4270">
        <v>49</v>
      </c>
      <c r="J4270" t="str">
        <f>HYPERLINK("https://climate.onebuilding.org/WMO_Region_6_Europe/FRA_France/IF_Ile-de-France/FRA_IF_Paris-Le.Bourget.AP.071500_TMYx.2007-2021.zip")</f>
        <v>https://climate.onebuilding.org/WMO_Region_6_Europe/FRA_France/IF_Ile-de-France/FRA_IF_Paris-Le.Bourget.AP.071500_TMYx.2007-2021.zip</v>
      </c>
    </row>
    <row r="4271" spans="1:10" x14ac:dyDescent="0.25">
      <c r="A4271" t="s">
        <v>2883</v>
      </c>
      <c r="B4271" t="s">
        <v>2950</v>
      </c>
      <c r="C4271" t="s">
        <v>3061</v>
      </c>
      <c r="D4271" s="1" t="s">
        <v>3062</v>
      </c>
      <c r="E4271" t="s">
        <v>14</v>
      </c>
      <c r="F4271">
        <v>48.967500000000001</v>
      </c>
      <c r="G4271">
        <v>2.4275000000000002</v>
      </c>
      <c r="H4271">
        <v>1</v>
      </c>
      <c r="I4271">
        <v>49</v>
      </c>
      <c r="J4271" t="str">
        <f>HYPERLINK("https://climate.onebuilding.org/WMO_Region_6_Europe/FRA_France/IF_Ile-de-France/FRA_IF_Paris-Le.Bourget.AP.071500_TMYx.2009-2023.zip")</f>
        <v>https://climate.onebuilding.org/WMO_Region_6_Europe/FRA_France/IF_Ile-de-France/FRA_IF_Paris-Le.Bourget.AP.071500_TMYx.2009-2023.zip</v>
      </c>
    </row>
    <row r="4272" spans="1:10" x14ac:dyDescent="0.25">
      <c r="A4272" t="s">
        <v>2883</v>
      </c>
      <c r="B4272" t="s">
        <v>2950</v>
      </c>
      <c r="C4272" t="s">
        <v>3061</v>
      </c>
      <c r="D4272" s="1" t="s">
        <v>3062</v>
      </c>
      <c r="E4272" t="s">
        <v>14</v>
      </c>
      <c r="F4272">
        <v>48.967500000000001</v>
      </c>
      <c r="G4272">
        <v>2.4275000000000002</v>
      </c>
      <c r="H4272">
        <v>1</v>
      </c>
      <c r="I4272">
        <v>49</v>
      </c>
      <c r="J4272" t="str">
        <f>HYPERLINK("https://climate.onebuilding.org/WMO_Region_6_Europe/FRA_France/IF_Ile-de-France/FRA_IF_Paris-Le.Bourget.AP.071500_TMYx.zip")</f>
        <v>https://climate.onebuilding.org/WMO_Region_6_Europe/FRA_France/IF_Ile-de-France/FRA_IF_Paris-Le.Bourget.AP.071500_TMYx.zip</v>
      </c>
    </row>
    <row r="4273" spans="1:10" x14ac:dyDescent="0.25">
      <c r="A4273" t="s">
        <v>2883</v>
      </c>
      <c r="B4273" t="s">
        <v>3064</v>
      </c>
      <c r="C4273" t="s">
        <v>3065</v>
      </c>
      <c r="D4273" s="1" t="s">
        <v>3066</v>
      </c>
      <c r="E4273" t="s">
        <v>3067</v>
      </c>
      <c r="F4273">
        <v>43.555999999999997</v>
      </c>
      <c r="G4273">
        <v>2.2890000000000001</v>
      </c>
      <c r="H4273">
        <v>1</v>
      </c>
      <c r="I4273">
        <v>240.2</v>
      </c>
      <c r="J4273" t="str">
        <f>HYPERLINK("https://climate.onebuilding.org/WMO_Region_6_Europe/FRA_France/LP_Occitanie/FRA_LP_Castres-Mazamet.AP.071515_TMYx.2004-2018.zip")</f>
        <v>https://climate.onebuilding.org/WMO_Region_6_Europe/FRA_France/LP_Occitanie/FRA_LP_Castres-Mazamet.AP.071515_TMYx.2004-2018.zip</v>
      </c>
    </row>
    <row r="4274" spans="1:10" x14ac:dyDescent="0.25">
      <c r="A4274" t="s">
        <v>2883</v>
      </c>
      <c r="B4274" t="s">
        <v>3064</v>
      </c>
      <c r="C4274" t="s">
        <v>3065</v>
      </c>
      <c r="D4274" s="1" t="s">
        <v>3066</v>
      </c>
      <c r="E4274" t="s">
        <v>14</v>
      </c>
      <c r="F4274">
        <v>43.555999999999997</v>
      </c>
      <c r="G4274">
        <v>2.2890000000000001</v>
      </c>
      <c r="H4274">
        <v>1</v>
      </c>
      <c r="I4274">
        <v>240.2</v>
      </c>
      <c r="J4274" t="str">
        <f>HYPERLINK("https://climate.onebuilding.org/WMO_Region_6_Europe/FRA_France/LP_Occitanie/FRA_LP_Castres-Mazamet.AP.071515_TMYx.2007-2021.zip")</f>
        <v>https://climate.onebuilding.org/WMO_Region_6_Europe/FRA_France/LP_Occitanie/FRA_LP_Castres-Mazamet.AP.071515_TMYx.2007-2021.zip</v>
      </c>
    </row>
    <row r="4275" spans="1:10" x14ac:dyDescent="0.25">
      <c r="A4275" t="s">
        <v>2883</v>
      </c>
      <c r="B4275" t="s">
        <v>3064</v>
      </c>
      <c r="C4275" t="s">
        <v>3065</v>
      </c>
      <c r="D4275" s="1" t="s">
        <v>3066</v>
      </c>
      <c r="E4275" t="s">
        <v>14</v>
      </c>
      <c r="F4275">
        <v>43.555999999999997</v>
      </c>
      <c r="G4275">
        <v>2.2890000000000001</v>
      </c>
      <c r="H4275">
        <v>1</v>
      </c>
      <c r="I4275">
        <v>240.2</v>
      </c>
      <c r="J4275" t="str">
        <f>HYPERLINK("https://climate.onebuilding.org/WMO_Region_6_Europe/FRA_France/LP_Occitanie/FRA_LP_Castres-Mazamet.AP.071515_TMYx.2009-2023.zip")</f>
        <v>https://climate.onebuilding.org/WMO_Region_6_Europe/FRA_France/LP_Occitanie/FRA_LP_Castres-Mazamet.AP.071515_TMYx.2009-2023.zip</v>
      </c>
    </row>
    <row r="4276" spans="1:10" x14ac:dyDescent="0.25">
      <c r="A4276" t="s">
        <v>2883</v>
      </c>
      <c r="B4276" t="s">
        <v>3064</v>
      </c>
      <c r="C4276" t="s">
        <v>3065</v>
      </c>
      <c r="D4276" s="1" t="s">
        <v>3066</v>
      </c>
      <c r="E4276" t="s">
        <v>14</v>
      </c>
      <c r="F4276">
        <v>43.555999999999997</v>
      </c>
      <c r="G4276">
        <v>2.2890000000000001</v>
      </c>
      <c r="H4276">
        <v>1</v>
      </c>
      <c r="I4276">
        <v>240.2</v>
      </c>
      <c r="J4276" t="str">
        <f>HYPERLINK("https://climate.onebuilding.org/WMO_Region_6_Europe/FRA_France/LP_Occitanie/FRA_LP_Castres-Mazamet.AP.071515_TMYx.zip")</f>
        <v>https://climate.onebuilding.org/WMO_Region_6_Europe/FRA_France/LP_Occitanie/FRA_LP_Castres-Mazamet.AP.071515_TMYx.zip</v>
      </c>
    </row>
    <row r="4277" spans="1:10" x14ac:dyDescent="0.25">
      <c r="A4277" t="s">
        <v>2883</v>
      </c>
      <c r="B4277" t="s">
        <v>2950</v>
      </c>
      <c r="C4277" t="s">
        <v>3068</v>
      </c>
      <c r="D4277" s="1" t="s">
        <v>3069</v>
      </c>
      <c r="E4277" t="s">
        <v>3070</v>
      </c>
      <c r="F4277">
        <v>48.610500000000002</v>
      </c>
      <c r="G4277">
        <v>2.6795</v>
      </c>
      <c r="H4277">
        <v>1</v>
      </c>
      <c r="I4277">
        <v>92</v>
      </c>
      <c r="J4277" t="str">
        <f>HYPERLINK("https://climate.onebuilding.org/WMO_Region_6_Europe/FRA_France/IF_Ile-de-France/FRA_IF_Melun-Villaroche.Sympav.AP.071530_TMYx.2004-2018.zip")</f>
        <v>https://climate.onebuilding.org/WMO_Region_6_Europe/FRA_France/IF_Ile-de-France/FRA_IF_Melun-Villaroche.Sympav.AP.071530_TMYx.2004-2018.zip</v>
      </c>
    </row>
    <row r="4278" spans="1:10" x14ac:dyDescent="0.25">
      <c r="A4278" t="s">
        <v>2883</v>
      </c>
      <c r="B4278" t="s">
        <v>2950</v>
      </c>
      <c r="C4278" t="s">
        <v>3068</v>
      </c>
      <c r="D4278" s="1" t="s">
        <v>3069</v>
      </c>
      <c r="E4278" t="s">
        <v>14</v>
      </c>
      <c r="F4278">
        <v>48.610500000000002</v>
      </c>
      <c r="G4278">
        <v>2.6795</v>
      </c>
      <c r="H4278">
        <v>1</v>
      </c>
      <c r="I4278">
        <v>92</v>
      </c>
      <c r="J4278" t="str">
        <f>HYPERLINK("https://climate.onebuilding.org/WMO_Region_6_Europe/FRA_France/IF_Ile-de-France/FRA_IF_Melun-Villaroche.Sympav.AP.071530_TMYx.2007-2021.zip")</f>
        <v>https://climate.onebuilding.org/WMO_Region_6_Europe/FRA_France/IF_Ile-de-France/FRA_IF_Melun-Villaroche.Sympav.AP.071530_TMYx.2007-2021.zip</v>
      </c>
    </row>
    <row r="4279" spans="1:10" x14ac:dyDescent="0.25">
      <c r="A4279" t="s">
        <v>2883</v>
      </c>
      <c r="B4279" t="s">
        <v>2950</v>
      </c>
      <c r="C4279" t="s">
        <v>3068</v>
      </c>
      <c r="D4279" s="1" t="s">
        <v>3069</v>
      </c>
      <c r="E4279" t="s">
        <v>14</v>
      </c>
      <c r="F4279">
        <v>48.610500000000002</v>
      </c>
      <c r="G4279">
        <v>2.6795</v>
      </c>
      <c r="H4279">
        <v>1</v>
      </c>
      <c r="I4279">
        <v>92</v>
      </c>
      <c r="J4279" t="str">
        <f>HYPERLINK("https://climate.onebuilding.org/WMO_Region_6_Europe/FRA_France/IF_Ile-de-France/FRA_IF_Melun-Villaroche.Sympav.AP.071530_TMYx.2009-2023.zip")</f>
        <v>https://climate.onebuilding.org/WMO_Region_6_Europe/FRA_France/IF_Ile-de-France/FRA_IF_Melun-Villaroche.Sympav.AP.071530_TMYx.2009-2023.zip</v>
      </c>
    </row>
    <row r="4280" spans="1:10" x14ac:dyDescent="0.25">
      <c r="A4280" t="s">
        <v>2883</v>
      </c>
      <c r="B4280" t="s">
        <v>2950</v>
      </c>
      <c r="C4280" t="s">
        <v>3068</v>
      </c>
      <c r="D4280" s="1" t="s">
        <v>3069</v>
      </c>
      <c r="E4280" t="s">
        <v>14</v>
      </c>
      <c r="F4280">
        <v>48.610500000000002</v>
      </c>
      <c r="G4280">
        <v>2.6795</v>
      </c>
      <c r="H4280">
        <v>1</v>
      </c>
      <c r="I4280">
        <v>92</v>
      </c>
      <c r="J4280" t="str">
        <f>HYPERLINK("https://climate.onebuilding.org/WMO_Region_6_Europe/FRA_France/IF_Ile-de-France/FRA_IF_Melun-Villaroche.Sympav.AP.071530_TMYx.zip")</f>
        <v>https://climate.onebuilding.org/WMO_Region_6_Europe/FRA_France/IF_Ile-de-France/FRA_IF_Melun-Villaroche.Sympav.AP.071530_TMYx.zip</v>
      </c>
    </row>
    <row r="4281" spans="1:10" x14ac:dyDescent="0.25">
      <c r="A4281" t="s">
        <v>2883</v>
      </c>
      <c r="B4281" t="s">
        <v>2950</v>
      </c>
      <c r="C4281" t="s">
        <v>3071</v>
      </c>
      <c r="D4281" s="1" t="s">
        <v>3072</v>
      </c>
      <c r="E4281" t="s">
        <v>14</v>
      </c>
      <c r="F4281">
        <v>48.8</v>
      </c>
      <c r="G4281">
        <v>2.5</v>
      </c>
      <c r="H4281">
        <v>1</v>
      </c>
      <c r="I4281">
        <v>50</v>
      </c>
      <c r="J4281" t="str">
        <f>HYPERLINK("https://climate.onebuilding.org/WMO_Region_6_Europe/FRA_France/IF_Ile-de-France/FRA_IF_Paris.St.Maur.071540_TMYx.zip")</f>
        <v>https://climate.onebuilding.org/WMO_Region_6_Europe/FRA_France/IF_Ile-de-France/FRA_IF_Paris.St.Maur.071540_TMYx.zip</v>
      </c>
    </row>
    <row r="4282" spans="1:10" x14ac:dyDescent="0.25">
      <c r="A4282" t="s">
        <v>2883</v>
      </c>
      <c r="B4282" t="s">
        <v>2950</v>
      </c>
      <c r="C4282" t="s">
        <v>3073</v>
      </c>
      <c r="D4282" s="1" t="s">
        <v>3074</v>
      </c>
      <c r="E4282" t="s">
        <v>3075</v>
      </c>
      <c r="F4282">
        <v>48.8217</v>
      </c>
      <c r="G4282">
        <v>2.3378000000000001</v>
      </c>
      <c r="H4282">
        <v>1</v>
      </c>
      <c r="I4282">
        <v>78</v>
      </c>
      <c r="J4282" t="str">
        <f>HYPERLINK("https://climate.onebuilding.org/WMO_Region_6_Europe/FRA_France/IF_Ile-de-France/FRA_IF_Paris.MontSouris.071560_TMYx.2004-2018.zip")</f>
        <v>https://climate.onebuilding.org/WMO_Region_6_Europe/FRA_France/IF_Ile-de-France/FRA_IF_Paris.MontSouris.071560_TMYx.2004-2018.zip</v>
      </c>
    </row>
    <row r="4283" spans="1:10" x14ac:dyDescent="0.25">
      <c r="A4283" t="s">
        <v>2883</v>
      </c>
      <c r="B4283" t="s">
        <v>2950</v>
      </c>
      <c r="C4283" t="s">
        <v>3073</v>
      </c>
      <c r="D4283" s="1" t="s">
        <v>3074</v>
      </c>
      <c r="E4283" t="s">
        <v>14</v>
      </c>
      <c r="F4283">
        <v>48.8217</v>
      </c>
      <c r="G4283">
        <v>2.3378000000000001</v>
      </c>
      <c r="H4283">
        <v>1</v>
      </c>
      <c r="I4283">
        <v>78</v>
      </c>
      <c r="J4283" t="str">
        <f>HYPERLINK("https://climate.onebuilding.org/WMO_Region_6_Europe/FRA_France/IF_Ile-de-France/FRA_IF_Paris.MontSouris.071560_TMYx.2007-2021.zip")</f>
        <v>https://climate.onebuilding.org/WMO_Region_6_Europe/FRA_France/IF_Ile-de-France/FRA_IF_Paris.MontSouris.071560_TMYx.2007-2021.zip</v>
      </c>
    </row>
    <row r="4284" spans="1:10" x14ac:dyDescent="0.25">
      <c r="A4284" t="s">
        <v>2883</v>
      </c>
      <c r="B4284" t="s">
        <v>2950</v>
      </c>
      <c r="C4284" t="s">
        <v>3073</v>
      </c>
      <c r="D4284" s="1" t="s">
        <v>3074</v>
      </c>
      <c r="E4284" t="s">
        <v>14</v>
      </c>
      <c r="F4284">
        <v>48.8217</v>
      </c>
      <c r="G4284">
        <v>2.3378000000000001</v>
      </c>
      <c r="H4284">
        <v>1</v>
      </c>
      <c r="I4284">
        <v>78</v>
      </c>
      <c r="J4284" t="str">
        <f>HYPERLINK("https://climate.onebuilding.org/WMO_Region_6_Europe/FRA_France/IF_Ile-de-France/FRA_IF_Paris.MontSouris.071560_TMYx.2009-2023.zip")</f>
        <v>https://climate.onebuilding.org/WMO_Region_6_Europe/FRA_France/IF_Ile-de-France/FRA_IF_Paris.MontSouris.071560_TMYx.2009-2023.zip</v>
      </c>
    </row>
    <row r="4285" spans="1:10" x14ac:dyDescent="0.25">
      <c r="A4285" t="s">
        <v>2883</v>
      </c>
      <c r="B4285" t="s">
        <v>2950</v>
      </c>
      <c r="C4285" t="s">
        <v>3073</v>
      </c>
      <c r="D4285" s="1" t="s">
        <v>3074</v>
      </c>
      <c r="E4285" t="s">
        <v>14</v>
      </c>
      <c r="F4285">
        <v>48.8217</v>
      </c>
      <c r="G4285">
        <v>2.3378000000000001</v>
      </c>
      <c r="H4285">
        <v>1</v>
      </c>
      <c r="I4285">
        <v>78</v>
      </c>
      <c r="J4285" t="str">
        <f>HYPERLINK("https://climate.onebuilding.org/WMO_Region_6_Europe/FRA_France/IF_Ile-de-France/FRA_IF_Paris.MontSouris.071560_TMYx.zip")</f>
        <v>https://climate.onebuilding.org/WMO_Region_6_Europe/FRA_France/IF_Ile-de-France/FRA_IF_Paris.MontSouris.071560_TMYx.zip</v>
      </c>
    </row>
    <row r="4286" spans="1:10" x14ac:dyDescent="0.25">
      <c r="A4286" t="s">
        <v>2883</v>
      </c>
      <c r="B4286" t="s">
        <v>2950</v>
      </c>
      <c r="C4286" t="s">
        <v>3076</v>
      </c>
      <c r="D4286" s="1" t="s">
        <v>3077</v>
      </c>
      <c r="E4286" t="s">
        <v>3078</v>
      </c>
      <c r="F4286">
        <v>49.015300000000003</v>
      </c>
      <c r="G4286">
        <v>2.5344000000000002</v>
      </c>
      <c r="H4286">
        <v>1</v>
      </c>
      <c r="I4286">
        <v>112</v>
      </c>
      <c r="J4286" t="str">
        <f>HYPERLINK("https://climate.onebuilding.org/WMO_Region_6_Europe/FRA_France/IF_Ile-de-France/FRA_IF_Paris-De.Gaulle.Intl.AP.071570_TMYx.2004-2018.zip")</f>
        <v>https://climate.onebuilding.org/WMO_Region_6_Europe/FRA_France/IF_Ile-de-France/FRA_IF_Paris-De.Gaulle.Intl.AP.071570_TMYx.2004-2018.zip</v>
      </c>
    </row>
    <row r="4287" spans="1:10" x14ac:dyDescent="0.25">
      <c r="A4287" t="s">
        <v>2883</v>
      </c>
      <c r="B4287" t="s">
        <v>2950</v>
      </c>
      <c r="C4287" t="s">
        <v>3076</v>
      </c>
      <c r="D4287" s="1" t="s">
        <v>3077</v>
      </c>
      <c r="E4287" t="s">
        <v>14</v>
      </c>
      <c r="F4287">
        <v>49.015300000000003</v>
      </c>
      <c r="G4287">
        <v>2.5344000000000002</v>
      </c>
      <c r="H4287">
        <v>1</v>
      </c>
      <c r="I4287">
        <v>112</v>
      </c>
      <c r="J4287" t="str">
        <f>HYPERLINK("https://climate.onebuilding.org/WMO_Region_6_Europe/FRA_France/IF_Ile-de-France/FRA_IF_Paris-De.Gaulle.Intl.AP.071570_TMYx.2007-2021.zip")</f>
        <v>https://climate.onebuilding.org/WMO_Region_6_Europe/FRA_France/IF_Ile-de-France/FRA_IF_Paris-De.Gaulle.Intl.AP.071570_TMYx.2007-2021.zip</v>
      </c>
    </row>
    <row r="4288" spans="1:10" x14ac:dyDescent="0.25">
      <c r="A4288" t="s">
        <v>2883</v>
      </c>
      <c r="B4288" t="s">
        <v>2950</v>
      </c>
      <c r="C4288" t="s">
        <v>3076</v>
      </c>
      <c r="D4288" s="1" t="s">
        <v>3077</v>
      </c>
      <c r="E4288" t="s">
        <v>14</v>
      </c>
      <c r="F4288">
        <v>49.015300000000003</v>
      </c>
      <c r="G4288">
        <v>2.5344000000000002</v>
      </c>
      <c r="H4288">
        <v>1</v>
      </c>
      <c r="I4288">
        <v>112</v>
      </c>
      <c r="J4288" t="str">
        <f>HYPERLINK("https://climate.onebuilding.org/WMO_Region_6_Europe/FRA_France/IF_Ile-de-France/FRA_IF_Paris-De.Gaulle.Intl.AP.071570_TMYx.2009-2023.zip")</f>
        <v>https://climate.onebuilding.org/WMO_Region_6_Europe/FRA_France/IF_Ile-de-France/FRA_IF_Paris-De.Gaulle.Intl.AP.071570_TMYx.2009-2023.zip</v>
      </c>
    </row>
    <row r="4289" spans="1:10" x14ac:dyDescent="0.25">
      <c r="A4289" t="s">
        <v>2883</v>
      </c>
      <c r="B4289" t="s">
        <v>2950</v>
      </c>
      <c r="C4289" t="s">
        <v>3076</v>
      </c>
      <c r="D4289" s="1" t="s">
        <v>3077</v>
      </c>
      <c r="E4289" t="s">
        <v>14</v>
      </c>
      <c r="F4289">
        <v>49.015300000000003</v>
      </c>
      <c r="G4289">
        <v>2.5344000000000002</v>
      </c>
      <c r="H4289">
        <v>1</v>
      </c>
      <c r="I4289">
        <v>112</v>
      </c>
      <c r="J4289" t="str">
        <f>HYPERLINK("https://climate.onebuilding.org/WMO_Region_6_Europe/FRA_France/IF_Ile-de-France/FRA_IF_Paris-De.Gaulle.Intl.AP.071570_TMYx.zip")</f>
        <v>https://climate.onebuilding.org/WMO_Region_6_Europe/FRA_France/IF_Ile-de-France/FRA_IF_Paris-De.Gaulle.Intl.AP.071570_TMYx.zip</v>
      </c>
    </row>
    <row r="4290" spans="1:10" x14ac:dyDescent="0.25">
      <c r="A4290" t="s">
        <v>2883</v>
      </c>
      <c r="B4290" t="s">
        <v>2984</v>
      </c>
      <c r="C4290" t="s">
        <v>3079</v>
      </c>
      <c r="D4290" s="1" t="s">
        <v>3080</v>
      </c>
      <c r="E4290" t="s">
        <v>14</v>
      </c>
      <c r="F4290">
        <v>48.603000000000002</v>
      </c>
      <c r="G4290">
        <v>-3.8159999999999998</v>
      </c>
      <c r="H4290">
        <v>1</v>
      </c>
      <c r="I4290">
        <v>82.9</v>
      </c>
      <c r="J4290" t="str">
        <f>HYPERLINK("https://climate.onebuilding.org/WMO_Region_6_Europe/FRA_France/BT_Bretagne/FRA_BT_Morlaix-Ploujean.AP.071604_TMYx.2007-2021.zip")</f>
        <v>https://climate.onebuilding.org/WMO_Region_6_Europe/FRA_France/BT_Bretagne/FRA_BT_Morlaix-Ploujean.AP.071604_TMYx.2007-2021.zip</v>
      </c>
    </row>
    <row r="4291" spans="1:10" x14ac:dyDescent="0.25">
      <c r="A4291" t="s">
        <v>2883</v>
      </c>
      <c r="B4291" t="s">
        <v>2984</v>
      </c>
      <c r="C4291" t="s">
        <v>3079</v>
      </c>
      <c r="D4291" s="1" t="s">
        <v>3080</v>
      </c>
      <c r="E4291" t="s">
        <v>14</v>
      </c>
      <c r="F4291">
        <v>48.603000000000002</v>
      </c>
      <c r="G4291">
        <v>-3.8159999999999998</v>
      </c>
      <c r="H4291">
        <v>1</v>
      </c>
      <c r="I4291">
        <v>82.9</v>
      </c>
      <c r="J4291" t="str">
        <f>HYPERLINK("https://climate.onebuilding.org/WMO_Region_6_Europe/FRA_France/BT_Bretagne/FRA_BT_Morlaix-Ploujean.AP.071604_TMYx.2009-2023.zip")</f>
        <v>https://climate.onebuilding.org/WMO_Region_6_Europe/FRA_France/BT_Bretagne/FRA_BT_Morlaix-Ploujean.AP.071604_TMYx.2009-2023.zip</v>
      </c>
    </row>
    <row r="4292" spans="1:10" x14ac:dyDescent="0.25">
      <c r="A4292" t="s">
        <v>2883</v>
      </c>
      <c r="B4292" t="s">
        <v>2984</v>
      </c>
      <c r="C4292" t="s">
        <v>3079</v>
      </c>
      <c r="D4292" s="1" t="s">
        <v>3080</v>
      </c>
      <c r="E4292" t="s">
        <v>14</v>
      </c>
      <c r="F4292">
        <v>48.603000000000002</v>
      </c>
      <c r="G4292">
        <v>-3.8159999999999998</v>
      </c>
      <c r="H4292">
        <v>1</v>
      </c>
      <c r="I4292">
        <v>82.9</v>
      </c>
      <c r="J4292" t="str">
        <f>HYPERLINK("https://climate.onebuilding.org/WMO_Region_6_Europe/FRA_France/BT_Bretagne/FRA_BT_Morlaix-Ploujean.AP.071604_TMYx.zip")</f>
        <v>https://climate.onebuilding.org/WMO_Region_6_Europe/FRA_France/BT_Bretagne/FRA_BT_Morlaix-Ploujean.AP.071604_TMYx.zip</v>
      </c>
    </row>
    <row r="4293" spans="1:10" x14ac:dyDescent="0.25">
      <c r="A4293" t="s">
        <v>2883</v>
      </c>
      <c r="B4293" t="s">
        <v>2966</v>
      </c>
      <c r="C4293" t="s">
        <v>3081</v>
      </c>
      <c r="D4293" s="1" t="s">
        <v>3082</v>
      </c>
      <c r="E4293" t="s">
        <v>3083</v>
      </c>
      <c r="F4293">
        <v>48.777200000000001</v>
      </c>
      <c r="G4293">
        <v>4.1646999999999998</v>
      </c>
      <c r="H4293">
        <v>1</v>
      </c>
      <c r="I4293">
        <v>167</v>
      </c>
      <c r="J4293" t="str">
        <f>HYPERLINK("https://climate.onebuilding.org/WMO_Region_6_Europe/FRA_France/AO_Grand_Est/FRA_AO_Paris-Vatry.AP.071660_TMYx.2004-2018.zip")</f>
        <v>https://climate.onebuilding.org/WMO_Region_6_Europe/FRA_France/AO_Grand_Est/FRA_AO_Paris-Vatry.AP.071660_TMYx.2004-2018.zip</v>
      </c>
    </row>
    <row r="4294" spans="1:10" x14ac:dyDescent="0.25">
      <c r="A4294" t="s">
        <v>2883</v>
      </c>
      <c r="B4294" t="s">
        <v>2966</v>
      </c>
      <c r="C4294" t="s">
        <v>3081</v>
      </c>
      <c r="D4294" s="1" t="s">
        <v>3082</v>
      </c>
      <c r="E4294" t="s">
        <v>14</v>
      </c>
      <c r="F4294">
        <v>48.777200000000001</v>
      </c>
      <c r="G4294">
        <v>4.1646999999999998</v>
      </c>
      <c r="H4294">
        <v>1</v>
      </c>
      <c r="I4294">
        <v>167</v>
      </c>
      <c r="J4294" t="str">
        <f>HYPERLINK("https://climate.onebuilding.org/WMO_Region_6_Europe/FRA_France/AO_Grand_Est/FRA_AO_Paris-Vatry.AP.071660_TMYx.2007-2021.zip")</f>
        <v>https://climate.onebuilding.org/WMO_Region_6_Europe/FRA_France/AO_Grand_Est/FRA_AO_Paris-Vatry.AP.071660_TMYx.2007-2021.zip</v>
      </c>
    </row>
    <row r="4295" spans="1:10" x14ac:dyDescent="0.25">
      <c r="A4295" t="s">
        <v>2883</v>
      </c>
      <c r="B4295" t="s">
        <v>2966</v>
      </c>
      <c r="C4295" t="s">
        <v>3081</v>
      </c>
      <c r="D4295" s="1" t="s">
        <v>3082</v>
      </c>
      <c r="E4295" t="s">
        <v>14</v>
      </c>
      <c r="F4295">
        <v>48.777200000000001</v>
      </c>
      <c r="G4295">
        <v>4.1646999999999998</v>
      </c>
      <c r="H4295">
        <v>1</v>
      </c>
      <c r="I4295">
        <v>167</v>
      </c>
      <c r="J4295" t="str">
        <f>HYPERLINK("https://climate.onebuilding.org/WMO_Region_6_Europe/FRA_France/AO_Grand_Est/FRA_AO_Paris-Vatry.AP.071660_TMYx.2009-2023.zip")</f>
        <v>https://climate.onebuilding.org/WMO_Region_6_Europe/FRA_France/AO_Grand_Est/FRA_AO_Paris-Vatry.AP.071660_TMYx.2009-2023.zip</v>
      </c>
    </row>
    <row r="4296" spans="1:10" x14ac:dyDescent="0.25">
      <c r="A4296" t="s">
        <v>2883</v>
      </c>
      <c r="B4296" t="s">
        <v>2966</v>
      </c>
      <c r="C4296" t="s">
        <v>3081</v>
      </c>
      <c r="D4296" s="1" t="s">
        <v>3082</v>
      </c>
      <c r="E4296" t="s">
        <v>14</v>
      </c>
      <c r="F4296">
        <v>48.777200000000001</v>
      </c>
      <c r="G4296">
        <v>4.1646999999999998</v>
      </c>
      <c r="H4296">
        <v>1</v>
      </c>
      <c r="I4296">
        <v>167</v>
      </c>
      <c r="J4296" t="str">
        <f>HYPERLINK("https://climate.onebuilding.org/WMO_Region_6_Europe/FRA_France/AO_Grand_Est/FRA_AO_Paris-Vatry.AP.071660_TMYx.zip")</f>
        <v>https://climate.onebuilding.org/WMO_Region_6_Europe/FRA_France/AO_Grand_Est/FRA_AO_Paris-Vatry.AP.071660_TMYx.zip</v>
      </c>
    </row>
    <row r="4297" spans="1:10" x14ac:dyDescent="0.25">
      <c r="A4297" t="s">
        <v>2883</v>
      </c>
      <c r="B4297" t="s">
        <v>2966</v>
      </c>
      <c r="C4297" t="s">
        <v>3084</v>
      </c>
      <c r="D4297" s="1" t="s">
        <v>3085</v>
      </c>
      <c r="E4297" t="s">
        <v>3086</v>
      </c>
      <c r="F4297">
        <v>48.3247</v>
      </c>
      <c r="G4297">
        <v>4.0199999999999996</v>
      </c>
      <c r="H4297">
        <v>1</v>
      </c>
      <c r="I4297">
        <v>118</v>
      </c>
      <c r="J4297" t="str">
        <f>HYPERLINK("https://climate.onebuilding.org/WMO_Region_6_Europe/FRA_France/AO_Grand_Est/FRA_AO_Troyes.Barberey.AP.071680_TMYx.2004-2018.zip")</f>
        <v>https://climate.onebuilding.org/WMO_Region_6_Europe/FRA_France/AO_Grand_Est/FRA_AO_Troyes.Barberey.AP.071680_TMYx.2004-2018.zip</v>
      </c>
    </row>
    <row r="4298" spans="1:10" x14ac:dyDescent="0.25">
      <c r="A4298" t="s">
        <v>2883</v>
      </c>
      <c r="B4298" t="s">
        <v>2966</v>
      </c>
      <c r="C4298" t="s">
        <v>3084</v>
      </c>
      <c r="D4298" s="1" t="s">
        <v>3085</v>
      </c>
      <c r="E4298" t="s">
        <v>14</v>
      </c>
      <c r="F4298">
        <v>48.3247</v>
      </c>
      <c r="G4298">
        <v>4.0199999999999996</v>
      </c>
      <c r="H4298">
        <v>1</v>
      </c>
      <c r="I4298">
        <v>118</v>
      </c>
      <c r="J4298" t="str">
        <f>HYPERLINK("https://climate.onebuilding.org/WMO_Region_6_Europe/FRA_France/AO_Grand_Est/FRA_AO_Troyes.Barberey.AP.071680_TMYx.2007-2021.zip")</f>
        <v>https://climate.onebuilding.org/WMO_Region_6_Europe/FRA_France/AO_Grand_Est/FRA_AO_Troyes.Barberey.AP.071680_TMYx.2007-2021.zip</v>
      </c>
    </row>
    <row r="4299" spans="1:10" x14ac:dyDescent="0.25">
      <c r="A4299" t="s">
        <v>2883</v>
      </c>
      <c r="B4299" t="s">
        <v>2966</v>
      </c>
      <c r="C4299" t="s">
        <v>3084</v>
      </c>
      <c r="D4299" s="1" t="s">
        <v>3085</v>
      </c>
      <c r="E4299" t="s">
        <v>14</v>
      </c>
      <c r="F4299">
        <v>48.3247</v>
      </c>
      <c r="G4299">
        <v>4.0199999999999996</v>
      </c>
      <c r="H4299">
        <v>1</v>
      </c>
      <c r="I4299">
        <v>118</v>
      </c>
      <c r="J4299" t="str">
        <f>HYPERLINK("https://climate.onebuilding.org/WMO_Region_6_Europe/FRA_France/AO_Grand_Est/FRA_AO_Troyes.Barberey.AP.071680_TMYx.2009-2023.zip")</f>
        <v>https://climate.onebuilding.org/WMO_Region_6_Europe/FRA_France/AO_Grand_Est/FRA_AO_Troyes.Barberey.AP.071680_TMYx.2009-2023.zip</v>
      </c>
    </row>
    <row r="4300" spans="1:10" x14ac:dyDescent="0.25">
      <c r="A4300" t="s">
        <v>2883</v>
      </c>
      <c r="B4300" t="s">
        <v>2966</v>
      </c>
      <c r="C4300" t="s">
        <v>3084</v>
      </c>
      <c r="D4300" s="1" t="s">
        <v>3085</v>
      </c>
      <c r="E4300" t="s">
        <v>14</v>
      </c>
      <c r="F4300">
        <v>48.3247</v>
      </c>
      <c r="G4300">
        <v>4.0199999999999996</v>
      </c>
      <c r="H4300">
        <v>1</v>
      </c>
      <c r="I4300">
        <v>118</v>
      </c>
      <c r="J4300" t="str">
        <f>HYPERLINK("https://climate.onebuilding.org/WMO_Region_6_Europe/FRA_France/AO_Grand_Est/FRA_AO_Troyes.Barberey.AP.071680_TMYx.zip")</f>
        <v>https://climate.onebuilding.org/WMO_Region_6_Europe/FRA_France/AO_Grand_Est/FRA_AO_Troyes.Barberey.AP.071680_TMYx.zip</v>
      </c>
    </row>
    <row r="4301" spans="1:10" x14ac:dyDescent="0.25">
      <c r="A4301" t="s">
        <v>2883</v>
      </c>
      <c r="B4301" t="s">
        <v>2966</v>
      </c>
      <c r="C4301" t="s">
        <v>3087</v>
      </c>
      <c r="D4301" s="1" t="s">
        <v>3088</v>
      </c>
      <c r="E4301" t="s">
        <v>3089</v>
      </c>
      <c r="F4301">
        <v>48.631399999999999</v>
      </c>
      <c r="G4301">
        <v>4.9036</v>
      </c>
      <c r="H4301">
        <v>1</v>
      </c>
      <c r="I4301">
        <v>139</v>
      </c>
      <c r="J4301" t="str">
        <f>HYPERLINK("https://climate.onebuilding.org/WMO_Region_6_Europe/FRA_France/AO_Grand_Est/FRA_AO_Saint.Dizier.AB.071690_TMYx.2004-2018.zip")</f>
        <v>https://climate.onebuilding.org/WMO_Region_6_Europe/FRA_France/AO_Grand_Est/FRA_AO_Saint.Dizier.AB.071690_TMYx.2004-2018.zip</v>
      </c>
    </row>
    <row r="4302" spans="1:10" x14ac:dyDescent="0.25">
      <c r="A4302" t="s">
        <v>2883</v>
      </c>
      <c r="B4302" t="s">
        <v>2966</v>
      </c>
      <c r="C4302" t="s">
        <v>3087</v>
      </c>
      <c r="D4302" s="1" t="s">
        <v>3088</v>
      </c>
      <c r="E4302" t="s">
        <v>14</v>
      </c>
      <c r="F4302">
        <v>48.631399999999999</v>
      </c>
      <c r="G4302">
        <v>4.9036</v>
      </c>
      <c r="H4302">
        <v>1</v>
      </c>
      <c r="I4302">
        <v>139</v>
      </c>
      <c r="J4302" t="str">
        <f>HYPERLINK("https://climate.onebuilding.org/WMO_Region_6_Europe/FRA_France/AO_Grand_Est/FRA_AO_Saint.Dizier.AB.071690_TMYx.2007-2021.zip")</f>
        <v>https://climate.onebuilding.org/WMO_Region_6_Europe/FRA_France/AO_Grand_Est/FRA_AO_Saint.Dizier.AB.071690_TMYx.2007-2021.zip</v>
      </c>
    </row>
    <row r="4303" spans="1:10" x14ac:dyDescent="0.25">
      <c r="A4303" t="s">
        <v>2883</v>
      </c>
      <c r="B4303" t="s">
        <v>2966</v>
      </c>
      <c r="C4303" t="s">
        <v>3087</v>
      </c>
      <c r="D4303" s="1" t="s">
        <v>3088</v>
      </c>
      <c r="E4303" t="s">
        <v>14</v>
      </c>
      <c r="F4303">
        <v>48.631399999999999</v>
      </c>
      <c r="G4303">
        <v>4.9036</v>
      </c>
      <c r="H4303">
        <v>1</v>
      </c>
      <c r="I4303">
        <v>139</v>
      </c>
      <c r="J4303" t="str">
        <f>HYPERLINK("https://climate.onebuilding.org/WMO_Region_6_Europe/FRA_France/AO_Grand_Est/FRA_AO_Saint.Dizier.AB.071690_TMYx.2009-2023.zip")</f>
        <v>https://climate.onebuilding.org/WMO_Region_6_Europe/FRA_France/AO_Grand_Est/FRA_AO_Saint.Dizier.AB.071690_TMYx.2009-2023.zip</v>
      </c>
    </row>
    <row r="4304" spans="1:10" x14ac:dyDescent="0.25">
      <c r="A4304" t="s">
        <v>2883</v>
      </c>
      <c r="B4304" t="s">
        <v>2966</v>
      </c>
      <c r="C4304" t="s">
        <v>3087</v>
      </c>
      <c r="D4304" s="1" t="s">
        <v>3088</v>
      </c>
      <c r="E4304" t="s">
        <v>14</v>
      </c>
      <c r="F4304">
        <v>48.631399999999999</v>
      </c>
      <c r="G4304">
        <v>4.9036</v>
      </c>
      <c r="H4304">
        <v>1</v>
      </c>
      <c r="I4304">
        <v>139</v>
      </c>
      <c r="J4304" t="str">
        <f>HYPERLINK("https://climate.onebuilding.org/WMO_Region_6_Europe/FRA_France/AO_Grand_Est/FRA_AO_Saint.Dizier.AB.071690_TMYx.zip")</f>
        <v>https://climate.onebuilding.org/WMO_Region_6_Europe/FRA_France/AO_Grand_Est/FRA_AO_Saint.Dizier.AB.071690_TMYx.zip</v>
      </c>
    </row>
    <row r="4305" spans="1:10" x14ac:dyDescent="0.25">
      <c r="A4305" t="s">
        <v>2883</v>
      </c>
      <c r="B4305" t="s">
        <v>2966</v>
      </c>
      <c r="C4305" t="s">
        <v>3090</v>
      </c>
      <c r="D4305" s="1" t="s">
        <v>3091</v>
      </c>
      <c r="E4305" t="s">
        <v>14</v>
      </c>
      <c r="F4305">
        <v>48.75</v>
      </c>
      <c r="G4305">
        <v>5.4</v>
      </c>
      <c r="H4305">
        <v>1</v>
      </c>
      <c r="I4305">
        <v>313</v>
      </c>
      <c r="J4305" t="str">
        <f>HYPERLINK("https://climate.onebuilding.org/WMO_Region_6_Europe/FRA_France/AO_Grand_Est/FRA_AO_Loxeville.071720_TMYx.zip")</f>
        <v>https://climate.onebuilding.org/WMO_Region_6_Europe/FRA_France/AO_Grand_Est/FRA_AO_Loxeville.071720_TMYx.zip</v>
      </c>
    </row>
    <row r="4306" spans="1:10" x14ac:dyDescent="0.25">
      <c r="A4306" t="s">
        <v>2883</v>
      </c>
      <c r="B4306" t="s">
        <v>2966</v>
      </c>
      <c r="C4306" t="s">
        <v>3092</v>
      </c>
      <c r="D4306" s="1" t="s">
        <v>3093</v>
      </c>
      <c r="E4306" t="s">
        <v>3094</v>
      </c>
      <c r="F4306">
        <v>48.2</v>
      </c>
      <c r="G4306">
        <v>6.4329999999999998</v>
      </c>
      <c r="H4306">
        <v>1</v>
      </c>
      <c r="I4306">
        <v>320</v>
      </c>
      <c r="J4306" t="str">
        <f>HYPERLINK("https://climate.onebuilding.org/WMO_Region_6_Europe/FRA_France/AO_Grand_Est/FRA_AO_Epinal-Dogneville.071730_TMYx.2004-2018.zip")</f>
        <v>https://climate.onebuilding.org/WMO_Region_6_Europe/FRA_France/AO_Grand_Est/FRA_AO_Epinal-Dogneville.071730_TMYx.2004-2018.zip</v>
      </c>
    </row>
    <row r="4307" spans="1:10" x14ac:dyDescent="0.25">
      <c r="A4307" t="s">
        <v>2883</v>
      </c>
      <c r="B4307" t="s">
        <v>2966</v>
      </c>
      <c r="C4307" t="s">
        <v>3092</v>
      </c>
      <c r="D4307" s="1" t="s">
        <v>3093</v>
      </c>
      <c r="E4307" t="s">
        <v>14</v>
      </c>
      <c r="F4307">
        <v>48.2</v>
      </c>
      <c r="G4307">
        <v>6.4329999999999998</v>
      </c>
      <c r="H4307">
        <v>1</v>
      </c>
      <c r="I4307">
        <v>320</v>
      </c>
      <c r="J4307" t="str">
        <f>HYPERLINK("https://climate.onebuilding.org/WMO_Region_6_Europe/FRA_France/AO_Grand_Est/FRA_AO_Epinal-Dogneville.071730_TMYx.zip")</f>
        <v>https://climate.onebuilding.org/WMO_Region_6_Europe/FRA_France/AO_Grand_Est/FRA_AO_Epinal-Dogneville.071730_TMYx.zip</v>
      </c>
    </row>
    <row r="4308" spans="1:10" x14ac:dyDescent="0.25">
      <c r="A4308" t="s">
        <v>2883</v>
      </c>
      <c r="B4308" t="s">
        <v>2966</v>
      </c>
      <c r="C4308" t="s">
        <v>3095</v>
      </c>
      <c r="D4308" s="1" t="s">
        <v>3096</v>
      </c>
      <c r="E4308" t="s">
        <v>3097</v>
      </c>
      <c r="F4308">
        <v>48.783000000000001</v>
      </c>
      <c r="G4308">
        <v>5.9829999999999997</v>
      </c>
      <c r="H4308">
        <v>1</v>
      </c>
      <c r="I4308">
        <v>286</v>
      </c>
      <c r="J4308" t="str">
        <f>HYPERLINK("https://climate.onebuilding.org/WMO_Region_6_Europe/FRA_France/AO_Grand_Est/FRA_AO_Toul-Rosieres.Solar.Park.071790_TMYx.2004-2018.zip")</f>
        <v>https://climate.onebuilding.org/WMO_Region_6_Europe/FRA_France/AO_Grand_Est/FRA_AO_Toul-Rosieres.Solar.Park.071790_TMYx.2004-2018.zip</v>
      </c>
    </row>
    <row r="4309" spans="1:10" x14ac:dyDescent="0.25">
      <c r="A4309" t="s">
        <v>2883</v>
      </c>
      <c r="B4309" t="s">
        <v>2966</v>
      </c>
      <c r="C4309" t="s">
        <v>3095</v>
      </c>
      <c r="D4309" s="1" t="s">
        <v>3096</v>
      </c>
      <c r="E4309" t="s">
        <v>14</v>
      </c>
      <c r="F4309">
        <v>48.783000000000001</v>
      </c>
      <c r="G4309">
        <v>5.9829999999999997</v>
      </c>
      <c r="H4309">
        <v>1</v>
      </c>
      <c r="I4309">
        <v>286</v>
      </c>
      <c r="J4309" t="str">
        <f>HYPERLINK("https://climate.onebuilding.org/WMO_Region_6_Europe/FRA_France/AO_Grand_Est/FRA_AO_Toul-Rosieres.Solar.Park.071790_TMYx.2007-2021.zip")</f>
        <v>https://climate.onebuilding.org/WMO_Region_6_Europe/FRA_France/AO_Grand_Est/FRA_AO_Toul-Rosieres.Solar.Park.071790_TMYx.2007-2021.zip</v>
      </c>
    </row>
    <row r="4310" spans="1:10" x14ac:dyDescent="0.25">
      <c r="A4310" t="s">
        <v>2883</v>
      </c>
      <c r="B4310" t="s">
        <v>2966</v>
      </c>
      <c r="C4310" t="s">
        <v>3095</v>
      </c>
      <c r="D4310" s="1" t="s">
        <v>3096</v>
      </c>
      <c r="E4310" t="s">
        <v>14</v>
      </c>
      <c r="F4310">
        <v>48.783000000000001</v>
      </c>
      <c r="G4310">
        <v>5.9829999999999997</v>
      </c>
      <c r="H4310">
        <v>1</v>
      </c>
      <c r="I4310">
        <v>286</v>
      </c>
      <c r="J4310" t="str">
        <f>HYPERLINK("https://climate.onebuilding.org/WMO_Region_6_Europe/FRA_France/AO_Grand_Est/FRA_AO_Toul-Rosieres.Solar.Park.071790_TMYx.2009-2023.zip")</f>
        <v>https://climate.onebuilding.org/WMO_Region_6_Europe/FRA_France/AO_Grand_Est/FRA_AO_Toul-Rosieres.Solar.Park.071790_TMYx.2009-2023.zip</v>
      </c>
    </row>
    <row r="4311" spans="1:10" x14ac:dyDescent="0.25">
      <c r="A4311" t="s">
        <v>2883</v>
      </c>
      <c r="B4311" t="s">
        <v>2966</v>
      </c>
      <c r="C4311" t="s">
        <v>3095</v>
      </c>
      <c r="D4311" s="1" t="s">
        <v>3096</v>
      </c>
      <c r="E4311" t="s">
        <v>14</v>
      </c>
      <c r="F4311">
        <v>48.783000000000001</v>
      </c>
      <c r="G4311">
        <v>5.9829999999999997</v>
      </c>
      <c r="H4311">
        <v>1</v>
      </c>
      <c r="I4311">
        <v>286</v>
      </c>
      <c r="J4311" t="str">
        <f>HYPERLINK("https://climate.onebuilding.org/WMO_Region_6_Europe/FRA_France/AO_Grand_Est/FRA_AO_Toul-Rosieres.Solar.Park.071790_TMYx.zip")</f>
        <v>https://climate.onebuilding.org/WMO_Region_6_Europe/FRA_France/AO_Grand_Est/FRA_AO_Toul-Rosieres.Solar.Park.071790_TMYx.zip</v>
      </c>
    </row>
    <row r="4312" spans="1:10" x14ac:dyDescent="0.25">
      <c r="A4312" t="s">
        <v>2883</v>
      </c>
      <c r="B4312" t="s">
        <v>2966</v>
      </c>
      <c r="C4312" t="s">
        <v>3098</v>
      </c>
      <c r="D4312" s="1" t="s">
        <v>3099</v>
      </c>
      <c r="E4312" t="s">
        <v>3100</v>
      </c>
      <c r="F4312">
        <v>48.687800000000003</v>
      </c>
      <c r="G4312">
        <v>6.2214</v>
      </c>
      <c r="H4312">
        <v>1</v>
      </c>
      <c r="I4312">
        <v>213</v>
      </c>
      <c r="J4312" t="str">
        <f>HYPERLINK("https://climate.onebuilding.org/WMO_Region_6_Europe/FRA_France/AO_Grand_Est/FRA_AO_Nancy-Essey.AP.071800_TMYx.2004-2018.zip")</f>
        <v>https://climate.onebuilding.org/WMO_Region_6_Europe/FRA_France/AO_Grand_Est/FRA_AO_Nancy-Essey.AP.071800_TMYx.2004-2018.zip</v>
      </c>
    </row>
    <row r="4313" spans="1:10" x14ac:dyDescent="0.25">
      <c r="A4313" t="s">
        <v>2883</v>
      </c>
      <c r="B4313" t="s">
        <v>2966</v>
      </c>
      <c r="C4313" t="s">
        <v>3098</v>
      </c>
      <c r="D4313" s="1" t="s">
        <v>3099</v>
      </c>
      <c r="E4313" t="s">
        <v>14</v>
      </c>
      <c r="F4313">
        <v>48.687800000000003</v>
      </c>
      <c r="G4313">
        <v>6.2214</v>
      </c>
      <c r="H4313">
        <v>1</v>
      </c>
      <c r="I4313">
        <v>213</v>
      </c>
      <c r="J4313" t="str">
        <f>HYPERLINK("https://climate.onebuilding.org/WMO_Region_6_Europe/FRA_France/AO_Grand_Est/FRA_AO_Nancy-Essey.AP.071800_TMYx.2007-2021.zip")</f>
        <v>https://climate.onebuilding.org/WMO_Region_6_Europe/FRA_France/AO_Grand_Est/FRA_AO_Nancy-Essey.AP.071800_TMYx.2007-2021.zip</v>
      </c>
    </row>
    <row r="4314" spans="1:10" x14ac:dyDescent="0.25">
      <c r="A4314" t="s">
        <v>2883</v>
      </c>
      <c r="B4314" t="s">
        <v>2966</v>
      </c>
      <c r="C4314" t="s">
        <v>3098</v>
      </c>
      <c r="D4314" s="1" t="s">
        <v>3099</v>
      </c>
      <c r="E4314" t="s">
        <v>14</v>
      </c>
      <c r="F4314">
        <v>48.687800000000003</v>
      </c>
      <c r="G4314">
        <v>6.2214</v>
      </c>
      <c r="H4314">
        <v>1</v>
      </c>
      <c r="I4314">
        <v>213</v>
      </c>
      <c r="J4314" t="str">
        <f>HYPERLINK("https://climate.onebuilding.org/WMO_Region_6_Europe/FRA_France/AO_Grand_Est/FRA_AO_Nancy-Essey.AP.071800_TMYx.2009-2023.zip")</f>
        <v>https://climate.onebuilding.org/WMO_Region_6_Europe/FRA_France/AO_Grand_Est/FRA_AO_Nancy-Essey.AP.071800_TMYx.2009-2023.zip</v>
      </c>
    </row>
    <row r="4315" spans="1:10" x14ac:dyDescent="0.25">
      <c r="A4315" t="s">
        <v>2883</v>
      </c>
      <c r="B4315" t="s">
        <v>2966</v>
      </c>
      <c r="C4315" t="s">
        <v>3098</v>
      </c>
      <c r="D4315" s="1" t="s">
        <v>3099</v>
      </c>
      <c r="E4315" t="s">
        <v>14</v>
      </c>
      <c r="F4315">
        <v>48.687800000000003</v>
      </c>
      <c r="G4315">
        <v>6.2214</v>
      </c>
      <c r="H4315">
        <v>1</v>
      </c>
      <c r="I4315">
        <v>213</v>
      </c>
      <c r="J4315" t="str">
        <f>HYPERLINK("https://climate.onebuilding.org/WMO_Region_6_Europe/FRA_France/AO_Grand_Est/FRA_AO_Nancy-Essey.AP.071800_TMYx.zip")</f>
        <v>https://climate.onebuilding.org/WMO_Region_6_Europe/FRA_France/AO_Grand_Est/FRA_AO_Nancy-Essey.AP.071800_TMYx.zip</v>
      </c>
    </row>
    <row r="4316" spans="1:10" x14ac:dyDescent="0.25">
      <c r="A4316" t="s">
        <v>2883</v>
      </c>
      <c r="B4316" t="s">
        <v>2966</v>
      </c>
      <c r="C4316" t="s">
        <v>3101</v>
      </c>
      <c r="D4316" s="1" t="s">
        <v>3102</v>
      </c>
      <c r="E4316" t="s">
        <v>3103</v>
      </c>
      <c r="F4316">
        <v>48.581099999999999</v>
      </c>
      <c r="G4316">
        <v>5.9596999999999998</v>
      </c>
      <c r="H4316">
        <v>1</v>
      </c>
      <c r="I4316">
        <v>343</v>
      </c>
      <c r="J4316" t="str">
        <f>HYPERLINK("https://climate.onebuilding.org/WMO_Region_6_Europe/FRA_France/AO_Grand_Est/FRA_AO_Nancy-Ochey.AB.071810_TMYx.2004-2018.zip")</f>
        <v>https://climate.onebuilding.org/WMO_Region_6_Europe/FRA_France/AO_Grand_Est/FRA_AO_Nancy-Ochey.AB.071810_TMYx.2004-2018.zip</v>
      </c>
    </row>
    <row r="4317" spans="1:10" x14ac:dyDescent="0.25">
      <c r="A4317" t="s">
        <v>2883</v>
      </c>
      <c r="B4317" t="s">
        <v>2966</v>
      </c>
      <c r="C4317" t="s">
        <v>3101</v>
      </c>
      <c r="D4317" s="1" t="s">
        <v>3102</v>
      </c>
      <c r="E4317" t="s">
        <v>14</v>
      </c>
      <c r="F4317">
        <v>48.581099999999999</v>
      </c>
      <c r="G4317">
        <v>5.9596999999999998</v>
      </c>
      <c r="H4317">
        <v>1</v>
      </c>
      <c r="I4317">
        <v>343</v>
      </c>
      <c r="J4317" t="str">
        <f>HYPERLINK("https://climate.onebuilding.org/WMO_Region_6_Europe/FRA_France/AO_Grand_Est/FRA_AO_Nancy-Ochey.AB.071810_TMYx.2007-2021.zip")</f>
        <v>https://climate.onebuilding.org/WMO_Region_6_Europe/FRA_France/AO_Grand_Est/FRA_AO_Nancy-Ochey.AB.071810_TMYx.2007-2021.zip</v>
      </c>
    </row>
    <row r="4318" spans="1:10" x14ac:dyDescent="0.25">
      <c r="A4318" t="s">
        <v>2883</v>
      </c>
      <c r="B4318" t="s">
        <v>2966</v>
      </c>
      <c r="C4318" t="s">
        <v>3101</v>
      </c>
      <c r="D4318" s="1" t="s">
        <v>3102</v>
      </c>
      <c r="E4318" t="s">
        <v>14</v>
      </c>
      <c r="F4318">
        <v>48.581099999999999</v>
      </c>
      <c r="G4318">
        <v>5.9596999999999998</v>
      </c>
      <c r="H4318">
        <v>1</v>
      </c>
      <c r="I4318">
        <v>343</v>
      </c>
      <c r="J4318" t="str">
        <f>HYPERLINK("https://climate.onebuilding.org/WMO_Region_6_Europe/FRA_France/AO_Grand_Est/FRA_AO_Nancy-Ochey.AB.071810_TMYx.2009-2023.zip")</f>
        <v>https://climate.onebuilding.org/WMO_Region_6_Europe/FRA_France/AO_Grand_Est/FRA_AO_Nancy-Ochey.AB.071810_TMYx.2009-2023.zip</v>
      </c>
    </row>
    <row r="4319" spans="1:10" x14ac:dyDescent="0.25">
      <c r="A4319" t="s">
        <v>2883</v>
      </c>
      <c r="B4319" t="s">
        <v>2966</v>
      </c>
      <c r="C4319" t="s">
        <v>3101</v>
      </c>
      <c r="D4319" s="1" t="s">
        <v>3102</v>
      </c>
      <c r="E4319" t="s">
        <v>14</v>
      </c>
      <c r="F4319">
        <v>48.581099999999999</v>
      </c>
      <c r="G4319">
        <v>5.9596999999999998</v>
      </c>
      <c r="H4319">
        <v>1</v>
      </c>
      <c r="I4319">
        <v>343</v>
      </c>
      <c r="J4319" t="str">
        <f>HYPERLINK("https://climate.onebuilding.org/WMO_Region_6_Europe/FRA_France/AO_Grand_Est/FRA_AO_Nancy-Ochey.AB.071810_TMYx.zip")</f>
        <v>https://climate.onebuilding.org/WMO_Region_6_Europe/FRA_France/AO_Grand_Est/FRA_AO_Nancy-Ochey.AB.071810_TMYx.zip</v>
      </c>
    </row>
    <row r="4320" spans="1:10" x14ac:dyDescent="0.25">
      <c r="A4320" t="s">
        <v>2883</v>
      </c>
      <c r="B4320" t="s">
        <v>2966</v>
      </c>
      <c r="C4320" t="s">
        <v>3104</v>
      </c>
      <c r="D4320" s="1" t="s">
        <v>3105</v>
      </c>
      <c r="E4320" t="s">
        <v>14</v>
      </c>
      <c r="F4320">
        <v>48.325000000000003</v>
      </c>
      <c r="G4320">
        <v>6.07</v>
      </c>
      <c r="H4320">
        <v>1</v>
      </c>
      <c r="I4320">
        <v>330.4</v>
      </c>
      <c r="J4320" t="str">
        <f>HYPERLINK("https://climate.onebuilding.org/WMO_Region_6_Europe/FRA_France/AO_Grand_Est/FRA_AO_Epinal-Mirecourt.AP.071825_TMYx.2007-2021.zip")</f>
        <v>https://climate.onebuilding.org/WMO_Region_6_Europe/FRA_France/AO_Grand_Est/FRA_AO_Epinal-Mirecourt.AP.071825_TMYx.2007-2021.zip</v>
      </c>
    </row>
    <row r="4321" spans="1:10" x14ac:dyDescent="0.25">
      <c r="A4321" t="s">
        <v>2883</v>
      </c>
      <c r="B4321" t="s">
        <v>2966</v>
      </c>
      <c r="C4321" t="s">
        <v>3104</v>
      </c>
      <c r="D4321" s="1" t="s">
        <v>3105</v>
      </c>
      <c r="E4321" t="s">
        <v>14</v>
      </c>
      <c r="F4321">
        <v>48.325000000000003</v>
      </c>
      <c r="G4321">
        <v>6.07</v>
      </c>
      <c r="H4321">
        <v>1</v>
      </c>
      <c r="I4321">
        <v>330.4</v>
      </c>
      <c r="J4321" t="str">
        <f>HYPERLINK("https://climate.onebuilding.org/WMO_Region_6_Europe/FRA_France/AO_Grand_Est/FRA_AO_Epinal-Mirecourt.AP.071825_TMYx.2009-2023.zip")</f>
        <v>https://climate.onebuilding.org/WMO_Region_6_Europe/FRA_France/AO_Grand_Est/FRA_AO_Epinal-Mirecourt.AP.071825_TMYx.2009-2023.zip</v>
      </c>
    </row>
    <row r="4322" spans="1:10" x14ac:dyDescent="0.25">
      <c r="A4322" t="s">
        <v>2883</v>
      </c>
      <c r="B4322" t="s">
        <v>2966</v>
      </c>
      <c r="C4322" t="s">
        <v>3104</v>
      </c>
      <c r="D4322" s="1" t="s">
        <v>3105</v>
      </c>
      <c r="E4322" t="s">
        <v>14</v>
      </c>
      <c r="F4322">
        <v>48.325000000000003</v>
      </c>
      <c r="G4322">
        <v>6.07</v>
      </c>
      <c r="H4322">
        <v>1</v>
      </c>
      <c r="I4322">
        <v>330.4</v>
      </c>
      <c r="J4322" t="str">
        <f>HYPERLINK("https://climate.onebuilding.org/WMO_Region_6_Europe/FRA_France/AO_Grand_Est/FRA_AO_Epinal-Mirecourt.AP.071825_TMYx.zip")</f>
        <v>https://climate.onebuilding.org/WMO_Region_6_Europe/FRA_France/AO_Grand_Est/FRA_AO_Epinal-Mirecourt.AP.071825_TMYx.zip</v>
      </c>
    </row>
    <row r="4323" spans="1:10" x14ac:dyDescent="0.25">
      <c r="A4323" t="s">
        <v>2883</v>
      </c>
      <c r="B4323" t="s">
        <v>2966</v>
      </c>
      <c r="C4323" t="s">
        <v>3106</v>
      </c>
      <c r="D4323" s="1" t="s">
        <v>3107</v>
      </c>
      <c r="E4323" t="s">
        <v>14</v>
      </c>
      <c r="F4323">
        <v>48.817</v>
      </c>
      <c r="G4323">
        <v>7.2</v>
      </c>
      <c r="H4323">
        <v>1</v>
      </c>
      <c r="I4323">
        <v>313</v>
      </c>
      <c r="J4323" t="str">
        <f>HYPERLINK("https://climate.onebuilding.org/WMO_Region_6_Europe/FRA_France/AO_Grand_Est/FRA_AO_Phalsbourg.071860_TMYx.zip")</f>
        <v>https://climate.onebuilding.org/WMO_Region_6_Europe/FRA_France/AO_Grand_Est/FRA_AO_Phalsbourg.071860_TMYx.zip</v>
      </c>
    </row>
    <row r="4324" spans="1:10" x14ac:dyDescent="0.25">
      <c r="A4324" t="s">
        <v>2883</v>
      </c>
      <c r="B4324" t="s">
        <v>2966</v>
      </c>
      <c r="C4324" t="s">
        <v>3108</v>
      </c>
      <c r="D4324" s="1" t="s">
        <v>3109</v>
      </c>
      <c r="E4324" t="s">
        <v>3110</v>
      </c>
      <c r="F4324">
        <v>48.549399999999999</v>
      </c>
      <c r="G4324">
        <v>7.6402999999999999</v>
      </c>
      <c r="H4324">
        <v>1</v>
      </c>
      <c r="I4324">
        <v>151</v>
      </c>
      <c r="J4324" t="str">
        <f>HYPERLINK("https://climate.onebuilding.org/WMO_Region_6_Europe/FRA_France/AO_Grand_Est/FRA_AO_Strasbourg-Entznheim.Intl.AP.071900_TMYx.2004-2018.zip")</f>
        <v>https://climate.onebuilding.org/WMO_Region_6_Europe/FRA_France/AO_Grand_Est/FRA_AO_Strasbourg-Entznheim.Intl.AP.071900_TMYx.2004-2018.zip</v>
      </c>
    </row>
    <row r="4325" spans="1:10" x14ac:dyDescent="0.25">
      <c r="A4325" t="s">
        <v>2883</v>
      </c>
      <c r="B4325" t="s">
        <v>2966</v>
      </c>
      <c r="C4325" t="s">
        <v>3108</v>
      </c>
      <c r="D4325" s="1" t="s">
        <v>3109</v>
      </c>
      <c r="E4325" t="s">
        <v>14</v>
      </c>
      <c r="F4325">
        <v>48.549399999999999</v>
      </c>
      <c r="G4325">
        <v>7.6402999999999999</v>
      </c>
      <c r="H4325">
        <v>1</v>
      </c>
      <c r="I4325">
        <v>151</v>
      </c>
      <c r="J4325" t="str">
        <f>HYPERLINK("https://climate.onebuilding.org/WMO_Region_6_Europe/FRA_France/AO_Grand_Est/FRA_AO_Strasbourg-Entznheim.Intl.AP.071900_TMYx.2007-2021.zip")</f>
        <v>https://climate.onebuilding.org/WMO_Region_6_Europe/FRA_France/AO_Grand_Est/FRA_AO_Strasbourg-Entznheim.Intl.AP.071900_TMYx.2007-2021.zip</v>
      </c>
    </row>
    <row r="4326" spans="1:10" x14ac:dyDescent="0.25">
      <c r="A4326" t="s">
        <v>2883</v>
      </c>
      <c r="B4326" t="s">
        <v>2966</v>
      </c>
      <c r="C4326" t="s">
        <v>3108</v>
      </c>
      <c r="D4326" s="1" t="s">
        <v>3109</v>
      </c>
      <c r="E4326" t="s">
        <v>14</v>
      </c>
      <c r="F4326">
        <v>48.549399999999999</v>
      </c>
      <c r="G4326">
        <v>7.6402999999999999</v>
      </c>
      <c r="H4326">
        <v>1</v>
      </c>
      <c r="I4326">
        <v>151</v>
      </c>
      <c r="J4326" t="str">
        <f>HYPERLINK("https://climate.onebuilding.org/WMO_Region_6_Europe/FRA_France/AO_Grand_Est/FRA_AO_Strasbourg-Entznheim.Intl.AP.071900_TMYx.2009-2023.zip")</f>
        <v>https://climate.onebuilding.org/WMO_Region_6_Europe/FRA_France/AO_Grand_Est/FRA_AO_Strasbourg-Entznheim.Intl.AP.071900_TMYx.2009-2023.zip</v>
      </c>
    </row>
    <row r="4327" spans="1:10" x14ac:dyDescent="0.25">
      <c r="A4327" t="s">
        <v>2883</v>
      </c>
      <c r="B4327" t="s">
        <v>2966</v>
      </c>
      <c r="C4327" t="s">
        <v>3108</v>
      </c>
      <c r="D4327" s="1" t="s">
        <v>3109</v>
      </c>
      <c r="E4327" t="s">
        <v>14</v>
      </c>
      <c r="F4327">
        <v>48.549399999999999</v>
      </c>
      <c r="G4327">
        <v>7.6402999999999999</v>
      </c>
      <c r="H4327">
        <v>1</v>
      </c>
      <c r="I4327">
        <v>151</v>
      </c>
      <c r="J4327" t="str">
        <f>HYPERLINK("https://climate.onebuilding.org/WMO_Region_6_Europe/FRA_France/AO_Grand_Est/FRA_AO_Strasbourg-Entznheim.Intl.AP.071900_TMYx.zip")</f>
        <v>https://climate.onebuilding.org/WMO_Region_6_Europe/FRA_France/AO_Grand_Est/FRA_AO_Strasbourg-Entznheim.Intl.AP.071900_TMYx.zip</v>
      </c>
    </row>
    <row r="4328" spans="1:10" x14ac:dyDescent="0.25">
      <c r="A4328" t="s">
        <v>2883</v>
      </c>
      <c r="B4328" t="s">
        <v>2966</v>
      </c>
      <c r="C4328" t="s">
        <v>3111</v>
      </c>
      <c r="D4328" s="1" t="s">
        <v>3112</v>
      </c>
      <c r="E4328" t="s">
        <v>3113</v>
      </c>
      <c r="F4328">
        <v>47.928600000000003</v>
      </c>
      <c r="G4328">
        <v>7.4077999999999999</v>
      </c>
      <c r="H4328">
        <v>1</v>
      </c>
      <c r="I4328">
        <v>209</v>
      </c>
      <c r="J4328" t="str">
        <f>HYPERLINK("https://climate.onebuilding.org/WMO_Region_6_Europe/FRA_France/AO_Grand_Est/FRA_AO_Colmar-Meyenheim.AB.071970_TMYx.2004-2018.zip")</f>
        <v>https://climate.onebuilding.org/WMO_Region_6_Europe/FRA_France/AO_Grand_Est/FRA_AO_Colmar-Meyenheim.AB.071970_TMYx.2004-2018.zip</v>
      </c>
    </row>
    <row r="4329" spans="1:10" x14ac:dyDescent="0.25">
      <c r="A4329" t="s">
        <v>2883</v>
      </c>
      <c r="B4329" t="s">
        <v>2966</v>
      </c>
      <c r="C4329" t="s">
        <v>3111</v>
      </c>
      <c r="D4329" s="1" t="s">
        <v>3112</v>
      </c>
      <c r="E4329" t="s">
        <v>14</v>
      </c>
      <c r="F4329">
        <v>47.928600000000003</v>
      </c>
      <c r="G4329">
        <v>7.4077999999999999</v>
      </c>
      <c r="H4329">
        <v>1</v>
      </c>
      <c r="I4329">
        <v>209</v>
      </c>
      <c r="J4329" t="str">
        <f>HYPERLINK("https://climate.onebuilding.org/WMO_Region_6_Europe/FRA_France/AO_Grand_Est/FRA_AO_Colmar-Meyenheim.AB.071970_TMYx.2007-2021.zip")</f>
        <v>https://climate.onebuilding.org/WMO_Region_6_Europe/FRA_France/AO_Grand_Est/FRA_AO_Colmar-Meyenheim.AB.071970_TMYx.2007-2021.zip</v>
      </c>
    </row>
    <row r="4330" spans="1:10" x14ac:dyDescent="0.25">
      <c r="A4330" t="s">
        <v>2883</v>
      </c>
      <c r="B4330" t="s">
        <v>2966</v>
      </c>
      <c r="C4330" t="s">
        <v>3111</v>
      </c>
      <c r="D4330" s="1" t="s">
        <v>3112</v>
      </c>
      <c r="E4330" t="s">
        <v>14</v>
      </c>
      <c r="F4330">
        <v>47.928600000000003</v>
      </c>
      <c r="G4330">
        <v>7.4077999999999999</v>
      </c>
      <c r="H4330">
        <v>1</v>
      </c>
      <c r="I4330">
        <v>209</v>
      </c>
      <c r="J4330" t="str">
        <f>HYPERLINK("https://climate.onebuilding.org/WMO_Region_6_Europe/FRA_France/AO_Grand_Est/FRA_AO_Colmar-Meyenheim.AB.071970_TMYx.2009-2023.zip")</f>
        <v>https://climate.onebuilding.org/WMO_Region_6_Europe/FRA_France/AO_Grand_Est/FRA_AO_Colmar-Meyenheim.AB.071970_TMYx.2009-2023.zip</v>
      </c>
    </row>
    <row r="4331" spans="1:10" x14ac:dyDescent="0.25">
      <c r="A4331" t="s">
        <v>2883</v>
      </c>
      <c r="B4331" t="s">
        <v>2966</v>
      </c>
      <c r="C4331" t="s">
        <v>3111</v>
      </c>
      <c r="D4331" s="1" t="s">
        <v>3112</v>
      </c>
      <c r="E4331" t="s">
        <v>14</v>
      </c>
      <c r="F4331">
        <v>47.928600000000003</v>
      </c>
      <c r="G4331">
        <v>7.4077999999999999</v>
      </c>
      <c r="H4331">
        <v>1</v>
      </c>
      <c r="I4331">
        <v>209</v>
      </c>
      <c r="J4331" t="str">
        <f>HYPERLINK("https://climate.onebuilding.org/WMO_Region_6_Europe/FRA_France/AO_Grand_Est/FRA_AO_Colmar-Meyenheim.AB.071970_TMYx.zip")</f>
        <v>https://climate.onebuilding.org/WMO_Region_6_Europe/FRA_France/AO_Grand_Est/FRA_AO_Colmar-Meyenheim.AB.071970_TMYx.zip</v>
      </c>
    </row>
    <row r="4332" spans="1:10" x14ac:dyDescent="0.25">
      <c r="A4332" t="s">
        <v>2883</v>
      </c>
      <c r="B4332" t="s">
        <v>2984</v>
      </c>
      <c r="C4332" t="s">
        <v>3114</v>
      </c>
      <c r="D4332" s="1" t="s">
        <v>3115</v>
      </c>
      <c r="E4332" t="s">
        <v>3116</v>
      </c>
      <c r="F4332">
        <v>47.8</v>
      </c>
      <c r="G4332">
        <v>-4.367</v>
      </c>
      <c r="H4332">
        <v>1</v>
      </c>
      <c r="I4332">
        <v>19</v>
      </c>
      <c r="J4332" t="str">
        <f>HYPERLINK("https://climate.onebuilding.org/WMO_Region_6_Europe/FRA_France/BT_Bretagne/FRA_BT_Point.de.Penmarch.072000_TMYx.2004-2018.zip")</f>
        <v>https://climate.onebuilding.org/WMO_Region_6_Europe/FRA_France/BT_Bretagne/FRA_BT_Point.de.Penmarch.072000_TMYx.2004-2018.zip</v>
      </c>
    </row>
    <row r="4333" spans="1:10" x14ac:dyDescent="0.25">
      <c r="A4333" t="s">
        <v>2883</v>
      </c>
      <c r="B4333" t="s">
        <v>2984</v>
      </c>
      <c r="C4333" t="s">
        <v>3114</v>
      </c>
      <c r="D4333" s="1" t="s">
        <v>3115</v>
      </c>
      <c r="E4333" t="s">
        <v>14</v>
      </c>
      <c r="F4333">
        <v>47.8</v>
      </c>
      <c r="G4333">
        <v>-4.367</v>
      </c>
      <c r="H4333">
        <v>1</v>
      </c>
      <c r="I4333">
        <v>19</v>
      </c>
      <c r="J4333" t="str">
        <f>HYPERLINK("https://climate.onebuilding.org/WMO_Region_6_Europe/FRA_France/BT_Bretagne/FRA_BT_Point.de.Penmarch.072000_TMYx.2007-2021.zip")</f>
        <v>https://climate.onebuilding.org/WMO_Region_6_Europe/FRA_France/BT_Bretagne/FRA_BT_Point.de.Penmarch.072000_TMYx.2007-2021.zip</v>
      </c>
    </row>
    <row r="4334" spans="1:10" x14ac:dyDescent="0.25">
      <c r="A4334" t="s">
        <v>2883</v>
      </c>
      <c r="B4334" t="s">
        <v>2984</v>
      </c>
      <c r="C4334" t="s">
        <v>3114</v>
      </c>
      <c r="D4334" s="1" t="s">
        <v>3115</v>
      </c>
      <c r="E4334" t="s">
        <v>14</v>
      </c>
      <c r="F4334">
        <v>47.8</v>
      </c>
      <c r="G4334">
        <v>-4.367</v>
      </c>
      <c r="H4334">
        <v>1</v>
      </c>
      <c r="I4334">
        <v>19</v>
      </c>
      <c r="J4334" t="str">
        <f>HYPERLINK("https://climate.onebuilding.org/WMO_Region_6_Europe/FRA_France/BT_Bretagne/FRA_BT_Point.de.Penmarch.072000_TMYx.2009-2023.zip")</f>
        <v>https://climate.onebuilding.org/WMO_Region_6_Europe/FRA_France/BT_Bretagne/FRA_BT_Point.de.Penmarch.072000_TMYx.2009-2023.zip</v>
      </c>
    </row>
    <row r="4335" spans="1:10" x14ac:dyDescent="0.25">
      <c r="A4335" t="s">
        <v>2883</v>
      </c>
      <c r="B4335" t="s">
        <v>2984</v>
      </c>
      <c r="C4335" t="s">
        <v>3114</v>
      </c>
      <c r="D4335" s="1" t="s">
        <v>3115</v>
      </c>
      <c r="E4335" t="s">
        <v>14</v>
      </c>
      <c r="F4335">
        <v>47.8</v>
      </c>
      <c r="G4335">
        <v>-4.367</v>
      </c>
      <c r="H4335">
        <v>1</v>
      </c>
      <c r="I4335">
        <v>19</v>
      </c>
      <c r="J4335" t="str">
        <f>HYPERLINK("https://climate.onebuilding.org/WMO_Region_6_Europe/FRA_France/BT_Bretagne/FRA_BT_Point.de.Penmarch.072000_TMYx.zip")</f>
        <v>https://climate.onebuilding.org/WMO_Region_6_Europe/FRA_France/BT_Bretagne/FRA_BT_Point.de.Penmarch.072000_TMYx.zip</v>
      </c>
    </row>
    <row r="4336" spans="1:10" x14ac:dyDescent="0.25">
      <c r="A4336" t="s">
        <v>2883</v>
      </c>
      <c r="B4336" t="s">
        <v>2984</v>
      </c>
      <c r="C4336" t="s">
        <v>3117</v>
      </c>
      <c r="D4336" s="1" t="s">
        <v>3118</v>
      </c>
      <c r="E4336" t="s">
        <v>3119</v>
      </c>
      <c r="F4336">
        <v>47.972799999999999</v>
      </c>
      <c r="G4336">
        <v>-4.1605999999999996</v>
      </c>
      <c r="H4336">
        <v>1</v>
      </c>
      <c r="I4336">
        <v>83</v>
      </c>
      <c r="J4336" t="str">
        <f>HYPERLINK("https://climate.onebuilding.org/WMO_Region_6_Europe/FRA_France/BT_Bretagne/FRA_BT_Quimper-Cornouaille.AP.072010_TMYx.2004-2018.zip")</f>
        <v>https://climate.onebuilding.org/WMO_Region_6_Europe/FRA_France/BT_Bretagne/FRA_BT_Quimper-Cornouaille.AP.072010_TMYx.2004-2018.zip</v>
      </c>
    </row>
    <row r="4337" spans="1:10" x14ac:dyDescent="0.25">
      <c r="A4337" t="s">
        <v>2883</v>
      </c>
      <c r="B4337" t="s">
        <v>2984</v>
      </c>
      <c r="C4337" t="s">
        <v>3117</v>
      </c>
      <c r="D4337" s="1" t="s">
        <v>3118</v>
      </c>
      <c r="E4337" t="s">
        <v>14</v>
      </c>
      <c r="F4337">
        <v>47.972799999999999</v>
      </c>
      <c r="G4337">
        <v>-4.1605999999999996</v>
      </c>
      <c r="H4337">
        <v>1</v>
      </c>
      <c r="I4337">
        <v>83</v>
      </c>
      <c r="J4337" t="str">
        <f>HYPERLINK("https://climate.onebuilding.org/WMO_Region_6_Europe/FRA_France/BT_Bretagne/FRA_BT_Quimper-Cornouaille.AP.072010_TMYx.2007-2021.zip")</f>
        <v>https://climate.onebuilding.org/WMO_Region_6_Europe/FRA_France/BT_Bretagne/FRA_BT_Quimper-Cornouaille.AP.072010_TMYx.2007-2021.zip</v>
      </c>
    </row>
    <row r="4338" spans="1:10" x14ac:dyDescent="0.25">
      <c r="A4338" t="s">
        <v>2883</v>
      </c>
      <c r="B4338" t="s">
        <v>2984</v>
      </c>
      <c r="C4338" t="s">
        <v>3117</v>
      </c>
      <c r="D4338" s="1" t="s">
        <v>3118</v>
      </c>
      <c r="E4338" t="s">
        <v>14</v>
      </c>
      <c r="F4338">
        <v>47.972799999999999</v>
      </c>
      <c r="G4338">
        <v>-4.1605999999999996</v>
      </c>
      <c r="H4338">
        <v>1</v>
      </c>
      <c r="I4338">
        <v>83</v>
      </c>
      <c r="J4338" t="str">
        <f>HYPERLINK("https://climate.onebuilding.org/WMO_Region_6_Europe/FRA_France/BT_Bretagne/FRA_BT_Quimper-Cornouaille.AP.072010_TMYx.2009-2023.zip")</f>
        <v>https://climate.onebuilding.org/WMO_Region_6_Europe/FRA_France/BT_Bretagne/FRA_BT_Quimper-Cornouaille.AP.072010_TMYx.2009-2023.zip</v>
      </c>
    </row>
    <row r="4339" spans="1:10" x14ac:dyDescent="0.25">
      <c r="A4339" t="s">
        <v>2883</v>
      </c>
      <c r="B4339" t="s">
        <v>2984</v>
      </c>
      <c r="C4339" t="s">
        <v>3117</v>
      </c>
      <c r="D4339" s="1" t="s">
        <v>3118</v>
      </c>
      <c r="E4339" t="s">
        <v>14</v>
      </c>
      <c r="F4339">
        <v>47.972799999999999</v>
      </c>
      <c r="G4339">
        <v>-4.1605999999999996</v>
      </c>
      <c r="H4339">
        <v>1</v>
      </c>
      <c r="I4339">
        <v>83</v>
      </c>
      <c r="J4339" t="str">
        <f>HYPERLINK("https://climate.onebuilding.org/WMO_Region_6_Europe/FRA_France/BT_Bretagne/FRA_BT_Quimper-Cornouaille.AP.072010_TMYx.zip")</f>
        <v>https://climate.onebuilding.org/WMO_Region_6_Europe/FRA_France/BT_Bretagne/FRA_BT_Quimper-Cornouaille.AP.072010_TMYx.zip</v>
      </c>
    </row>
    <row r="4340" spans="1:10" x14ac:dyDescent="0.25">
      <c r="A4340" t="s">
        <v>2883</v>
      </c>
      <c r="B4340" t="s">
        <v>2984</v>
      </c>
      <c r="C4340" t="s">
        <v>3120</v>
      </c>
      <c r="D4340" s="1" t="s">
        <v>3121</v>
      </c>
      <c r="E4340" t="s">
        <v>3122</v>
      </c>
      <c r="F4340">
        <v>47.652200000000001</v>
      </c>
      <c r="G4340">
        <v>-3.5022000000000002</v>
      </c>
      <c r="H4340">
        <v>1</v>
      </c>
      <c r="I4340">
        <v>45</v>
      </c>
      <c r="J4340" t="str">
        <f>HYPERLINK("https://climate.onebuilding.org/WMO_Region_6_Europe/FRA_France/BT_Bretagne/FRA_BT_Ile.de.Groix.072030_TMYx.2004-2018.zip")</f>
        <v>https://climate.onebuilding.org/WMO_Region_6_Europe/FRA_France/BT_Bretagne/FRA_BT_Ile.de.Groix.072030_TMYx.2004-2018.zip</v>
      </c>
    </row>
    <row r="4341" spans="1:10" x14ac:dyDescent="0.25">
      <c r="A4341" t="s">
        <v>2883</v>
      </c>
      <c r="B4341" t="s">
        <v>2984</v>
      </c>
      <c r="C4341" t="s">
        <v>3120</v>
      </c>
      <c r="D4341" s="1" t="s">
        <v>3121</v>
      </c>
      <c r="E4341" t="s">
        <v>14</v>
      </c>
      <c r="F4341">
        <v>47.652200000000001</v>
      </c>
      <c r="G4341">
        <v>-3.5022000000000002</v>
      </c>
      <c r="H4341">
        <v>1</v>
      </c>
      <c r="I4341">
        <v>45</v>
      </c>
      <c r="J4341" t="str">
        <f>HYPERLINK("https://climate.onebuilding.org/WMO_Region_6_Europe/FRA_France/BT_Bretagne/FRA_BT_Ile.de.Groix.072030_TMYx.2007-2021.zip")</f>
        <v>https://climate.onebuilding.org/WMO_Region_6_Europe/FRA_France/BT_Bretagne/FRA_BT_Ile.de.Groix.072030_TMYx.2007-2021.zip</v>
      </c>
    </row>
    <row r="4342" spans="1:10" x14ac:dyDescent="0.25">
      <c r="A4342" t="s">
        <v>2883</v>
      </c>
      <c r="B4342" t="s">
        <v>2984</v>
      </c>
      <c r="C4342" t="s">
        <v>3120</v>
      </c>
      <c r="D4342" s="1" t="s">
        <v>3121</v>
      </c>
      <c r="E4342" t="s">
        <v>14</v>
      </c>
      <c r="F4342">
        <v>47.652200000000001</v>
      </c>
      <c r="G4342">
        <v>-3.5022000000000002</v>
      </c>
      <c r="H4342">
        <v>1</v>
      </c>
      <c r="I4342">
        <v>45</v>
      </c>
      <c r="J4342" t="str">
        <f>HYPERLINK("https://climate.onebuilding.org/WMO_Region_6_Europe/FRA_France/BT_Bretagne/FRA_BT_Ile.de.Groix.072030_TMYx.2009-2023.zip")</f>
        <v>https://climate.onebuilding.org/WMO_Region_6_Europe/FRA_France/BT_Bretagne/FRA_BT_Ile.de.Groix.072030_TMYx.2009-2023.zip</v>
      </c>
    </row>
    <row r="4343" spans="1:10" x14ac:dyDescent="0.25">
      <c r="A4343" t="s">
        <v>2883</v>
      </c>
      <c r="B4343" t="s">
        <v>2984</v>
      </c>
      <c r="C4343" t="s">
        <v>3120</v>
      </c>
      <c r="D4343" s="1" t="s">
        <v>3121</v>
      </c>
      <c r="E4343" t="s">
        <v>14</v>
      </c>
      <c r="F4343">
        <v>47.652200000000001</v>
      </c>
      <c r="G4343">
        <v>-3.5022000000000002</v>
      </c>
      <c r="H4343">
        <v>1</v>
      </c>
      <c r="I4343">
        <v>45</v>
      </c>
      <c r="J4343" t="str">
        <f>HYPERLINK("https://climate.onebuilding.org/WMO_Region_6_Europe/FRA_France/BT_Bretagne/FRA_BT_Ile.de.Groix.072030_TMYx.zip")</f>
        <v>https://climate.onebuilding.org/WMO_Region_6_Europe/FRA_France/BT_Bretagne/FRA_BT_Ile.de.Groix.072030_TMYx.zip</v>
      </c>
    </row>
    <row r="4344" spans="1:10" x14ac:dyDescent="0.25">
      <c r="A4344" t="s">
        <v>2883</v>
      </c>
      <c r="B4344" t="s">
        <v>2984</v>
      </c>
      <c r="C4344" t="s">
        <v>3123</v>
      </c>
      <c r="D4344" s="1" t="s">
        <v>3124</v>
      </c>
      <c r="E4344" t="s">
        <v>3125</v>
      </c>
      <c r="F4344">
        <v>47.762799999999999</v>
      </c>
      <c r="G4344">
        <v>-3.4356</v>
      </c>
      <c r="H4344">
        <v>1</v>
      </c>
      <c r="I4344">
        <v>44</v>
      </c>
      <c r="J4344" t="str">
        <f>HYPERLINK("https://climate.onebuilding.org/WMO_Region_6_Europe/FRA_France/BT_Bretagne/FRA_BT_Lorient.Bretagne.Sud.AP.072050_TMYx.2004-2018.zip")</f>
        <v>https://climate.onebuilding.org/WMO_Region_6_Europe/FRA_France/BT_Bretagne/FRA_BT_Lorient.Bretagne.Sud.AP.072050_TMYx.2004-2018.zip</v>
      </c>
    </row>
    <row r="4345" spans="1:10" x14ac:dyDescent="0.25">
      <c r="A4345" t="s">
        <v>2883</v>
      </c>
      <c r="B4345" t="s">
        <v>2984</v>
      </c>
      <c r="C4345" t="s">
        <v>3123</v>
      </c>
      <c r="D4345" s="1" t="s">
        <v>3124</v>
      </c>
      <c r="E4345" t="s">
        <v>14</v>
      </c>
      <c r="F4345">
        <v>47.762799999999999</v>
      </c>
      <c r="G4345">
        <v>-3.4356</v>
      </c>
      <c r="H4345">
        <v>1</v>
      </c>
      <c r="I4345">
        <v>44</v>
      </c>
      <c r="J4345" t="str">
        <f>HYPERLINK("https://climate.onebuilding.org/WMO_Region_6_Europe/FRA_France/BT_Bretagne/FRA_BT_Lorient.Bretagne.Sud.AP.072050_TMYx.2007-2021.zip")</f>
        <v>https://climate.onebuilding.org/WMO_Region_6_Europe/FRA_France/BT_Bretagne/FRA_BT_Lorient.Bretagne.Sud.AP.072050_TMYx.2007-2021.zip</v>
      </c>
    </row>
    <row r="4346" spans="1:10" x14ac:dyDescent="0.25">
      <c r="A4346" t="s">
        <v>2883</v>
      </c>
      <c r="B4346" t="s">
        <v>2984</v>
      </c>
      <c r="C4346" t="s">
        <v>3123</v>
      </c>
      <c r="D4346" s="1" t="s">
        <v>3124</v>
      </c>
      <c r="E4346" t="s">
        <v>14</v>
      </c>
      <c r="F4346">
        <v>47.762799999999999</v>
      </c>
      <c r="G4346">
        <v>-3.4356</v>
      </c>
      <c r="H4346">
        <v>1</v>
      </c>
      <c r="I4346">
        <v>44</v>
      </c>
      <c r="J4346" t="str">
        <f>HYPERLINK("https://climate.onebuilding.org/WMO_Region_6_Europe/FRA_France/BT_Bretagne/FRA_BT_Lorient.Bretagne.Sud.AP.072050_TMYx.2009-2023.zip")</f>
        <v>https://climate.onebuilding.org/WMO_Region_6_Europe/FRA_France/BT_Bretagne/FRA_BT_Lorient.Bretagne.Sud.AP.072050_TMYx.2009-2023.zip</v>
      </c>
    </row>
    <row r="4347" spans="1:10" x14ac:dyDescent="0.25">
      <c r="A4347" t="s">
        <v>2883</v>
      </c>
      <c r="B4347" t="s">
        <v>2984</v>
      </c>
      <c r="C4347" t="s">
        <v>3123</v>
      </c>
      <c r="D4347" s="1" t="s">
        <v>3124</v>
      </c>
      <c r="E4347" t="s">
        <v>14</v>
      </c>
      <c r="F4347">
        <v>47.762799999999999</v>
      </c>
      <c r="G4347">
        <v>-3.4356</v>
      </c>
      <c r="H4347">
        <v>1</v>
      </c>
      <c r="I4347">
        <v>44</v>
      </c>
      <c r="J4347" t="str">
        <f>HYPERLINK("https://climate.onebuilding.org/WMO_Region_6_Europe/FRA_France/BT_Bretagne/FRA_BT_Lorient.Bretagne.Sud.AP.072050_TMYx.zip")</f>
        <v>https://climate.onebuilding.org/WMO_Region_6_Europe/FRA_France/BT_Bretagne/FRA_BT_Lorient.Bretagne.Sud.AP.072050_TMYx.zip</v>
      </c>
    </row>
    <row r="4348" spans="1:10" x14ac:dyDescent="0.25">
      <c r="A4348" t="s">
        <v>2883</v>
      </c>
      <c r="B4348" t="s">
        <v>2984</v>
      </c>
      <c r="C4348" t="s">
        <v>3126</v>
      </c>
      <c r="D4348" s="1" t="s">
        <v>3127</v>
      </c>
      <c r="E4348" t="s">
        <v>3128</v>
      </c>
      <c r="F4348">
        <v>47.294400000000003</v>
      </c>
      <c r="G4348">
        <v>-3.2183000000000002</v>
      </c>
      <c r="H4348">
        <v>1</v>
      </c>
      <c r="I4348">
        <v>43</v>
      </c>
      <c r="J4348" t="str">
        <f>HYPERLINK("https://climate.onebuilding.org/WMO_Region_6_Europe/FRA_France/BT_Bretagne/FRA_BT_Pointe.du.Talut-Belle.Island.072070_TMYx.2004-2018.zip")</f>
        <v>https://climate.onebuilding.org/WMO_Region_6_Europe/FRA_France/BT_Bretagne/FRA_BT_Pointe.du.Talut-Belle.Island.072070_TMYx.2004-2018.zip</v>
      </c>
    </row>
    <row r="4349" spans="1:10" x14ac:dyDescent="0.25">
      <c r="A4349" t="s">
        <v>2883</v>
      </c>
      <c r="B4349" t="s">
        <v>2984</v>
      </c>
      <c r="C4349" t="s">
        <v>3126</v>
      </c>
      <c r="D4349" s="1" t="s">
        <v>3127</v>
      </c>
      <c r="E4349" t="s">
        <v>14</v>
      </c>
      <c r="F4349">
        <v>47.294400000000003</v>
      </c>
      <c r="G4349">
        <v>-3.2183000000000002</v>
      </c>
      <c r="H4349">
        <v>1</v>
      </c>
      <c r="I4349">
        <v>43</v>
      </c>
      <c r="J4349" t="str">
        <f>HYPERLINK("https://climate.onebuilding.org/WMO_Region_6_Europe/FRA_France/BT_Bretagne/FRA_BT_Pointe.du.Talut-Belle.Island.072070_TMYx.2007-2021.zip")</f>
        <v>https://climate.onebuilding.org/WMO_Region_6_Europe/FRA_France/BT_Bretagne/FRA_BT_Pointe.du.Talut-Belle.Island.072070_TMYx.2007-2021.zip</v>
      </c>
    </row>
    <row r="4350" spans="1:10" x14ac:dyDescent="0.25">
      <c r="A4350" t="s">
        <v>2883</v>
      </c>
      <c r="B4350" t="s">
        <v>2984</v>
      </c>
      <c r="C4350" t="s">
        <v>3126</v>
      </c>
      <c r="D4350" s="1" t="s">
        <v>3127</v>
      </c>
      <c r="E4350" t="s">
        <v>14</v>
      </c>
      <c r="F4350">
        <v>47.294400000000003</v>
      </c>
      <c r="G4350">
        <v>-3.2183000000000002</v>
      </c>
      <c r="H4350">
        <v>1</v>
      </c>
      <c r="I4350">
        <v>43</v>
      </c>
      <c r="J4350" t="str">
        <f>HYPERLINK("https://climate.onebuilding.org/WMO_Region_6_Europe/FRA_France/BT_Bretagne/FRA_BT_Pointe.du.Talut-Belle.Island.072070_TMYx.2009-2023.zip")</f>
        <v>https://climate.onebuilding.org/WMO_Region_6_Europe/FRA_France/BT_Bretagne/FRA_BT_Pointe.du.Talut-Belle.Island.072070_TMYx.2009-2023.zip</v>
      </c>
    </row>
    <row r="4351" spans="1:10" x14ac:dyDescent="0.25">
      <c r="A4351" t="s">
        <v>2883</v>
      </c>
      <c r="B4351" t="s">
        <v>2984</v>
      </c>
      <c r="C4351" t="s">
        <v>3126</v>
      </c>
      <c r="D4351" s="1" t="s">
        <v>3127</v>
      </c>
      <c r="E4351" t="s">
        <v>14</v>
      </c>
      <c r="F4351">
        <v>47.294400000000003</v>
      </c>
      <c r="G4351">
        <v>-3.2183000000000002</v>
      </c>
      <c r="H4351">
        <v>1</v>
      </c>
      <c r="I4351">
        <v>43</v>
      </c>
      <c r="J4351" t="str">
        <f>HYPERLINK("https://climate.onebuilding.org/WMO_Region_6_Europe/FRA_France/BT_Bretagne/FRA_BT_Pointe.du.Talut-Belle.Island.072070_TMYx.zip")</f>
        <v>https://climate.onebuilding.org/WMO_Region_6_Europe/FRA_France/BT_Bretagne/FRA_BT_Pointe.du.Talut-Belle.Island.072070_TMYx.zip</v>
      </c>
    </row>
    <row r="4352" spans="1:10" x14ac:dyDescent="0.25">
      <c r="A4352" t="s">
        <v>2883</v>
      </c>
      <c r="B4352" t="s">
        <v>2984</v>
      </c>
      <c r="C4352" t="s">
        <v>3129</v>
      </c>
      <c r="D4352" s="1" t="s">
        <v>3130</v>
      </c>
      <c r="E4352" t="s">
        <v>14</v>
      </c>
      <c r="F4352">
        <v>47.479900000000001</v>
      </c>
      <c r="G4352">
        <v>-3.0998000000000001</v>
      </c>
      <c r="H4352">
        <v>1</v>
      </c>
      <c r="I4352">
        <v>15</v>
      </c>
      <c r="J4352" t="str">
        <f>HYPERLINK("https://climate.onebuilding.org/WMO_Region_6_Europe/FRA_France/BT_Bretagne/FRA_BT_Quiberon-Morbihan.AP.072080_TMYx.2007-2021.zip")</f>
        <v>https://climate.onebuilding.org/WMO_Region_6_Europe/FRA_France/BT_Bretagne/FRA_BT_Quiberon-Morbihan.AP.072080_TMYx.2007-2021.zip</v>
      </c>
    </row>
    <row r="4353" spans="1:10" x14ac:dyDescent="0.25">
      <c r="A4353" t="s">
        <v>2883</v>
      </c>
      <c r="B4353" t="s">
        <v>2984</v>
      </c>
      <c r="C4353" t="s">
        <v>3129</v>
      </c>
      <c r="D4353" s="1" t="s">
        <v>3130</v>
      </c>
      <c r="E4353" t="s">
        <v>14</v>
      </c>
      <c r="F4353">
        <v>47.479900000000001</v>
      </c>
      <c r="G4353">
        <v>-3.0998000000000001</v>
      </c>
      <c r="H4353">
        <v>1</v>
      </c>
      <c r="I4353">
        <v>15</v>
      </c>
      <c r="J4353" t="str">
        <f>HYPERLINK("https://climate.onebuilding.org/WMO_Region_6_Europe/FRA_France/BT_Bretagne/FRA_BT_Quiberon-Morbihan.AP.072080_TMYx.2009-2023.zip")</f>
        <v>https://climate.onebuilding.org/WMO_Region_6_Europe/FRA_France/BT_Bretagne/FRA_BT_Quiberon-Morbihan.AP.072080_TMYx.2009-2023.zip</v>
      </c>
    </row>
    <row r="4354" spans="1:10" x14ac:dyDescent="0.25">
      <c r="A4354" t="s">
        <v>2883</v>
      </c>
      <c r="B4354" t="s">
        <v>2984</v>
      </c>
      <c r="C4354" t="s">
        <v>3129</v>
      </c>
      <c r="D4354" s="1" t="s">
        <v>3130</v>
      </c>
      <c r="E4354" t="s">
        <v>14</v>
      </c>
      <c r="F4354">
        <v>47.479900000000001</v>
      </c>
      <c r="G4354">
        <v>-3.0998000000000001</v>
      </c>
      <c r="H4354">
        <v>1</v>
      </c>
      <c r="I4354">
        <v>15</v>
      </c>
      <c r="J4354" t="str">
        <f>HYPERLINK("https://climate.onebuilding.org/WMO_Region_6_Europe/FRA_France/BT_Bretagne/FRA_BT_Quiberon-Morbihan.AP.072080_TMYx.zip")</f>
        <v>https://climate.onebuilding.org/WMO_Region_6_Europe/FRA_France/BT_Bretagne/FRA_BT_Quiberon-Morbihan.AP.072080_TMYx.zip</v>
      </c>
    </row>
    <row r="4355" spans="1:10" x14ac:dyDescent="0.25">
      <c r="A4355" t="s">
        <v>2883</v>
      </c>
      <c r="B4355" t="s">
        <v>2984</v>
      </c>
      <c r="C4355" t="s">
        <v>3131</v>
      </c>
      <c r="D4355" s="1" t="s">
        <v>3132</v>
      </c>
      <c r="E4355" t="s">
        <v>3133</v>
      </c>
      <c r="F4355">
        <v>47.6</v>
      </c>
      <c r="G4355">
        <v>-2.7170000000000001</v>
      </c>
      <c r="H4355">
        <v>1</v>
      </c>
      <c r="I4355">
        <v>3</v>
      </c>
      <c r="J4355" t="str">
        <f>HYPERLINK("https://climate.onebuilding.org/WMO_Region_6_Europe/FRA_France/BT_Bretagne/FRA_BT_Vannes.Sene.072100_TMYx.2004-2018.zip")</f>
        <v>https://climate.onebuilding.org/WMO_Region_6_Europe/FRA_France/BT_Bretagne/FRA_BT_Vannes.Sene.072100_TMYx.2004-2018.zip</v>
      </c>
    </row>
    <row r="4356" spans="1:10" x14ac:dyDescent="0.25">
      <c r="A4356" t="s">
        <v>2883</v>
      </c>
      <c r="B4356" t="s">
        <v>2984</v>
      </c>
      <c r="C4356" t="s">
        <v>3131</v>
      </c>
      <c r="D4356" s="1" t="s">
        <v>3132</v>
      </c>
      <c r="E4356" t="s">
        <v>14</v>
      </c>
      <c r="F4356">
        <v>47.6</v>
      </c>
      <c r="G4356">
        <v>-2.7170000000000001</v>
      </c>
      <c r="H4356">
        <v>1</v>
      </c>
      <c r="I4356">
        <v>3</v>
      </c>
      <c r="J4356" t="str">
        <f>HYPERLINK("https://climate.onebuilding.org/WMO_Region_6_Europe/FRA_France/BT_Bretagne/FRA_BT_Vannes.Sene.072100_TMYx.2007-2021.zip")</f>
        <v>https://climate.onebuilding.org/WMO_Region_6_Europe/FRA_France/BT_Bretagne/FRA_BT_Vannes.Sene.072100_TMYx.2007-2021.zip</v>
      </c>
    </row>
    <row r="4357" spans="1:10" x14ac:dyDescent="0.25">
      <c r="A4357" t="s">
        <v>2883</v>
      </c>
      <c r="B4357" t="s">
        <v>2984</v>
      </c>
      <c r="C4357" t="s">
        <v>3131</v>
      </c>
      <c r="D4357" s="1" t="s">
        <v>3132</v>
      </c>
      <c r="E4357" t="s">
        <v>14</v>
      </c>
      <c r="F4357">
        <v>47.6</v>
      </c>
      <c r="G4357">
        <v>-2.7170000000000001</v>
      </c>
      <c r="H4357">
        <v>1</v>
      </c>
      <c r="I4357">
        <v>3</v>
      </c>
      <c r="J4357" t="str">
        <f>HYPERLINK("https://climate.onebuilding.org/WMO_Region_6_Europe/FRA_France/BT_Bretagne/FRA_BT_Vannes.Sene.072100_TMYx.2009-2023.zip")</f>
        <v>https://climate.onebuilding.org/WMO_Region_6_Europe/FRA_France/BT_Bretagne/FRA_BT_Vannes.Sene.072100_TMYx.2009-2023.zip</v>
      </c>
    </row>
    <row r="4358" spans="1:10" x14ac:dyDescent="0.25">
      <c r="A4358" t="s">
        <v>2883</v>
      </c>
      <c r="B4358" t="s">
        <v>2984</v>
      </c>
      <c r="C4358" t="s">
        <v>3131</v>
      </c>
      <c r="D4358" s="1" t="s">
        <v>3132</v>
      </c>
      <c r="E4358" t="s">
        <v>14</v>
      </c>
      <c r="F4358">
        <v>47.6</v>
      </c>
      <c r="G4358">
        <v>-2.7170000000000001</v>
      </c>
      <c r="H4358">
        <v>1</v>
      </c>
      <c r="I4358">
        <v>3</v>
      </c>
      <c r="J4358" t="str">
        <f>HYPERLINK("https://climate.onebuilding.org/WMO_Region_6_Europe/FRA_France/BT_Bretagne/FRA_BT_Vannes.Sene.072100_TMYx.zip")</f>
        <v>https://climate.onebuilding.org/WMO_Region_6_Europe/FRA_France/BT_Bretagne/FRA_BT_Vannes.Sene.072100_TMYx.zip</v>
      </c>
    </row>
    <row r="4359" spans="1:10" x14ac:dyDescent="0.25">
      <c r="A4359" t="s">
        <v>2883</v>
      </c>
      <c r="B4359" t="s">
        <v>3033</v>
      </c>
      <c r="C4359" t="s">
        <v>3134</v>
      </c>
      <c r="D4359" s="1" t="s">
        <v>3135</v>
      </c>
      <c r="E4359" t="s">
        <v>3136</v>
      </c>
      <c r="F4359">
        <v>47.234200000000001</v>
      </c>
      <c r="G4359">
        <v>-2.2986</v>
      </c>
      <c r="H4359">
        <v>1</v>
      </c>
      <c r="I4359">
        <v>9</v>
      </c>
      <c r="J4359" t="str">
        <f>HYPERLINK("https://climate.onebuilding.org/WMO_Region_6_Europe/FRA_France/PL_Pays_de_la_Loire/FRA_PL_Pointe.de.Chemoulin.072160_TMYx.2004-2018.zip")</f>
        <v>https://climate.onebuilding.org/WMO_Region_6_Europe/FRA_France/PL_Pays_de_la_Loire/FRA_PL_Pointe.de.Chemoulin.072160_TMYx.2004-2018.zip</v>
      </c>
    </row>
    <row r="4360" spans="1:10" x14ac:dyDescent="0.25">
      <c r="A4360" t="s">
        <v>2883</v>
      </c>
      <c r="B4360" t="s">
        <v>3033</v>
      </c>
      <c r="C4360" t="s">
        <v>3134</v>
      </c>
      <c r="D4360" s="1" t="s">
        <v>3135</v>
      </c>
      <c r="E4360" t="s">
        <v>14</v>
      </c>
      <c r="F4360">
        <v>47.234200000000001</v>
      </c>
      <c r="G4360">
        <v>-2.2986</v>
      </c>
      <c r="H4360">
        <v>1</v>
      </c>
      <c r="I4360">
        <v>9</v>
      </c>
      <c r="J4360" t="str">
        <f>HYPERLINK("https://climate.onebuilding.org/WMO_Region_6_Europe/FRA_France/PL_Pays_de_la_Loire/FRA_PL_Pointe.de.Chemoulin.072160_TMYx.2007-2021.zip")</f>
        <v>https://climate.onebuilding.org/WMO_Region_6_Europe/FRA_France/PL_Pays_de_la_Loire/FRA_PL_Pointe.de.Chemoulin.072160_TMYx.2007-2021.zip</v>
      </c>
    </row>
    <row r="4361" spans="1:10" x14ac:dyDescent="0.25">
      <c r="A4361" t="s">
        <v>2883</v>
      </c>
      <c r="B4361" t="s">
        <v>3033</v>
      </c>
      <c r="C4361" t="s">
        <v>3134</v>
      </c>
      <c r="D4361" s="1" t="s">
        <v>3135</v>
      </c>
      <c r="E4361" t="s">
        <v>14</v>
      </c>
      <c r="F4361">
        <v>47.234200000000001</v>
      </c>
      <c r="G4361">
        <v>-2.2986</v>
      </c>
      <c r="H4361">
        <v>1</v>
      </c>
      <c r="I4361">
        <v>9</v>
      </c>
      <c r="J4361" t="str">
        <f>HYPERLINK("https://climate.onebuilding.org/WMO_Region_6_Europe/FRA_France/PL_Pays_de_la_Loire/FRA_PL_Pointe.de.Chemoulin.072160_TMYx.2009-2023.zip")</f>
        <v>https://climate.onebuilding.org/WMO_Region_6_Europe/FRA_France/PL_Pays_de_la_Loire/FRA_PL_Pointe.de.Chemoulin.072160_TMYx.2009-2023.zip</v>
      </c>
    </row>
    <row r="4362" spans="1:10" x14ac:dyDescent="0.25">
      <c r="A4362" t="s">
        <v>2883</v>
      </c>
      <c r="B4362" t="s">
        <v>3033</v>
      </c>
      <c r="C4362" t="s">
        <v>3134</v>
      </c>
      <c r="D4362" s="1" t="s">
        <v>3135</v>
      </c>
      <c r="E4362" t="s">
        <v>14</v>
      </c>
      <c r="F4362">
        <v>47.234200000000001</v>
      </c>
      <c r="G4362">
        <v>-2.2986</v>
      </c>
      <c r="H4362">
        <v>1</v>
      </c>
      <c r="I4362">
        <v>9</v>
      </c>
      <c r="J4362" t="str">
        <f>HYPERLINK("https://climate.onebuilding.org/WMO_Region_6_Europe/FRA_France/PL_Pays_de_la_Loire/FRA_PL_Pointe.de.Chemoulin.072160_TMYx.zip")</f>
        <v>https://climate.onebuilding.org/WMO_Region_6_Europe/FRA_France/PL_Pays_de_la_Loire/FRA_PL_Pointe.de.Chemoulin.072160_TMYx.zip</v>
      </c>
    </row>
    <row r="4363" spans="1:10" x14ac:dyDescent="0.25">
      <c r="A4363" t="s">
        <v>2883</v>
      </c>
      <c r="B4363" t="s">
        <v>3033</v>
      </c>
      <c r="C4363" t="s">
        <v>3137</v>
      </c>
      <c r="D4363" s="1" t="s">
        <v>3138</v>
      </c>
      <c r="E4363" t="s">
        <v>3139</v>
      </c>
      <c r="F4363">
        <v>47.313899999999997</v>
      </c>
      <c r="G4363">
        <v>-2.1543999999999999</v>
      </c>
      <c r="H4363">
        <v>1</v>
      </c>
      <c r="I4363">
        <v>4</v>
      </c>
      <c r="J4363" t="str">
        <f>HYPERLINK("https://climate.onebuilding.org/WMO_Region_6_Europe/FRA_France/PL_Pays_de_la_Loire/FRA_PL_St.Nazaire-Montoir.AP.072170_TMYx.2004-2018.zip")</f>
        <v>https://climate.onebuilding.org/WMO_Region_6_Europe/FRA_France/PL_Pays_de_la_Loire/FRA_PL_St.Nazaire-Montoir.AP.072170_TMYx.2004-2018.zip</v>
      </c>
    </row>
    <row r="4364" spans="1:10" x14ac:dyDescent="0.25">
      <c r="A4364" t="s">
        <v>2883</v>
      </c>
      <c r="B4364" t="s">
        <v>3033</v>
      </c>
      <c r="C4364" t="s">
        <v>3137</v>
      </c>
      <c r="D4364" s="1" t="s">
        <v>3138</v>
      </c>
      <c r="E4364" t="s">
        <v>14</v>
      </c>
      <c r="F4364">
        <v>47.313899999999997</v>
      </c>
      <c r="G4364">
        <v>-2.1543999999999999</v>
      </c>
      <c r="H4364">
        <v>1</v>
      </c>
      <c r="I4364">
        <v>4</v>
      </c>
      <c r="J4364" t="str">
        <f>HYPERLINK("https://climate.onebuilding.org/WMO_Region_6_Europe/FRA_France/PL_Pays_de_la_Loire/FRA_PL_St.Nazaire-Montoir.AP.072170_TMYx.2007-2021.zip")</f>
        <v>https://climate.onebuilding.org/WMO_Region_6_Europe/FRA_France/PL_Pays_de_la_Loire/FRA_PL_St.Nazaire-Montoir.AP.072170_TMYx.2007-2021.zip</v>
      </c>
    </row>
    <row r="4365" spans="1:10" x14ac:dyDescent="0.25">
      <c r="A4365" t="s">
        <v>2883</v>
      </c>
      <c r="B4365" t="s">
        <v>3033</v>
      </c>
      <c r="C4365" t="s">
        <v>3137</v>
      </c>
      <c r="D4365" s="1" t="s">
        <v>3138</v>
      </c>
      <c r="E4365" t="s">
        <v>14</v>
      </c>
      <c r="F4365">
        <v>47.313899999999997</v>
      </c>
      <c r="G4365">
        <v>-2.1543999999999999</v>
      </c>
      <c r="H4365">
        <v>1</v>
      </c>
      <c r="I4365">
        <v>4</v>
      </c>
      <c r="J4365" t="str">
        <f>HYPERLINK("https://climate.onebuilding.org/WMO_Region_6_Europe/FRA_France/PL_Pays_de_la_Loire/FRA_PL_St.Nazaire-Montoir.AP.072170_TMYx.2009-2023.zip")</f>
        <v>https://climate.onebuilding.org/WMO_Region_6_Europe/FRA_France/PL_Pays_de_la_Loire/FRA_PL_St.Nazaire-Montoir.AP.072170_TMYx.2009-2023.zip</v>
      </c>
    </row>
    <row r="4366" spans="1:10" x14ac:dyDescent="0.25">
      <c r="A4366" t="s">
        <v>2883</v>
      </c>
      <c r="B4366" t="s">
        <v>3033</v>
      </c>
      <c r="C4366" t="s">
        <v>3137</v>
      </c>
      <c r="D4366" s="1" t="s">
        <v>3138</v>
      </c>
      <c r="E4366" t="s">
        <v>14</v>
      </c>
      <c r="F4366">
        <v>47.313899999999997</v>
      </c>
      <c r="G4366">
        <v>-2.1543999999999999</v>
      </c>
      <c r="H4366">
        <v>1</v>
      </c>
      <c r="I4366">
        <v>4</v>
      </c>
      <c r="J4366" t="str">
        <f>HYPERLINK("https://climate.onebuilding.org/WMO_Region_6_Europe/FRA_France/PL_Pays_de_la_Loire/FRA_PL_St.Nazaire-Montoir.AP.072170_TMYx.zip")</f>
        <v>https://climate.onebuilding.org/WMO_Region_6_Europe/FRA_France/PL_Pays_de_la_Loire/FRA_PL_St.Nazaire-Montoir.AP.072170_TMYx.zip</v>
      </c>
    </row>
    <row r="4367" spans="1:10" x14ac:dyDescent="0.25">
      <c r="A4367" t="s">
        <v>2883</v>
      </c>
      <c r="B4367" t="s">
        <v>3033</v>
      </c>
      <c r="C4367" t="s">
        <v>3140</v>
      </c>
      <c r="D4367" s="1" t="s">
        <v>3141</v>
      </c>
      <c r="E4367" t="s">
        <v>3142</v>
      </c>
      <c r="F4367">
        <v>47.15</v>
      </c>
      <c r="G4367">
        <v>-1.6089</v>
      </c>
      <c r="H4367">
        <v>1</v>
      </c>
      <c r="I4367">
        <v>26</v>
      </c>
      <c r="J4367" t="str">
        <f>HYPERLINK("https://climate.onebuilding.org/WMO_Region_6_Europe/FRA_France/PL_Pays_de_la_Loire/FRA_PL_Nantes.Atlantique.AP.072220_TMYx.2004-2018.zip")</f>
        <v>https://climate.onebuilding.org/WMO_Region_6_Europe/FRA_France/PL_Pays_de_la_Loire/FRA_PL_Nantes.Atlantique.AP.072220_TMYx.2004-2018.zip</v>
      </c>
    </row>
    <row r="4368" spans="1:10" x14ac:dyDescent="0.25">
      <c r="A4368" t="s">
        <v>2883</v>
      </c>
      <c r="B4368" t="s">
        <v>3033</v>
      </c>
      <c r="C4368" t="s">
        <v>3140</v>
      </c>
      <c r="D4368" s="1" t="s">
        <v>3141</v>
      </c>
      <c r="E4368" t="s">
        <v>14</v>
      </c>
      <c r="F4368">
        <v>47.15</v>
      </c>
      <c r="G4368">
        <v>-1.6089</v>
      </c>
      <c r="H4368">
        <v>1</v>
      </c>
      <c r="I4368">
        <v>26</v>
      </c>
      <c r="J4368" t="str">
        <f>HYPERLINK("https://climate.onebuilding.org/WMO_Region_6_Europe/FRA_France/PL_Pays_de_la_Loire/FRA_PL_Nantes.Atlantique.AP.072220_TMYx.2007-2021.zip")</f>
        <v>https://climate.onebuilding.org/WMO_Region_6_Europe/FRA_France/PL_Pays_de_la_Loire/FRA_PL_Nantes.Atlantique.AP.072220_TMYx.2007-2021.zip</v>
      </c>
    </row>
    <row r="4369" spans="1:10" x14ac:dyDescent="0.25">
      <c r="A4369" t="s">
        <v>2883</v>
      </c>
      <c r="B4369" t="s">
        <v>3033</v>
      </c>
      <c r="C4369" t="s">
        <v>3140</v>
      </c>
      <c r="D4369" s="1" t="s">
        <v>3141</v>
      </c>
      <c r="E4369" t="s">
        <v>14</v>
      </c>
      <c r="F4369">
        <v>47.15</v>
      </c>
      <c r="G4369">
        <v>-1.6089</v>
      </c>
      <c r="H4369">
        <v>1</v>
      </c>
      <c r="I4369">
        <v>26</v>
      </c>
      <c r="J4369" t="str">
        <f>HYPERLINK("https://climate.onebuilding.org/WMO_Region_6_Europe/FRA_France/PL_Pays_de_la_Loire/FRA_PL_Nantes.Atlantique.AP.072220_TMYx.2009-2023.zip")</f>
        <v>https://climate.onebuilding.org/WMO_Region_6_Europe/FRA_France/PL_Pays_de_la_Loire/FRA_PL_Nantes.Atlantique.AP.072220_TMYx.2009-2023.zip</v>
      </c>
    </row>
    <row r="4370" spans="1:10" x14ac:dyDescent="0.25">
      <c r="A4370" t="s">
        <v>2883</v>
      </c>
      <c r="B4370" t="s">
        <v>3033</v>
      </c>
      <c r="C4370" t="s">
        <v>3140</v>
      </c>
      <c r="D4370" s="1" t="s">
        <v>3141</v>
      </c>
      <c r="E4370" t="s">
        <v>14</v>
      </c>
      <c r="F4370">
        <v>47.15</v>
      </c>
      <c r="G4370">
        <v>-1.6089</v>
      </c>
      <c r="H4370">
        <v>1</v>
      </c>
      <c r="I4370">
        <v>26</v>
      </c>
      <c r="J4370" t="str">
        <f>HYPERLINK("https://climate.onebuilding.org/WMO_Region_6_Europe/FRA_France/PL_Pays_de_la_Loire/FRA_PL_Nantes.Atlantique.AP.072220_TMYx.zip")</f>
        <v>https://climate.onebuilding.org/WMO_Region_6_Europe/FRA_France/PL_Pays_de_la_Loire/FRA_PL_Nantes.Atlantique.AP.072220_TMYx.zip</v>
      </c>
    </row>
    <row r="4371" spans="1:10" x14ac:dyDescent="0.25">
      <c r="A4371" t="s">
        <v>2883</v>
      </c>
      <c r="B4371" t="s">
        <v>3033</v>
      </c>
      <c r="C4371" t="s">
        <v>3143</v>
      </c>
      <c r="D4371" s="1" t="s">
        <v>3144</v>
      </c>
      <c r="E4371" t="s">
        <v>3145</v>
      </c>
      <c r="F4371">
        <v>47.478900000000003</v>
      </c>
      <c r="G4371">
        <v>-0.61439999999999995</v>
      </c>
      <c r="H4371">
        <v>1</v>
      </c>
      <c r="I4371">
        <v>48</v>
      </c>
      <c r="J4371" t="str">
        <f>HYPERLINK("https://climate.onebuilding.org/WMO_Region_6_Europe/FRA_France/PL_Pays_de_la_Loire/FRA_PL_Beaucouze.072300_TMYx.2004-2018.zip")</f>
        <v>https://climate.onebuilding.org/WMO_Region_6_Europe/FRA_France/PL_Pays_de_la_Loire/FRA_PL_Beaucouze.072300_TMYx.2004-2018.zip</v>
      </c>
    </row>
    <row r="4372" spans="1:10" x14ac:dyDescent="0.25">
      <c r="A4372" t="s">
        <v>2883</v>
      </c>
      <c r="B4372" t="s">
        <v>3033</v>
      </c>
      <c r="C4372" t="s">
        <v>3143</v>
      </c>
      <c r="D4372" s="1" t="s">
        <v>3144</v>
      </c>
      <c r="E4372" t="s">
        <v>14</v>
      </c>
      <c r="F4372">
        <v>47.478900000000003</v>
      </c>
      <c r="G4372">
        <v>-0.61439999999999995</v>
      </c>
      <c r="H4372">
        <v>1</v>
      </c>
      <c r="I4372">
        <v>48</v>
      </c>
      <c r="J4372" t="str">
        <f>HYPERLINK("https://climate.onebuilding.org/WMO_Region_6_Europe/FRA_France/PL_Pays_de_la_Loire/FRA_PL_Beaucouze.072300_TMYx.2007-2021.zip")</f>
        <v>https://climate.onebuilding.org/WMO_Region_6_Europe/FRA_France/PL_Pays_de_la_Loire/FRA_PL_Beaucouze.072300_TMYx.2007-2021.zip</v>
      </c>
    </row>
    <row r="4373" spans="1:10" x14ac:dyDescent="0.25">
      <c r="A4373" t="s">
        <v>2883</v>
      </c>
      <c r="B4373" t="s">
        <v>3033</v>
      </c>
      <c r="C4373" t="s">
        <v>3143</v>
      </c>
      <c r="D4373" s="1" t="s">
        <v>3144</v>
      </c>
      <c r="E4373" t="s">
        <v>14</v>
      </c>
      <c r="F4373">
        <v>47.478900000000003</v>
      </c>
      <c r="G4373">
        <v>-0.61439999999999995</v>
      </c>
      <c r="H4373">
        <v>1</v>
      </c>
      <c r="I4373">
        <v>48</v>
      </c>
      <c r="J4373" t="str">
        <f>HYPERLINK("https://climate.onebuilding.org/WMO_Region_6_Europe/FRA_France/PL_Pays_de_la_Loire/FRA_PL_Beaucouze.072300_TMYx.2009-2023.zip")</f>
        <v>https://climate.onebuilding.org/WMO_Region_6_Europe/FRA_France/PL_Pays_de_la_Loire/FRA_PL_Beaucouze.072300_TMYx.2009-2023.zip</v>
      </c>
    </row>
    <row r="4374" spans="1:10" x14ac:dyDescent="0.25">
      <c r="A4374" t="s">
        <v>2883</v>
      </c>
      <c r="B4374" t="s">
        <v>3033</v>
      </c>
      <c r="C4374" t="s">
        <v>3143</v>
      </c>
      <c r="D4374" s="1" t="s">
        <v>3144</v>
      </c>
      <c r="E4374" t="s">
        <v>14</v>
      </c>
      <c r="F4374">
        <v>47.478900000000003</v>
      </c>
      <c r="G4374">
        <v>-0.61439999999999995</v>
      </c>
      <c r="H4374">
        <v>1</v>
      </c>
      <c r="I4374">
        <v>48</v>
      </c>
      <c r="J4374" t="str">
        <f>HYPERLINK("https://climate.onebuilding.org/WMO_Region_6_Europe/FRA_France/PL_Pays_de_la_Loire/FRA_PL_Beaucouze.072300_TMYx.zip")</f>
        <v>https://climate.onebuilding.org/WMO_Region_6_Europe/FRA_France/PL_Pays_de_la_Loire/FRA_PL_Beaucouze.072300_TMYx.zip</v>
      </c>
    </row>
    <row r="4375" spans="1:10" x14ac:dyDescent="0.25">
      <c r="A4375" t="s">
        <v>2883</v>
      </c>
      <c r="B4375" t="s">
        <v>3033</v>
      </c>
      <c r="C4375" t="s">
        <v>3146</v>
      </c>
      <c r="D4375" s="1" t="s">
        <v>3147</v>
      </c>
      <c r="E4375" t="s">
        <v>3148</v>
      </c>
      <c r="F4375">
        <v>47.940800000000003</v>
      </c>
      <c r="G4375">
        <v>0.18970000000000001</v>
      </c>
      <c r="H4375">
        <v>1</v>
      </c>
      <c r="I4375">
        <v>52</v>
      </c>
      <c r="J4375" t="str">
        <f>HYPERLINK("https://climate.onebuilding.org/WMO_Region_6_Europe/FRA_France/PL_Pays_de_la_Loire/FRA_PL_Le.Mans.Arnage.AP.072350_TMYx.2004-2018.zip")</f>
        <v>https://climate.onebuilding.org/WMO_Region_6_Europe/FRA_France/PL_Pays_de_la_Loire/FRA_PL_Le.Mans.Arnage.AP.072350_TMYx.2004-2018.zip</v>
      </c>
    </row>
    <row r="4376" spans="1:10" x14ac:dyDescent="0.25">
      <c r="A4376" t="s">
        <v>2883</v>
      </c>
      <c r="B4376" t="s">
        <v>3033</v>
      </c>
      <c r="C4376" t="s">
        <v>3146</v>
      </c>
      <c r="D4376" s="1" t="s">
        <v>3147</v>
      </c>
      <c r="E4376" t="s">
        <v>14</v>
      </c>
      <c r="F4376">
        <v>47.940800000000003</v>
      </c>
      <c r="G4376">
        <v>0.18970000000000001</v>
      </c>
      <c r="H4376">
        <v>1</v>
      </c>
      <c r="I4376">
        <v>52</v>
      </c>
      <c r="J4376" t="str">
        <f>HYPERLINK("https://climate.onebuilding.org/WMO_Region_6_Europe/FRA_France/PL_Pays_de_la_Loire/FRA_PL_Le.Mans.Arnage.AP.072350_TMYx.2007-2021.zip")</f>
        <v>https://climate.onebuilding.org/WMO_Region_6_Europe/FRA_France/PL_Pays_de_la_Loire/FRA_PL_Le.Mans.Arnage.AP.072350_TMYx.2007-2021.zip</v>
      </c>
    </row>
    <row r="4377" spans="1:10" x14ac:dyDescent="0.25">
      <c r="A4377" t="s">
        <v>2883</v>
      </c>
      <c r="B4377" t="s">
        <v>3033</v>
      </c>
      <c r="C4377" t="s">
        <v>3146</v>
      </c>
      <c r="D4377" s="1" t="s">
        <v>3147</v>
      </c>
      <c r="E4377" t="s">
        <v>14</v>
      </c>
      <c r="F4377">
        <v>47.940800000000003</v>
      </c>
      <c r="G4377">
        <v>0.18970000000000001</v>
      </c>
      <c r="H4377">
        <v>1</v>
      </c>
      <c r="I4377">
        <v>52</v>
      </c>
      <c r="J4377" t="str">
        <f>HYPERLINK("https://climate.onebuilding.org/WMO_Region_6_Europe/FRA_France/PL_Pays_de_la_Loire/FRA_PL_Le.Mans.Arnage.AP.072350_TMYx.2009-2023.zip")</f>
        <v>https://climate.onebuilding.org/WMO_Region_6_Europe/FRA_France/PL_Pays_de_la_Loire/FRA_PL_Le.Mans.Arnage.AP.072350_TMYx.2009-2023.zip</v>
      </c>
    </row>
    <row r="4378" spans="1:10" x14ac:dyDescent="0.25">
      <c r="A4378" t="s">
        <v>2883</v>
      </c>
      <c r="B4378" t="s">
        <v>3033</v>
      </c>
      <c r="C4378" t="s">
        <v>3146</v>
      </c>
      <c r="D4378" s="1" t="s">
        <v>3147</v>
      </c>
      <c r="E4378" t="s">
        <v>14</v>
      </c>
      <c r="F4378">
        <v>47.940800000000003</v>
      </c>
      <c r="G4378">
        <v>0.18970000000000001</v>
      </c>
      <c r="H4378">
        <v>1</v>
      </c>
      <c r="I4378">
        <v>52</v>
      </c>
      <c r="J4378" t="str">
        <f>HYPERLINK("https://climate.onebuilding.org/WMO_Region_6_Europe/FRA_France/PL_Pays_de_la_Loire/FRA_PL_Le.Mans.Arnage.AP.072350_TMYx.zip")</f>
        <v>https://climate.onebuilding.org/WMO_Region_6_Europe/FRA_France/PL_Pays_de_la_Loire/FRA_PL_Le.Mans.Arnage.AP.072350_TMYx.zip</v>
      </c>
    </row>
    <row r="4379" spans="1:10" x14ac:dyDescent="0.25">
      <c r="A4379" t="s">
        <v>2883</v>
      </c>
      <c r="B4379" t="s">
        <v>3040</v>
      </c>
      <c r="C4379" t="s">
        <v>3149</v>
      </c>
      <c r="D4379" s="1" t="s">
        <v>3150</v>
      </c>
      <c r="E4379" t="s">
        <v>3151</v>
      </c>
      <c r="F4379">
        <v>47.444499999999998</v>
      </c>
      <c r="G4379">
        <v>0.72750000000000004</v>
      </c>
      <c r="H4379">
        <v>1</v>
      </c>
      <c r="I4379">
        <v>112</v>
      </c>
      <c r="J4379" t="str">
        <f>HYPERLINK("https://climate.onebuilding.org/WMO_Region_6_Europe/FRA_France/CN_Centre-Val_de_Loire/FRA_CN_Tours-Val.de.Loire.AP.072400_TMYx.2004-2018.zip")</f>
        <v>https://climate.onebuilding.org/WMO_Region_6_Europe/FRA_France/CN_Centre-Val_de_Loire/FRA_CN_Tours-Val.de.Loire.AP.072400_TMYx.2004-2018.zip</v>
      </c>
    </row>
    <row r="4380" spans="1:10" x14ac:dyDescent="0.25">
      <c r="A4380" t="s">
        <v>2883</v>
      </c>
      <c r="B4380" t="s">
        <v>3040</v>
      </c>
      <c r="C4380" t="s">
        <v>3149</v>
      </c>
      <c r="D4380" s="1" t="s">
        <v>3150</v>
      </c>
      <c r="E4380" t="s">
        <v>14</v>
      </c>
      <c r="F4380">
        <v>47.444499999999998</v>
      </c>
      <c r="G4380">
        <v>0.72750000000000004</v>
      </c>
      <c r="H4380">
        <v>1</v>
      </c>
      <c r="I4380">
        <v>112</v>
      </c>
      <c r="J4380" t="str">
        <f>HYPERLINK("https://climate.onebuilding.org/WMO_Region_6_Europe/FRA_France/CN_Centre-Val_de_Loire/FRA_CN_Tours-Val.de.Loire.AP.072400_TMYx.2007-2021.zip")</f>
        <v>https://climate.onebuilding.org/WMO_Region_6_Europe/FRA_France/CN_Centre-Val_de_Loire/FRA_CN_Tours-Val.de.Loire.AP.072400_TMYx.2007-2021.zip</v>
      </c>
    </row>
    <row r="4381" spans="1:10" x14ac:dyDescent="0.25">
      <c r="A4381" t="s">
        <v>2883</v>
      </c>
      <c r="B4381" t="s">
        <v>3040</v>
      </c>
      <c r="C4381" t="s">
        <v>3149</v>
      </c>
      <c r="D4381" s="1" t="s">
        <v>3150</v>
      </c>
      <c r="E4381" t="s">
        <v>14</v>
      </c>
      <c r="F4381">
        <v>47.444499999999998</v>
      </c>
      <c r="G4381">
        <v>0.72750000000000004</v>
      </c>
      <c r="H4381">
        <v>1</v>
      </c>
      <c r="I4381">
        <v>112</v>
      </c>
      <c r="J4381" t="str">
        <f>HYPERLINK("https://climate.onebuilding.org/WMO_Region_6_Europe/FRA_France/CN_Centre-Val_de_Loire/FRA_CN_Tours-Val.de.Loire.AP.072400_TMYx.2009-2023.zip")</f>
        <v>https://climate.onebuilding.org/WMO_Region_6_Europe/FRA_France/CN_Centre-Val_de_Loire/FRA_CN_Tours-Val.de.Loire.AP.072400_TMYx.2009-2023.zip</v>
      </c>
    </row>
    <row r="4382" spans="1:10" x14ac:dyDescent="0.25">
      <c r="A4382" t="s">
        <v>2883</v>
      </c>
      <c r="B4382" t="s">
        <v>3040</v>
      </c>
      <c r="C4382" t="s">
        <v>3149</v>
      </c>
      <c r="D4382" s="1" t="s">
        <v>3150</v>
      </c>
      <c r="E4382" t="s">
        <v>14</v>
      </c>
      <c r="F4382">
        <v>47.444499999999998</v>
      </c>
      <c r="G4382">
        <v>0.72750000000000004</v>
      </c>
      <c r="H4382">
        <v>1</v>
      </c>
      <c r="I4382">
        <v>112</v>
      </c>
      <c r="J4382" t="str">
        <f>HYPERLINK("https://climate.onebuilding.org/WMO_Region_6_Europe/FRA_France/CN_Centre-Val_de_Loire/FRA_CN_Tours-Val.de.Loire.AP.072400_TMYx.zip")</f>
        <v>https://climate.onebuilding.org/WMO_Region_6_Europe/FRA_France/CN_Centre-Val_de_Loire/FRA_CN_Tours-Val.de.Loire.AP.072400_TMYx.zip</v>
      </c>
    </row>
    <row r="4383" spans="1:10" x14ac:dyDescent="0.25">
      <c r="A4383" t="s">
        <v>2883</v>
      </c>
      <c r="B4383" t="s">
        <v>3040</v>
      </c>
      <c r="C4383" t="s">
        <v>3152</v>
      </c>
      <c r="D4383" s="1" t="s">
        <v>3153</v>
      </c>
      <c r="E4383" t="s">
        <v>3154</v>
      </c>
      <c r="F4383">
        <v>47.679499999999997</v>
      </c>
      <c r="G4383">
        <v>1.2124999999999999</v>
      </c>
      <c r="H4383">
        <v>1</v>
      </c>
      <c r="I4383">
        <v>130</v>
      </c>
      <c r="J4383" t="str">
        <f>HYPERLINK("https://climate.onebuilding.org/WMO_Region_6_Europe/FRA_France/CN_Centre-Val_de_Loire/FRA_CN_Blois-le.Breuil.AP.072450_TMYx.2004-2018.zip")</f>
        <v>https://climate.onebuilding.org/WMO_Region_6_Europe/FRA_France/CN_Centre-Val_de_Loire/FRA_CN_Blois-le.Breuil.AP.072450_TMYx.2004-2018.zip</v>
      </c>
    </row>
    <row r="4384" spans="1:10" x14ac:dyDescent="0.25">
      <c r="A4384" t="s">
        <v>2883</v>
      </c>
      <c r="B4384" t="s">
        <v>3040</v>
      </c>
      <c r="C4384" t="s">
        <v>3152</v>
      </c>
      <c r="D4384" s="1" t="s">
        <v>3153</v>
      </c>
      <c r="E4384" t="s">
        <v>14</v>
      </c>
      <c r="F4384">
        <v>47.679499999999997</v>
      </c>
      <c r="G4384">
        <v>1.2124999999999999</v>
      </c>
      <c r="H4384">
        <v>1</v>
      </c>
      <c r="I4384">
        <v>130</v>
      </c>
      <c r="J4384" t="str">
        <f>HYPERLINK("https://climate.onebuilding.org/WMO_Region_6_Europe/FRA_France/CN_Centre-Val_de_Loire/FRA_CN_Blois-le.Breuil.AP.072450_TMYx.2007-2021.zip")</f>
        <v>https://climate.onebuilding.org/WMO_Region_6_Europe/FRA_France/CN_Centre-Val_de_Loire/FRA_CN_Blois-le.Breuil.AP.072450_TMYx.2007-2021.zip</v>
      </c>
    </row>
    <row r="4385" spans="1:10" x14ac:dyDescent="0.25">
      <c r="A4385" t="s">
        <v>2883</v>
      </c>
      <c r="B4385" t="s">
        <v>3040</v>
      </c>
      <c r="C4385" t="s">
        <v>3152</v>
      </c>
      <c r="D4385" s="1" t="s">
        <v>3153</v>
      </c>
      <c r="E4385" t="s">
        <v>14</v>
      </c>
      <c r="F4385">
        <v>47.679499999999997</v>
      </c>
      <c r="G4385">
        <v>1.2124999999999999</v>
      </c>
      <c r="H4385">
        <v>1</v>
      </c>
      <c r="I4385">
        <v>130</v>
      </c>
      <c r="J4385" t="str">
        <f>HYPERLINK("https://climate.onebuilding.org/WMO_Region_6_Europe/FRA_France/CN_Centre-Val_de_Loire/FRA_CN_Blois-le.Breuil.AP.072450_TMYx.2009-2023.zip")</f>
        <v>https://climate.onebuilding.org/WMO_Region_6_Europe/FRA_France/CN_Centre-Val_de_Loire/FRA_CN_Blois-le.Breuil.AP.072450_TMYx.2009-2023.zip</v>
      </c>
    </row>
    <row r="4386" spans="1:10" x14ac:dyDescent="0.25">
      <c r="A4386" t="s">
        <v>2883</v>
      </c>
      <c r="B4386" t="s">
        <v>3040</v>
      </c>
      <c r="C4386" t="s">
        <v>3152</v>
      </c>
      <c r="D4386" s="1" t="s">
        <v>3153</v>
      </c>
      <c r="E4386" t="s">
        <v>14</v>
      </c>
      <c r="F4386">
        <v>47.679499999999997</v>
      </c>
      <c r="G4386">
        <v>1.2124999999999999</v>
      </c>
      <c r="H4386">
        <v>1</v>
      </c>
      <c r="I4386">
        <v>130</v>
      </c>
      <c r="J4386" t="str">
        <f>HYPERLINK("https://climate.onebuilding.org/WMO_Region_6_Europe/FRA_France/CN_Centre-Val_de_Loire/FRA_CN_Blois-le.Breuil.AP.072450_TMYx.zip")</f>
        <v>https://climate.onebuilding.org/WMO_Region_6_Europe/FRA_France/CN_Centre-Val_de_Loire/FRA_CN_Blois-le.Breuil.AP.072450_TMYx.zip</v>
      </c>
    </row>
    <row r="4387" spans="1:10" x14ac:dyDescent="0.25">
      <c r="A4387" t="s">
        <v>2883</v>
      </c>
      <c r="B4387" t="s">
        <v>3040</v>
      </c>
      <c r="C4387" t="s">
        <v>3155</v>
      </c>
      <c r="D4387" s="1" t="s">
        <v>3156</v>
      </c>
      <c r="E4387" t="s">
        <v>3157</v>
      </c>
      <c r="F4387">
        <v>47.319699999999997</v>
      </c>
      <c r="G4387">
        <v>1.6875</v>
      </c>
      <c r="H4387">
        <v>1</v>
      </c>
      <c r="I4387">
        <v>86</v>
      </c>
      <c r="J4387" t="str">
        <f>HYPERLINK("https://climate.onebuilding.org/WMO_Region_6_Europe/FRA_France/CN_Centre-Val_de_Loire/FRA_CN_Romorantin-Pruniers.AB.072470_TMYx.2004-2018.zip")</f>
        <v>https://climate.onebuilding.org/WMO_Region_6_Europe/FRA_France/CN_Centre-Val_de_Loire/FRA_CN_Romorantin-Pruniers.AB.072470_TMYx.2004-2018.zip</v>
      </c>
    </row>
    <row r="4388" spans="1:10" x14ac:dyDescent="0.25">
      <c r="A4388" t="s">
        <v>2883</v>
      </c>
      <c r="B4388" t="s">
        <v>3040</v>
      </c>
      <c r="C4388" t="s">
        <v>3155</v>
      </c>
      <c r="D4388" s="1" t="s">
        <v>3156</v>
      </c>
      <c r="E4388" t="s">
        <v>14</v>
      </c>
      <c r="F4388">
        <v>47.319699999999997</v>
      </c>
      <c r="G4388">
        <v>1.6875</v>
      </c>
      <c r="H4388">
        <v>1</v>
      </c>
      <c r="I4388">
        <v>86</v>
      </c>
      <c r="J4388" t="str">
        <f>HYPERLINK("https://climate.onebuilding.org/WMO_Region_6_Europe/FRA_France/CN_Centre-Val_de_Loire/FRA_CN_Romorantin-Pruniers.AB.072470_TMYx.2007-2021.zip")</f>
        <v>https://climate.onebuilding.org/WMO_Region_6_Europe/FRA_France/CN_Centre-Val_de_Loire/FRA_CN_Romorantin-Pruniers.AB.072470_TMYx.2007-2021.zip</v>
      </c>
    </row>
    <row r="4389" spans="1:10" x14ac:dyDescent="0.25">
      <c r="A4389" t="s">
        <v>2883</v>
      </c>
      <c r="B4389" t="s">
        <v>3040</v>
      </c>
      <c r="C4389" t="s">
        <v>3155</v>
      </c>
      <c r="D4389" s="1" t="s">
        <v>3156</v>
      </c>
      <c r="E4389" t="s">
        <v>14</v>
      </c>
      <c r="F4389">
        <v>47.319699999999997</v>
      </c>
      <c r="G4389">
        <v>1.6875</v>
      </c>
      <c r="H4389">
        <v>1</v>
      </c>
      <c r="I4389">
        <v>86</v>
      </c>
      <c r="J4389" t="str">
        <f>HYPERLINK("https://climate.onebuilding.org/WMO_Region_6_Europe/FRA_France/CN_Centre-Val_de_Loire/FRA_CN_Romorantin-Pruniers.AB.072470_TMYx.2009-2023.zip")</f>
        <v>https://climate.onebuilding.org/WMO_Region_6_Europe/FRA_France/CN_Centre-Val_de_Loire/FRA_CN_Romorantin-Pruniers.AB.072470_TMYx.2009-2023.zip</v>
      </c>
    </row>
    <row r="4390" spans="1:10" x14ac:dyDescent="0.25">
      <c r="A4390" t="s">
        <v>2883</v>
      </c>
      <c r="B4390" t="s">
        <v>3040</v>
      </c>
      <c r="C4390" t="s">
        <v>3155</v>
      </c>
      <c r="D4390" s="1" t="s">
        <v>3156</v>
      </c>
      <c r="E4390" t="s">
        <v>14</v>
      </c>
      <c r="F4390">
        <v>47.319699999999997</v>
      </c>
      <c r="G4390">
        <v>1.6875</v>
      </c>
      <c r="H4390">
        <v>1</v>
      </c>
      <c r="I4390">
        <v>86</v>
      </c>
      <c r="J4390" t="str">
        <f>HYPERLINK("https://climate.onebuilding.org/WMO_Region_6_Europe/FRA_France/CN_Centre-Val_de_Loire/FRA_CN_Romorantin-Pruniers.AB.072470_TMYx.zip")</f>
        <v>https://climate.onebuilding.org/WMO_Region_6_Europe/FRA_France/CN_Centre-Val_de_Loire/FRA_CN_Romorantin-Pruniers.AB.072470_TMYx.zip</v>
      </c>
    </row>
    <row r="4391" spans="1:10" x14ac:dyDescent="0.25">
      <c r="A4391" t="s">
        <v>2883</v>
      </c>
      <c r="B4391" t="s">
        <v>3040</v>
      </c>
      <c r="C4391" t="s">
        <v>3158</v>
      </c>
      <c r="D4391" s="1" t="s">
        <v>3159</v>
      </c>
      <c r="E4391" t="s">
        <v>3160</v>
      </c>
      <c r="F4391">
        <v>47.988</v>
      </c>
      <c r="G4391">
        <v>1.7609999999999999</v>
      </c>
      <c r="H4391">
        <v>1</v>
      </c>
      <c r="I4391">
        <v>125.6</v>
      </c>
      <c r="J4391" t="str">
        <f>HYPERLINK("https://climate.onebuilding.org/WMO_Region_6_Europe/FRA_France/CN_Centre-Val_de_Loire/FRA_CN_Orleans-Bricy.AB.072490_TMYx.2004-2018.zip")</f>
        <v>https://climate.onebuilding.org/WMO_Region_6_Europe/FRA_France/CN_Centre-Val_de_Loire/FRA_CN_Orleans-Bricy.AB.072490_TMYx.2004-2018.zip</v>
      </c>
    </row>
    <row r="4392" spans="1:10" x14ac:dyDescent="0.25">
      <c r="A4392" t="s">
        <v>2883</v>
      </c>
      <c r="B4392" t="s">
        <v>3040</v>
      </c>
      <c r="C4392" t="s">
        <v>3158</v>
      </c>
      <c r="D4392" s="1" t="s">
        <v>3159</v>
      </c>
      <c r="E4392" t="s">
        <v>14</v>
      </c>
      <c r="F4392">
        <v>47.988</v>
      </c>
      <c r="G4392">
        <v>1.7609999999999999</v>
      </c>
      <c r="H4392">
        <v>1</v>
      </c>
      <c r="I4392">
        <v>125.6</v>
      </c>
      <c r="J4392" t="str">
        <f>HYPERLINK("https://climate.onebuilding.org/WMO_Region_6_Europe/FRA_France/CN_Centre-Val_de_Loire/FRA_CN_Orleans-Bricy.AB.072490_TMYx.2007-2021.zip")</f>
        <v>https://climate.onebuilding.org/WMO_Region_6_Europe/FRA_France/CN_Centre-Val_de_Loire/FRA_CN_Orleans-Bricy.AB.072490_TMYx.2007-2021.zip</v>
      </c>
    </row>
    <row r="4393" spans="1:10" x14ac:dyDescent="0.25">
      <c r="A4393" t="s">
        <v>2883</v>
      </c>
      <c r="B4393" t="s">
        <v>3040</v>
      </c>
      <c r="C4393" t="s">
        <v>3158</v>
      </c>
      <c r="D4393" s="1" t="s">
        <v>3159</v>
      </c>
      <c r="E4393" t="s">
        <v>14</v>
      </c>
      <c r="F4393">
        <v>47.988</v>
      </c>
      <c r="G4393">
        <v>1.7609999999999999</v>
      </c>
      <c r="H4393">
        <v>1</v>
      </c>
      <c r="I4393">
        <v>125.6</v>
      </c>
      <c r="J4393" t="str">
        <f>HYPERLINK("https://climate.onebuilding.org/WMO_Region_6_Europe/FRA_France/CN_Centre-Val_de_Loire/FRA_CN_Orleans-Bricy.AB.072490_TMYx.2009-2023.zip")</f>
        <v>https://climate.onebuilding.org/WMO_Region_6_Europe/FRA_France/CN_Centre-Val_de_Loire/FRA_CN_Orleans-Bricy.AB.072490_TMYx.2009-2023.zip</v>
      </c>
    </row>
    <row r="4394" spans="1:10" x14ac:dyDescent="0.25">
      <c r="A4394" t="s">
        <v>2883</v>
      </c>
      <c r="B4394" t="s">
        <v>3040</v>
      </c>
      <c r="C4394" t="s">
        <v>3158</v>
      </c>
      <c r="D4394" s="1" t="s">
        <v>3159</v>
      </c>
      <c r="E4394" t="s">
        <v>14</v>
      </c>
      <c r="F4394">
        <v>47.988</v>
      </c>
      <c r="G4394">
        <v>1.7609999999999999</v>
      </c>
      <c r="H4394">
        <v>1</v>
      </c>
      <c r="I4394">
        <v>125.6</v>
      </c>
      <c r="J4394" t="str">
        <f>HYPERLINK("https://climate.onebuilding.org/WMO_Region_6_Europe/FRA_France/CN_Centre-Val_de_Loire/FRA_CN_Orleans-Bricy.AB.072490_TMYx.zip")</f>
        <v>https://climate.onebuilding.org/WMO_Region_6_Europe/FRA_France/CN_Centre-Val_de_Loire/FRA_CN_Orleans-Bricy.AB.072490_TMYx.zip</v>
      </c>
    </row>
    <row r="4395" spans="1:10" x14ac:dyDescent="0.25">
      <c r="A4395" t="s">
        <v>2883</v>
      </c>
      <c r="B4395" t="s">
        <v>3040</v>
      </c>
      <c r="C4395" t="s">
        <v>3161</v>
      </c>
      <c r="D4395" s="1" t="s">
        <v>3162</v>
      </c>
      <c r="E4395" t="s">
        <v>3163</v>
      </c>
      <c r="F4395">
        <v>47.059199999999997</v>
      </c>
      <c r="G4395">
        <v>2.3597000000000001</v>
      </c>
      <c r="H4395">
        <v>1</v>
      </c>
      <c r="I4395">
        <v>166</v>
      </c>
      <c r="J4395" t="str">
        <f>HYPERLINK("https://climate.onebuilding.org/WMO_Region_6_Europe/FRA_France/CN_Centre-Val_de_Loire/FRA_CN_Bourges.AP.072550_TMYx.2004-2018.zip")</f>
        <v>https://climate.onebuilding.org/WMO_Region_6_Europe/FRA_France/CN_Centre-Val_de_Loire/FRA_CN_Bourges.AP.072550_TMYx.2004-2018.zip</v>
      </c>
    </row>
    <row r="4396" spans="1:10" x14ac:dyDescent="0.25">
      <c r="A4396" t="s">
        <v>2883</v>
      </c>
      <c r="B4396" t="s">
        <v>3040</v>
      </c>
      <c r="C4396" t="s">
        <v>3161</v>
      </c>
      <c r="D4396" s="1" t="s">
        <v>3162</v>
      </c>
      <c r="E4396" t="s">
        <v>14</v>
      </c>
      <c r="F4396">
        <v>47.059199999999997</v>
      </c>
      <c r="G4396">
        <v>2.3597000000000001</v>
      </c>
      <c r="H4396">
        <v>1</v>
      </c>
      <c r="I4396">
        <v>166</v>
      </c>
      <c r="J4396" t="str">
        <f>HYPERLINK("https://climate.onebuilding.org/WMO_Region_6_Europe/FRA_France/CN_Centre-Val_de_Loire/FRA_CN_Bourges.AP.072550_TMYx.2007-2021.zip")</f>
        <v>https://climate.onebuilding.org/WMO_Region_6_Europe/FRA_France/CN_Centre-Val_de_Loire/FRA_CN_Bourges.AP.072550_TMYx.2007-2021.zip</v>
      </c>
    </row>
    <row r="4397" spans="1:10" x14ac:dyDescent="0.25">
      <c r="A4397" t="s">
        <v>2883</v>
      </c>
      <c r="B4397" t="s">
        <v>3040</v>
      </c>
      <c r="C4397" t="s">
        <v>3161</v>
      </c>
      <c r="D4397" s="1" t="s">
        <v>3162</v>
      </c>
      <c r="E4397" t="s">
        <v>14</v>
      </c>
      <c r="F4397">
        <v>47.059199999999997</v>
      </c>
      <c r="G4397">
        <v>2.3597000000000001</v>
      </c>
      <c r="H4397">
        <v>1</v>
      </c>
      <c r="I4397">
        <v>166</v>
      </c>
      <c r="J4397" t="str">
        <f>HYPERLINK("https://climate.onebuilding.org/WMO_Region_6_Europe/FRA_France/CN_Centre-Val_de_Loire/FRA_CN_Bourges.AP.072550_TMYx.2009-2023.zip")</f>
        <v>https://climate.onebuilding.org/WMO_Region_6_Europe/FRA_France/CN_Centre-Val_de_Loire/FRA_CN_Bourges.AP.072550_TMYx.2009-2023.zip</v>
      </c>
    </row>
    <row r="4398" spans="1:10" x14ac:dyDescent="0.25">
      <c r="A4398" t="s">
        <v>2883</v>
      </c>
      <c r="B4398" t="s">
        <v>3040</v>
      </c>
      <c r="C4398" t="s">
        <v>3161</v>
      </c>
      <c r="D4398" s="1" t="s">
        <v>3162</v>
      </c>
      <c r="E4398" t="s">
        <v>14</v>
      </c>
      <c r="F4398">
        <v>47.059199999999997</v>
      </c>
      <c r="G4398">
        <v>2.3597000000000001</v>
      </c>
      <c r="H4398">
        <v>1</v>
      </c>
      <c r="I4398">
        <v>166</v>
      </c>
      <c r="J4398" t="str">
        <f>HYPERLINK("https://climate.onebuilding.org/WMO_Region_6_Europe/FRA_France/CN_Centre-Val_de_Loire/FRA_CN_Bourges.AP.072550_TMYx.zip")</f>
        <v>https://climate.onebuilding.org/WMO_Region_6_Europe/FRA_France/CN_Centre-Val_de_Loire/FRA_CN_Bourges.AP.072550_TMYx.zip</v>
      </c>
    </row>
    <row r="4399" spans="1:10" x14ac:dyDescent="0.25">
      <c r="A4399" t="s">
        <v>2883</v>
      </c>
      <c r="B4399" t="s">
        <v>3040</v>
      </c>
      <c r="C4399" t="s">
        <v>3164</v>
      </c>
      <c r="D4399" s="1" t="s">
        <v>3165</v>
      </c>
      <c r="E4399" t="s">
        <v>3166</v>
      </c>
      <c r="F4399">
        <v>47.052199999999999</v>
      </c>
      <c r="G4399">
        <v>2.6421999999999999</v>
      </c>
      <c r="H4399">
        <v>1</v>
      </c>
      <c r="I4399">
        <v>177</v>
      </c>
      <c r="J4399" t="str">
        <f>HYPERLINK("https://climate.onebuilding.org/WMO_Region_6_Europe/FRA_France/CN_Centre-Val_de_Loire/FRA_CN_Avord.AB.072570_TMYx.2004-2018.zip")</f>
        <v>https://climate.onebuilding.org/WMO_Region_6_Europe/FRA_France/CN_Centre-Val_de_Loire/FRA_CN_Avord.AB.072570_TMYx.2004-2018.zip</v>
      </c>
    </row>
    <row r="4400" spans="1:10" x14ac:dyDescent="0.25">
      <c r="A4400" t="s">
        <v>2883</v>
      </c>
      <c r="B4400" t="s">
        <v>3040</v>
      </c>
      <c r="C4400" t="s">
        <v>3164</v>
      </c>
      <c r="D4400" s="1" t="s">
        <v>3165</v>
      </c>
      <c r="E4400" t="s">
        <v>14</v>
      </c>
      <c r="F4400">
        <v>47.052199999999999</v>
      </c>
      <c r="G4400">
        <v>2.6421999999999999</v>
      </c>
      <c r="H4400">
        <v>1</v>
      </c>
      <c r="I4400">
        <v>177</v>
      </c>
      <c r="J4400" t="str">
        <f>HYPERLINK("https://climate.onebuilding.org/WMO_Region_6_Europe/FRA_France/CN_Centre-Val_de_Loire/FRA_CN_Avord.AB.072570_TMYx.2007-2021.zip")</f>
        <v>https://climate.onebuilding.org/WMO_Region_6_Europe/FRA_France/CN_Centre-Val_de_Loire/FRA_CN_Avord.AB.072570_TMYx.2007-2021.zip</v>
      </c>
    </row>
    <row r="4401" spans="1:10" x14ac:dyDescent="0.25">
      <c r="A4401" t="s">
        <v>2883</v>
      </c>
      <c r="B4401" t="s">
        <v>3040</v>
      </c>
      <c r="C4401" t="s">
        <v>3164</v>
      </c>
      <c r="D4401" s="1" t="s">
        <v>3165</v>
      </c>
      <c r="E4401" t="s">
        <v>14</v>
      </c>
      <c r="F4401">
        <v>47.052199999999999</v>
      </c>
      <c r="G4401">
        <v>2.6421999999999999</v>
      </c>
      <c r="H4401">
        <v>1</v>
      </c>
      <c r="I4401">
        <v>177</v>
      </c>
      <c r="J4401" t="str">
        <f>HYPERLINK("https://climate.onebuilding.org/WMO_Region_6_Europe/FRA_France/CN_Centre-Val_de_Loire/FRA_CN_Avord.AB.072570_TMYx.2009-2023.zip")</f>
        <v>https://climate.onebuilding.org/WMO_Region_6_Europe/FRA_France/CN_Centre-Val_de_Loire/FRA_CN_Avord.AB.072570_TMYx.2009-2023.zip</v>
      </c>
    </row>
    <row r="4402" spans="1:10" x14ac:dyDescent="0.25">
      <c r="A4402" t="s">
        <v>2883</v>
      </c>
      <c r="B4402" t="s">
        <v>3040</v>
      </c>
      <c r="C4402" t="s">
        <v>3164</v>
      </c>
      <c r="D4402" s="1" t="s">
        <v>3165</v>
      </c>
      <c r="E4402" t="s">
        <v>14</v>
      </c>
      <c r="F4402">
        <v>47.052199999999999</v>
      </c>
      <c r="G4402">
        <v>2.6421999999999999</v>
      </c>
      <c r="H4402">
        <v>1</v>
      </c>
      <c r="I4402">
        <v>177</v>
      </c>
      <c r="J4402" t="str">
        <f>HYPERLINK("https://climate.onebuilding.org/WMO_Region_6_Europe/FRA_France/CN_Centre-Val_de_Loire/FRA_CN_Avord.AB.072570_TMYx.zip")</f>
        <v>https://climate.onebuilding.org/WMO_Region_6_Europe/FRA_France/CN_Centre-Val_de_Loire/FRA_CN_Avord.AB.072570_TMYx.zip</v>
      </c>
    </row>
    <row r="4403" spans="1:10" x14ac:dyDescent="0.25">
      <c r="A4403" t="s">
        <v>2883</v>
      </c>
      <c r="B4403" t="s">
        <v>575</v>
      </c>
      <c r="C4403" t="s">
        <v>3167</v>
      </c>
      <c r="D4403" s="1" t="s">
        <v>3168</v>
      </c>
      <c r="E4403" t="s">
        <v>3169</v>
      </c>
      <c r="F4403">
        <v>46.9983</v>
      </c>
      <c r="G4403">
        <v>3.1128</v>
      </c>
      <c r="H4403">
        <v>1</v>
      </c>
      <c r="I4403">
        <v>177</v>
      </c>
      <c r="J4403" t="str">
        <f>HYPERLINK("https://climate.onebuilding.org/WMO_Region_6_Europe/FRA_France/BF_Bourgogne-Franche-Comte/FRA_BF_Nevers-Fourchambault.AP.072600_TMYx.2004-2018.zip")</f>
        <v>https://climate.onebuilding.org/WMO_Region_6_Europe/FRA_France/BF_Bourgogne-Franche-Comte/FRA_BF_Nevers-Fourchambault.AP.072600_TMYx.2004-2018.zip</v>
      </c>
    </row>
    <row r="4404" spans="1:10" x14ac:dyDescent="0.25">
      <c r="A4404" t="s">
        <v>2883</v>
      </c>
      <c r="B4404" t="s">
        <v>575</v>
      </c>
      <c r="C4404" t="s">
        <v>3167</v>
      </c>
      <c r="D4404" s="1" t="s">
        <v>3168</v>
      </c>
      <c r="E4404" t="s">
        <v>14</v>
      </c>
      <c r="F4404">
        <v>46.9983</v>
      </c>
      <c r="G4404">
        <v>3.1128</v>
      </c>
      <c r="H4404">
        <v>1</v>
      </c>
      <c r="I4404">
        <v>177</v>
      </c>
      <c r="J4404" t="str">
        <f>HYPERLINK("https://climate.onebuilding.org/WMO_Region_6_Europe/FRA_France/BF_Bourgogne-Franche-Comte/FRA_BF_Nevers-Fourchambault.AP.072600_TMYx.2007-2021.zip")</f>
        <v>https://climate.onebuilding.org/WMO_Region_6_Europe/FRA_France/BF_Bourgogne-Franche-Comte/FRA_BF_Nevers-Fourchambault.AP.072600_TMYx.2007-2021.zip</v>
      </c>
    </row>
    <row r="4405" spans="1:10" x14ac:dyDescent="0.25">
      <c r="A4405" t="s">
        <v>2883</v>
      </c>
      <c r="B4405" t="s">
        <v>575</v>
      </c>
      <c r="C4405" t="s">
        <v>3167</v>
      </c>
      <c r="D4405" s="1" t="s">
        <v>3168</v>
      </c>
      <c r="E4405" t="s">
        <v>14</v>
      </c>
      <c r="F4405">
        <v>46.9983</v>
      </c>
      <c r="G4405">
        <v>3.1128</v>
      </c>
      <c r="H4405">
        <v>1</v>
      </c>
      <c r="I4405">
        <v>177</v>
      </c>
      <c r="J4405" t="str">
        <f>HYPERLINK("https://climate.onebuilding.org/WMO_Region_6_Europe/FRA_France/BF_Bourgogne-Franche-Comte/FRA_BF_Nevers-Fourchambault.AP.072600_TMYx.2009-2023.zip")</f>
        <v>https://climate.onebuilding.org/WMO_Region_6_Europe/FRA_France/BF_Bourgogne-Franche-Comte/FRA_BF_Nevers-Fourchambault.AP.072600_TMYx.2009-2023.zip</v>
      </c>
    </row>
    <row r="4406" spans="1:10" x14ac:dyDescent="0.25">
      <c r="A4406" t="s">
        <v>2883</v>
      </c>
      <c r="B4406" t="s">
        <v>575</v>
      </c>
      <c r="C4406" t="s">
        <v>3167</v>
      </c>
      <c r="D4406" s="1" t="s">
        <v>3168</v>
      </c>
      <c r="E4406" t="s">
        <v>14</v>
      </c>
      <c r="F4406">
        <v>46.9983</v>
      </c>
      <c r="G4406">
        <v>3.1128</v>
      </c>
      <c r="H4406">
        <v>1</v>
      </c>
      <c r="I4406">
        <v>177</v>
      </c>
      <c r="J4406" t="str">
        <f>HYPERLINK("https://climate.onebuilding.org/WMO_Region_6_Europe/FRA_France/BF_Bourgogne-Franche-Comte/FRA_BF_Nevers-Fourchambault.AP.072600_TMYx.zip")</f>
        <v>https://climate.onebuilding.org/WMO_Region_6_Europe/FRA_France/BF_Bourgogne-Franche-Comte/FRA_BF_Nevers-Fourchambault.AP.072600_TMYx.zip</v>
      </c>
    </row>
    <row r="4407" spans="1:10" x14ac:dyDescent="0.25">
      <c r="A4407" t="s">
        <v>2883</v>
      </c>
      <c r="B4407" t="s">
        <v>575</v>
      </c>
      <c r="C4407" t="s">
        <v>3170</v>
      </c>
      <c r="D4407" s="1" t="s">
        <v>3171</v>
      </c>
      <c r="E4407" t="s">
        <v>3172</v>
      </c>
      <c r="F4407">
        <v>47.8247</v>
      </c>
      <c r="G4407">
        <v>3.5497000000000001</v>
      </c>
      <c r="H4407">
        <v>1</v>
      </c>
      <c r="I4407">
        <v>153</v>
      </c>
      <c r="J4407" t="str">
        <f>HYPERLINK("https://climate.onebuilding.org/WMO_Region_6_Europe/FRA_France/BF_Bourgogne-Franche-Comte/FRA_BF_Auxerre-Perrigny.072660_TMYx.2004-2018.zip")</f>
        <v>https://climate.onebuilding.org/WMO_Region_6_Europe/FRA_France/BF_Bourgogne-Franche-Comte/FRA_BF_Auxerre-Perrigny.072660_TMYx.2004-2018.zip</v>
      </c>
    </row>
    <row r="4408" spans="1:10" x14ac:dyDescent="0.25">
      <c r="A4408" t="s">
        <v>2883</v>
      </c>
      <c r="B4408" t="s">
        <v>575</v>
      </c>
      <c r="C4408" t="s">
        <v>3170</v>
      </c>
      <c r="D4408" s="1" t="s">
        <v>3171</v>
      </c>
      <c r="E4408" t="s">
        <v>14</v>
      </c>
      <c r="F4408">
        <v>47.8247</v>
      </c>
      <c r="G4408">
        <v>3.5497000000000001</v>
      </c>
      <c r="H4408">
        <v>1</v>
      </c>
      <c r="I4408">
        <v>153</v>
      </c>
      <c r="J4408" t="str">
        <f>HYPERLINK("https://climate.onebuilding.org/WMO_Region_6_Europe/FRA_France/BF_Bourgogne-Franche-Comte/FRA_BF_Auxerre-Perrigny.072660_TMYx.2007-2021.zip")</f>
        <v>https://climate.onebuilding.org/WMO_Region_6_Europe/FRA_France/BF_Bourgogne-Franche-Comte/FRA_BF_Auxerre-Perrigny.072660_TMYx.2007-2021.zip</v>
      </c>
    </row>
    <row r="4409" spans="1:10" x14ac:dyDescent="0.25">
      <c r="A4409" t="s">
        <v>2883</v>
      </c>
      <c r="B4409" t="s">
        <v>575</v>
      </c>
      <c r="C4409" t="s">
        <v>3170</v>
      </c>
      <c r="D4409" s="1" t="s">
        <v>3171</v>
      </c>
      <c r="E4409" t="s">
        <v>14</v>
      </c>
      <c r="F4409">
        <v>47.8247</v>
      </c>
      <c r="G4409">
        <v>3.5497000000000001</v>
      </c>
      <c r="H4409">
        <v>1</v>
      </c>
      <c r="I4409">
        <v>153</v>
      </c>
      <c r="J4409" t="str">
        <f>HYPERLINK("https://climate.onebuilding.org/WMO_Region_6_Europe/FRA_France/BF_Bourgogne-Franche-Comte/FRA_BF_Auxerre-Perrigny.072660_TMYx.2009-2023.zip")</f>
        <v>https://climate.onebuilding.org/WMO_Region_6_Europe/FRA_France/BF_Bourgogne-Franche-Comte/FRA_BF_Auxerre-Perrigny.072660_TMYx.2009-2023.zip</v>
      </c>
    </row>
    <row r="4410" spans="1:10" x14ac:dyDescent="0.25">
      <c r="A4410" t="s">
        <v>2883</v>
      </c>
      <c r="B4410" t="s">
        <v>575</v>
      </c>
      <c r="C4410" t="s">
        <v>3170</v>
      </c>
      <c r="D4410" s="1" t="s">
        <v>3171</v>
      </c>
      <c r="E4410" t="s">
        <v>14</v>
      </c>
      <c r="F4410">
        <v>47.8247</v>
      </c>
      <c r="G4410">
        <v>3.5497000000000001</v>
      </c>
      <c r="H4410">
        <v>1</v>
      </c>
      <c r="I4410">
        <v>153</v>
      </c>
      <c r="J4410" t="str">
        <f>HYPERLINK("https://climate.onebuilding.org/WMO_Region_6_Europe/FRA_France/BF_Bourgogne-Franche-Comte/FRA_BF_Auxerre-Perrigny.072660_TMYx.zip")</f>
        <v>https://climate.onebuilding.org/WMO_Region_6_Europe/FRA_France/BF_Bourgogne-Franche-Comte/FRA_BF_Auxerre-Perrigny.072660_TMYx.zip</v>
      </c>
    </row>
    <row r="4411" spans="1:10" x14ac:dyDescent="0.25">
      <c r="A4411" t="s">
        <v>2883</v>
      </c>
      <c r="B4411" t="s">
        <v>575</v>
      </c>
      <c r="C4411" t="s">
        <v>3173</v>
      </c>
      <c r="D4411" s="1" t="s">
        <v>3174</v>
      </c>
      <c r="E4411" t="s">
        <v>14</v>
      </c>
      <c r="F4411">
        <v>47.067</v>
      </c>
      <c r="G4411">
        <v>3.9329999999999998</v>
      </c>
      <c r="H4411">
        <v>1</v>
      </c>
      <c r="I4411">
        <v>598</v>
      </c>
      <c r="J4411" t="str">
        <f>HYPERLINK("https://climate.onebuilding.org/WMO_Region_6_Europe/FRA_France/BF_Bourgogne-Franche-Comte/FRA_BF_Chateau-Chinon.072700_TMYx.zip")</f>
        <v>https://climate.onebuilding.org/WMO_Region_6_Europe/FRA_France/BF_Bourgogne-Franche-Comte/FRA_BF_Chateau-Chinon.072700_TMYx.zip</v>
      </c>
    </row>
    <row r="4412" spans="1:10" x14ac:dyDescent="0.25">
      <c r="A4412" t="s">
        <v>2883</v>
      </c>
      <c r="B4412" t="s">
        <v>575</v>
      </c>
      <c r="C4412" t="s">
        <v>3175</v>
      </c>
      <c r="D4412" s="1" t="s">
        <v>3176</v>
      </c>
      <c r="E4412" t="s">
        <v>14</v>
      </c>
      <c r="F4412">
        <v>47.85</v>
      </c>
      <c r="G4412">
        <v>4.55</v>
      </c>
      <c r="H4412">
        <v>1</v>
      </c>
      <c r="I4412">
        <v>264</v>
      </c>
      <c r="J4412" t="str">
        <f>HYPERLINK("https://climate.onebuilding.org/WMO_Region_6_Europe/FRA_France/BF_Bourgogne-Franche-Comte/FRA_BF_Chatillon-sur-Seine.072760_TMYx.zip")</f>
        <v>https://climate.onebuilding.org/WMO_Region_6_Europe/FRA_France/BF_Bourgogne-Franche-Comte/FRA_BF_Chatillon-sur-Seine.072760_TMYx.zip</v>
      </c>
    </row>
    <row r="4413" spans="1:10" x14ac:dyDescent="0.25">
      <c r="A4413" t="s">
        <v>2883</v>
      </c>
      <c r="B4413" t="s">
        <v>575</v>
      </c>
      <c r="C4413" t="s">
        <v>3177</v>
      </c>
      <c r="D4413" s="1" t="s">
        <v>3178</v>
      </c>
      <c r="E4413" t="s">
        <v>3179</v>
      </c>
      <c r="F4413">
        <v>47.267800000000001</v>
      </c>
      <c r="G4413">
        <v>5.0883000000000003</v>
      </c>
      <c r="H4413">
        <v>1</v>
      </c>
      <c r="I4413">
        <v>227</v>
      </c>
      <c r="J4413" t="str">
        <f>HYPERLINK("https://climate.onebuilding.org/WMO_Region_6_Europe/FRA_France/BF_Bourgogne-Franche-Comte/FRA_BF_Dijon-Bourgogne.AP.072800_TMYx.2004-2018.zip")</f>
        <v>https://climate.onebuilding.org/WMO_Region_6_Europe/FRA_France/BF_Bourgogne-Franche-Comte/FRA_BF_Dijon-Bourgogne.AP.072800_TMYx.2004-2018.zip</v>
      </c>
    </row>
    <row r="4414" spans="1:10" x14ac:dyDescent="0.25">
      <c r="A4414" t="s">
        <v>2883</v>
      </c>
      <c r="B4414" t="s">
        <v>575</v>
      </c>
      <c r="C4414" t="s">
        <v>3177</v>
      </c>
      <c r="D4414" s="1" t="s">
        <v>3178</v>
      </c>
      <c r="E4414" t="s">
        <v>14</v>
      </c>
      <c r="F4414">
        <v>47.267800000000001</v>
      </c>
      <c r="G4414">
        <v>5.0883000000000003</v>
      </c>
      <c r="H4414">
        <v>1</v>
      </c>
      <c r="I4414">
        <v>227</v>
      </c>
      <c r="J4414" t="str">
        <f>HYPERLINK("https://climate.onebuilding.org/WMO_Region_6_Europe/FRA_France/BF_Bourgogne-Franche-Comte/FRA_BF_Dijon-Bourgogne.AP.072800_TMYx.2007-2021.zip")</f>
        <v>https://climate.onebuilding.org/WMO_Region_6_Europe/FRA_France/BF_Bourgogne-Franche-Comte/FRA_BF_Dijon-Bourgogne.AP.072800_TMYx.2007-2021.zip</v>
      </c>
    </row>
    <row r="4415" spans="1:10" x14ac:dyDescent="0.25">
      <c r="A4415" t="s">
        <v>2883</v>
      </c>
      <c r="B4415" t="s">
        <v>575</v>
      </c>
      <c r="C4415" t="s">
        <v>3177</v>
      </c>
      <c r="D4415" s="1" t="s">
        <v>3178</v>
      </c>
      <c r="E4415" t="s">
        <v>14</v>
      </c>
      <c r="F4415">
        <v>47.267800000000001</v>
      </c>
      <c r="G4415">
        <v>5.0883000000000003</v>
      </c>
      <c r="H4415">
        <v>1</v>
      </c>
      <c r="I4415">
        <v>227</v>
      </c>
      <c r="J4415" t="str">
        <f>HYPERLINK("https://climate.onebuilding.org/WMO_Region_6_Europe/FRA_France/BF_Bourgogne-Franche-Comte/FRA_BF_Dijon-Bourgogne.AP.072800_TMYx.2009-2023.zip")</f>
        <v>https://climate.onebuilding.org/WMO_Region_6_Europe/FRA_France/BF_Bourgogne-Franche-Comte/FRA_BF_Dijon-Bourgogne.AP.072800_TMYx.2009-2023.zip</v>
      </c>
    </row>
    <row r="4416" spans="1:10" x14ac:dyDescent="0.25">
      <c r="A4416" t="s">
        <v>2883</v>
      </c>
      <c r="B4416" t="s">
        <v>575</v>
      </c>
      <c r="C4416" t="s">
        <v>3177</v>
      </c>
      <c r="D4416" s="1" t="s">
        <v>3178</v>
      </c>
      <c r="E4416" t="s">
        <v>14</v>
      </c>
      <c r="F4416">
        <v>47.267800000000001</v>
      </c>
      <c r="G4416">
        <v>5.0883000000000003</v>
      </c>
      <c r="H4416">
        <v>1</v>
      </c>
      <c r="I4416">
        <v>227</v>
      </c>
      <c r="J4416" t="str">
        <f>HYPERLINK("https://climate.onebuilding.org/WMO_Region_6_Europe/FRA_France/BF_Bourgogne-Franche-Comte/FRA_BF_Dijon-Bourgogne.AP.072800_TMYx.zip")</f>
        <v>https://climate.onebuilding.org/WMO_Region_6_Europe/FRA_France/BF_Bourgogne-Franche-Comte/FRA_BF_Dijon-Bourgogne.AP.072800_TMYx.zip</v>
      </c>
    </row>
    <row r="4417" spans="1:10" x14ac:dyDescent="0.25">
      <c r="A4417" t="s">
        <v>2883</v>
      </c>
      <c r="B4417" t="s">
        <v>2966</v>
      </c>
      <c r="C4417" t="s">
        <v>3180</v>
      </c>
      <c r="D4417" s="1" t="s">
        <v>3181</v>
      </c>
      <c r="E4417" t="s">
        <v>3182</v>
      </c>
      <c r="F4417">
        <v>47.843600000000002</v>
      </c>
      <c r="G4417">
        <v>5.3375000000000004</v>
      </c>
      <c r="H4417">
        <v>1</v>
      </c>
      <c r="I4417">
        <v>467</v>
      </c>
      <c r="J4417" t="str">
        <f>HYPERLINK("https://climate.onebuilding.org/WMO_Region_6_Europe/FRA_France/AO_Grand_Est/FRA_AO_Langres.072830_TMYx.2004-2018.zip")</f>
        <v>https://climate.onebuilding.org/WMO_Region_6_Europe/FRA_France/AO_Grand_Est/FRA_AO_Langres.072830_TMYx.2004-2018.zip</v>
      </c>
    </row>
    <row r="4418" spans="1:10" x14ac:dyDescent="0.25">
      <c r="A4418" t="s">
        <v>2883</v>
      </c>
      <c r="B4418" t="s">
        <v>2966</v>
      </c>
      <c r="C4418" t="s">
        <v>3180</v>
      </c>
      <c r="D4418" s="1" t="s">
        <v>3181</v>
      </c>
      <c r="E4418" t="s">
        <v>14</v>
      </c>
      <c r="F4418">
        <v>47.843600000000002</v>
      </c>
      <c r="G4418">
        <v>5.3375000000000004</v>
      </c>
      <c r="H4418">
        <v>1</v>
      </c>
      <c r="I4418">
        <v>467</v>
      </c>
      <c r="J4418" t="str">
        <f>HYPERLINK("https://climate.onebuilding.org/WMO_Region_6_Europe/FRA_France/AO_Grand_Est/FRA_AO_Langres.072830_TMYx.2007-2021.zip")</f>
        <v>https://climate.onebuilding.org/WMO_Region_6_Europe/FRA_France/AO_Grand_Est/FRA_AO_Langres.072830_TMYx.2007-2021.zip</v>
      </c>
    </row>
    <row r="4419" spans="1:10" x14ac:dyDescent="0.25">
      <c r="A4419" t="s">
        <v>2883</v>
      </c>
      <c r="B4419" t="s">
        <v>2966</v>
      </c>
      <c r="C4419" t="s">
        <v>3180</v>
      </c>
      <c r="D4419" s="1" t="s">
        <v>3181</v>
      </c>
      <c r="E4419" t="s">
        <v>14</v>
      </c>
      <c r="F4419">
        <v>47.843600000000002</v>
      </c>
      <c r="G4419">
        <v>5.3375000000000004</v>
      </c>
      <c r="H4419">
        <v>1</v>
      </c>
      <c r="I4419">
        <v>467</v>
      </c>
      <c r="J4419" t="str">
        <f>HYPERLINK("https://climate.onebuilding.org/WMO_Region_6_Europe/FRA_France/AO_Grand_Est/FRA_AO_Langres.072830_TMYx.2009-2023.zip")</f>
        <v>https://climate.onebuilding.org/WMO_Region_6_Europe/FRA_France/AO_Grand_Est/FRA_AO_Langres.072830_TMYx.2009-2023.zip</v>
      </c>
    </row>
    <row r="4420" spans="1:10" x14ac:dyDescent="0.25">
      <c r="A4420" t="s">
        <v>2883</v>
      </c>
      <c r="B4420" t="s">
        <v>2966</v>
      </c>
      <c r="C4420" t="s">
        <v>3180</v>
      </c>
      <c r="D4420" s="1" t="s">
        <v>3181</v>
      </c>
      <c r="E4420" t="s">
        <v>14</v>
      </c>
      <c r="F4420">
        <v>47.843600000000002</v>
      </c>
      <c r="G4420">
        <v>5.3375000000000004</v>
      </c>
      <c r="H4420">
        <v>1</v>
      </c>
      <c r="I4420">
        <v>467</v>
      </c>
      <c r="J4420" t="str">
        <f>HYPERLINK("https://climate.onebuilding.org/WMO_Region_6_Europe/FRA_France/AO_Grand_Est/FRA_AO_Langres.072830_TMYx.zip")</f>
        <v>https://climate.onebuilding.org/WMO_Region_6_Europe/FRA_France/AO_Grand_Est/FRA_AO_Langres.072830_TMYx.zip</v>
      </c>
    </row>
    <row r="4421" spans="1:10" x14ac:dyDescent="0.25">
      <c r="A4421" t="s">
        <v>2883</v>
      </c>
      <c r="B4421" t="s">
        <v>575</v>
      </c>
      <c r="C4421" t="s">
        <v>3183</v>
      </c>
      <c r="D4421" s="1" t="s">
        <v>3184</v>
      </c>
      <c r="E4421" t="s">
        <v>3185</v>
      </c>
      <c r="F4421">
        <v>47.248899999999999</v>
      </c>
      <c r="G4421">
        <v>5.9889000000000001</v>
      </c>
      <c r="H4421">
        <v>1</v>
      </c>
      <c r="I4421">
        <v>310</v>
      </c>
      <c r="J4421" t="str">
        <f>HYPERLINK("https://climate.onebuilding.org/WMO_Region_6_Europe/FRA_France/BF_Bourgogne-Franche-Comte/FRA_BF_Besancon-Thise.072880_TMYx.2004-2018.zip")</f>
        <v>https://climate.onebuilding.org/WMO_Region_6_Europe/FRA_France/BF_Bourgogne-Franche-Comte/FRA_BF_Besancon-Thise.072880_TMYx.2004-2018.zip</v>
      </c>
    </row>
    <row r="4422" spans="1:10" x14ac:dyDescent="0.25">
      <c r="A4422" t="s">
        <v>2883</v>
      </c>
      <c r="B4422" t="s">
        <v>575</v>
      </c>
      <c r="C4422" t="s">
        <v>3183</v>
      </c>
      <c r="D4422" s="1" t="s">
        <v>3184</v>
      </c>
      <c r="E4422" t="s">
        <v>14</v>
      </c>
      <c r="F4422">
        <v>47.248899999999999</v>
      </c>
      <c r="G4422">
        <v>5.9889000000000001</v>
      </c>
      <c r="H4422">
        <v>1</v>
      </c>
      <c r="I4422">
        <v>310</v>
      </c>
      <c r="J4422" t="str">
        <f>HYPERLINK("https://climate.onebuilding.org/WMO_Region_6_Europe/FRA_France/BF_Bourgogne-Franche-Comte/FRA_BF_Besancon-Thise.072880_TMYx.2007-2021.zip")</f>
        <v>https://climate.onebuilding.org/WMO_Region_6_Europe/FRA_France/BF_Bourgogne-Franche-Comte/FRA_BF_Besancon-Thise.072880_TMYx.2007-2021.zip</v>
      </c>
    </row>
    <row r="4423" spans="1:10" x14ac:dyDescent="0.25">
      <c r="A4423" t="s">
        <v>2883</v>
      </c>
      <c r="B4423" t="s">
        <v>575</v>
      </c>
      <c r="C4423" t="s">
        <v>3183</v>
      </c>
      <c r="D4423" s="1" t="s">
        <v>3184</v>
      </c>
      <c r="E4423" t="s">
        <v>14</v>
      </c>
      <c r="F4423">
        <v>47.248899999999999</v>
      </c>
      <c r="G4423">
        <v>5.9889000000000001</v>
      </c>
      <c r="H4423">
        <v>1</v>
      </c>
      <c r="I4423">
        <v>310</v>
      </c>
      <c r="J4423" t="str">
        <f>HYPERLINK("https://climate.onebuilding.org/WMO_Region_6_Europe/FRA_France/BF_Bourgogne-Franche-Comte/FRA_BF_Besancon-Thise.072880_TMYx.2009-2023.zip")</f>
        <v>https://climate.onebuilding.org/WMO_Region_6_Europe/FRA_France/BF_Bourgogne-Franche-Comte/FRA_BF_Besancon-Thise.072880_TMYx.2009-2023.zip</v>
      </c>
    </row>
    <row r="4424" spans="1:10" x14ac:dyDescent="0.25">
      <c r="A4424" t="s">
        <v>2883</v>
      </c>
      <c r="B4424" t="s">
        <v>575</v>
      </c>
      <c r="C4424" t="s">
        <v>3183</v>
      </c>
      <c r="D4424" s="1" t="s">
        <v>3184</v>
      </c>
      <c r="E4424" t="s">
        <v>14</v>
      </c>
      <c r="F4424">
        <v>47.248899999999999</v>
      </c>
      <c r="G4424">
        <v>5.9889000000000001</v>
      </c>
      <c r="H4424">
        <v>1</v>
      </c>
      <c r="I4424">
        <v>310</v>
      </c>
      <c r="J4424" t="str">
        <f>HYPERLINK("https://climate.onebuilding.org/WMO_Region_6_Europe/FRA_France/BF_Bourgogne-Franche-Comte/FRA_BF_Besancon-Thise.072880_TMYx.zip")</f>
        <v>https://climate.onebuilding.org/WMO_Region_6_Europe/FRA_France/BF_Bourgogne-Franche-Comte/FRA_BF_Besancon-Thise.072880_TMYx.zip</v>
      </c>
    </row>
    <row r="4425" spans="1:10" x14ac:dyDescent="0.25">
      <c r="A4425" t="s">
        <v>2883</v>
      </c>
      <c r="B4425" t="s">
        <v>575</v>
      </c>
      <c r="C4425" t="s">
        <v>3186</v>
      </c>
      <c r="D4425" s="1" t="s">
        <v>3187</v>
      </c>
      <c r="E4425" t="s">
        <v>3188</v>
      </c>
      <c r="F4425">
        <v>47.786900000000003</v>
      </c>
      <c r="G4425">
        <v>6.3639000000000001</v>
      </c>
      <c r="H4425">
        <v>1</v>
      </c>
      <c r="I4425">
        <v>274</v>
      </c>
      <c r="J4425" t="str">
        <f>HYPERLINK("https://climate.onebuilding.org/WMO_Region_6_Europe/FRA_France/BF_Bourgogne-Franche-Comte/FRA_BF_Luxeuil-St.Sauveur.AB.072920_TMYx.2004-2018.zip")</f>
        <v>https://climate.onebuilding.org/WMO_Region_6_Europe/FRA_France/BF_Bourgogne-Franche-Comte/FRA_BF_Luxeuil-St.Sauveur.AB.072920_TMYx.2004-2018.zip</v>
      </c>
    </row>
    <row r="4426" spans="1:10" x14ac:dyDescent="0.25">
      <c r="A4426" t="s">
        <v>2883</v>
      </c>
      <c r="B4426" t="s">
        <v>575</v>
      </c>
      <c r="C4426" t="s">
        <v>3186</v>
      </c>
      <c r="D4426" s="1" t="s">
        <v>3187</v>
      </c>
      <c r="E4426" t="s">
        <v>14</v>
      </c>
      <c r="F4426">
        <v>47.786900000000003</v>
      </c>
      <c r="G4426">
        <v>6.3639000000000001</v>
      </c>
      <c r="H4426">
        <v>1</v>
      </c>
      <c r="I4426">
        <v>274</v>
      </c>
      <c r="J4426" t="str">
        <f>HYPERLINK("https://climate.onebuilding.org/WMO_Region_6_Europe/FRA_France/BF_Bourgogne-Franche-Comte/FRA_BF_Luxeuil-St.Sauveur.AB.072920_TMYx.2007-2021.zip")</f>
        <v>https://climate.onebuilding.org/WMO_Region_6_Europe/FRA_France/BF_Bourgogne-Franche-Comte/FRA_BF_Luxeuil-St.Sauveur.AB.072920_TMYx.2007-2021.zip</v>
      </c>
    </row>
    <row r="4427" spans="1:10" x14ac:dyDescent="0.25">
      <c r="A4427" t="s">
        <v>2883</v>
      </c>
      <c r="B4427" t="s">
        <v>575</v>
      </c>
      <c r="C4427" t="s">
        <v>3186</v>
      </c>
      <c r="D4427" s="1" t="s">
        <v>3187</v>
      </c>
      <c r="E4427" t="s">
        <v>14</v>
      </c>
      <c r="F4427">
        <v>47.786900000000003</v>
      </c>
      <c r="G4427">
        <v>6.3639000000000001</v>
      </c>
      <c r="H4427">
        <v>1</v>
      </c>
      <c r="I4427">
        <v>274</v>
      </c>
      <c r="J4427" t="str">
        <f>HYPERLINK("https://climate.onebuilding.org/WMO_Region_6_Europe/FRA_France/BF_Bourgogne-Franche-Comte/FRA_BF_Luxeuil-St.Sauveur.AB.072920_TMYx.2009-2023.zip")</f>
        <v>https://climate.onebuilding.org/WMO_Region_6_Europe/FRA_France/BF_Bourgogne-Franche-Comte/FRA_BF_Luxeuil-St.Sauveur.AB.072920_TMYx.2009-2023.zip</v>
      </c>
    </row>
    <row r="4428" spans="1:10" x14ac:dyDescent="0.25">
      <c r="A4428" t="s">
        <v>2883</v>
      </c>
      <c r="B4428" t="s">
        <v>575</v>
      </c>
      <c r="C4428" t="s">
        <v>3186</v>
      </c>
      <c r="D4428" s="1" t="s">
        <v>3187</v>
      </c>
      <c r="E4428" t="s">
        <v>14</v>
      </c>
      <c r="F4428">
        <v>47.786900000000003</v>
      </c>
      <c r="G4428">
        <v>6.3639000000000001</v>
      </c>
      <c r="H4428">
        <v>1</v>
      </c>
      <c r="I4428">
        <v>274</v>
      </c>
      <c r="J4428" t="str">
        <f>HYPERLINK("https://climate.onebuilding.org/WMO_Region_6_Europe/FRA_France/BF_Bourgogne-Franche-Comte/FRA_BF_Luxeuil-St.Sauveur.AB.072920_TMYx.zip")</f>
        <v>https://climate.onebuilding.org/WMO_Region_6_Europe/FRA_France/BF_Bourgogne-Franche-Comte/FRA_BF_Luxeuil-St.Sauveur.AB.072920_TMYx.zip</v>
      </c>
    </row>
    <row r="4429" spans="1:10" x14ac:dyDescent="0.25">
      <c r="A4429" t="s">
        <v>2883</v>
      </c>
      <c r="B4429" t="s">
        <v>575</v>
      </c>
      <c r="C4429" t="s">
        <v>3189</v>
      </c>
      <c r="D4429" s="1" t="s">
        <v>3190</v>
      </c>
      <c r="E4429" t="s">
        <v>3191</v>
      </c>
      <c r="F4429">
        <v>47.591700000000003</v>
      </c>
      <c r="G4429">
        <v>6.8369</v>
      </c>
      <c r="H4429">
        <v>1</v>
      </c>
      <c r="I4429">
        <v>402</v>
      </c>
      <c r="J4429" t="str">
        <f>HYPERLINK("https://climate.onebuilding.org/WMO_Region_6_Europe/FRA_France/BF_Bourgogne-Franche-Comte/FRA_BF_Belfort.Fontaine.072960_TMYx.2004-2018.zip")</f>
        <v>https://climate.onebuilding.org/WMO_Region_6_Europe/FRA_France/BF_Bourgogne-Franche-Comte/FRA_BF_Belfort.Fontaine.072960_TMYx.2004-2018.zip</v>
      </c>
    </row>
    <row r="4430" spans="1:10" x14ac:dyDescent="0.25">
      <c r="A4430" t="s">
        <v>2883</v>
      </c>
      <c r="B4430" t="s">
        <v>575</v>
      </c>
      <c r="C4430" t="s">
        <v>3189</v>
      </c>
      <c r="D4430" s="1" t="s">
        <v>3190</v>
      </c>
      <c r="E4430" t="s">
        <v>14</v>
      </c>
      <c r="F4430">
        <v>47.591700000000003</v>
      </c>
      <c r="G4430">
        <v>6.8369</v>
      </c>
      <c r="H4430">
        <v>1</v>
      </c>
      <c r="I4430">
        <v>402</v>
      </c>
      <c r="J4430" t="str">
        <f>HYPERLINK("https://climate.onebuilding.org/WMO_Region_6_Europe/FRA_France/BF_Bourgogne-Franche-Comte/FRA_BF_Belfort.Fontaine.072960_TMYx.2007-2021.zip")</f>
        <v>https://climate.onebuilding.org/WMO_Region_6_Europe/FRA_France/BF_Bourgogne-Franche-Comte/FRA_BF_Belfort.Fontaine.072960_TMYx.2007-2021.zip</v>
      </c>
    </row>
    <row r="4431" spans="1:10" x14ac:dyDescent="0.25">
      <c r="A4431" t="s">
        <v>2883</v>
      </c>
      <c r="B4431" t="s">
        <v>575</v>
      </c>
      <c r="C4431" t="s">
        <v>3189</v>
      </c>
      <c r="D4431" s="1" t="s">
        <v>3190</v>
      </c>
      <c r="E4431" t="s">
        <v>14</v>
      </c>
      <c r="F4431">
        <v>47.591700000000003</v>
      </c>
      <c r="G4431">
        <v>6.8369</v>
      </c>
      <c r="H4431">
        <v>1</v>
      </c>
      <c r="I4431">
        <v>402</v>
      </c>
      <c r="J4431" t="str">
        <f>HYPERLINK("https://climate.onebuilding.org/WMO_Region_6_Europe/FRA_France/BF_Bourgogne-Franche-Comte/FRA_BF_Belfort.Fontaine.072960_TMYx.2009-2023.zip")</f>
        <v>https://climate.onebuilding.org/WMO_Region_6_Europe/FRA_France/BF_Bourgogne-Franche-Comte/FRA_BF_Belfort.Fontaine.072960_TMYx.2009-2023.zip</v>
      </c>
    </row>
    <row r="4432" spans="1:10" x14ac:dyDescent="0.25">
      <c r="A4432" t="s">
        <v>2883</v>
      </c>
      <c r="B4432" t="s">
        <v>575</v>
      </c>
      <c r="C4432" t="s">
        <v>3189</v>
      </c>
      <c r="D4432" s="1" t="s">
        <v>3190</v>
      </c>
      <c r="E4432" t="s">
        <v>14</v>
      </c>
      <c r="F4432">
        <v>47.591700000000003</v>
      </c>
      <c r="G4432">
        <v>6.8369</v>
      </c>
      <c r="H4432">
        <v>1</v>
      </c>
      <c r="I4432">
        <v>402</v>
      </c>
      <c r="J4432" t="str">
        <f>HYPERLINK("https://climate.onebuilding.org/WMO_Region_6_Europe/FRA_France/BF_Bourgogne-Franche-Comte/FRA_BF_Belfort.Fontaine.072960_TMYx.zip")</f>
        <v>https://climate.onebuilding.org/WMO_Region_6_Europe/FRA_France/BF_Bourgogne-Franche-Comte/FRA_BF_Belfort.Fontaine.072960_TMYx.zip</v>
      </c>
    </row>
    <row r="4433" spans="1:10" x14ac:dyDescent="0.25">
      <c r="A4433" t="s">
        <v>2883</v>
      </c>
      <c r="B4433" t="s">
        <v>2966</v>
      </c>
      <c r="C4433" t="s">
        <v>3192</v>
      </c>
      <c r="D4433" s="1" t="s">
        <v>3193</v>
      </c>
      <c r="E4433" t="s">
        <v>3194</v>
      </c>
      <c r="F4433">
        <v>47.614400000000003</v>
      </c>
      <c r="G4433">
        <v>7.51</v>
      </c>
      <c r="H4433">
        <v>1</v>
      </c>
      <c r="I4433">
        <v>273</v>
      </c>
      <c r="J4433" t="str">
        <f>HYPERLINK("https://climate.onebuilding.org/WMO_Region_6_Europe/FRA_France/AO_Grand_Est/FRA_AO_Basel-Mulhouse-Freiburg.AP.072990_TMYx.2004-2018.zip")</f>
        <v>https://climate.onebuilding.org/WMO_Region_6_Europe/FRA_France/AO_Grand_Est/FRA_AO_Basel-Mulhouse-Freiburg.AP.072990_TMYx.2004-2018.zip</v>
      </c>
    </row>
    <row r="4434" spans="1:10" x14ac:dyDescent="0.25">
      <c r="A4434" t="s">
        <v>2883</v>
      </c>
      <c r="B4434" t="s">
        <v>2966</v>
      </c>
      <c r="C4434" t="s">
        <v>3192</v>
      </c>
      <c r="D4434" s="1" t="s">
        <v>3193</v>
      </c>
      <c r="E4434" t="s">
        <v>14</v>
      </c>
      <c r="F4434">
        <v>47.614400000000003</v>
      </c>
      <c r="G4434">
        <v>7.51</v>
      </c>
      <c r="H4434">
        <v>1</v>
      </c>
      <c r="I4434">
        <v>273</v>
      </c>
      <c r="J4434" t="str">
        <f>HYPERLINK("https://climate.onebuilding.org/WMO_Region_6_Europe/FRA_France/AO_Grand_Est/FRA_AO_Basel-Mulhouse-Freiburg.AP.072990_TMYx.2007-2021.zip")</f>
        <v>https://climate.onebuilding.org/WMO_Region_6_Europe/FRA_France/AO_Grand_Est/FRA_AO_Basel-Mulhouse-Freiburg.AP.072990_TMYx.2007-2021.zip</v>
      </c>
    </row>
    <row r="4435" spans="1:10" x14ac:dyDescent="0.25">
      <c r="A4435" t="s">
        <v>2883</v>
      </c>
      <c r="B4435" t="s">
        <v>2966</v>
      </c>
      <c r="C4435" t="s">
        <v>3192</v>
      </c>
      <c r="D4435" s="1" t="s">
        <v>3193</v>
      </c>
      <c r="E4435" t="s">
        <v>14</v>
      </c>
      <c r="F4435">
        <v>47.614400000000003</v>
      </c>
      <c r="G4435">
        <v>7.51</v>
      </c>
      <c r="H4435">
        <v>1</v>
      </c>
      <c r="I4435">
        <v>273</v>
      </c>
      <c r="J4435" t="str">
        <f>HYPERLINK("https://climate.onebuilding.org/WMO_Region_6_Europe/FRA_France/AO_Grand_Est/FRA_AO_Basel-Mulhouse-Freiburg.AP.072990_TMYx.2009-2023.zip")</f>
        <v>https://climate.onebuilding.org/WMO_Region_6_Europe/FRA_France/AO_Grand_Est/FRA_AO_Basel-Mulhouse-Freiburg.AP.072990_TMYx.2009-2023.zip</v>
      </c>
    </row>
    <row r="4436" spans="1:10" x14ac:dyDescent="0.25">
      <c r="A4436" t="s">
        <v>2883</v>
      </c>
      <c r="B4436" t="s">
        <v>2966</v>
      </c>
      <c r="C4436" t="s">
        <v>3192</v>
      </c>
      <c r="D4436" s="1" t="s">
        <v>3193</v>
      </c>
      <c r="E4436" t="s">
        <v>14</v>
      </c>
      <c r="F4436">
        <v>47.614400000000003</v>
      </c>
      <c r="G4436">
        <v>7.51</v>
      </c>
      <c r="H4436">
        <v>1</v>
      </c>
      <c r="I4436">
        <v>273</v>
      </c>
      <c r="J4436" t="str">
        <f>HYPERLINK("https://climate.onebuilding.org/WMO_Region_6_Europe/FRA_France/AO_Grand_Est/FRA_AO_Basel-Mulhouse-Freiburg.AP.072990_TMYx.zip")</f>
        <v>https://climate.onebuilding.org/WMO_Region_6_Europe/FRA_France/AO_Grand_Est/FRA_AO_Basel-Mulhouse-Freiburg.AP.072990_TMYx.zip</v>
      </c>
    </row>
    <row r="4437" spans="1:10" x14ac:dyDescent="0.25">
      <c r="A4437" t="s">
        <v>2883</v>
      </c>
      <c r="B4437" t="s">
        <v>3033</v>
      </c>
      <c r="C4437" t="s">
        <v>3195</v>
      </c>
      <c r="D4437" s="1" t="s">
        <v>3196</v>
      </c>
      <c r="E4437" t="s">
        <v>3197</v>
      </c>
      <c r="F4437">
        <v>46.693600000000004</v>
      </c>
      <c r="G4437">
        <v>-2.3302999999999998</v>
      </c>
      <c r="H4437">
        <v>1</v>
      </c>
      <c r="I4437">
        <v>32</v>
      </c>
      <c r="J4437" t="str">
        <f>HYPERLINK("https://climate.onebuilding.org/WMO_Region_6_Europe/FRA_France/PL_Pays_de_la_Loire/FRA_PL_St.Sauveur-d-Yeu.Island.073000_TMYx.2004-2018.zip")</f>
        <v>https://climate.onebuilding.org/WMO_Region_6_Europe/FRA_France/PL_Pays_de_la_Loire/FRA_PL_St.Sauveur-d-Yeu.Island.073000_TMYx.2004-2018.zip</v>
      </c>
    </row>
    <row r="4438" spans="1:10" x14ac:dyDescent="0.25">
      <c r="A4438" t="s">
        <v>2883</v>
      </c>
      <c r="B4438" t="s">
        <v>3033</v>
      </c>
      <c r="C4438" t="s">
        <v>3195</v>
      </c>
      <c r="D4438" s="1" t="s">
        <v>3196</v>
      </c>
      <c r="E4438" t="s">
        <v>14</v>
      </c>
      <c r="F4438">
        <v>46.693600000000004</v>
      </c>
      <c r="G4438">
        <v>-2.3302999999999998</v>
      </c>
      <c r="H4438">
        <v>1</v>
      </c>
      <c r="I4438">
        <v>32</v>
      </c>
      <c r="J4438" t="str">
        <f>HYPERLINK("https://climate.onebuilding.org/WMO_Region_6_Europe/FRA_France/PL_Pays_de_la_Loire/FRA_PL_St.Sauveur-d-Yeu.Island.073000_TMYx.2007-2021.zip")</f>
        <v>https://climate.onebuilding.org/WMO_Region_6_Europe/FRA_France/PL_Pays_de_la_Loire/FRA_PL_St.Sauveur-d-Yeu.Island.073000_TMYx.2007-2021.zip</v>
      </c>
    </row>
    <row r="4439" spans="1:10" x14ac:dyDescent="0.25">
      <c r="A4439" t="s">
        <v>2883</v>
      </c>
      <c r="B4439" t="s">
        <v>3033</v>
      </c>
      <c r="C4439" t="s">
        <v>3195</v>
      </c>
      <c r="D4439" s="1" t="s">
        <v>3196</v>
      </c>
      <c r="E4439" t="s">
        <v>14</v>
      </c>
      <c r="F4439">
        <v>46.693600000000004</v>
      </c>
      <c r="G4439">
        <v>-2.3302999999999998</v>
      </c>
      <c r="H4439">
        <v>1</v>
      </c>
      <c r="I4439">
        <v>32</v>
      </c>
      <c r="J4439" t="str">
        <f>HYPERLINK("https://climate.onebuilding.org/WMO_Region_6_Europe/FRA_France/PL_Pays_de_la_Loire/FRA_PL_St.Sauveur-d-Yeu.Island.073000_TMYx.2009-2023.zip")</f>
        <v>https://climate.onebuilding.org/WMO_Region_6_Europe/FRA_France/PL_Pays_de_la_Loire/FRA_PL_St.Sauveur-d-Yeu.Island.073000_TMYx.2009-2023.zip</v>
      </c>
    </row>
    <row r="4440" spans="1:10" x14ac:dyDescent="0.25">
      <c r="A4440" t="s">
        <v>2883</v>
      </c>
      <c r="B4440" t="s">
        <v>3033</v>
      </c>
      <c r="C4440" t="s">
        <v>3195</v>
      </c>
      <c r="D4440" s="1" t="s">
        <v>3196</v>
      </c>
      <c r="E4440" t="s">
        <v>14</v>
      </c>
      <c r="F4440">
        <v>46.693600000000004</v>
      </c>
      <c r="G4440">
        <v>-2.3302999999999998</v>
      </c>
      <c r="H4440">
        <v>1</v>
      </c>
      <c r="I4440">
        <v>32</v>
      </c>
      <c r="J4440" t="str">
        <f>HYPERLINK("https://climate.onebuilding.org/WMO_Region_6_Europe/FRA_France/PL_Pays_de_la_Loire/FRA_PL_St.Sauveur-d-Yeu.Island.073000_TMYx.zip")</f>
        <v>https://climate.onebuilding.org/WMO_Region_6_Europe/FRA_France/PL_Pays_de_la_Loire/FRA_PL_St.Sauveur-d-Yeu.Island.073000_TMYx.zip</v>
      </c>
    </row>
    <row r="4441" spans="1:10" x14ac:dyDescent="0.25">
      <c r="A4441" t="s">
        <v>2883</v>
      </c>
      <c r="B4441" t="s">
        <v>3033</v>
      </c>
      <c r="C4441" t="s">
        <v>3198</v>
      </c>
      <c r="D4441" s="1" t="s">
        <v>3199</v>
      </c>
      <c r="E4441" t="s">
        <v>3200</v>
      </c>
      <c r="F4441">
        <v>46.705599999999997</v>
      </c>
      <c r="G4441">
        <v>-1.3816999999999999</v>
      </c>
      <c r="H4441">
        <v>1</v>
      </c>
      <c r="I4441">
        <v>91</v>
      </c>
      <c r="J4441" t="str">
        <f>HYPERLINK("https://climate.onebuilding.org/WMO_Region_6_Europe/FRA_France/PL_Pays_de_la_Loire/FRA_PL_La.Roche.sur.Yon-Les.Ajoncs.AP.073060_TMYx.2004-2018.zip")</f>
        <v>https://climate.onebuilding.org/WMO_Region_6_Europe/FRA_France/PL_Pays_de_la_Loire/FRA_PL_La.Roche.sur.Yon-Les.Ajoncs.AP.073060_TMYx.2004-2018.zip</v>
      </c>
    </row>
    <row r="4442" spans="1:10" x14ac:dyDescent="0.25">
      <c r="A4442" t="s">
        <v>2883</v>
      </c>
      <c r="B4442" t="s">
        <v>3033</v>
      </c>
      <c r="C4442" t="s">
        <v>3198</v>
      </c>
      <c r="D4442" s="1" t="s">
        <v>3199</v>
      </c>
      <c r="E4442" t="s">
        <v>14</v>
      </c>
      <c r="F4442">
        <v>46.705599999999997</v>
      </c>
      <c r="G4442">
        <v>-1.3816999999999999</v>
      </c>
      <c r="H4442">
        <v>1</v>
      </c>
      <c r="I4442">
        <v>91</v>
      </c>
      <c r="J4442" t="str">
        <f>HYPERLINK("https://climate.onebuilding.org/WMO_Region_6_Europe/FRA_France/PL_Pays_de_la_Loire/FRA_PL_La.Roche.sur.Yon-Les.Ajoncs.AP.073060_TMYx.2007-2021.zip")</f>
        <v>https://climate.onebuilding.org/WMO_Region_6_Europe/FRA_France/PL_Pays_de_la_Loire/FRA_PL_La.Roche.sur.Yon-Les.Ajoncs.AP.073060_TMYx.2007-2021.zip</v>
      </c>
    </row>
    <row r="4443" spans="1:10" x14ac:dyDescent="0.25">
      <c r="A4443" t="s">
        <v>2883</v>
      </c>
      <c r="B4443" t="s">
        <v>3033</v>
      </c>
      <c r="C4443" t="s">
        <v>3198</v>
      </c>
      <c r="D4443" s="1" t="s">
        <v>3199</v>
      </c>
      <c r="E4443" t="s">
        <v>14</v>
      </c>
      <c r="F4443">
        <v>46.705599999999997</v>
      </c>
      <c r="G4443">
        <v>-1.3816999999999999</v>
      </c>
      <c r="H4443">
        <v>1</v>
      </c>
      <c r="I4443">
        <v>91</v>
      </c>
      <c r="J4443" t="str">
        <f>HYPERLINK("https://climate.onebuilding.org/WMO_Region_6_Europe/FRA_France/PL_Pays_de_la_Loire/FRA_PL_La.Roche.sur.Yon-Les.Ajoncs.AP.073060_TMYx.2009-2023.zip")</f>
        <v>https://climate.onebuilding.org/WMO_Region_6_Europe/FRA_France/PL_Pays_de_la_Loire/FRA_PL_La.Roche.sur.Yon-Les.Ajoncs.AP.073060_TMYx.2009-2023.zip</v>
      </c>
    </row>
    <row r="4444" spans="1:10" x14ac:dyDescent="0.25">
      <c r="A4444" t="s">
        <v>2883</v>
      </c>
      <c r="B4444" t="s">
        <v>3033</v>
      </c>
      <c r="C4444" t="s">
        <v>3198</v>
      </c>
      <c r="D4444" s="1" t="s">
        <v>3199</v>
      </c>
      <c r="E4444" t="s">
        <v>14</v>
      </c>
      <c r="F4444">
        <v>46.705599999999997</v>
      </c>
      <c r="G4444">
        <v>-1.3816999999999999</v>
      </c>
      <c r="H4444">
        <v>1</v>
      </c>
      <c r="I4444">
        <v>91</v>
      </c>
      <c r="J4444" t="str">
        <f>HYPERLINK("https://climate.onebuilding.org/WMO_Region_6_Europe/FRA_France/PL_Pays_de_la_Loire/FRA_PL_La.Roche.sur.Yon-Les.Ajoncs.AP.073060_TMYx.zip")</f>
        <v>https://climate.onebuilding.org/WMO_Region_6_Europe/FRA_France/PL_Pays_de_la_Loire/FRA_PL_La.Roche.sur.Yon-Les.Ajoncs.AP.073060_TMYx.zip</v>
      </c>
    </row>
    <row r="4445" spans="1:10" x14ac:dyDescent="0.25">
      <c r="A4445" t="s">
        <v>2883</v>
      </c>
      <c r="B4445" t="s">
        <v>3033</v>
      </c>
      <c r="C4445" t="s">
        <v>3201</v>
      </c>
      <c r="D4445" s="1" t="s">
        <v>3202</v>
      </c>
      <c r="E4445" t="s">
        <v>14</v>
      </c>
      <c r="F4445">
        <v>46.243699999999997</v>
      </c>
      <c r="G4445">
        <v>-1.5605</v>
      </c>
      <c r="H4445">
        <v>1</v>
      </c>
      <c r="I4445">
        <v>5</v>
      </c>
      <c r="J4445" t="str">
        <f>HYPERLINK("https://climate.onebuilding.org/WMO_Region_6_Europe/FRA_France/PL_Pays_de_la_Loire/FRA_PL_Pointe.Des.Baleines.073110_TMYx.zip")</f>
        <v>https://climate.onebuilding.org/WMO_Region_6_Europe/FRA_France/PL_Pays_de_la_Loire/FRA_PL_Pointe.Des.Baleines.073110_TMYx.zip</v>
      </c>
    </row>
    <row r="4446" spans="1:10" x14ac:dyDescent="0.25">
      <c r="A4446" t="s">
        <v>2883</v>
      </c>
      <c r="B4446" t="s">
        <v>3203</v>
      </c>
      <c r="C4446" t="s">
        <v>3204</v>
      </c>
      <c r="D4446" s="1" t="s">
        <v>3205</v>
      </c>
      <c r="E4446" t="s">
        <v>3206</v>
      </c>
      <c r="F4446">
        <v>46.046900000000001</v>
      </c>
      <c r="G4446">
        <v>-1.4117</v>
      </c>
      <c r="H4446">
        <v>1</v>
      </c>
      <c r="I4446">
        <v>23</v>
      </c>
      <c r="J4446" t="str">
        <f>HYPERLINK("https://climate.onebuilding.org/WMO_Region_6_Europe/FRA_France/AC_Nouvelle-Aquitaine/FRA_AC_Chassiron.073140_TMYx.2004-2018.zip")</f>
        <v>https://climate.onebuilding.org/WMO_Region_6_Europe/FRA_France/AC_Nouvelle-Aquitaine/FRA_AC_Chassiron.073140_TMYx.2004-2018.zip</v>
      </c>
    </row>
    <row r="4447" spans="1:10" x14ac:dyDescent="0.25">
      <c r="A4447" t="s">
        <v>2883</v>
      </c>
      <c r="B4447" t="s">
        <v>3203</v>
      </c>
      <c r="C4447" t="s">
        <v>3204</v>
      </c>
      <c r="D4447" s="1" t="s">
        <v>3205</v>
      </c>
      <c r="E4447" t="s">
        <v>14</v>
      </c>
      <c r="F4447">
        <v>46.046900000000001</v>
      </c>
      <c r="G4447">
        <v>-1.4117</v>
      </c>
      <c r="H4447">
        <v>1</v>
      </c>
      <c r="I4447">
        <v>23</v>
      </c>
      <c r="J4447" t="str">
        <f>HYPERLINK("https://climate.onebuilding.org/WMO_Region_6_Europe/FRA_France/AC_Nouvelle-Aquitaine/FRA_AC_Chassiron.073140_TMYx.2007-2021.zip")</f>
        <v>https://climate.onebuilding.org/WMO_Region_6_Europe/FRA_France/AC_Nouvelle-Aquitaine/FRA_AC_Chassiron.073140_TMYx.2007-2021.zip</v>
      </c>
    </row>
    <row r="4448" spans="1:10" x14ac:dyDescent="0.25">
      <c r="A4448" t="s">
        <v>2883</v>
      </c>
      <c r="B4448" t="s">
        <v>3203</v>
      </c>
      <c r="C4448" t="s">
        <v>3204</v>
      </c>
      <c r="D4448" s="1" t="s">
        <v>3205</v>
      </c>
      <c r="E4448" t="s">
        <v>14</v>
      </c>
      <c r="F4448">
        <v>46.046900000000001</v>
      </c>
      <c r="G4448">
        <v>-1.4117</v>
      </c>
      <c r="H4448">
        <v>1</v>
      </c>
      <c r="I4448">
        <v>23</v>
      </c>
      <c r="J4448" t="str">
        <f>HYPERLINK("https://climate.onebuilding.org/WMO_Region_6_Europe/FRA_France/AC_Nouvelle-Aquitaine/FRA_AC_Chassiron.073140_TMYx.2009-2023.zip")</f>
        <v>https://climate.onebuilding.org/WMO_Region_6_Europe/FRA_France/AC_Nouvelle-Aquitaine/FRA_AC_Chassiron.073140_TMYx.2009-2023.zip</v>
      </c>
    </row>
    <row r="4449" spans="1:10" x14ac:dyDescent="0.25">
      <c r="A4449" t="s">
        <v>2883</v>
      </c>
      <c r="B4449" t="s">
        <v>3203</v>
      </c>
      <c r="C4449" t="s">
        <v>3204</v>
      </c>
      <c r="D4449" s="1" t="s">
        <v>3205</v>
      </c>
      <c r="E4449" t="s">
        <v>14</v>
      </c>
      <c r="F4449">
        <v>46.046900000000001</v>
      </c>
      <c r="G4449">
        <v>-1.4117</v>
      </c>
      <c r="H4449">
        <v>1</v>
      </c>
      <c r="I4449">
        <v>23</v>
      </c>
      <c r="J4449" t="str">
        <f>HYPERLINK("https://climate.onebuilding.org/WMO_Region_6_Europe/FRA_France/AC_Nouvelle-Aquitaine/FRA_AC_Chassiron.073140_TMYx.zip")</f>
        <v>https://climate.onebuilding.org/WMO_Region_6_Europe/FRA_France/AC_Nouvelle-Aquitaine/FRA_AC_Chassiron.073140_TMYx.zip</v>
      </c>
    </row>
    <row r="4450" spans="1:10" x14ac:dyDescent="0.25">
      <c r="A4450" t="s">
        <v>2883</v>
      </c>
      <c r="B4450" t="s">
        <v>3203</v>
      </c>
      <c r="C4450" t="s">
        <v>3207</v>
      </c>
      <c r="D4450" s="1" t="s">
        <v>3208</v>
      </c>
      <c r="E4450" t="s">
        <v>3209</v>
      </c>
      <c r="F4450">
        <v>46.15</v>
      </c>
      <c r="G4450">
        <v>-1.1499999999999999</v>
      </c>
      <c r="H4450">
        <v>1</v>
      </c>
      <c r="I4450">
        <v>10</v>
      </c>
      <c r="J4450" t="str">
        <f>HYPERLINK("https://climate.onebuilding.org/WMO_Region_6_Europe/FRA_France/AC_Nouvelle-Aquitaine/FRA_AC_La.Rochelle.073150_TMYx.2004-2018.zip")</f>
        <v>https://climate.onebuilding.org/WMO_Region_6_Europe/FRA_France/AC_Nouvelle-Aquitaine/FRA_AC_La.Rochelle.073150_TMYx.2004-2018.zip</v>
      </c>
    </row>
    <row r="4451" spans="1:10" x14ac:dyDescent="0.25">
      <c r="A4451" t="s">
        <v>2883</v>
      </c>
      <c r="B4451" t="s">
        <v>3203</v>
      </c>
      <c r="C4451" t="s">
        <v>3207</v>
      </c>
      <c r="D4451" s="1" t="s">
        <v>3208</v>
      </c>
      <c r="E4451" t="s">
        <v>14</v>
      </c>
      <c r="F4451">
        <v>46.15</v>
      </c>
      <c r="G4451">
        <v>-1.1499999999999999</v>
      </c>
      <c r="H4451">
        <v>1</v>
      </c>
      <c r="I4451">
        <v>10</v>
      </c>
      <c r="J4451" t="str">
        <f>HYPERLINK("https://climate.onebuilding.org/WMO_Region_6_Europe/FRA_France/AC_Nouvelle-Aquitaine/FRA_AC_La.Rochelle.073150_TMYx.2007-2021.zip")</f>
        <v>https://climate.onebuilding.org/WMO_Region_6_Europe/FRA_France/AC_Nouvelle-Aquitaine/FRA_AC_La.Rochelle.073150_TMYx.2007-2021.zip</v>
      </c>
    </row>
    <row r="4452" spans="1:10" x14ac:dyDescent="0.25">
      <c r="A4452" t="s">
        <v>2883</v>
      </c>
      <c r="B4452" t="s">
        <v>3203</v>
      </c>
      <c r="C4452" t="s">
        <v>3207</v>
      </c>
      <c r="D4452" s="1" t="s">
        <v>3208</v>
      </c>
      <c r="E4452" t="s">
        <v>14</v>
      </c>
      <c r="F4452">
        <v>46.15</v>
      </c>
      <c r="G4452">
        <v>-1.1499999999999999</v>
      </c>
      <c r="H4452">
        <v>1</v>
      </c>
      <c r="I4452">
        <v>10</v>
      </c>
      <c r="J4452" t="str">
        <f>HYPERLINK("https://climate.onebuilding.org/WMO_Region_6_Europe/FRA_France/AC_Nouvelle-Aquitaine/FRA_AC_La.Rochelle.073150_TMYx.2009-2023.zip")</f>
        <v>https://climate.onebuilding.org/WMO_Region_6_Europe/FRA_France/AC_Nouvelle-Aquitaine/FRA_AC_La.Rochelle.073150_TMYx.2009-2023.zip</v>
      </c>
    </row>
    <row r="4453" spans="1:10" x14ac:dyDescent="0.25">
      <c r="A4453" t="s">
        <v>2883</v>
      </c>
      <c r="B4453" t="s">
        <v>3203</v>
      </c>
      <c r="C4453" t="s">
        <v>3207</v>
      </c>
      <c r="D4453" s="1" t="s">
        <v>3208</v>
      </c>
      <c r="E4453" t="s">
        <v>14</v>
      </c>
      <c r="F4453">
        <v>46.15</v>
      </c>
      <c r="G4453">
        <v>-1.1499999999999999</v>
      </c>
      <c r="H4453">
        <v>1</v>
      </c>
      <c r="I4453">
        <v>10</v>
      </c>
      <c r="J4453" t="str">
        <f>HYPERLINK("https://climate.onebuilding.org/WMO_Region_6_Europe/FRA_France/AC_Nouvelle-Aquitaine/FRA_AC_La.Rochelle.073150_TMYx.zip")</f>
        <v>https://climate.onebuilding.org/WMO_Region_6_Europe/FRA_France/AC_Nouvelle-Aquitaine/FRA_AC_La.Rochelle.073150_TMYx.zip</v>
      </c>
    </row>
    <row r="4454" spans="1:10" x14ac:dyDescent="0.25">
      <c r="A4454" t="s">
        <v>2883</v>
      </c>
      <c r="B4454" t="s">
        <v>3203</v>
      </c>
      <c r="C4454" t="s">
        <v>3210</v>
      </c>
      <c r="D4454" s="1" t="s">
        <v>3211</v>
      </c>
      <c r="E4454" t="s">
        <v>3212</v>
      </c>
      <c r="F4454">
        <v>46.178100000000001</v>
      </c>
      <c r="G4454">
        <v>-1.1931</v>
      </c>
      <c r="H4454">
        <v>1</v>
      </c>
      <c r="I4454">
        <v>18</v>
      </c>
      <c r="J4454" t="str">
        <f>HYPERLINK("https://climate.onebuilding.org/WMO_Region_6_Europe/FRA_France/AC_Nouvelle-Aquitaine/FRA_AC_La.Rochelle.Intl.AP.073160_TMYx.2004-2018.zip")</f>
        <v>https://climate.onebuilding.org/WMO_Region_6_Europe/FRA_France/AC_Nouvelle-Aquitaine/FRA_AC_La.Rochelle.Intl.AP.073160_TMYx.2004-2018.zip</v>
      </c>
    </row>
    <row r="4455" spans="1:10" x14ac:dyDescent="0.25">
      <c r="A4455" t="s">
        <v>2883</v>
      </c>
      <c r="B4455" t="s">
        <v>3203</v>
      </c>
      <c r="C4455" t="s">
        <v>3210</v>
      </c>
      <c r="D4455" s="1" t="s">
        <v>3211</v>
      </c>
      <c r="E4455" t="s">
        <v>14</v>
      </c>
      <c r="F4455">
        <v>46.178100000000001</v>
      </c>
      <c r="G4455">
        <v>-1.1931</v>
      </c>
      <c r="H4455">
        <v>1</v>
      </c>
      <c r="I4455">
        <v>18</v>
      </c>
      <c r="J4455" t="str">
        <f>HYPERLINK("https://climate.onebuilding.org/WMO_Region_6_Europe/FRA_France/AC_Nouvelle-Aquitaine/FRA_AC_La.Rochelle.Intl.AP.073160_TMYx.2007-2021.zip")</f>
        <v>https://climate.onebuilding.org/WMO_Region_6_Europe/FRA_France/AC_Nouvelle-Aquitaine/FRA_AC_La.Rochelle.Intl.AP.073160_TMYx.2007-2021.zip</v>
      </c>
    </row>
    <row r="4456" spans="1:10" x14ac:dyDescent="0.25">
      <c r="A4456" t="s">
        <v>2883</v>
      </c>
      <c r="B4456" t="s">
        <v>3203</v>
      </c>
      <c r="C4456" t="s">
        <v>3210</v>
      </c>
      <c r="D4456" s="1" t="s">
        <v>3211</v>
      </c>
      <c r="E4456" t="s">
        <v>14</v>
      </c>
      <c r="F4456">
        <v>46.178100000000001</v>
      </c>
      <c r="G4456">
        <v>-1.1931</v>
      </c>
      <c r="H4456">
        <v>1</v>
      </c>
      <c r="I4456">
        <v>18</v>
      </c>
      <c r="J4456" t="str">
        <f>HYPERLINK("https://climate.onebuilding.org/WMO_Region_6_Europe/FRA_France/AC_Nouvelle-Aquitaine/FRA_AC_La.Rochelle.Intl.AP.073160_TMYx.2009-2023.zip")</f>
        <v>https://climate.onebuilding.org/WMO_Region_6_Europe/FRA_France/AC_Nouvelle-Aquitaine/FRA_AC_La.Rochelle.Intl.AP.073160_TMYx.2009-2023.zip</v>
      </c>
    </row>
    <row r="4457" spans="1:10" x14ac:dyDescent="0.25">
      <c r="A4457" t="s">
        <v>2883</v>
      </c>
      <c r="B4457" t="s">
        <v>3203</v>
      </c>
      <c r="C4457" t="s">
        <v>3210</v>
      </c>
      <c r="D4457" s="1" t="s">
        <v>3211</v>
      </c>
      <c r="E4457" t="s">
        <v>14</v>
      </c>
      <c r="F4457">
        <v>46.178100000000001</v>
      </c>
      <c r="G4457">
        <v>-1.1931</v>
      </c>
      <c r="H4457">
        <v>1</v>
      </c>
      <c r="I4457">
        <v>18</v>
      </c>
      <c r="J4457" t="str">
        <f>HYPERLINK("https://climate.onebuilding.org/WMO_Region_6_Europe/FRA_France/AC_Nouvelle-Aquitaine/FRA_AC_La.Rochelle.Intl.AP.073160_TMYx.zip")</f>
        <v>https://climate.onebuilding.org/WMO_Region_6_Europe/FRA_France/AC_Nouvelle-Aquitaine/FRA_AC_La.Rochelle.Intl.AP.073160_TMYx.zip</v>
      </c>
    </row>
    <row r="4458" spans="1:10" x14ac:dyDescent="0.25">
      <c r="A4458" t="s">
        <v>2883</v>
      </c>
      <c r="B4458" t="s">
        <v>3203</v>
      </c>
      <c r="C4458" t="s">
        <v>3213</v>
      </c>
      <c r="D4458" s="1" t="s">
        <v>3214</v>
      </c>
      <c r="E4458" t="s">
        <v>3215</v>
      </c>
      <c r="F4458">
        <v>46.315600000000003</v>
      </c>
      <c r="G4458">
        <v>-0.40029999999999999</v>
      </c>
      <c r="H4458">
        <v>1</v>
      </c>
      <c r="I4458">
        <v>61</v>
      </c>
      <c r="J4458" t="str">
        <f>HYPERLINK("https://climate.onebuilding.org/WMO_Region_6_Europe/FRA_France/AC_Nouvelle-Aquitaine/FRA_AC_Niort-Marais.Poitevin.AP.073300_TMYx.2004-2018.zip")</f>
        <v>https://climate.onebuilding.org/WMO_Region_6_Europe/FRA_France/AC_Nouvelle-Aquitaine/FRA_AC_Niort-Marais.Poitevin.AP.073300_TMYx.2004-2018.zip</v>
      </c>
    </row>
    <row r="4459" spans="1:10" x14ac:dyDescent="0.25">
      <c r="A4459" t="s">
        <v>2883</v>
      </c>
      <c r="B4459" t="s">
        <v>3203</v>
      </c>
      <c r="C4459" t="s">
        <v>3213</v>
      </c>
      <c r="D4459" s="1" t="s">
        <v>3214</v>
      </c>
      <c r="E4459" t="s">
        <v>14</v>
      </c>
      <c r="F4459">
        <v>46.315600000000003</v>
      </c>
      <c r="G4459">
        <v>-0.40029999999999999</v>
      </c>
      <c r="H4459">
        <v>1</v>
      </c>
      <c r="I4459">
        <v>61</v>
      </c>
      <c r="J4459" t="str">
        <f>HYPERLINK("https://climate.onebuilding.org/WMO_Region_6_Europe/FRA_France/AC_Nouvelle-Aquitaine/FRA_AC_Niort-Marais.Poitevin.AP.073300_TMYx.2007-2021.zip")</f>
        <v>https://climate.onebuilding.org/WMO_Region_6_Europe/FRA_France/AC_Nouvelle-Aquitaine/FRA_AC_Niort-Marais.Poitevin.AP.073300_TMYx.2007-2021.zip</v>
      </c>
    </row>
    <row r="4460" spans="1:10" x14ac:dyDescent="0.25">
      <c r="A4460" t="s">
        <v>2883</v>
      </c>
      <c r="B4460" t="s">
        <v>3203</v>
      </c>
      <c r="C4460" t="s">
        <v>3213</v>
      </c>
      <c r="D4460" s="1" t="s">
        <v>3214</v>
      </c>
      <c r="E4460" t="s">
        <v>14</v>
      </c>
      <c r="F4460">
        <v>46.315600000000003</v>
      </c>
      <c r="G4460">
        <v>-0.40029999999999999</v>
      </c>
      <c r="H4460">
        <v>1</v>
      </c>
      <c r="I4460">
        <v>61</v>
      </c>
      <c r="J4460" t="str">
        <f>HYPERLINK("https://climate.onebuilding.org/WMO_Region_6_Europe/FRA_France/AC_Nouvelle-Aquitaine/FRA_AC_Niort-Marais.Poitevin.AP.073300_TMYx.2009-2023.zip")</f>
        <v>https://climate.onebuilding.org/WMO_Region_6_Europe/FRA_France/AC_Nouvelle-Aquitaine/FRA_AC_Niort-Marais.Poitevin.AP.073300_TMYx.2009-2023.zip</v>
      </c>
    </row>
    <row r="4461" spans="1:10" x14ac:dyDescent="0.25">
      <c r="A4461" t="s">
        <v>2883</v>
      </c>
      <c r="B4461" t="s">
        <v>3203</v>
      </c>
      <c r="C4461" t="s">
        <v>3213</v>
      </c>
      <c r="D4461" s="1" t="s">
        <v>3214</v>
      </c>
      <c r="E4461" t="s">
        <v>14</v>
      </c>
      <c r="F4461">
        <v>46.315600000000003</v>
      </c>
      <c r="G4461">
        <v>-0.40029999999999999</v>
      </c>
      <c r="H4461">
        <v>1</v>
      </c>
      <c r="I4461">
        <v>61</v>
      </c>
      <c r="J4461" t="str">
        <f>HYPERLINK("https://climate.onebuilding.org/WMO_Region_6_Europe/FRA_France/AC_Nouvelle-Aquitaine/FRA_AC_Niort-Marais.Poitevin.AP.073300_TMYx.zip")</f>
        <v>https://climate.onebuilding.org/WMO_Region_6_Europe/FRA_France/AC_Nouvelle-Aquitaine/FRA_AC_Niort-Marais.Poitevin.AP.073300_TMYx.zip</v>
      </c>
    </row>
    <row r="4462" spans="1:10" x14ac:dyDescent="0.25">
      <c r="A4462" t="s">
        <v>2883</v>
      </c>
      <c r="B4462" t="s">
        <v>3203</v>
      </c>
      <c r="C4462" t="s">
        <v>3216</v>
      </c>
      <c r="D4462" s="1" t="s">
        <v>3217</v>
      </c>
      <c r="E4462" t="s">
        <v>3218</v>
      </c>
      <c r="F4462">
        <v>46.593899999999998</v>
      </c>
      <c r="G4462">
        <v>0.31440000000000001</v>
      </c>
      <c r="H4462">
        <v>1</v>
      </c>
      <c r="I4462">
        <v>120</v>
      </c>
      <c r="J4462" t="str">
        <f>HYPERLINK("https://climate.onebuilding.org/WMO_Region_6_Europe/FRA_France/AC_Nouvelle-Aquitaine/FRA_AC_Poitiers-Biard.AP.073350_TMYx.2004-2018.zip")</f>
        <v>https://climate.onebuilding.org/WMO_Region_6_Europe/FRA_France/AC_Nouvelle-Aquitaine/FRA_AC_Poitiers-Biard.AP.073350_TMYx.2004-2018.zip</v>
      </c>
    </row>
    <row r="4463" spans="1:10" x14ac:dyDescent="0.25">
      <c r="A4463" t="s">
        <v>2883</v>
      </c>
      <c r="B4463" t="s">
        <v>3203</v>
      </c>
      <c r="C4463" t="s">
        <v>3216</v>
      </c>
      <c r="D4463" s="1" t="s">
        <v>3217</v>
      </c>
      <c r="E4463" t="s">
        <v>14</v>
      </c>
      <c r="F4463">
        <v>46.593899999999998</v>
      </c>
      <c r="G4463">
        <v>0.31440000000000001</v>
      </c>
      <c r="H4463">
        <v>1</v>
      </c>
      <c r="I4463">
        <v>120</v>
      </c>
      <c r="J4463" t="str">
        <f>HYPERLINK("https://climate.onebuilding.org/WMO_Region_6_Europe/FRA_France/AC_Nouvelle-Aquitaine/FRA_AC_Poitiers-Biard.AP.073350_TMYx.2007-2021.zip")</f>
        <v>https://climate.onebuilding.org/WMO_Region_6_Europe/FRA_France/AC_Nouvelle-Aquitaine/FRA_AC_Poitiers-Biard.AP.073350_TMYx.2007-2021.zip</v>
      </c>
    </row>
    <row r="4464" spans="1:10" x14ac:dyDescent="0.25">
      <c r="A4464" t="s">
        <v>2883</v>
      </c>
      <c r="B4464" t="s">
        <v>3203</v>
      </c>
      <c r="C4464" t="s">
        <v>3216</v>
      </c>
      <c r="D4464" s="1" t="s">
        <v>3217</v>
      </c>
      <c r="E4464" t="s">
        <v>14</v>
      </c>
      <c r="F4464">
        <v>46.593899999999998</v>
      </c>
      <c r="G4464">
        <v>0.31440000000000001</v>
      </c>
      <c r="H4464">
        <v>1</v>
      </c>
      <c r="I4464">
        <v>120</v>
      </c>
      <c r="J4464" t="str">
        <f>HYPERLINK("https://climate.onebuilding.org/WMO_Region_6_Europe/FRA_France/AC_Nouvelle-Aquitaine/FRA_AC_Poitiers-Biard.AP.073350_TMYx.2009-2023.zip")</f>
        <v>https://climate.onebuilding.org/WMO_Region_6_Europe/FRA_France/AC_Nouvelle-Aquitaine/FRA_AC_Poitiers-Biard.AP.073350_TMYx.2009-2023.zip</v>
      </c>
    </row>
    <row r="4465" spans="1:10" x14ac:dyDescent="0.25">
      <c r="A4465" t="s">
        <v>2883</v>
      </c>
      <c r="B4465" t="s">
        <v>3203</v>
      </c>
      <c r="C4465" t="s">
        <v>3216</v>
      </c>
      <c r="D4465" s="1" t="s">
        <v>3217</v>
      </c>
      <c r="E4465" t="s">
        <v>14</v>
      </c>
      <c r="F4465">
        <v>46.593899999999998</v>
      </c>
      <c r="G4465">
        <v>0.31440000000000001</v>
      </c>
      <c r="H4465">
        <v>1</v>
      </c>
      <c r="I4465">
        <v>120</v>
      </c>
      <c r="J4465" t="str">
        <f>HYPERLINK("https://climate.onebuilding.org/WMO_Region_6_Europe/FRA_France/AC_Nouvelle-Aquitaine/FRA_AC_Poitiers-Biard.AP.073350_TMYx.zip")</f>
        <v>https://climate.onebuilding.org/WMO_Region_6_Europe/FRA_France/AC_Nouvelle-Aquitaine/FRA_AC_Poitiers-Biard.AP.073350_TMYx.zip</v>
      </c>
    </row>
    <row r="4466" spans="1:10" x14ac:dyDescent="0.25">
      <c r="A4466" t="s">
        <v>2883</v>
      </c>
      <c r="B4466" t="s">
        <v>3040</v>
      </c>
      <c r="C4466" t="s">
        <v>3219</v>
      </c>
      <c r="D4466" s="1" t="s">
        <v>3220</v>
      </c>
      <c r="E4466" t="s">
        <v>3221</v>
      </c>
      <c r="F4466">
        <v>46.869700000000002</v>
      </c>
      <c r="G4466">
        <v>1.7411000000000001</v>
      </c>
      <c r="H4466">
        <v>1</v>
      </c>
      <c r="I4466">
        <v>157</v>
      </c>
      <c r="J4466" t="str">
        <f>HYPERLINK("https://climate.onebuilding.org/WMO_Region_6_Europe/FRA_France/CN_Centre-Val_de_Loire/FRA_CN_Chateaurroux.Centre.AP.073540_TMYx.2004-2018.zip")</f>
        <v>https://climate.onebuilding.org/WMO_Region_6_Europe/FRA_France/CN_Centre-Val_de_Loire/FRA_CN_Chateaurroux.Centre.AP.073540_TMYx.2004-2018.zip</v>
      </c>
    </row>
    <row r="4467" spans="1:10" x14ac:dyDescent="0.25">
      <c r="A4467" t="s">
        <v>2883</v>
      </c>
      <c r="B4467" t="s">
        <v>3040</v>
      </c>
      <c r="C4467" t="s">
        <v>3219</v>
      </c>
      <c r="D4467" s="1" t="s">
        <v>3220</v>
      </c>
      <c r="E4467" t="s">
        <v>14</v>
      </c>
      <c r="F4467">
        <v>46.869700000000002</v>
      </c>
      <c r="G4467">
        <v>1.7411000000000001</v>
      </c>
      <c r="H4467">
        <v>1</v>
      </c>
      <c r="I4467">
        <v>157</v>
      </c>
      <c r="J4467" t="str">
        <f>HYPERLINK("https://climate.onebuilding.org/WMO_Region_6_Europe/FRA_France/CN_Centre-Val_de_Loire/FRA_CN_Chateaurroux.Centre.AP.073540_TMYx.2007-2021.zip")</f>
        <v>https://climate.onebuilding.org/WMO_Region_6_Europe/FRA_France/CN_Centre-Val_de_Loire/FRA_CN_Chateaurroux.Centre.AP.073540_TMYx.2007-2021.zip</v>
      </c>
    </row>
    <row r="4468" spans="1:10" x14ac:dyDescent="0.25">
      <c r="A4468" t="s">
        <v>2883</v>
      </c>
      <c r="B4468" t="s">
        <v>3040</v>
      </c>
      <c r="C4468" t="s">
        <v>3219</v>
      </c>
      <c r="D4468" s="1" t="s">
        <v>3220</v>
      </c>
      <c r="E4468" t="s">
        <v>14</v>
      </c>
      <c r="F4468">
        <v>46.869700000000002</v>
      </c>
      <c r="G4468">
        <v>1.7411000000000001</v>
      </c>
      <c r="H4468">
        <v>1</v>
      </c>
      <c r="I4468">
        <v>157</v>
      </c>
      <c r="J4468" t="str">
        <f>HYPERLINK("https://climate.onebuilding.org/WMO_Region_6_Europe/FRA_France/CN_Centre-Val_de_Loire/FRA_CN_Chateaurroux.Centre.AP.073540_TMYx.2009-2023.zip")</f>
        <v>https://climate.onebuilding.org/WMO_Region_6_Europe/FRA_France/CN_Centre-Val_de_Loire/FRA_CN_Chateaurroux.Centre.AP.073540_TMYx.2009-2023.zip</v>
      </c>
    </row>
    <row r="4469" spans="1:10" x14ac:dyDescent="0.25">
      <c r="A4469" t="s">
        <v>2883</v>
      </c>
      <c r="B4469" t="s">
        <v>3040</v>
      </c>
      <c r="C4469" t="s">
        <v>3219</v>
      </c>
      <c r="D4469" s="1" t="s">
        <v>3220</v>
      </c>
      <c r="E4469" t="s">
        <v>14</v>
      </c>
      <c r="F4469">
        <v>46.869700000000002</v>
      </c>
      <c r="G4469">
        <v>1.7411000000000001</v>
      </c>
      <c r="H4469">
        <v>1</v>
      </c>
      <c r="I4469">
        <v>157</v>
      </c>
      <c r="J4469" t="str">
        <f>HYPERLINK("https://climate.onebuilding.org/WMO_Region_6_Europe/FRA_France/CN_Centre-Val_de_Loire/FRA_CN_Chateaurroux.Centre.AP.073540_TMYx.zip")</f>
        <v>https://climate.onebuilding.org/WMO_Region_6_Europe/FRA_France/CN_Centre-Val_de_Loire/FRA_CN_Chateaurroux.Centre.AP.073540_TMYx.zip</v>
      </c>
    </row>
    <row r="4470" spans="1:10" x14ac:dyDescent="0.25">
      <c r="A4470" t="s">
        <v>2883</v>
      </c>
      <c r="B4470" t="s">
        <v>3203</v>
      </c>
      <c r="C4470" t="s">
        <v>3222</v>
      </c>
      <c r="D4470" s="1" t="s">
        <v>3223</v>
      </c>
      <c r="E4470" t="s">
        <v>3224</v>
      </c>
      <c r="F4470">
        <v>46.175600000000003</v>
      </c>
      <c r="G4470">
        <v>1.9502999999999999</v>
      </c>
      <c r="H4470">
        <v>1</v>
      </c>
      <c r="I4470">
        <v>366</v>
      </c>
      <c r="J4470" t="str">
        <f>HYPERLINK("https://climate.onebuilding.org/WMO_Region_6_Europe/FRA_France/AC_Nouvelle-Aquitaine/FRA_AC_Gueret-St.Laurent.AP.073610_TMYx.2004-2018.zip")</f>
        <v>https://climate.onebuilding.org/WMO_Region_6_Europe/FRA_France/AC_Nouvelle-Aquitaine/FRA_AC_Gueret-St.Laurent.AP.073610_TMYx.2004-2018.zip</v>
      </c>
    </row>
    <row r="4471" spans="1:10" x14ac:dyDescent="0.25">
      <c r="A4471" t="s">
        <v>2883</v>
      </c>
      <c r="B4471" t="s">
        <v>3203</v>
      </c>
      <c r="C4471" t="s">
        <v>3222</v>
      </c>
      <c r="D4471" s="1" t="s">
        <v>3223</v>
      </c>
      <c r="E4471" t="s">
        <v>14</v>
      </c>
      <c r="F4471">
        <v>46.175600000000003</v>
      </c>
      <c r="G4471">
        <v>1.9502999999999999</v>
      </c>
      <c r="H4471">
        <v>1</v>
      </c>
      <c r="I4471">
        <v>366</v>
      </c>
      <c r="J4471" t="str">
        <f>HYPERLINK("https://climate.onebuilding.org/WMO_Region_6_Europe/FRA_France/AC_Nouvelle-Aquitaine/FRA_AC_Gueret-St.Laurent.AP.073610_TMYx.2007-2021.zip")</f>
        <v>https://climate.onebuilding.org/WMO_Region_6_Europe/FRA_France/AC_Nouvelle-Aquitaine/FRA_AC_Gueret-St.Laurent.AP.073610_TMYx.2007-2021.zip</v>
      </c>
    </row>
    <row r="4472" spans="1:10" x14ac:dyDescent="0.25">
      <c r="A4472" t="s">
        <v>2883</v>
      </c>
      <c r="B4472" t="s">
        <v>3203</v>
      </c>
      <c r="C4472" t="s">
        <v>3222</v>
      </c>
      <c r="D4472" s="1" t="s">
        <v>3223</v>
      </c>
      <c r="E4472" t="s">
        <v>14</v>
      </c>
      <c r="F4472">
        <v>46.175600000000003</v>
      </c>
      <c r="G4472">
        <v>1.9502999999999999</v>
      </c>
      <c r="H4472">
        <v>1</v>
      </c>
      <c r="I4472">
        <v>366</v>
      </c>
      <c r="J4472" t="str">
        <f>HYPERLINK("https://climate.onebuilding.org/WMO_Region_6_Europe/FRA_France/AC_Nouvelle-Aquitaine/FRA_AC_Gueret-St.Laurent.AP.073610_TMYx.2009-2023.zip")</f>
        <v>https://climate.onebuilding.org/WMO_Region_6_Europe/FRA_France/AC_Nouvelle-Aquitaine/FRA_AC_Gueret-St.Laurent.AP.073610_TMYx.2009-2023.zip</v>
      </c>
    </row>
    <row r="4473" spans="1:10" x14ac:dyDescent="0.25">
      <c r="A4473" t="s">
        <v>2883</v>
      </c>
      <c r="B4473" t="s">
        <v>3203</v>
      </c>
      <c r="C4473" t="s">
        <v>3222</v>
      </c>
      <c r="D4473" s="1" t="s">
        <v>3223</v>
      </c>
      <c r="E4473" t="s">
        <v>14</v>
      </c>
      <c r="F4473">
        <v>46.175600000000003</v>
      </c>
      <c r="G4473">
        <v>1.9502999999999999</v>
      </c>
      <c r="H4473">
        <v>1</v>
      </c>
      <c r="I4473">
        <v>366</v>
      </c>
      <c r="J4473" t="str">
        <f>HYPERLINK("https://climate.onebuilding.org/WMO_Region_6_Europe/FRA_France/AC_Nouvelle-Aquitaine/FRA_AC_Gueret-St.Laurent.AP.073610_TMYx.zip")</f>
        <v>https://climate.onebuilding.org/WMO_Region_6_Europe/FRA_France/AC_Nouvelle-Aquitaine/FRA_AC_Gueret-St.Laurent.AP.073610_TMYx.zip</v>
      </c>
    </row>
    <row r="4474" spans="1:10" x14ac:dyDescent="0.25">
      <c r="A4474" t="s">
        <v>2883</v>
      </c>
      <c r="B4474" t="s">
        <v>3203</v>
      </c>
      <c r="C4474" t="s">
        <v>3225</v>
      </c>
      <c r="D4474" s="1" t="s">
        <v>3226</v>
      </c>
      <c r="E4474" t="s">
        <v>14</v>
      </c>
      <c r="F4474">
        <v>46.225000000000001</v>
      </c>
      <c r="G4474">
        <v>2.363</v>
      </c>
      <c r="H4474">
        <v>1</v>
      </c>
      <c r="I4474">
        <v>416.7</v>
      </c>
      <c r="J4474" t="str">
        <f>HYPERLINK("https://climate.onebuilding.org/WMO_Region_6_Europe/FRA_France/AC_Nouvelle-Aquitaine/FRA_AC_Montlucon-Gueret.AP.073625_TMYx.zip")</f>
        <v>https://climate.onebuilding.org/WMO_Region_6_Europe/FRA_France/AC_Nouvelle-Aquitaine/FRA_AC_Montlucon-Gueret.AP.073625_TMYx.zip</v>
      </c>
    </row>
    <row r="4475" spans="1:10" x14ac:dyDescent="0.25">
      <c r="A4475" t="s">
        <v>2883</v>
      </c>
      <c r="B4475" t="s">
        <v>2038</v>
      </c>
      <c r="C4475" t="s">
        <v>3227</v>
      </c>
      <c r="D4475" s="1" t="s">
        <v>3228</v>
      </c>
      <c r="E4475" t="s">
        <v>3229</v>
      </c>
      <c r="F4475">
        <v>46.166699999999999</v>
      </c>
      <c r="G4475">
        <v>3.3986000000000001</v>
      </c>
      <c r="H4475">
        <v>1</v>
      </c>
      <c r="I4475">
        <v>251</v>
      </c>
      <c r="J4475" t="str">
        <f>HYPERLINK("https://climate.onebuilding.org/WMO_Region_6_Europe/FRA_France/AR_Auvergne-Rhone-Alpes/FRA_AR_Vichy-Charmeil.AP.073740_TMYx.2004-2018.zip")</f>
        <v>https://climate.onebuilding.org/WMO_Region_6_Europe/FRA_France/AR_Auvergne-Rhone-Alpes/FRA_AR_Vichy-Charmeil.AP.073740_TMYx.2004-2018.zip</v>
      </c>
    </row>
    <row r="4476" spans="1:10" x14ac:dyDescent="0.25">
      <c r="A4476" t="s">
        <v>2883</v>
      </c>
      <c r="B4476" t="s">
        <v>2038</v>
      </c>
      <c r="C4476" t="s">
        <v>3227</v>
      </c>
      <c r="D4476" s="1" t="s">
        <v>3228</v>
      </c>
      <c r="E4476" t="s">
        <v>14</v>
      </c>
      <c r="F4476">
        <v>46.166699999999999</v>
      </c>
      <c r="G4476">
        <v>3.3986000000000001</v>
      </c>
      <c r="H4476">
        <v>1</v>
      </c>
      <c r="I4476">
        <v>251</v>
      </c>
      <c r="J4476" t="str">
        <f>HYPERLINK("https://climate.onebuilding.org/WMO_Region_6_Europe/FRA_France/AR_Auvergne-Rhone-Alpes/FRA_AR_Vichy-Charmeil.AP.073740_TMYx.2007-2021.zip")</f>
        <v>https://climate.onebuilding.org/WMO_Region_6_Europe/FRA_France/AR_Auvergne-Rhone-Alpes/FRA_AR_Vichy-Charmeil.AP.073740_TMYx.2007-2021.zip</v>
      </c>
    </row>
    <row r="4477" spans="1:10" x14ac:dyDescent="0.25">
      <c r="A4477" t="s">
        <v>2883</v>
      </c>
      <c r="B4477" t="s">
        <v>2038</v>
      </c>
      <c r="C4477" t="s">
        <v>3227</v>
      </c>
      <c r="D4477" s="1" t="s">
        <v>3228</v>
      </c>
      <c r="E4477" t="s">
        <v>14</v>
      </c>
      <c r="F4477">
        <v>46.166699999999999</v>
      </c>
      <c r="G4477">
        <v>3.3986000000000001</v>
      </c>
      <c r="H4477">
        <v>1</v>
      </c>
      <c r="I4477">
        <v>251</v>
      </c>
      <c r="J4477" t="str">
        <f>HYPERLINK("https://climate.onebuilding.org/WMO_Region_6_Europe/FRA_France/AR_Auvergne-Rhone-Alpes/FRA_AR_Vichy-Charmeil.AP.073740_TMYx.2009-2023.zip")</f>
        <v>https://climate.onebuilding.org/WMO_Region_6_Europe/FRA_France/AR_Auvergne-Rhone-Alpes/FRA_AR_Vichy-Charmeil.AP.073740_TMYx.2009-2023.zip</v>
      </c>
    </row>
    <row r="4478" spans="1:10" x14ac:dyDescent="0.25">
      <c r="A4478" t="s">
        <v>2883</v>
      </c>
      <c r="B4478" t="s">
        <v>2038</v>
      </c>
      <c r="C4478" t="s">
        <v>3227</v>
      </c>
      <c r="D4478" s="1" t="s">
        <v>3228</v>
      </c>
      <c r="E4478" t="s">
        <v>14</v>
      </c>
      <c r="F4478">
        <v>46.166699999999999</v>
      </c>
      <c r="G4478">
        <v>3.3986000000000001</v>
      </c>
      <c r="H4478">
        <v>1</v>
      </c>
      <c r="I4478">
        <v>251</v>
      </c>
      <c r="J4478" t="str">
        <f>HYPERLINK("https://climate.onebuilding.org/WMO_Region_6_Europe/FRA_France/AR_Auvergne-Rhone-Alpes/FRA_AR_Vichy-Charmeil.AP.073740_TMYx.zip")</f>
        <v>https://climate.onebuilding.org/WMO_Region_6_Europe/FRA_France/AR_Auvergne-Rhone-Alpes/FRA_AR_Vichy-Charmeil.AP.073740_TMYx.zip</v>
      </c>
    </row>
    <row r="4479" spans="1:10" x14ac:dyDescent="0.25">
      <c r="A4479" t="s">
        <v>2883</v>
      </c>
      <c r="B4479" t="s">
        <v>575</v>
      </c>
      <c r="C4479" t="s">
        <v>3230</v>
      </c>
      <c r="D4479" s="1" t="s">
        <v>3231</v>
      </c>
      <c r="E4479" t="s">
        <v>3232</v>
      </c>
      <c r="F4479">
        <v>46.408299999999997</v>
      </c>
      <c r="G4479">
        <v>4.0164</v>
      </c>
      <c r="H4479">
        <v>1</v>
      </c>
      <c r="I4479">
        <v>242</v>
      </c>
      <c r="J4479" t="str">
        <f>HYPERLINK("https://climate.onebuilding.org/WMO_Region_6_Europe/FRA_France/BF_Bourgogne-Franche-Comte/FRA_BF_Charolais.AP.073790_TMYx.2004-2018.zip")</f>
        <v>https://climate.onebuilding.org/WMO_Region_6_Europe/FRA_France/BF_Bourgogne-Franche-Comte/FRA_BF_Charolais.AP.073790_TMYx.2004-2018.zip</v>
      </c>
    </row>
    <row r="4480" spans="1:10" x14ac:dyDescent="0.25">
      <c r="A4480" t="s">
        <v>2883</v>
      </c>
      <c r="B4480" t="s">
        <v>575</v>
      </c>
      <c r="C4480" t="s">
        <v>3230</v>
      </c>
      <c r="D4480" s="1" t="s">
        <v>3231</v>
      </c>
      <c r="E4480" t="s">
        <v>14</v>
      </c>
      <c r="F4480">
        <v>46.408299999999997</v>
      </c>
      <c r="G4480">
        <v>4.0164</v>
      </c>
      <c r="H4480">
        <v>1</v>
      </c>
      <c r="I4480">
        <v>242</v>
      </c>
      <c r="J4480" t="str">
        <f>HYPERLINK("https://climate.onebuilding.org/WMO_Region_6_Europe/FRA_France/BF_Bourgogne-Franche-Comte/FRA_BF_Charolais.AP.073790_TMYx.2007-2021.zip")</f>
        <v>https://climate.onebuilding.org/WMO_Region_6_Europe/FRA_France/BF_Bourgogne-Franche-Comte/FRA_BF_Charolais.AP.073790_TMYx.2007-2021.zip</v>
      </c>
    </row>
    <row r="4481" spans="1:10" x14ac:dyDescent="0.25">
      <c r="A4481" t="s">
        <v>2883</v>
      </c>
      <c r="B4481" t="s">
        <v>575</v>
      </c>
      <c r="C4481" t="s">
        <v>3230</v>
      </c>
      <c r="D4481" s="1" t="s">
        <v>3231</v>
      </c>
      <c r="E4481" t="s">
        <v>14</v>
      </c>
      <c r="F4481">
        <v>46.408299999999997</v>
      </c>
      <c r="G4481">
        <v>4.0164</v>
      </c>
      <c r="H4481">
        <v>1</v>
      </c>
      <c r="I4481">
        <v>242</v>
      </c>
      <c r="J4481" t="str">
        <f>HYPERLINK("https://climate.onebuilding.org/WMO_Region_6_Europe/FRA_France/BF_Bourgogne-Franche-Comte/FRA_BF_Charolais.AP.073790_TMYx.2009-2023.zip")</f>
        <v>https://climate.onebuilding.org/WMO_Region_6_Europe/FRA_France/BF_Bourgogne-Franche-Comte/FRA_BF_Charolais.AP.073790_TMYx.2009-2023.zip</v>
      </c>
    </row>
    <row r="4482" spans="1:10" x14ac:dyDescent="0.25">
      <c r="A4482" t="s">
        <v>2883</v>
      </c>
      <c r="B4482" t="s">
        <v>575</v>
      </c>
      <c r="C4482" t="s">
        <v>3230</v>
      </c>
      <c r="D4482" s="1" t="s">
        <v>3231</v>
      </c>
      <c r="E4482" t="s">
        <v>14</v>
      </c>
      <c r="F4482">
        <v>46.408299999999997</v>
      </c>
      <c r="G4482">
        <v>4.0164</v>
      </c>
      <c r="H4482">
        <v>1</v>
      </c>
      <c r="I4482">
        <v>242</v>
      </c>
      <c r="J4482" t="str">
        <f>HYPERLINK("https://climate.onebuilding.org/WMO_Region_6_Europe/FRA_France/BF_Bourgogne-Franche-Comte/FRA_BF_Charolais.AP.073790_TMYx.zip")</f>
        <v>https://climate.onebuilding.org/WMO_Region_6_Europe/FRA_France/BF_Bourgogne-Franche-Comte/FRA_BF_Charolais.AP.073790_TMYx.zip</v>
      </c>
    </row>
    <row r="4483" spans="1:10" x14ac:dyDescent="0.25">
      <c r="A4483" t="s">
        <v>2883</v>
      </c>
      <c r="B4483" t="s">
        <v>575</v>
      </c>
      <c r="C4483" t="s">
        <v>3233</v>
      </c>
      <c r="D4483" s="1" t="s">
        <v>3234</v>
      </c>
      <c r="E4483" t="s">
        <v>14</v>
      </c>
      <c r="F4483">
        <v>46.65</v>
      </c>
      <c r="G4483">
        <v>4.4329999999999998</v>
      </c>
      <c r="H4483">
        <v>1</v>
      </c>
      <c r="I4483">
        <v>603</v>
      </c>
      <c r="J4483" t="str">
        <f>HYPERLINK("https://climate.onebuilding.org/WMO_Region_6_Europe/FRA_France/BF_Bourgogne-Franche-Comte/FRA_BF_Mont.St.Vincent.073820_TMYx.zip")</f>
        <v>https://climate.onebuilding.org/WMO_Region_6_Europe/FRA_France/BF_Bourgogne-Franche-Comte/FRA_BF_Mont.St.Vincent.073820_TMYx.zip</v>
      </c>
    </row>
    <row r="4484" spans="1:10" x14ac:dyDescent="0.25">
      <c r="A4484" t="s">
        <v>2883</v>
      </c>
      <c r="B4484" t="s">
        <v>575</v>
      </c>
      <c r="C4484" t="s">
        <v>3235</v>
      </c>
      <c r="D4484" s="1" t="s">
        <v>3236</v>
      </c>
      <c r="E4484" t="s">
        <v>3237</v>
      </c>
      <c r="F4484">
        <v>46.296700000000001</v>
      </c>
      <c r="G4484">
        <v>4.7986000000000004</v>
      </c>
      <c r="H4484">
        <v>1</v>
      </c>
      <c r="I4484">
        <v>217</v>
      </c>
      <c r="J4484" t="str">
        <f>HYPERLINK("https://climate.onebuilding.org/WMO_Region_6_Europe/FRA_France/BF_Bourgogne-Franche-Comte/FRA_BF_Macon-Charnay.AP.073850_TMYx.2004-2018.zip")</f>
        <v>https://climate.onebuilding.org/WMO_Region_6_Europe/FRA_France/BF_Bourgogne-Franche-Comte/FRA_BF_Macon-Charnay.AP.073850_TMYx.2004-2018.zip</v>
      </c>
    </row>
    <row r="4485" spans="1:10" x14ac:dyDescent="0.25">
      <c r="A4485" t="s">
        <v>2883</v>
      </c>
      <c r="B4485" t="s">
        <v>575</v>
      </c>
      <c r="C4485" t="s">
        <v>3235</v>
      </c>
      <c r="D4485" s="1" t="s">
        <v>3236</v>
      </c>
      <c r="E4485" t="s">
        <v>14</v>
      </c>
      <c r="F4485">
        <v>46.296700000000001</v>
      </c>
      <c r="G4485">
        <v>4.7986000000000004</v>
      </c>
      <c r="H4485">
        <v>1</v>
      </c>
      <c r="I4485">
        <v>217</v>
      </c>
      <c r="J4485" t="str">
        <f>HYPERLINK("https://climate.onebuilding.org/WMO_Region_6_Europe/FRA_France/BF_Bourgogne-Franche-Comte/FRA_BF_Macon-Charnay.AP.073850_TMYx.2007-2021.zip")</f>
        <v>https://climate.onebuilding.org/WMO_Region_6_Europe/FRA_France/BF_Bourgogne-Franche-Comte/FRA_BF_Macon-Charnay.AP.073850_TMYx.2007-2021.zip</v>
      </c>
    </row>
    <row r="4486" spans="1:10" x14ac:dyDescent="0.25">
      <c r="A4486" t="s">
        <v>2883</v>
      </c>
      <c r="B4486" t="s">
        <v>575</v>
      </c>
      <c r="C4486" t="s">
        <v>3235</v>
      </c>
      <c r="D4486" s="1" t="s">
        <v>3236</v>
      </c>
      <c r="E4486" t="s">
        <v>14</v>
      </c>
      <c r="F4486">
        <v>46.296700000000001</v>
      </c>
      <c r="G4486">
        <v>4.7986000000000004</v>
      </c>
      <c r="H4486">
        <v>1</v>
      </c>
      <c r="I4486">
        <v>217</v>
      </c>
      <c r="J4486" t="str">
        <f>HYPERLINK("https://climate.onebuilding.org/WMO_Region_6_Europe/FRA_France/BF_Bourgogne-Franche-Comte/FRA_BF_Macon-Charnay.AP.073850_TMYx.2009-2023.zip")</f>
        <v>https://climate.onebuilding.org/WMO_Region_6_Europe/FRA_France/BF_Bourgogne-Franche-Comte/FRA_BF_Macon-Charnay.AP.073850_TMYx.2009-2023.zip</v>
      </c>
    </row>
    <row r="4487" spans="1:10" x14ac:dyDescent="0.25">
      <c r="A4487" t="s">
        <v>2883</v>
      </c>
      <c r="B4487" t="s">
        <v>575</v>
      </c>
      <c r="C4487" t="s">
        <v>3235</v>
      </c>
      <c r="D4487" s="1" t="s">
        <v>3236</v>
      </c>
      <c r="E4487" t="s">
        <v>14</v>
      </c>
      <c r="F4487">
        <v>46.296700000000001</v>
      </c>
      <c r="G4487">
        <v>4.7986000000000004</v>
      </c>
      <c r="H4487">
        <v>1</v>
      </c>
      <c r="I4487">
        <v>217</v>
      </c>
      <c r="J4487" t="str">
        <f>HYPERLINK("https://climate.onebuilding.org/WMO_Region_6_Europe/FRA_France/BF_Bourgogne-Franche-Comte/FRA_BF_Macon-Charnay.AP.073850_TMYx.zip")</f>
        <v>https://climate.onebuilding.org/WMO_Region_6_Europe/FRA_France/BF_Bourgogne-Franche-Comte/FRA_BF_Macon-Charnay.AP.073850_TMYx.zip</v>
      </c>
    </row>
    <row r="4488" spans="1:10" x14ac:dyDescent="0.25">
      <c r="A4488" t="s">
        <v>2883</v>
      </c>
      <c r="B4488" t="s">
        <v>575</v>
      </c>
      <c r="C4488" t="s">
        <v>3238</v>
      </c>
      <c r="D4488" s="1" t="s">
        <v>3239</v>
      </c>
      <c r="E4488" t="s">
        <v>3240</v>
      </c>
      <c r="F4488">
        <v>47.043900000000001</v>
      </c>
      <c r="G4488">
        <v>5.4272</v>
      </c>
      <c r="H4488">
        <v>1</v>
      </c>
      <c r="I4488">
        <v>195</v>
      </c>
      <c r="J4488" t="str">
        <f>HYPERLINK("https://climate.onebuilding.org/WMO_Region_6_Europe/FRA_France/BF_Bourgogne-Franche-Comte/FRA_BF_Tavaux-Dole.Jura.AP.073860_TMYx.2004-2018.zip")</f>
        <v>https://climate.onebuilding.org/WMO_Region_6_Europe/FRA_France/BF_Bourgogne-Franche-Comte/FRA_BF_Tavaux-Dole.Jura.AP.073860_TMYx.2004-2018.zip</v>
      </c>
    </row>
    <row r="4489" spans="1:10" x14ac:dyDescent="0.25">
      <c r="A4489" t="s">
        <v>2883</v>
      </c>
      <c r="B4489" t="s">
        <v>575</v>
      </c>
      <c r="C4489" t="s">
        <v>3238</v>
      </c>
      <c r="D4489" s="1" t="s">
        <v>3239</v>
      </c>
      <c r="E4489" t="s">
        <v>14</v>
      </c>
      <c r="F4489">
        <v>47.043900000000001</v>
      </c>
      <c r="G4489">
        <v>5.4272</v>
      </c>
      <c r="H4489">
        <v>1</v>
      </c>
      <c r="I4489">
        <v>195</v>
      </c>
      <c r="J4489" t="str">
        <f>HYPERLINK("https://climate.onebuilding.org/WMO_Region_6_Europe/FRA_France/BF_Bourgogne-Franche-Comte/FRA_BF_Tavaux-Dole.Jura.AP.073860_TMYx.2007-2021.zip")</f>
        <v>https://climate.onebuilding.org/WMO_Region_6_Europe/FRA_France/BF_Bourgogne-Franche-Comte/FRA_BF_Tavaux-Dole.Jura.AP.073860_TMYx.2007-2021.zip</v>
      </c>
    </row>
    <row r="4490" spans="1:10" x14ac:dyDescent="0.25">
      <c r="A4490" t="s">
        <v>2883</v>
      </c>
      <c r="B4490" t="s">
        <v>575</v>
      </c>
      <c r="C4490" t="s">
        <v>3238</v>
      </c>
      <c r="D4490" s="1" t="s">
        <v>3239</v>
      </c>
      <c r="E4490" t="s">
        <v>14</v>
      </c>
      <c r="F4490">
        <v>47.043900000000001</v>
      </c>
      <c r="G4490">
        <v>5.4272</v>
      </c>
      <c r="H4490">
        <v>1</v>
      </c>
      <c r="I4490">
        <v>195</v>
      </c>
      <c r="J4490" t="str">
        <f>HYPERLINK("https://climate.onebuilding.org/WMO_Region_6_Europe/FRA_France/BF_Bourgogne-Franche-Comte/FRA_BF_Tavaux-Dole.Jura.AP.073860_TMYx.2009-2023.zip")</f>
        <v>https://climate.onebuilding.org/WMO_Region_6_Europe/FRA_France/BF_Bourgogne-Franche-Comte/FRA_BF_Tavaux-Dole.Jura.AP.073860_TMYx.2009-2023.zip</v>
      </c>
    </row>
    <row r="4491" spans="1:10" x14ac:dyDescent="0.25">
      <c r="A4491" t="s">
        <v>2883</v>
      </c>
      <c r="B4491" t="s">
        <v>575</v>
      </c>
      <c r="C4491" t="s">
        <v>3238</v>
      </c>
      <c r="D4491" s="1" t="s">
        <v>3239</v>
      </c>
      <c r="E4491" t="s">
        <v>14</v>
      </c>
      <c r="F4491">
        <v>47.043900000000001</v>
      </c>
      <c r="G4491">
        <v>5.4272</v>
      </c>
      <c r="H4491">
        <v>1</v>
      </c>
      <c r="I4491">
        <v>195</v>
      </c>
      <c r="J4491" t="str">
        <f>HYPERLINK("https://climate.onebuilding.org/WMO_Region_6_Europe/FRA_France/BF_Bourgogne-Franche-Comte/FRA_BF_Tavaux-Dole.Jura.AP.073860_TMYx.zip")</f>
        <v>https://climate.onebuilding.org/WMO_Region_6_Europe/FRA_France/BF_Bourgogne-Franche-Comte/FRA_BF_Tavaux-Dole.Jura.AP.073860_TMYx.zip</v>
      </c>
    </row>
    <row r="4492" spans="1:10" x14ac:dyDescent="0.25">
      <c r="A4492" t="s">
        <v>2883</v>
      </c>
      <c r="B4492" t="s">
        <v>575</v>
      </c>
      <c r="C4492" t="s">
        <v>3241</v>
      </c>
      <c r="D4492" s="1" t="s">
        <v>3242</v>
      </c>
      <c r="E4492" t="s">
        <v>3243</v>
      </c>
      <c r="F4492">
        <v>46.683</v>
      </c>
      <c r="G4492">
        <v>5.5170000000000003</v>
      </c>
      <c r="H4492">
        <v>1</v>
      </c>
      <c r="I4492">
        <v>279</v>
      </c>
      <c r="J4492" t="str">
        <f>HYPERLINK("https://climate.onebuilding.org/WMO_Region_6_Europe/FRA_France/BF_Bourgogne-Franche-Comte/FRA_BF_Lons-le-Saunier.073900_TMYx.2004-2018.zip")</f>
        <v>https://climate.onebuilding.org/WMO_Region_6_Europe/FRA_France/BF_Bourgogne-Franche-Comte/FRA_BF_Lons-le-Saunier.073900_TMYx.2004-2018.zip</v>
      </c>
    </row>
    <row r="4493" spans="1:10" x14ac:dyDescent="0.25">
      <c r="A4493" t="s">
        <v>2883</v>
      </c>
      <c r="B4493" t="s">
        <v>575</v>
      </c>
      <c r="C4493" t="s">
        <v>3241</v>
      </c>
      <c r="D4493" s="1" t="s">
        <v>3242</v>
      </c>
      <c r="E4493" t="s">
        <v>14</v>
      </c>
      <c r="F4493">
        <v>46.683</v>
      </c>
      <c r="G4493">
        <v>5.5170000000000003</v>
      </c>
      <c r="H4493">
        <v>1</v>
      </c>
      <c r="I4493">
        <v>279</v>
      </c>
      <c r="J4493" t="str">
        <f>HYPERLINK("https://climate.onebuilding.org/WMO_Region_6_Europe/FRA_France/BF_Bourgogne-Franche-Comte/FRA_BF_Lons-le-Saunier.073900_TMYx.zip")</f>
        <v>https://climate.onebuilding.org/WMO_Region_6_Europe/FRA_France/BF_Bourgogne-Franche-Comte/FRA_BF_Lons-le-Saunier.073900_TMYx.zip</v>
      </c>
    </row>
    <row r="4494" spans="1:10" x14ac:dyDescent="0.25">
      <c r="A4494" t="s">
        <v>2883</v>
      </c>
      <c r="B4494" t="s">
        <v>3033</v>
      </c>
      <c r="C4494" t="s">
        <v>3244</v>
      </c>
      <c r="D4494" s="1" t="s">
        <v>3245</v>
      </c>
      <c r="E4494" t="s">
        <v>3246</v>
      </c>
      <c r="F4494">
        <v>47.56</v>
      </c>
      <c r="G4494">
        <v>-0.312</v>
      </c>
      <c r="H4494">
        <v>1</v>
      </c>
      <c r="I4494">
        <v>59.1</v>
      </c>
      <c r="J4494" t="str">
        <f>HYPERLINK("https://climate.onebuilding.org/WMO_Region_6_Europe/FRA_France/PL_Pays_de_la_Loire/FRA_PL_Angers.Loire.AP.073901_TMYx.2004-2018.zip")</f>
        <v>https://climate.onebuilding.org/WMO_Region_6_Europe/FRA_France/PL_Pays_de_la_Loire/FRA_PL_Angers.Loire.AP.073901_TMYx.2004-2018.zip</v>
      </c>
    </row>
    <row r="4495" spans="1:10" x14ac:dyDescent="0.25">
      <c r="A4495" t="s">
        <v>2883</v>
      </c>
      <c r="B4495" t="s">
        <v>3033</v>
      </c>
      <c r="C4495" t="s">
        <v>3244</v>
      </c>
      <c r="D4495" s="1" t="s">
        <v>3245</v>
      </c>
      <c r="E4495" t="s">
        <v>14</v>
      </c>
      <c r="F4495">
        <v>47.56</v>
      </c>
      <c r="G4495">
        <v>-0.312</v>
      </c>
      <c r="H4495">
        <v>1</v>
      </c>
      <c r="I4495">
        <v>59.1</v>
      </c>
      <c r="J4495" t="str">
        <f>HYPERLINK("https://climate.onebuilding.org/WMO_Region_6_Europe/FRA_France/PL_Pays_de_la_Loire/FRA_PL_Angers.Loire.AP.073901_TMYx.2007-2021.zip")</f>
        <v>https://climate.onebuilding.org/WMO_Region_6_Europe/FRA_France/PL_Pays_de_la_Loire/FRA_PL_Angers.Loire.AP.073901_TMYx.2007-2021.zip</v>
      </c>
    </row>
    <row r="4496" spans="1:10" x14ac:dyDescent="0.25">
      <c r="A4496" t="s">
        <v>2883</v>
      </c>
      <c r="B4496" t="s">
        <v>3033</v>
      </c>
      <c r="C4496" t="s">
        <v>3244</v>
      </c>
      <c r="D4496" s="1" t="s">
        <v>3245</v>
      </c>
      <c r="E4496" t="s">
        <v>14</v>
      </c>
      <c r="F4496">
        <v>47.56</v>
      </c>
      <c r="G4496">
        <v>-0.312</v>
      </c>
      <c r="H4496">
        <v>1</v>
      </c>
      <c r="I4496">
        <v>59.1</v>
      </c>
      <c r="J4496" t="str">
        <f>HYPERLINK("https://climate.onebuilding.org/WMO_Region_6_Europe/FRA_France/PL_Pays_de_la_Loire/FRA_PL_Angers.Loire.AP.073901_TMYx.2009-2023.zip")</f>
        <v>https://climate.onebuilding.org/WMO_Region_6_Europe/FRA_France/PL_Pays_de_la_Loire/FRA_PL_Angers.Loire.AP.073901_TMYx.2009-2023.zip</v>
      </c>
    </row>
    <row r="4497" spans="1:10" x14ac:dyDescent="0.25">
      <c r="A4497" t="s">
        <v>2883</v>
      </c>
      <c r="B4497" t="s">
        <v>3033</v>
      </c>
      <c r="C4497" t="s">
        <v>3244</v>
      </c>
      <c r="D4497" s="1" t="s">
        <v>3245</v>
      </c>
      <c r="E4497" t="s">
        <v>14</v>
      </c>
      <c r="F4497">
        <v>47.56</v>
      </c>
      <c r="G4497">
        <v>-0.312</v>
      </c>
      <c r="H4497">
        <v>1</v>
      </c>
      <c r="I4497">
        <v>59.1</v>
      </c>
      <c r="J4497" t="str">
        <f>HYPERLINK("https://climate.onebuilding.org/WMO_Region_6_Europe/FRA_France/PL_Pays_de_la_Loire/FRA_PL_Angers.Loire.AP.073901_TMYx.zip")</f>
        <v>https://climate.onebuilding.org/WMO_Region_6_Europe/FRA_France/PL_Pays_de_la_Loire/FRA_PL_Angers.Loire.AP.073901_TMYx.zip</v>
      </c>
    </row>
    <row r="4498" spans="1:10" x14ac:dyDescent="0.25">
      <c r="A4498" t="s">
        <v>2883</v>
      </c>
      <c r="B4498" t="s">
        <v>575</v>
      </c>
      <c r="C4498" t="s">
        <v>3247</v>
      </c>
      <c r="D4498" s="1" t="s">
        <v>3248</v>
      </c>
      <c r="E4498" t="s">
        <v>14</v>
      </c>
      <c r="F4498">
        <v>46.572899999999997</v>
      </c>
      <c r="G4498">
        <v>6.0339</v>
      </c>
      <c r="H4498">
        <v>1</v>
      </c>
      <c r="I4498">
        <v>994</v>
      </c>
      <c r="J4498" t="str">
        <f>HYPERLINK("https://climate.onebuilding.org/WMO_Region_6_Europe/FRA_France/BF_Bourgogne-Franche-Comte/FRA_BF_Morbier.073940_TMYx.zip")</f>
        <v>https://climate.onebuilding.org/WMO_Region_6_Europe/FRA_France/BF_Bourgogne-Franche-Comte/FRA_BF_Morbier.073940_TMYx.zip</v>
      </c>
    </row>
    <row r="4499" spans="1:10" x14ac:dyDescent="0.25">
      <c r="A4499" t="s">
        <v>2883</v>
      </c>
      <c r="B4499" t="s">
        <v>575</v>
      </c>
      <c r="C4499" t="s">
        <v>3249</v>
      </c>
      <c r="D4499" s="1" t="s">
        <v>3250</v>
      </c>
      <c r="E4499" t="s">
        <v>14</v>
      </c>
      <c r="F4499">
        <v>46.909300000000002</v>
      </c>
      <c r="G4499">
        <v>6.3281999999999998</v>
      </c>
      <c r="H4499">
        <v>1</v>
      </c>
      <c r="I4499">
        <v>818</v>
      </c>
      <c r="J4499" t="str">
        <f>HYPERLINK("https://climate.onebuilding.org/WMO_Region_6_Europe/FRA_France/BF_Bourgogne-Franche-Comte/FRA_BF_Pontarlier.AP.073960_TMYx.zip")</f>
        <v>https://climate.onebuilding.org/WMO_Region_6_Europe/FRA_France/BF_Bourgogne-Franche-Comte/FRA_BF_Pontarlier.AP.073960_TMYx.zip</v>
      </c>
    </row>
    <row r="4500" spans="1:10" x14ac:dyDescent="0.25">
      <c r="A4500" t="s">
        <v>2883</v>
      </c>
      <c r="B4500" t="s">
        <v>3203</v>
      </c>
      <c r="C4500" t="s">
        <v>3251</v>
      </c>
      <c r="D4500" s="1" t="s">
        <v>3252</v>
      </c>
      <c r="E4500" t="s">
        <v>14</v>
      </c>
      <c r="F4500">
        <v>45.7</v>
      </c>
      <c r="G4500">
        <v>-1.2330000000000001</v>
      </c>
      <c r="H4500">
        <v>1</v>
      </c>
      <c r="I4500">
        <v>6</v>
      </c>
      <c r="J4500" t="str">
        <f>HYPERLINK("https://climate.onebuilding.org/WMO_Region_6_Europe/FRA_France/AC_Nouvelle-Aquitaine/FRA_AC_La.Coubre.074000_TMYx.zip")</f>
        <v>https://climate.onebuilding.org/WMO_Region_6_Europe/FRA_France/AC_Nouvelle-Aquitaine/FRA_AC_La.Coubre.074000_TMYx.zip</v>
      </c>
    </row>
    <row r="4501" spans="1:10" x14ac:dyDescent="0.25">
      <c r="A4501" t="s">
        <v>2883</v>
      </c>
      <c r="B4501" t="s">
        <v>3203</v>
      </c>
      <c r="C4501" t="s">
        <v>3253</v>
      </c>
      <c r="D4501" s="1" t="s">
        <v>3254</v>
      </c>
      <c r="E4501" t="s">
        <v>3255</v>
      </c>
      <c r="F4501">
        <v>45.664999999999999</v>
      </c>
      <c r="G4501">
        <v>-0.31580000000000003</v>
      </c>
      <c r="H4501">
        <v>1</v>
      </c>
      <c r="I4501">
        <v>31</v>
      </c>
      <c r="J4501" t="str">
        <f>HYPERLINK("https://climate.onebuilding.org/WMO_Region_6_Europe/FRA_France/AC_Nouvelle-Aquitaine/FRA_AC_Cognac-Chateaubernard.AB.074120_TMYx.2004-2018.zip")</f>
        <v>https://climate.onebuilding.org/WMO_Region_6_Europe/FRA_France/AC_Nouvelle-Aquitaine/FRA_AC_Cognac-Chateaubernard.AB.074120_TMYx.2004-2018.zip</v>
      </c>
    </row>
    <row r="4502" spans="1:10" x14ac:dyDescent="0.25">
      <c r="A4502" t="s">
        <v>2883</v>
      </c>
      <c r="B4502" t="s">
        <v>3203</v>
      </c>
      <c r="C4502" t="s">
        <v>3253</v>
      </c>
      <c r="D4502" s="1" t="s">
        <v>3254</v>
      </c>
      <c r="E4502" t="s">
        <v>14</v>
      </c>
      <c r="F4502">
        <v>45.664999999999999</v>
      </c>
      <c r="G4502">
        <v>-0.31580000000000003</v>
      </c>
      <c r="H4502">
        <v>1</v>
      </c>
      <c r="I4502">
        <v>31</v>
      </c>
      <c r="J4502" t="str">
        <f>HYPERLINK("https://climate.onebuilding.org/WMO_Region_6_Europe/FRA_France/AC_Nouvelle-Aquitaine/FRA_AC_Cognac-Chateaubernard.AB.074120_TMYx.2007-2021.zip")</f>
        <v>https://climate.onebuilding.org/WMO_Region_6_Europe/FRA_France/AC_Nouvelle-Aquitaine/FRA_AC_Cognac-Chateaubernard.AB.074120_TMYx.2007-2021.zip</v>
      </c>
    </row>
    <row r="4503" spans="1:10" x14ac:dyDescent="0.25">
      <c r="A4503" t="s">
        <v>2883</v>
      </c>
      <c r="B4503" t="s">
        <v>3203</v>
      </c>
      <c r="C4503" t="s">
        <v>3253</v>
      </c>
      <c r="D4503" s="1" t="s">
        <v>3254</v>
      </c>
      <c r="E4503" t="s">
        <v>14</v>
      </c>
      <c r="F4503">
        <v>45.664999999999999</v>
      </c>
      <c r="G4503">
        <v>-0.31580000000000003</v>
      </c>
      <c r="H4503">
        <v>1</v>
      </c>
      <c r="I4503">
        <v>31</v>
      </c>
      <c r="J4503" t="str">
        <f>HYPERLINK("https://climate.onebuilding.org/WMO_Region_6_Europe/FRA_France/AC_Nouvelle-Aquitaine/FRA_AC_Cognac-Chateaubernard.AB.074120_TMYx.2009-2023.zip")</f>
        <v>https://climate.onebuilding.org/WMO_Region_6_Europe/FRA_France/AC_Nouvelle-Aquitaine/FRA_AC_Cognac-Chateaubernard.AB.074120_TMYx.2009-2023.zip</v>
      </c>
    </row>
    <row r="4504" spans="1:10" x14ac:dyDescent="0.25">
      <c r="A4504" t="s">
        <v>2883</v>
      </c>
      <c r="B4504" t="s">
        <v>3203</v>
      </c>
      <c r="C4504" t="s">
        <v>3253</v>
      </c>
      <c r="D4504" s="1" t="s">
        <v>3254</v>
      </c>
      <c r="E4504" t="s">
        <v>14</v>
      </c>
      <c r="F4504">
        <v>45.664999999999999</v>
      </c>
      <c r="G4504">
        <v>-0.31580000000000003</v>
      </c>
      <c r="H4504">
        <v>1</v>
      </c>
      <c r="I4504">
        <v>31</v>
      </c>
      <c r="J4504" t="str">
        <f>HYPERLINK("https://climate.onebuilding.org/WMO_Region_6_Europe/FRA_France/AC_Nouvelle-Aquitaine/FRA_AC_Cognac-Chateaubernard.AB.074120_TMYx.zip")</f>
        <v>https://climate.onebuilding.org/WMO_Region_6_Europe/FRA_France/AC_Nouvelle-Aquitaine/FRA_AC_Cognac-Chateaubernard.AB.074120_TMYx.zip</v>
      </c>
    </row>
    <row r="4505" spans="1:10" x14ac:dyDescent="0.25">
      <c r="A4505" t="s">
        <v>2883</v>
      </c>
      <c r="B4505" t="s">
        <v>3203</v>
      </c>
      <c r="C4505" t="s">
        <v>3256</v>
      </c>
      <c r="D4505" s="1" t="s">
        <v>3257</v>
      </c>
      <c r="E4505" t="s">
        <v>3258</v>
      </c>
      <c r="F4505">
        <v>45.716999999999999</v>
      </c>
      <c r="G4505">
        <v>0.217</v>
      </c>
      <c r="H4505">
        <v>1</v>
      </c>
      <c r="I4505">
        <v>133</v>
      </c>
      <c r="J4505" t="str">
        <f>HYPERLINK("https://climate.onebuilding.org/WMO_Region_6_Europe/FRA_France/AC_Nouvelle-Aquitaine/FRA_AC_Angouleme-Cognac.AP.074200_TMYx.2004-2018.zip")</f>
        <v>https://climate.onebuilding.org/WMO_Region_6_Europe/FRA_France/AC_Nouvelle-Aquitaine/FRA_AC_Angouleme-Cognac.AP.074200_TMYx.2004-2018.zip</v>
      </c>
    </row>
    <row r="4506" spans="1:10" x14ac:dyDescent="0.25">
      <c r="A4506" t="s">
        <v>2883</v>
      </c>
      <c r="B4506" t="s">
        <v>3203</v>
      </c>
      <c r="C4506" t="s">
        <v>3256</v>
      </c>
      <c r="D4506" s="1" t="s">
        <v>3257</v>
      </c>
      <c r="E4506" t="s">
        <v>14</v>
      </c>
      <c r="F4506">
        <v>45.716999999999999</v>
      </c>
      <c r="G4506">
        <v>0.217</v>
      </c>
      <c r="H4506">
        <v>1</v>
      </c>
      <c r="I4506">
        <v>133</v>
      </c>
      <c r="J4506" t="str">
        <f>HYPERLINK("https://climate.onebuilding.org/WMO_Region_6_Europe/FRA_France/AC_Nouvelle-Aquitaine/FRA_AC_Angouleme-Cognac.AP.074200_TMYx.2007-2021.zip")</f>
        <v>https://climate.onebuilding.org/WMO_Region_6_Europe/FRA_France/AC_Nouvelle-Aquitaine/FRA_AC_Angouleme-Cognac.AP.074200_TMYx.2007-2021.zip</v>
      </c>
    </row>
    <row r="4507" spans="1:10" x14ac:dyDescent="0.25">
      <c r="A4507" t="s">
        <v>2883</v>
      </c>
      <c r="B4507" t="s">
        <v>3203</v>
      </c>
      <c r="C4507" t="s">
        <v>3256</v>
      </c>
      <c r="D4507" s="1" t="s">
        <v>3257</v>
      </c>
      <c r="E4507" t="s">
        <v>14</v>
      </c>
      <c r="F4507">
        <v>45.716999999999999</v>
      </c>
      <c r="G4507">
        <v>0.217</v>
      </c>
      <c r="H4507">
        <v>1</v>
      </c>
      <c r="I4507">
        <v>133</v>
      </c>
      <c r="J4507" t="str">
        <f>HYPERLINK("https://climate.onebuilding.org/WMO_Region_6_Europe/FRA_France/AC_Nouvelle-Aquitaine/FRA_AC_Angouleme-Cognac.AP.074200_TMYx.2009-2023.zip")</f>
        <v>https://climate.onebuilding.org/WMO_Region_6_Europe/FRA_France/AC_Nouvelle-Aquitaine/FRA_AC_Angouleme-Cognac.AP.074200_TMYx.2009-2023.zip</v>
      </c>
    </row>
    <row r="4508" spans="1:10" x14ac:dyDescent="0.25">
      <c r="A4508" t="s">
        <v>2883</v>
      </c>
      <c r="B4508" t="s">
        <v>3203</v>
      </c>
      <c r="C4508" t="s">
        <v>3256</v>
      </c>
      <c r="D4508" s="1" t="s">
        <v>3257</v>
      </c>
      <c r="E4508" t="s">
        <v>14</v>
      </c>
      <c r="F4508">
        <v>45.716999999999999</v>
      </c>
      <c r="G4508">
        <v>0.217</v>
      </c>
      <c r="H4508">
        <v>1</v>
      </c>
      <c r="I4508">
        <v>133</v>
      </c>
      <c r="J4508" t="str">
        <f>HYPERLINK("https://climate.onebuilding.org/WMO_Region_6_Europe/FRA_France/AC_Nouvelle-Aquitaine/FRA_AC_Angouleme-Cognac.AP.074200_TMYx.zip")</f>
        <v>https://climate.onebuilding.org/WMO_Region_6_Europe/FRA_France/AC_Nouvelle-Aquitaine/FRA_AC_Angouleme-Cognac.AP.074200_TMYx.zip</v>
      </c>
    </row>
    <row r="4509" spans="1:10" x14ac:dyDescent="0.25">
      <c r="A4509" t="s">
        <v>2883</v>
      </c>
      <c r="B4509" t="s">
        <v>3203</v>
      </c>
      <c r="C4509" t="s">
        <v>3259</v>
      </c>
      <c r="D4509" s="1" t="s">
        <v>3260</v>
      </c>
      <c r="E4509" t="s">
        <v>14</v>
      </c>
      <c r="F4509">
        <v>45.198</v>
      </c>
      <c r="G4509">
        <v>0.81599999999999995</v>
      </c>
      <c r="H4509">
        <v>1</v>
      </c>
      <c r="I4509">
        <v>100</v>
      </c>
      <c r="J4509" t="str">
        <f>HYPERLINK("https://climate.onebuilding.org/WMO_Region_6_Europe/FRA_France/AC_Nouvelle-Aquitaine/FRA_AC_Perigueuz-Bassillac.AP.074280_TMYx.2007-2021.zip")</f>
        <v>https://climate.onebuilding.org/WMO_Region_6_Europe/FRA_France/AC_Nouvelle-Aquitaine/FRA_AC_Perigueuz-Bassillac.AP.074280_TMYx.2007-2021.zip</v>
      </c>
    </row>
    <row r="4510" spans="1:10" x14ac:dyDescent="0.25">
      <c r="A4510" t="s">
        <v>2883</v>
      </c>
      <c r="B4510" t="s">
        <v>3203</v>
      </c>
      <c r="C4510" t="s">
        <v>3259</v>
      </c>
      <c r="D4510" s="1" t="s">
        <v>3260</v>
      </c>
      <c r="E4510" t="s">
        <v>14</v>
      </c>
      <c r="F4510">
        <v>45.198</v>
      </c>
      <c r="G4510">
        <v>0.81599999999999995</v>
      </c>
      <c r="H4510">
        <v>1</v>
      </c>
      <c r="I4510">
        <v>100</v>
      </c>
      <c r="J4510" t="str">
        <f>HYPERLINK("https://climate.onebuilding.org/WMO_Region_6_Europe/FRA_France/AC_Nouvelle-Aquitaine/FRA_AC_Perigueuz-Bassillac.AP.074280_TMYx.2009-2023.zip")</f>
        <v>https://climate.onebuilding.org/WMO_Region_6_Europe/FRA_France/AC_Nouvelle-Aquitaine/FRA_AC_Perigueuz-Bassillac.AP.074280_TMYx.2009-2023.zip</v>
      </c>
    </row>
    <row r="4511" spans="1:10" x14ac:dyDescent="0.25">
      <c r="A4511" t="s">
        <v>2883</v>
      </c>
      <c r="B4511" t="s">
        <v>3203</v>
      </c>
      <c r="C4511" t="s">
        <v>3259</v>
      </c>
      <c r="D4511" s="1" t="s">
        <v>3260</v>
      </c>
      <c r="E4511" t="s">
        <v>14</v>
      </c>
      <c r="F4511">
        <v>45.198</v>
      </c>
      <c r="G4511">
        <v>0.81599999999999995</v>
      </c>
      <c r="H4511">
        <v>1</v>
      </c>
      <c r="I4511">
        <v>100</v>
      </c>
      <c r="J4511" t="str">
        <f>HYPERLINK("https://climate.onebuilding.org/WMO_Region_6_Europe/FRA_France/AC_Nouvelle-Aquitaine/FRA_AC_Perigueuz-Bassillac.AP.074280_TMYx.zip")</f>
        <v>https://climate.onebuilding.org/WMO_Region_6_Europe/FRA_France/AC_Nouvelle-Aquitaine/FRA_AC_Perigueuz-Bassillac.AP.074280_TMYx.zip</v>
      </c>
    </row>
    <row r="4512" spans="1:10" x14ac:dyDescent="0.25">
      <c r="A4512" t="s">
        <v>2883</v>
      </c>
      <c r="B4512" t="s">
        <v>3203</v>
      </c>
      <c r="C4512" t="s">
        <v>3261</v>
      </c>
      <c r="D4512" s="1" t="s">
        <v>3262</v>
      </c>
      <c r="E4512" t="s">
        <v>3263</v>
      </c>
      <c r="F4512">
        <v>45.8611</v>
      </c>
      <c r="G4512">
        <v>1.175</v>
      </c>
      <c r="H4512">
        <v>1</v>
      </c>
      <c r="I4512">
        <v>403</v>
      </c>
      <c r="J4512" t="str">
        <f>HYPERLINK("https://climate.onebuilding.org/WMO_Region_6_Europe/FRA_France/AC_Nouvelle-Aquitaine/FRA_AC_Limoges-Bellegarde.AP.074340_TMYx.2004-2018.zip")</f>
        <v>https://climate.onebuilding.org/WMO_Region_6_Europe/FRA_France/AC_Nouvelle-Aquitaine/FRA_AC_Limoges-Bellegarde.AP.074340_TMYx.2004-2018.zip</v>
      </c>
    </row>
    <row r="4513" spans="1:10" x14ac:dyDescent="0.25">
      <c r="A4513" t="s">
        <v>2883</v>
      </c>
      <c r="B4513" t="s">
        <v>3203</v>
      </c>
      <c r="C4513" t="s">
        <v>3261</v>
      </c>
      <c r="D4513" s="1" t="s">
        <v>3262</v>
      </c>
      <c r="E4513" t="s">
        <v>14</v>
      </c>
      <c r="F4513">
        <v>45.8611</v>
      </c>
      <c r="G4513">
        <v>1.175</v>
      </c>
      <c r="H4513">
        <v>1</v>
      </c>
      <c r="I4513">
        <v>403</v>
      </c>
      <c r="J4513" t="str">
        <f>HYPERLINK("https://climate.onebuilding.org/WMO_Region_6_Europe/FRA_France/AC_Nouvelle-Aquitaine/FRA_AC_Limoges-Bellegarde.AP.074340_TMYx.2007-2021.zip")</f>
        <v>https://climate.onebuilding.org/WMO_Region_6_Europe/FRA_France/AC_Nouvelle-Aquitaine/FRA_AC_Limoges-Bellegarde.AP.074340_TMYx.2007-2021.zip</v>
      </c>
    </row>
    <row r="4514" spans="1:10" x14ac:dyDescent="0.25">
      <c r="A4514" t="s">
        <v>2883</v>
      </c>
      <c r="B4514" t="s">
        <v>3203</v>
      </c>
      <c r="C4514" t="s">
        <v>3261</v>
      </c>
      <c r="D4514" s="1" t="s">
        <v>3262</v>
      </c>
      <c r="E4514" t="s">
        <v>14</v>
      </c>
      <c r="F4514">
        <v>45.8611</v>
      </c>
      <c r="G4514">
        <v>1.175</v>
      </c>
      <c r="H4514">
        <v>1</v>
      </c>
      <c r="I4514">
        <v>403</v>
      </c>
      <c r="J4514" t="str">
        <f>HYPERLINK("https://climate.onebuilding.org/WMO_Region_6_Europe/FRA_France/AC_Nouvelle-Aquitaine/FRA_AC_Limoges-Bellegarde.AP.074340_TMYx.2009-2023.zip")</f>
        <v>https://climate.onebuilding.org/WMO_Region_6_Europe/FRA_France/AC_Nouvelle-Aquitaine/FRA_AC_Limoges-Bellegarde.AP.074340_TMYx.2009-2023.zip</v>
      </c>
    </row>
    <row r="4515" spans="1:10" x14ac:dyDescent="0.25">
      <c r="A4515" t="s">
        <v>2883</v>
      </c>
      <c r="B4515" t="s">
        <v>3203</v>
      </c>
      <c r="C4515" t="s">
        <v>3261</v>
      </c>
      <c r="D4515" s="1" t="s">
        <v>3262</v>
      </c>
      <c r="E4515" t="s">
        <v>14</v>
      </c>
      <c r="F4515">
        <v>45.8611</v>
      </c>
      <c r="G4515">
        <v>1.175</v>
      </c>
      <c r="H4515">
        <v>1</v>
      </c>
      <c r="I4515">
        <v>403</v>
      </c>
      <c r="J4515" t="str">
        <f>HYPERLINK("https://climate.onebuilding.org/WMO_Region_6_Europe/FRA_France/AC_Nouvelle-Aquitaine/FRA_AC_Limoges-Bellegarde.AP.074340_TMYx.zip")</f>
        <v>https://climate.onebuilding.org/WMO_Region_6_Europe/FRA_France/AC_Nouvelle-Aquitaine/FRA_AC_Limoges-Bellegarde.AP.074340_TMYx.zip</v>
      </c>
    </row>
    <row r="4516" spans="1:10" x14ac:dyDescent="0.25">
      <c r="A4516" t="s">
        <v>2883</v>
      </c>
      <c r="B4516" t="s">
        <v>3203</v>
      </c>
      <c r="C4516" t="s">
        <v>3264</v>
      </c>
      <c r="D4516" s="1" t="s">
        <v>3265</v>
      </c>
      <c r="E4516" t="s">
        <v>3266</v>
      </c>
      <c r="F4516">
        <v>45.148099999999999</v>
      </c>
      <c r="G4516">
        <v>1.4743999999999999</v>
      </c>
      <c r="H4516">
        <v>1</v>
      </c>
      <c r="I4516">
        <v>117</v>
      </c>
      <c r="J4516" t="str">
        <f>HYPERLINK("https://climate.onebuilding.org/WMO_Region_6_Europe/FRA_France/AC_Nouvelle-Aquitaine/FRA_AC_Brive-Valle.de.la.Dordogne.AP.074380_TMYx.2004-2018.zip")</f>
        <v>https://climate.onebuilding.org/WMO_Region_6_Europe/FRA_France/AC_Nouvelle-Aquitaine/FRA_AC_Brive-Valle.de.la.Dordogne.AP.074380_TMYx.2004-2018.zip</v>
      </c>
    </row>
    <row r="4517" spans="1:10" x14ac:dyDescent="0.25">
      <c r="A4517" t="s">
        <v>2883</v>
      </c>
      <c r="B4517" t="s">
        <v>3203</v>
      </c>
      <c r="C4517" t="s">
        <v>3264</v>
      </c>
      <c r="D4517" s="1" t="s">
        <v>3265</v>
      </c>
      <c r="E4517" t="s">
        <v>14</v>
      </c>
      <c r="F4517">
        <v>45.148099999999999</v>
      </c>
      <c r="G4517">
        <v>1.4743999999999999</v>
      </c>
      <c r="H4517">
        <v>1</v>
      </c>
      <c r="I4517">
        <v>117</v>
      </c>
      <c r="J4517" t="str">
        <f>HYPERLINK("https://climate.onebuilding.org/WMO_Region_6_Europe/FRA_France/AC_Nouvelle-Aquitaine/FRA_AC_Brive-Valle.de.la.Dordogne.AP.074380_TMYx.2007-2021.zip")</f>
        <v>https://climate.onebuilding.org/WMO_Region_6_Europe/FRA_France/AC_Nouvelle-Aquitaine/FRA_AC_Brive-Valle.de.la.Dordogne.AP.074380_TMYx.2007-2021.zip</v>
      </c>
    </row>
    <row r="4518" spans="1:10" x14ac:dyDescent="0.25">
      <c r="A4518" t="s">
        <v>2883</v>
      </c>
      <c r="B4518" t="s">
        <v>3203</v>
      </c>
      <c r="C4518" t="s">
        <v>3264</v>
      </c>
      <c r="D4518" s="1" t="s">
        <v>3265</v>
      </c>
      <c r="E4518" t="s">
        <v>14</v>
      </c>
      <c r="F4518">
        <v>45.148099999999999</v>
      </c>
      <c r="G4518">
        <v>1.4743999999999999</v>
      </c>
      <c r="H4518">
        <v>1</v>
      </c>
      <c r="I4518">
        <v>117</v>
      </c>
      <c r="J4518" t="str">
        <f>HYPERLINK("https://climate.onebuilding.org/WMO_Region_6_Europe/FRA_France/AC_Nouvelle-Aquitaine/FRA_AC_Brive-Valle.de.la.Dordogne.AP.074380_TMYx.2009-2023.zip")</f>
        <v>https://climate.onebuilding.org/WMO_Region_6_Europe/FRA_France/AC_Nouvelle-Aquitaine/FRA_AC_Brive-Valle.de.la.Dordogne.AP.074380_TMYx.2009-2023.zip</v>
      </c>
    </row>
    <row r="4519" spans="1:10" x14ac:dyDescent="0.25">
      <c r="A4519" t="s">
        <v>2883</v>
      </c>
      <c r="B4519" t="s">
        <v>3203</v>
      </c>
      <c r="C4519" t="s">
        <v>3264</v>
      </c>
      <c r="D4519" s="1" t="s">
        <v>3265</v>
      </c>
      <c r="E4519" t="s">
        <v>14</v>
      </c>
      <c r="F4519">
        <v>45.148099999999999</v>
      </c>
      <c r="G4519">
        <v>1.4743999999999999</v>
      </c>
      <c r="H4519">
        <v>1</v>
      </c>
      <c r="I4519">
        <v>117</v>
      </c>
      <c r="J4519" t="str">
        <f>HYPERLINK("https://climate.onebuilding.org/WMO_Region_6_Europe/FRA_France/AC_Nouvelle-Aquitaine/FRA_AC_Brive-Valle.de.la.Dordogne.AP.074380_TMYx.zip")</f>
        <v>https://climate.onebuilding.org/WMO_Region_6_Europe/FRA_France/AC_Nouvelle-Aquitaine/FRA_AC_Brive-Valle.de.la.Dordogne.AP.074380_TMYx.zip</v>
      </c>
    </row>
    <row r="4520" spans="1:10" x14ac:dyDescent="0.25">
      <c r="A4520" t="s">
        <v>2883</v>
      </c>
      <c r="B4520" t="s">
        <v>2038</v>
      </c>
      <c r="C4520" t="s">
        <v>3267</v>
      </c>
      <c r="D4520" s="1" t="s">
        <v>3268</v>
      </c>
      <c r="E4520" t="s">
        <v>14</v>
      </c>
      <c r="F4520">
        <v>45.772500000000001</v>
      </c>
      <c r="G4520">
        <v>2.9638</v>
      </c>
      <c r="H4520">
        <v>1</v>
      </c>
      <c r="I4520">
        <v>1442</v>
      </c>
      <c r="J4520" t="str">
        <f>HYPERLINK("https://climate.onebuilding.org/WMO_Region_6_Europe/FRA_France/AR_Auvergne-Rhone-Alpes/FRA_AR_Puy.de.Dome.074420_TMYx.zip")</f>
        <v>https://climate.onebuilding.org/WMO_Region_6_Europe/FRA_France/AR_Auvergne-Rhone-Alpes/FRA_AR_Puy.de.Dome.074420_TMYx.zip</v>
      </c>
    </row>
    <row r="4521" spans="1:10" x14ac:dyDescent="0.25">
      <c r="A4521" t="s">
        <v>2883</v>
      </c>
      <c r="B4521" t="s">
        <v>2038</v>
      </c>
      <c r="C4521" t="s">
        <v>3269</v>
      </c>
      <c r="D4521" s="1" t="s">
        <v>3270</v>
      </c>
      <c r="E4521" t="s">
        <v>3271</v>
      </c>
      <c r="F4521">
        <v>45.786900000000003</v>
      </c>
      <c r="G4521">
        <v>3.1495000000000002</v>
      </c>
      <c r="H4521">
        <v>1</v>
      </c>
      <c r="I4521">
        <v>326</v>
      </c>
      <c r="J4521" t="str">
        <f>HYPERLINK("https://climate.onebuilding.org/WMO_Region_6_Europe/FRA_France/AR_Auvergne-Rhone-Alpes/FRA_AR_Clermont-Ferrand.Auvergne.AP.074600_TMYx.2004-2018.zip")</f>
        <v>https://climate.onebuilding.org/WMO_Region_6_Europe/FRA_France/AR_Auvergne-Rhone-Alpes/FRA_AR_Clermont-Ferrand.Auvergne.AP.074600_TMYx.2004-2018.zip</v>
      </c>
    </row>
    <row r="4522" spans="1:10" x14ac:dyDescent="0.25">
      <c r="A4522" t="s">
        <v>2883</v>
      </c>
      <c r="B4522" t="s">
        <v>2038</v>
      </c>
      <c r="C4522" t="s">
        <v>3269</v>
      </c>
      <c r="D4522" s="1" t="s">
        <v>3270</v>
      </c>
      <c r="E4522" t="s">
        <v>14</v>
      </c>
      <c r="F4522">
        <v>45.786900000000003</v>
      </c>
      <c r="G4522">
        <v>3.1495000000000002</v>
      </c>
      <c r="H4522">
        <v>1</v>
      </c>
      <c r="I4522">
        <v>326</v>
      </c>
      <c r="J4522" t="str">
        <f>HYPERLINK("https://climate.onebuilding.org/WMO_Region_6_Europe/FRA_France/AR_Auvergne-Rhone-Alpes/FRA_AR_Clermont-Ferrand.Auvergne.AP.074600_TMYx.2007-2021.zip")</f>
        <v>https://climate.onebuilding.org/WMO_Region_6_Europe/FRA_France/AR_Auvergne-Rhone-Alpes/FRA_AR_Clermont-Ferrand.Auvergne.AP.074600_TMYx.2007-2021.zip</v>
      </c>
    </row>
    <row r="4523" spans="1:10" x14ac:dyDescent="0.25">
      <c r="A4523" t="s">
        <v>2883</v>
      </c>
      <c r="B4523" t="s">
        <v>2038</v>
      </c>
      <c r="C4523" t="s">
        <v>3269</v>
      </c>
      <c r="D4523" s="1" t="s">
        <v>3270</v>
      </c>
      <c r="E4523" t="s">
        <v>14</v>
      </c>
      <c r="F4523">
        <v>45.786900000000003</v>
      </c>
      <c r="G4523">
        <v>3.1495000000000002</v>
      </c>
      <c r="H4523">
        <v>1</v>
      </c>
      <c r="I4523">
        <v>326</v>
      </c>
      <c r="J4523" t="str">
        <f>HYPERLINK("https://climate.onebuilding.org/WMO_Region_6_Europe/FRA_France/AR_Auvergne-Rhone-Alpes/FRA_AR_Clermont-Ferrand.Auvergne.AP.074600_TMYx.2009-2023.zip")</f>
        <v>https://climate.onebuilding.org/WMO_Region_6_Europe/FRA_France/AR_Auvergne-Rhone-Alpes/FRA_AR_Clermont-Ferrand.Auvergne.AP.074600_TMYx.2009-2023.zip</v>
      </c>
    </row>
    <row r="4524" spans="1:10" x14ac:dyDescent="0.25">
      <c r="A4524" t="s">
        <v>2883</v>
      </c>
      <c r="B4524" t="s">
        <v>2038</v>
      </c>
      <c r="C4524" t="s">
        <v>3269</v>
      </c>
      <c r="D4524" s="1" t="s">
        <v>3270</v>
      </c>
      <c r="E4524" t="s">
        <v>14</v>
      </c>
      <c r="F4524">
        <v>45.786900000000003</v>
      </c>
      <c r="G4524">
        <v>3.1495000000000002</v>
      </c>
      <c r="H4524">
        <v>1</v>
      </c>
      <c r="I4524">
        <v>326</v>
      </c>
      <c r="J4524" t="str">
        <f>HYPERLINK("https://climate.onebuilding.org/WMO_Region_6_Europe/FRA_France/AR_Auvergne-Rhone-Alpes/FRA_AR_Clermont-Ferrand.Auvergne.AP.074600_TMYx.zip")</f>
        <v>https://climate.onebuilding.org/WMO_Region_6_Europe/FRA_France/AR_Auvergne-Rhone-Alpes/FRA_AR_Clermont-Ferrand.Auvergne.AP.074600_TMYx.zip</v>
      </c>
    </row>
    <row r="4525" spans="1:10" x14ac:dyDescent="0.25">
      <c r="A4525" t="s">
        <v>2883</v>
      </c>
      <c r="B4525" t="s">
        <v>2038</v>
      </c>
      <c r="C4525" t="s">
        <v>3272</v>
      </c>
      <c r="D4525" s="1" t="s">
        <v>3273</v>
      </c>
      <c r="E4525" t="s">
        <v>3274</v>
      </c>
      <c r="F4525">
        <v>45.074399999999997</v>
      </c>
      <c r="G4525">
        <v>3.7639</v>
      </c>
      <c r="H4525">
        <v>1</v>
      </c>
      <c r="I4525">
        <v>833</v>
      </c>
      <c r="J4525" t="str">
        <f>HYPERLINK("https://climate.onebuilding.org/WMO_Region_6_Europe/FRA_France/AR_Auvergne-Rhone-Alpes/FRA_AR_Le.Puy-Loudes.AP.074710_TMYx.2004-2018.zip")</f>
        <v>https://climate.onebuilding.org/WMO_Region_6_Europe/FRA_France/AR_Auvergne-Rhone-Alpes/FRA_AR_Le.Puy-Loudes.AP.074710_TMYx.2004-2018.zip</v>
      </c>
    </row>
    <row r="4526" spans="1:10" x14ac:dyDescent="0.25">
      <c r="A4526" t="s">
        <v>2883</v>
      </c>
      <c r="B4526" t="s">
        <v>2038</v>
      </c>
      <c r="C4526" t="s">
        <v>3272</v>
      </c>
      <c r="D4526" s="1" t="s">
        <v>3273</v>
      </c>
      <c r="E4526" t="s">
        <v>14</v>
      </c>
      <c r="F4526">
        <v>45.074399999999997</v>
      </c>
      <c r="G4526">
        <v>3.7639</v>
      </c>
      <c r="H4526">
        <v>1</v>
      </c>
      <c r="I4526">
        <v>833</v>
      </c>
      <c r="J4526" t="str">
        <f>HYPERLINK("https://climate.onebuilding.org/WMO_Region_6_Europe/FRA_France/AR_Auvergne-Rhone-Alpes/FRA_AR_Le.Puy-Loudes.AP.074710_TMYx.2007-2021.zip")</f>
        <v>https://climate.onebuilding.org/WMO_Region_6_Europe/FRA_France/AR_Auvergne-Rhone-Alpes/FRA_AR_Le.Puy-Loudes.AP.074710_TMYx.2007-2021.zip</v>
      </c>
    </row>
    <row r="4527" spans="1:10" x14ac:dyDescent="0.25">
      <c r="A4527" t="s">
        <v>2883</v>
      </c>
      <c r="B4527" t="s">
        <v>2038</v>
      </c>
      <c r="C4527" t="s">
        <v>3272</v>
      </c>
      <c r="D4527" s="1" t="s">
        <v>3273</v>
      </c>
      <c r="E4527" t="s">
        <v>14</v>
      </c>
      <c r="F4527">
        <v>45.074399999999997</v>
      </c>
      <c r="G4527">
        <v>3.7639</v>
      </c>
      <c r="H4527">
        <v>1</v>
      </c>
      <c r="I4527">
        <v>833</v>
      </c>
      <c r="J4527" t="str">
        <f>HYPERLINK("https://climate.onebuilding.org/WMO_Region_6_Europe/FRA_France/AR_Auvergne-Rhone-Alpes/FRA_AR_Le.Puy-Loudes.AP.074710_TMYx.2009-2023.zip")</f>
        <v>https://climate.onebuilding.org/WMO_Region_6_Europe/FRA_France/AR_Auvergne-Rhone-Alpes/FRA_AR_Le.Puy-Loudes.AP.074710_TMYx.2009-2023.zip</v>
      </c>
    </row>
    <row r="4528" spans="1:10" x14ac:dyDescent="0.25">
      <c r="A4528" t="s">
        <v>2883</v>
      </c>
      <c r="B4528" t="s">
        <v>2038</v>
      </c>
      <c r="C4528" t="s">
        <v>3272</v>
      </c>
      <c r="D4528" s="1" t="s">
        <v>3273</v>
      </c>
      <c r="E4528" t="s">
        <v>14</v>
      </c>
      <c r="F4528">
        <v>45.074399999999997</v>
      </c>
      <c r="G4528">
        <v>3.7639</v>
      </c>
      <c r="H4528">
        <v>1</v>
      </c>
      <c r="I4528">
        <v>833</v>
      </c>
      <c r="J4528" t="str">
        <f>HYPERLINK("https://climate.onebuilding.org/WMO_Region_6_Europe/FRA_France/AR_Auvergne-Rhone-Alpes/FRA_AR_Le.Puy-Loudes.AP.074710_TMYx.zip")</f>
        <v>https://climate.onebuilding.org/WMO_Region_6_Europe/FRA_France/AR_Auvergne-Rhone-Alpes/FRA_AR_Le.Puy-Loudes.AP.074710_TMYx.zip</v>
      </c>
    </row>
    <row r="4529" spans="1:10" x14ac:dyDescent="0.25">
      <c r="A4529" t="s">
        <v>2883</v>
      </c>
      <c r="B4529" t="s">
        <v>2038</v>
      </c>
      <c r="C4529" t="s">
        <v>3275</v>
      </c>
      <c r="D4529" s="1" t="s">
        <v>3276</v>
      </c>
      <c r="E4529" t="s">
        <v>3277</v>
      </c>
      <c r="F4529">
        <v>45.533099999999997</v>
      </c>
      <c r="G4529">
        <v>4.2933000000000003</v>
      </c>
      <c r="H4529">
        <v>1</v>
      </c>
      <c r="I4529">
        <v>402</v>
      </c>
      <c r="J4529" t="str">
        <f>HYPERLINK("https://climate.onebuilding.org/WMO_Region_6_Europe/FRA_France/AR_Auvergne-Rhone-Alpes/FRA_AR_St.Etienne-Boutheon.AP.074750_TMYx.2004-2018.zip")</f>
        <v>https://climate.onebuilding.org/WMO_Region_6_Europe/FRA_France/AR_Auvergne-Rhone-Alpes/FRA_AR_St.Etienne-Boutheon.AP.074750_TMYx.2004-2018.zip</v>
      </c>
    </row>
    <row r="4530" spans="1:10" x14ac:dyDescent="0.25">
      <c r="A4530" t="s">
        <v>2883</v>
      </c>
      <c r="B4530" t="s">
        <v>2038</v>
      </c>
      <c r="C4530" t="s">
        <v>3275</v>
      </c>
      <c r="D4530" s="1" t="s">
        <v>3276</v>
      </c>
      <c r="E4530" t="s">
        <v>14</v>
      </c>
      <c r="F4530">
        <v>45.533099999999997</v>
      </c>
      <c r="G4530">
        <v>4.2933000000000003</v>
      </c>
      <c r="H4530">
        <v>1</v>
      </c>
      <c r="I4530">
        <v>402</v>
      </c>
      <c r="J4530" t="str">
        <f>HYPERLINK("https://climate.onebuilding.org/WMO_Region_6_Europe/FRA_France/AR_Auvergne-Rhone-Alpes/FRA_AR_St.Etienne-Boutheon.AP.074750_TMYx.2007-2021.zip")</f>
        <v>https://climate.onebuilding.org/WMO_Region_6_Europe/FRA_France/AR_Auvergne-Rhone-Alpes/FRA_AR_St.Etienne-Boutheon.AP.074750_TMYx.2007-2021.zip</v>
      </c>
    </row>
    <row r="4531" spans="1:10" x14ac:dyDescent="0.25">
      <c r="A4531" t="s">
        <v>2883</v>
      </c>
      <c r="B4531" t="s">
        <v>2038</v>
      </c>
      <c r="C4531" t="s">
        <v>3275</v>
      </c>
      <c r="D4531" s="1" t="s">
        <v>3276</v>
      </c>
      <c r="E4531" t="s">
        <v>14</v>
      </c>
      <c r="F4531">
        <v>45.533099999999997</v>
      </c>
      <c r="G4531">
        <v>4.2933000000000003</v>
      </c>
      <c r="H4531">
        <v>1</v>
      </c>
      <c r="I4531">
        <v>402</v>
      </c>
      <c r="J4531" t="str">
        <f>HYPERLINK("https://climate.onebuilding.org/WMO_Region_6_Europe/FRA_France/AR_Auvergne-Rhone-Alpes/FRA_AR_St.Etienne-Boutheon.AP.074750_TMYx.2009-2023.zip")</f>
        <v>https://climate.onebuilding.org/WMO_Region_6_Europe/FRA_France/AR_Auvergne-Rhone-Alpes/FRA_AR_St.Etienne-Boutheon.AP.074750_TMYx.2009-2023.zip</v>
      </c>
    </row>
    <row r="4532" spans="1:10" x14ac:dyDescent="0.25">
      <c r="A4532" t="s">
        <v>2883</v>
      </c>
      <c r="B4532" t="s">
        <v>2038</v>
      </c>
      <c r="C4532" t="s">
        <v>3275</v>
      </c>
      <c r="D4532" s="1" t="s">
        <v>3276</v>
      </c>
      <c r="E4532" t="s">
        <v>14</v>
      </c>
      <c r="F4532">
        <v>45.533099999999997</v>
      </c>
      <c r="G4532">
        <v>4.2933000000000003</v>
      </c>
      <c r="H4532">
        <v>1</v>
      </c>
      <c r="I4532">
        <v>402</v>
      </c>
      <c r="J4532" t="str">
        <f>HYPERLINK("https://climate.onebuilding.org/WMO_Region_6_Europe/FRA_France/AR_Auvergne-Rhone-Alpes/FRA_AR_St.Etienne-Boutheon.AP.074750_TMYx.zip")</f>
        <v>https://climate.onebuilding.org/WMO_Region_6_Europe/FRA_France/AR_Auvergne-Rhone-Alpes/FRA_AR_St.Etienne-Boutheon.AP.074750_TMYx.zip</v>
      </c>
    </row>
    <row r="4533" spans="1:10" x14ac:dyDescent="0.25">
      <c r="A4533" t="s">
        <v>2883</v>
      </c>
      <c r="B4533" t="s">
        <v>2038</v>
      </c>
      <c r="C4533" t="s">
        <v>3278</v>
      </c>
      <c r="D4533" s="1" t="s">
        <v>3279</v>
      </c>
      <c r="E4533" t="s">
        <v>3280</v>
      </c>
      <c r="F4533">
        <v>45.933</v>
      </c>
      <c r="G4533">
        <v>4.383</v>
      </c>
      <c r="H4533">
        <v>1</v>
      </c>
      <c r="I4533">
        <v>720</v>
      </c>
      <c r="J4533" t="str">
        <f>HYPERLINK("https://climate.onebuilding.org/WMO_Region_6_Europe/FRA_France/AR_Auvergne-Rhone-Alpes/FRA_AR_Les.Sauvages.074770_TMYx.2004-2018.zip")</f>
        <v>https://climate.onebuilding.org/WMO_Region_6_Europe/FRA_France/AR_Auvergne-Rhone-Alpes/FRA_AR_Les.Sauvages.074770_TMYx.2004-2018.zip</v>
      </c>
    </row>
    <row r="4534" spans="1:10" x14ac:dyDescent="0.25">
      <c r="A4534" t="s">
        <v>2883</v>
      </c>
      <c r="B4534" t="s">
        <v>2038</v>
      </c>
      <c r="C4534" t="s">
        <v>3278</v>
      </c>
      <c r="D4534" s="1" t="s">
        <v>3279</v>
      </c>
      <c r="E4534" t="s">
        <v>14</v>
      </c>
      <c r="F4534">
        <v>45.933</v>
      </c>
      <c r="G4534">
        <v>4.383</v>
      </c>
      <c r="H4534">
        <v>1</v>
      </c>
      <c r="I4534">
        <v>720</v>
      </c>
      <c r="J4534" t="str">
        <f>HYPERLINK("https://climate.onebuilding.org/WMO_Region_6_Europe/FRA_France/AR_Auvergne-Rhone-Alpes/FRA_AR_Les.Sauvages.074770_TMYx.2007-2021.zip")</f>
        <v>https://climate.onebuilding.org/WMO_Region_6_Europe/FRA_France/AR_Auvergne-Rhone-Alpes/FRA_AR_Les.Sauvages.074770_TMYx.2007-2021.zip</v>
      </c>
    </row>
    <row r="4535" spans="1:10" x14ac:dyDescent="0.25">
      <c r="A4535" t="s">
        <v>2883</v>
      </c>
      <c r="B4535" t="s">
        <v>2038</v>
      </c>
      <c r="C4535" t="s">
        <v>3278</v>
      </c>
      <c r="D4535" s="1" t="s">
        <v>3279</v>
      </c>
      <c r="E4535" t="s">
        <v>14</v>
      </c>
      <c r="F4535">
        <v>45.933</v>
      </c>
      <c r="G4535">
        <v>4.383</v>
      </c>
      <c r="H4535">
        <v>1</v>
      </c>
      <c r="I4535">
        <v>720</v>
      </c>
      <c r="J4535" t="str">
        <f>HYPERLINK("https://climate.onebuilding.org/WMO_Region_6_Europe/FRA_France/AR_Auvergne-Rhone-Alpes/FRA_AR_Les.Sauvages.074770_TMYx.2009-2023.zip")</f>
        <v>https://climate.onebuilding.org/WMO_Region_6_Europe/FRA_France/AR_Auvergne-Rhone-Alpes/FRA_AR_Les.Sauvages.074770_TMYx.2009-2023.zip</v>
      </c>
    </row>
    <row r="4536" spans="1:10" x14ac:dyDescent="0.25">
      <c r="A4536" t="s">
        <v>2883</v>
      </c>
      <c r="B4536" t="s">
        <v>2038</v>
      </c>
      <c r="C4536" t="s">
        <v>3278</v>
      </c>
      <c r="D4536" s="1" t="s">
        <v>3279</v>
      </c>
      <c r="E4536" t="s">
        <v>14</v>
      </c>
      <c r="F4536">
        <v>45.933</v>
      </c>
      <c r="G4536">
        <v>4.383</v>
      </c>
      <c r="H4536">
        <v>1</v>
      </c>
      <c r="I4536">
        <v>720</v>
      </c>
      <c r="J4536" t="str">
        <f>HYPERLINK("https://climate.onebuilding.org/WMO_Region_6_Europe/FRA_France/AR_Auvergne-Rhone-Alpes/FRA_AR_Les.Sauvages.074770_TMYx.zip")</f>
        <v>https://climate.onebuilding.org/WMO_Region_6_Europe/FRA_France/AR_Auvergne-Rhone-Alpes/FRA_AR_Les.Sauvages.074770_TMYx.zip</v>
      </c>
    </row>
    <row r="4537" spans="1:10" x14ac:dyDescent="0.25">
      <c r="A4537" t="s">
        <v>2883</v>
      </c>
      <c r="B4537" t="s">
        <v>2038</v>
      </c>
      <c r="C4537" t="s">
        <v>3281</v>
      </c>
      <c r="D4537" s="1" t="s">
        <v>3282</v>
      </c>
      <c r="E4537" t="s">
        <v>3283</v>
      </c>
      <c r="F4537">
        <v>45.726100000000002</v>
      </c>
      <c r="G4537">
        <v>4.9378000000000002</v>
      </c>
      <c r="H4537">
        <v>1</v>
      </c>
      <c r="I4537">
        <v>198</v>
      </c>
      <c r="J4537" t="str">
        <f>HYPERLINK("https://climate.onebuilding.org/WMO_Region_6_Europe/FRA_France/AR_Auvergne-Rhone-Alpes/FRA_AR_Lyon-Bron.AP.074800_TMYx.2004-2018.zip")</f>
        <v>https://climate.onebuilding.org/WMO_Region_6_Europe/FRA_France/AR_Auvergne-Rhone-Alpes/FRA_AR_Lyon-Bron.AP.074800_TMYx.2004-2018.zip</v>
      </c>
    </row>
    <row r="4538" spans="1:10" x14ac:dyDescent="0.25">
      <c r="A4538" t="s">
        <v>2883</v>
      </c>
      <c r="B4538" t="s">
        <v>2038</v>
      </c>
      <c r="C4538" t="s">
        <v>3281</v>
      </c>
      <c r="D4538" s="1" t="s">
        <v>3282</v>
      </c>
      <c r="E4538" t="s">
        <v>14</v>
      </c>
      <c r="F4538">
        <v>45.726100000000002</v>
      </c>
      <c r="G4538">
        <v>4.9378000000000002</v>
      </c>
      <c r="H4538">
        <v>1</v>
      </c>
      <c r="I4538">
        <v>198</v>
      </c>
      <c r="J4538" t="str">
        <f>HYPERLINK("https://climate.onebuilding.org/WMO_Region_6_Europe/FRA_France/AR_Auvergne-Rhone-Alpes/FRA_AR_Lyon-Bron.AP.074800_TMYx.2007-2021.zip")</f>
        <v>https://climate.onebuilding.org/WMO_Region_6_Europe/FRA_France/AR_Auvergne-Rhone-Alpes/FRA_AR_Lyon-Bron.AP.074800_TMYx.2007-2021.zip</v>
      </c>
    </row>
    <row r="4539" spans="1:10" x14ac:dyDescent="0.25">
      <c r="A4539" t="s">
        <v>2883</v>
      </c>
      <c r="B4539" t="s">
        <v>2038</v>
      </c>
      <c r="C4539" t="s">
        <v>3281</v>
      </c>
      <c r="D4539" s="1" t="s">
        <v>3282</v>
      </c>
      <c r="E4539" t="s">
        <v>14</v>
      </c>
      <c r="F4539">
        <v>45.726100000000002</v>
      </c>
      <c r="G4539">
        <v>4.9378000000000002</v>
      </c>
      <c r="H4539">
        <v>1</v>
      </c>
      <c r="I4539">
        <v>198</v>
      </c>
      <c r="J4539" t="str">
        <f>HYPERLINK("https://climate.onebuilding.org/WMO_Region_6_Europe/FRA_France/AR_Auvergne-Rhone-Alpes/FRA_AR_Lyon-Bron.AP.074800_TMYx.2009-2023.zip")</f>
        <v>https://climate.onebuilding.org/WMO_Region_6_Europe/FRA_France/AR_Auvergne-Rhone-Alpes/FRA_AR_Lyon-Bron.AP.074800_TMYx.2009-2023.zip</v>
      </c>
    </row>
    <row r="4540" spans="1:10" x14ac:dyDescent="0.25">
      <c r="A4540" t="s">
        <v>2883</v>
      </c>
      <c r="B4540" t="s">
        <v>2038</v>
      </c>
      <c r="C4540" t="s">
        <v>3281</v>
      </c>
      <c r="D4540" s="1" t="s">
        <v>3282</v>
      </c>
      <c r="E4540" t="s">
        <v>14</v>
      </c>
      <c r="F4540">
        <v>45.726100000000002</v>
      </c>
      <c r="G4540">
        <v>4.9378000000000002</v>
      </c>
      <c r="H4540">
        <v>1</v>
      </c>
      <c r="I4540">
        <v>198</v>
      </c>
      <c r="J4540" t="str">
        <f>HYPERLINK("https://climate.onebuilding.org/WMO_Region_6_Europe/FRA_France/AR_Auvergne-Rhone-Alpes/FRA_AR_Lyon-Bron.AP.074800_TMYx.zip")</f>
        <v>https://climate.onebuilding.org/WMO_Region_6_Europe/FRA_France/AR_Auvergne-Rhone-Alpes/FRA_AR_Lyon-Bron.AP.074800_TMYx.zip</v>
      </c>
    </row>
    <row r="4541" spans="1:10" x14ac:dyDescent="0.25">
      <c r="A4541" t="s">
        <v>2883</v>
      </c>
      <c r="B4541" t="s">
        <v>2038</v>
      </c>
      <c r="C4541" t="s">
        <v>3284</v>
      </c>
      <c r="D4541" s="1" t="s">
        <v>3285</v>
      </c>
      <c r="E4541" t="s">
        <v>3286</v>
      </c>
      <c r="F4541">
        <v>45.726399999999998</v>
      </c>
      <c r="G4541">
        <v>5.0777999999999999</v>
      </c>
      <c r="H4541">
        <v>1</v>
      </c>
      <c r="I4541">
        <v>240</v>
      </c>
      <c r="J4541" t="str">
        <f>HYPERLINK("https://climate.onebuilding.org/WMO_Region_6_Europe/FRA_France/AR_Auvergne-Rhone-Alpes/FRA_AR_Lyon.St.Exupery.AP.074810_TMYx.2004-2018.zip")</f>
        <v>https://climate.onebuilding.org/WMO_Region_6_Europe/FRA_France/AR_Auvergne-Rhone-Alpes/FRA_AR_Lyon.St.Exupery.AP.074810_TMYx.2004-2018.zip</v>
      </c>
    </row>
    <row r="4542" spans="1:10" x14ac:dyDescent="0.25">
      <c r="A4542" t="s">
        <v>2883</v>
      </c>
      <c r="B4542" t="s">
        <v>2038</v>
      </c>
      <c r="C4542" t="s">
        <v>3284</v>
      </c>
      <c r="D4542" s="1" t="s">
        <v>3285</v>
      </c>
      <c r="E4542" t="s">
        <v>14</v>
      </c>
      <c r="F4542">
        <v>45.726399999999998</v>
      </c>
      <c r="G4542">
        <v>5.0777999999999999</v>
      </c>
      <c r="H4542">
        <v>1</v>
      </c>
      <c r="I4542">
        <v>240</v>
      </c>
      <c r="J4542" t="str">
        <f>HYPERLINK("https://climate.onebuilding.org/WMO_Region_6_Europe/FRA_France/AR_Auvergne-Rhone-Alpes/FRA_AR_Lyon.St.Exupery.AP.074810_TMYx.2007-2021.zip")</f>
        <v>https://climate.onebuilding.org/WMO_Region_6_Europe/FRA_France/AR_Auvergne-Rhone-Alpes/FRA_AR_Lyon.St.Exupery.AP.074810_TMYx.2007-2021.zip</v>
      </c>
    </row>
    <row r="4543" spans="1:10" x14ac:dyDescent="0.25">
      <c r="A4543" t="s">
        <v>2883</v>
      </c>
      <c r="B4543" t="s">
        <v>2038</v>
      </c>
      <c r="C4543" t="s">
        <v>3284</v>
      </c>
      <c r="D4543" s="1" t="s">
        <v>3285</v>
      </c>
      <c r="E4543" t="s">
        <v>14</v>
      </c>
      <c r="F4543">
        <v>45.726399999999998</v>
      </c>
      <c r="G4543">
        <v>5.0777999999999999</v>
      </c>
      <c r="H4543">
        <v>1</v>
      </c>
      <c r="I4543">
        <v>240</v>
      </c>
      <c r="J4543" t="str">
        <f>HYPERLINK("https://climate.onebuilding.org/WMO_Region_6_Europe/FRA_France/AR_Auvergne-Rhone-Alpes/FRA_AR_Lyon.St.Exupery.AP.074810_TMYx.2009-2023.zip")</f>
        <v>https://climate.onebuilding.org/WMO_Region_6_Europe/FRA_France/AR_Auvergne-Rhone-Alpes/FRA_AR_Lyon.St.Exupery.AP.074810_TMYx.2009-2023.zip</v>
      </c>
    </row>
    <row r="4544" spans="1:10" x14ac:dyDescent="0.25">
      <c r="A4544" t="s">
        <v>2883</v>
      </c>
      <c r="B4544" t="s">
        <v>2038</v>
      </c>
      <c r="C4544" t="s">
        <v>3284</v>
      </c>
      <c r="D4544" s="1" t="s">
        <v>3285</v>
      </c>
      <c r="E4544" t="s">
        <v>14</v>
      </c>
      <c r="F4544">
        <v>45.726399999999998</v>
      </c>
      <c r="G4544">
        <v>5.0777999999999999</v>
      </c>
      <c r="H4544">
        <v>1</v>
      </c>
      <c r="I4544">
        <v>240</v>
      </c>
      <c r="J4544" t="str">
        <f>HYPERLINK("https://climate.onebuilding.org/WMO_Region_6_Europe/FRA_France/AR_Auvergne-Rhone-Alpes/FRA_AR_Lyon.St.Exupery.AP.074810_TMYx.zip")</f>
        <v>https://climate.onebuilding.org/WMO_Region_6_Europe/FRA_France/AR_Auvergne-Rhone-Alpes/FRA_AR_Lyon.St.Exupery.AP.074810_TMYx.zip</v>
      </c>
    </row>
    <row r="4545" spans="1:10" x14ac:dyDescent="0.25">
      <c r="A4545" t="s">
        <v>2883</v>
      </c>
      <c r="B4545" t="s">
        <v>2038</v>
      </c>
      <c r="C4545" t="s">
        <v>3287</v>
      </c>
      <c r="D4545" s="1" t="s">
        <v>3288</v>
      </c>
      <c r="E4545" t="s">
        <v>3289</v>
      </c>
      <c r="F4545">
        <v>45.976399999999998</v>
      </c>
      <c r="G4545">
        <v>5.3293999999999997</v>
      </c>
      <c r="H4545">
        <v>1</v>
      </c>
      <c r="I4545">
        <v>252</v>
      </c>
      <c r="J4545" t="str">
        <f>HYPERLINK("https://climate.onebuilding.org/WMO_Region_6_Europe/FRA_France/AR_Auvergne-Rhone-Alpes/FRA_AR_Amberieu-en-Bugey.AB.074820_TMYx.2004-2018.zip")</f>
        <v>https://climate.onebuilding.org/WMO_Region_6_Europe/FRA_France/AR_Auvergne-Rhone-Alpes/FRA_AR_Amberieu-en-Bugey.AB.074820_TMYx.2004-2018.zip</v>
      </c>
    </row>
    <row r="4546" spans="1:10" x14ac:dyDescent="0.25">
      <c r="A4546" t="s">
        <v>2883</v>
      </c>
      <c r="B4546" t="s">
        <v>2038</v>
      </c>
      <c r="C4546" t="s">
        <v>3287</v>
      </c>
      <c r="D4546" s="1" t="s">
        <v>3288</v>
      </c>
      <c r="E4546" t="s">
        <v>14</v>
      </c>
      <c r="F4546">
        <v>45.976399999999998</v>
      </c>
      <c r="G4546">
        <v>5.3293999999999997</v>
      </c>
      <c r="H4546">
        <v>1</v>
      </c>
      <c r="I4546">
        <v>252</v>
      </c>
      <c r="J4546" t="str">
        <f>HYPERLINK("https://climate.onebuilding.org/WMO_Region_6_Europe/FRA_France/AR_Auvergne-Rhone-Alpes/FRA_AR_Amberieu-en-Bugey.AB.074820_TMYx.2007-2021.zip")</f>
        <v>https://climate.onebuilding.org/WMO_Region_6_Europe/FRA_France/AR_Auvergne-Rhone-Alpes/FRA_AR_Amberieu-en-Bugey.AB.074820_TMYx.2007-2021.zip</v>
      </c>
    </row>
    <row r="4547" spans="1:10" x14ac:dyDescent="0.25">
      <c r="A4547" t="s">
        <v>2883</v>
      </c>
      <c r="B4547" t="s">
        <v>2038</v>
      </c>
      <c r="C4547" t="s">
        <v>3287</v>
      </c>
      <c r="D4547" s="1" t="s">
        <v>3288</v>
      </c>
      <c r="E4547" t="s">
        <v>14</v>
      </c>
      <c r="F4547">
        <v>45.976399999999998</v>
      </c>
      <c r="G4547">
        <v>5.3293999999999997</v>
      </c>
      <c r="H4547">
        <v>1</v>
      </c>
      <c r="I4547">
        <v>252</v>
      </c>
      <c r="J4547" t="str">
        <f>HYPERLINK("https://climate.onebuilding.org/WMO_Region_6_Europe/FRA_France/AR_Auvergne-Rhone-Alpes/FRA_AR_Amberieu-en-Bugey.AB.074820_TMYx.2009-2023.zip")</f>
        <v>https://climate.onebuilding.org/WMO_Region_6_Europe/FRA_France/AR_Auvergne-Rhone-Alpes/FRA_AR_Amberieu-en-Bugey.AB.074820_TMYx.2009-2023.zip</v>
      </c>
    </row>
    <row r="4548" spans="1:10" x14ac:dyDescent="0.25">
      <c r="A4548" t="s">
        <v>2883</v>
      </c>
      <c r="B4548" t="s">
        <v>2038</v>
      </c>
      <c r="C4548" t="s">
        <v>3287</v>
      </c>
      <c r="D4548" s="1" t="s">
        <v>3288</v>
      </c>
      <c r="E4548" t="s">
        <v>14</v>
      </c>
      <c r="F4548">
        <v>45.976399999999998</v>
      </c>
      <c r="G4548">
        <v>5.3293999999999997</v>
      </c>
      <c r="H4548">
        <v>1</v>
      </c>
      <c r="I4548">
        <v>252</v>
      </c>
      <c r="J4548" t="str">
        <f>HYPERLINK("https://climate.onebuilding.org/WMO_Region_6_Europe/FRA_France/AR_Auvergne-Rhone-Alpes/FRA_AR_Amberieu-en-Bugey.AB.074820_TMYx.zip")</f>
        <v>https://climate.onebuilding.org/WMO_Region_6_Europe/FRA_France/AR_Auvergne-Rhone-Alpes/FRA_AR_Amberieu-en-Bugey.AB.074820_TMYx.zip</v>
      </c>
    </row>
    <row r="4549" spans="1:10" x14ac:dyDescent="0.25">
      <c r="A4549" t="s">
        <v>2883</v>
      </c>
      <c r="B4549" t="s">
        <v>2038</v>
      </c>
      <c r="C4549" t="s">
        <v>3290</v>
      </c>
      <c r="D4549" s="1" t="s">
        <v>3291</v>
      </c>
      <c r="E4549" t="s">
        <v>14</v>
      </c>
      <c r="F4549">
        <v>45.064599999999999</v>
      </c>
      <c r="G4549">
        <v>5.5522</v>
      </c>
      <c r="H4549">
        <v>1</v>
      </c>
      <c r="I4549">
        <v>1030</v>
      </c>
      <c r="J4549" t="str">
        <f>HYPERLINK("https://climate.onebuilding.org/WMO_Region_6_Europe/FRA_France/AR_Auvergne-Rhone-Alpes/FRA_AR_Villard.de.Lans.074840_TMYx.2007-2021.zip")</f>
        <v>https://climate.onebuilding.org/WMO_Region_6_Europe/FRA_France/AR_Auvergne-Rhone-Alpes/FRA_AR_Villard.de.Lans.074840_TMYx.2007-2021.zip</v>
      </c>
    </row>
    <row r="4550" spans="1:10" x14ac:dyDescent="0.25">
      <c r="A4550" t="s">
        <v>2883</v>
      </c>
      <c r="B4550" t="s">
        <v>2038</v>
      </c>
      <c r="C4550" t="s">
        <v>3290</v>
      </c>
      <c r="D4550" s="1" t="s">
        <v>3291</v>
      </c>
      <c r="E4550" t="s">
        <v>14</v>
      </c>
      <c r="F4550">
        <v>45.064599999999999</v>
      </c>
      <c r="G4550">
        <v>5.5522</v>
      </c>
      <c r="H4550">
        <v>1</v>
      </c>
      <c r="I4550">
        <v>1030</v>
      </c>
      <c r="J4550" t="str">
        <f>HYPERLINK("https://climate.onebuilding.org/WMO_Region_6_Europe/FRA_France/AR_Auvergne-Rhone-Alpes/FRA_AR_Villard.de.Lans.074840_TMYx.2009-2023.zip")</f>
        <v>https://climate.onebuilding.org/WMO_Region_6_Europe/FRA_France/AR_Auvergne-Rhone-Alpes/FRA_AR_Villard.de.Lans.074840_TMYx.2009-2023.zip</v>
      </c>
    </row>
    <row r="4551" spans="1:10" x14ac:dyDescent="0.25">
      <c r="A4551" t="s">
        <v>2883</v>
      </c>
      <c r="B4551" t="s">
        <v>2038</v>
      </c>
      <c r="C4551" t="s">
        <v>3290</v>
      </c>
      <c r="D4551" s="1" t="s">
        <v>3291</v>
      </c>
      <c r="E4551" t="s">
        <v>14</v>
      </c>
      <c r="F4551">
        <v>45.064599999999999</v>
      </c>
      <c r="G4551">
        <v>5.5522</v>
      </c>
      <c r="H4551">
        <v>1</v>
      </c>
      <c r="I4551">
        <v>1030</v>
      </c>
      <c r="J4551" t="str">
        <f>HYPERLINK("https://climate.onebuilding.org/WMO_Region_6_Europe/FRA_France/AR_Auvergne-Rhone-Alpes/FRA_AR_Villard.de.Lans.074840_TMYx.zip")</f>
        <v>https://climate.onebuilding.org/WMO_Region_6_Europe/FRA_France/AR_Auvergne-Rhone-Alpes/FRA_AR_Villard.de.Lans.074840_TMYx.zip</v>
      </c>
    </row>
    <row r="4552" spans="1:10" x14ac:dyDescent="0.25">
      <c r="A4552" t="s">
        <v>2883</v>
      </c>
      <c r="B4552" t="s">
        <v>2038</v>
      </c>
      <c r="C4552" t="s">
        <v>3292</v>
      </c>
      <c r="D4552" s="1" t="s">
        <v>3293</v>
      </c>
      <c r="E4552" t="s">
        <v>14</v>
      </c>
      <c r="F4552">
        <v>45.167000000000002</v>
      </c>
      <c r="G4552">
        <v>5.7670000000000003</v>
      </c>
      <c r="H4552">
        <v>1</v>
      </c>
      <c r="I4552">
        <v>212</v>
      </c>
      <c r="J4552" t="str">
        <f>HYPERLINK("https://climate.onebuilding.org/WMO_Region_6_Europe/FRA_France/AR_Auvergne-Rhone-Alpes/FRA_AR_Grenoble.074850_TMYx.zip")</f>
        <v>https://climate.onebuilding.org/WMO_Region_6_Europe/FRA_France/AR_Auvergne-Rhone-Alpes/FRA_AR_Grenoble.074850_TMYx.zip</v>
      </c>
    </row>
    <row r="4553" spans="1:10" x14ac:dyDescent="0.25">
      <c r="A4553" t="s">
        <v>2883</v>
      </c>
      <c r="B4553" t="s">
        <v>2038</v>
      </c>
      <c r="C4553" t="s">
        <v>3294</v>
      </c>
      <c r="D4553" s="1" t="s">
        <v>3295</v>
      </c>
      <c r="E4553" t="s">
        <v>3296</v>
      </c>
      <c r="F4553">
        <v>45.363900000000001</v>
      </c>
      <c r="G4553">
        <v>5.3132999999999999</v>
      </c>
      <c r="H4553">
        <v>1</v>
      </c>
      <c r="I4553">
        <v>386</v>
      </c>
      <c r="J4553" t="str">
        <f>HYPERLINK("https://climate.onebuilding.org/WMO_Region_6_Europe/FRA_France/AR_Auvergne-Rhone-Alpes/FRA_AR_Grenoble.Alpes.Isere.AP.074860_TMYx.2004-2018.zip")</f>
        <v>https://climate.onebuilding.org/WMO_Region_6_Europe/FRA_France/AR_Auvergne-Rhone-Alpes/FRA_AR_Grenoble.Alpes.Isere.AP.074860_TMYx.2004-2018.zip</v>
      </c>
    </row>
    <row r="4554" spans="1:10" x14ac:dyDescent="0.25">
      <c r="A4554" t="s">
        <v>2883</v>
      </c>
      <c r="B4554" t="s">
        <v>2038</v>
      </c>
      <c r="C4554" t="s">
        <v>3294</v>
      </c>
      <c r="D4554" s="1" t="s">
        <v>3295</v>
      </c>
      <c r="E4554" t="s">
        <v>14</v>
      </c>
      <c r="F4554">
        <v>45.363900000000001</v>
      </c>
      <c r="G4554">
        <v>5.3132999999999999</v>
      </c>
      <c r="H4554">
        <v>1</v>
      </c>
      <c r="I4554">
        <v>386</v>
      </c>
      <c r="J4554" t="str">
        <f>HYPERLINK("https://climate.onebuilding.org/WMO_Region_6_Europe/FRA_France/AR_Auvergne-Rhone-Alpes/FRA_AR_Grenoble.Alpes.Isere.AP.074860_TMYx.2007-2021.zip")</f>
        <v>https://climate.onebuilding.org/WMO_Region_6_Europe/FRA_France/AR_Auvergne-Rhone-Alpes/FRA_AR_Grenoble.Alpes.Isere.AP.074860_TMYx.2007-2021.zip</v>
      </c>
    </row>
    <row r="4555" spans="1:10" x14ac:dyDescent="0.25">
      <c r="A4555" t="s">
        <v>2883</v>
      </c>
      <c r="B4555" t="s">
        <v>2038</v>
      </c>
      <c r="C4555" t="s">
        <v>3294</v>
      </c>
      <c r="D4555" s="1" t="s">
        <v>3295</v>
      </c>
      <c r="E4555" t="s">
        <v>14</v>
      </c>
      <c r="F4555">
        <v>45.363900000000001</v>
      </c>
      <c r="G4555">
        <v>5.3132999999999999</v>
      </c>
      <c r="H4555">
        <v>1</v>
      </c>
      <c r="I4555">
        <v>386</v>
      </c>
      <c r="J4555" t="str">
        <f>HYPERLINK("https://climate.onebuilding.org/WMO_Region_6_Europe/FRA_France/AR_Auvergne-Rhone-Alpes/FRA_AR_Grenoble.Alpes.Isere.AP.074860_TMYx.2009-2023.zip")</f>
        <v>https://climate.onebuilding.org/WMO_Region_6_Europe/FRA_France/AR_Auvergne-Rhone-Alpes/FRA_AR_Grenoble.Alpes.Isere.AP.074860_TMYx.2009-2023.zip</v>
      </c>
    </row>
    <row r="4556" spans="1:10" x14ac:dyDescent="0.25">
      <c r="A4556" t="s">
        <v>2883</v>
      </c>
      <c r="B4556" t="s">
        <v>2038</v>
      </c>
      <c r="C4556" t="s">
        <v>3294</v>
      </c>
      <c r="D4556" s="1" t="s">
        <v>3295</v>
      </c>
      <c r="E4556" t="s">
        <v>14</v>
      </c>
      <c r="F4556">
        <v>45.363900000000001</v>
      </c>
      <c r="G4556">
        <v>5.3132999999999999</v>
      </c>
      <c r="H4556">
        <v>1</v>
      </c>
      <c r="I4556">
        <v>386</v>
      </c>
      <c r="J4556" t="str">
        <f>HYPERLINK("https://climate.onebuilding.org/WMO_Region_6_Europe/FRA_France/AR_Auvergne-Rhone-Alpes/FRA_AR_Grenoble.Alpes.Isere.AP.074860_TMYx.zip")</f>
        <v>https://climate.onebuilding.org/WMO_Region_6_Europe/FRA_France/AR_Auvergne-Rhone-Alpes/FRA_AR_Grenoble.Alpes.Isere.AP.074860_TMYx.zip</v>
      </c>
    </row>
    <row r="4557" spans="1:10" x14ac:dyDescent="0.25">
      <c r="A4557" t="s">
        <v>2883</v>
      </c>
      <c r="B4557" t="s">
        <v>2038</v>
      </c>
      <c r="C4557" t="s">
        <v>3297</v>
      </c>
      <c r="D4557" s="1" t="s">
        <v>3298</v>
      </c>
      <c r="E4557" t="s">
        <v>3299</v>
      </c>
      <c r="F4557">
        <v>45.22</v>
      </c>
      <c r="G4557">
        <v>5.85</v>
      </c>
      <c r="H4557">
        <v>1</v>
      </c>
      <c r="I4557">
        <v>220</v>
      </c>
      <c r="J4557" t="str">
        <f>HYPERLINK("https://climate.onebuilding.org/WMO_Region_6_Europe/FRA_France/AR_Auvergne-Rhone-Alpes/FRA_AR_Grenoble.le.Versoud.AF.074870_TMYx.2004-2018.zip")</f>
        <v>https://climate.onebuilding.org/WMO_Region_6_Europe/FRA_France/AR_Auvergne-Rhone-Alpes/FRA_AR_Grenoble.le.Versoud.AF.074870_TMYx.2004-2018.zip</v>
      </c>
    </row>
    <row r="4558" spans="1:10" x14ac:dyDescent="0.25">
      <c r="A4558" t="s">
        <v>2883</v>
      </c>
      <c r="B4558" t="s">
        <v>2038</v>
      </c>
      <c r="C4558" t="s">
        <v>3297</v>
      </c>
      <c r="D4558" s="1" t="s">
        <v>3298</v>
      </c>
      <c r="E4558" t="s">
        <v>14</v>
      </c>
      <c r="F4558">
        <v>45.22</v>
      </c>
      <c r="G4558">
        <v>5.85</v>
      </c>
      <c r="H4558">
        <v>1</v>
      </c>
      <c r="I4558">
        <v>220</v>
      </c>
      <c r="J4558" t="str">
        <f>HYPERLINK("https://climate.onebuilding.org/WMO_Region_6_Europe/FRA_France/AR_Auvergne-Rhone-Alpes/FRA_AR_Grenoble.le.Versoud.AF.074870_TMYx.2007-2021.zip")</f>
        <v>https://climate.onebuilding.org/WMO_Region_6_Europe/FRA_France/AR_Auvergne-Rhone-Alpes/FRA_AR_Grenoble.le.Versoud.AF.074870_TMYx.2007-2021.zip</v>
      </c>
    </row>
    <row r="4559" spans="1:10" x14ac:dyDescent="0.25">
      <c r="A4559" t="s">
        <v>2883</v>
      </c>
      <c r="B4559" t="s">
        <v>2038</v>
      </c>
      <c r="C4559" t="s">
        <v>3297</v>
      </c>
      <c r="D4559" s="1" t="s">
        <v>3298</v>
      </c>
      <c r="E4559" t="s">
        <v>14</v>
      </c>
      <c r="F4559">
        <v>45.22</v>
      </c>
      <c r="G4559">
        <v>5.85</v>
      </c>
      <c r="H4559">
        <v>1</v>
      </c>
      <c r="I4559">
        <v>220</v>
      </c>
      <c r="J4559" t="str">
        <f>HYPERLINK("https://climate.onebuilding.org/WMO_Region_6_Europe/FRA_France/AR_Auvergne-Rhone-Alpes/FRA_AR_Grenoble.le.Versoud.AF.074870_TMYx.2009-2023.zip")</f>
        <v>https://climate.onebuilding.org/WMO_Region_6_Europe/FRA_France/AR_Auvergne-Rhone-Alpes/FRA_AR_Grenoble.le.Versoud.AF.074870_TMYx.2009-2023.zip</v>
      </c>
    </row>
    <row r="4560" spans="1:10" x14ac:dyDescent="0.25">
      <c r="A4560" t="s">
        <v>2883</v>
      </c>
      <c r="B4560" t="s">
        <v>2038</v>
      </c>
      <c r="C4560" t="s">
        <v>3297</v>
      </c>
      <c r="D4560" s="1" t="s">
        <v>3298</v>
      </c>
      <c r="E4560" t="s">
        <v>14</v>
      </c>
      <c r="F4560">
        <v>45.22</v>
      </c>
      <c r="G4560">
        <v>5.85</v>
      </c>
      <c r="H4560">
        <v>1</v>
      </c>
      <c r="I4560">
        <v>220</v>
      </c>
      <c r="J4560" t="str">
        <f>HYPERLINK("https://climate.onebuilding.org/WMO_Region_6_Europe/FRA_France/AR_Auvergne-Rhone-Alpes/FRA_AR_Grenoble.le.Versoud.AF.074870_TMYx.zip")</f>
        <v>https://climate.onebuilding.org/WMO_Region_6_Europe/FRA_France/AR_Auvergne-Rhone-Alpes/FRA_AR_Grenoble.le.Versoud.AF.074870_TMYx.zip</v>
      </c>
    </row>
    <row r="4561" spans="1:10" x14ac:dyDescent="0.25">
      <c r="A4561" t="s">
        <v>2883</v>
      </c>
      <c r="B4561" t="s">
        <v>2038</v>
      </c>
      <c r="C4561" t="s">
        <v>3300</v>
      </c>
      <c r="D4561" s="1" t="s">
        <v>3301</v>
      </c>
      <c r="E4561" t="s">
        <v>14</v>
      </c>
      <c r="F4561">
        <v>45.3</v>
      </c>
      <c r="G4561">
        <v>5.867</v>
      </c>
      <c r="H4561">
        <v>1</v>
      </c>
      <c r="I4561">
        <v>1154</v>
      </c>
      <c r="J4561" t="str">
        <f>HYPERLINK("https://climate.onebuilding.org/WMO_Region_6_Europe/FRA_France/AR_Auvergne-Rhone-Alpes/FRA_AR_Saint.Pancrasse.074890_TMYx.2007-2021.zip")</f>
        <v>https://climate.onebuilding.org/WMO_Region_6_Europe/FRA_France/AR_Auvergne-Rhone-Alpes/FRA_AR_Saint.Pancrasse.074890_TMYx.2007-2021.zip</v>
      </c>
    </row>
    <row r="4562" spans="1:10" x14ac:dyDescent="0.25">
      <c r="A4562" t="s">
        <v>2883</v>
      </c>
      <c r="B4562" t="s">
        <v>2038</v>
      </c>
      <c r="C4562" t="s">
        <v>3300</v>
      </c>
      <c r="D4562" s="1" t="s">
        <v>3301</v>
      </c>
      <c r="E4562" t="s">
        <v>14</v>
      </c>
      <c r="F4562">
        <v>45.3</v>
      </c>
      <c r="G4562">
        <v>5.867</v>
      </c>
      <c r="H4562">
        <v>1</v>
      </c>
      <c r="I4562">
        <v>1154</v>
      </c>
      <c r="J4562" t="str">
        <f>HYPERLINK("https://climate.onebuilding.org/WMO_Region_6_Europe/FRA_France/AR_Auvergne-Rhone-Alpes/FRA_AR_Saint.Pancrasse.074890_TMYx.2009-2023.zip")</f>
        <v>https://climate.onebuilding.org/WMO_Region_6_Europe/FRA_France/AR_Auvergne-Rhone-Alpes/FRA_AR_Saint.Pancrasse.074890_TMYx.2009-2023.zip</v>
      </c>
    </row>
    <row r="4563" spans="1:10" x14ac:dyDescent="0.25">
      <c r="A4563" t="s">
        <v>2883</v>
      </c>
      <c r="B4563" t="s">
        <v>2038</v>
      </c>
      <c r="C4563" t="s">
        <v>3300</v>
      </c>
      <c r="D4563" s="1" t="s">
        <v>3301</v>
      </c>
      <c r="E4563" t="s">
        <v>14</v>
      </c>
      <c r="F4563">
        <v>45.3</v>
      </c>
      <c r="G4563">
        <v>5.867</v>
      </c>
      <c r="H4563">
        <v>1</v>
      </c>
      <c r="I4563">
        <v>1154</v>
      </c>
      <c r="J4563" t="str">
        <f>HYPERLINK("https://climate.onebuilding.org/WMO_Region_6_Europe/FRA_France/AR_Auvergne-Rhone-Alpes/FRA_AR_Saint.Pancrasse.074890_TMYx.zip")</f>
        <v>https://climate.onebuilding.org/WMO_Region_6_Europe/FRA_France/AR_Auvergne-Rhone-Alpes/FRA_AR_Saint.Pancrasse.074890_TMYx.zip</v>
      </c>
    </row>
    <row r="4564" spans="1:10" x14ac:dyDescent="0.25">
      <c r="A4564" t="s">
        <v>2883</v>
      </c>
      <c r="B4564" t="s">
        <v>2038</v>
      </c>
      <c r="C4564" t="s">
        <v>3302</v>
      </c>
      <c r="D4564" s="1" t="s">
        <v>3303</v>
      </c>
      <c r="E4564" t="s">
        <v>3304</v>
      </c>
      <c r="F4564">
        <v>45.929699999999997</v>
      </c>
      <c r="G4564">
        <v>6.1058000000000003</v>
      </c>
      <c r="H4564">
        <v>1</v>
      </c>
      <c r="I4564">
        <v>459</v>
      </c>
      <c r="J4564" t="str">
        <f>HYPERLINK("https://climate.onebuilding.org/WMO_Region_6_Europe/FRA_France/AR_Auvergne-Rhone-Alpes/FRA_AR_Annecy-Mount-Blanc.AP.074900_TMYx.2004-2018.zip")</f>
        <v>https://climate.onebuilding.org/WMO_Region_6_Europe/FRA_France/AR_Auvergne-Rhone-Alpes/FRA_AR_Annecy-Mount-Blanc.AP.074900_TMYx.2004-2018.zip</v>
      </c>
    </row>
    <row r="4565" spans="1:10" x14ac:dyDescent="0.25">
      <c r="A4565" t="s">
        <v>2883</v>
      </c>
      <c r="B4565" t="s">
        <v>2038</v>
      </c>
      <c r="C4565" t="s">
        <v>3302</v>
      </c>
      <c r="D4565" s="1" t="s">
        <v>3303</v>
      </c>
      <c r="E4565" t="s">
        <v>14</v>
      </c>
      <c r="F4565">
        <v>45.929699999999997</v>
      </c>
      <c r="G4565">
        <v>6.1058000000000003</v>
      </c>
      <c r="H4565">
        <v>1</v>
      </c>
      <c r="I4565">
        <v>459</v>
      </c>
      <c r="J4565" t="str">
        <f>HYPERLINK("https://climate.onebuilding.org/WMO_Region_6_Europe/FRA_France/AR_Auvergne-Rhone-Alpes/FRA_AR_Annecy-Mount-Blanc.AP.074900_TMYx.2007-2021.zip")</f>
        <v>https://climate.onebuilding.org/WMO_Region_6_Europe/FRA_France/AR_Auvergne-Rhone-Alpes/FRA_AR_Annecy-Mount-Blanc.AP.074900_TMYx.2007-2021.zip</v>
      </c>
    </row>
    <row r="4566" spans="1:10" x14ac:dyDescent="0.25">
      <c r="A4566" t="s">
        <v>2883</v>
      </c>
      <c r="B4566" t="s">
        <v>2038</v>
      </c>
      <c r="C4566" t="s">
        <v>3302</v>
      </c>
      <c r="D4566" s="1" t="s">
        <v>3303</v>
      </c>
      <c r="E4566" t="s">
        <v>14</v>
      </c>
      <c r="F4566">
        <v>45.929699999999997</v>
      </c>
      <c r="G4566">
        <v>6.1058000000000003</v>
      </c>
      <c r="H4566">
        <v>1</v>
      </c>
      <c r="I4566">
        <v>459</v>
      </c>
      <c r="J4566" t="str">
        <f>HYPERLINK("https://climate.onebuilding.org/WMO_Region_6_Europe/FRA_France/AR_Auvergne-Rhone-Alpes/FRA_AR_Annecy-Mount-Blanc.AP.074900_TMYx.2009-2023.zip")</f>
        <v>https://climate.onebuilding.org/WMO_Region_6_Europe/FRA_France/AR_Auvergne-Rhone-Alpes/FRA_AR_Annecy-Mount-Blanc.AP.074900_TMYx.2009-2023.zip</v>
      </c>
    </row>
    <row r="4567" spans="1:10" x14ac:dyDescent="0.25">
      <c r="A4567" t="s">
        <v>2883</v>
      </c>
      <c r="B4567" t="s">
        <v>2038</v>
      </c>
      <c r="C4567" t="s">
        <v>3302</v>
      </c>
      <c r="D4567" s="1" t="s">
        <v>3303</v>
      </c>
      <c r="E4567" t="s">
        <v>14</v>
      </c>
      <c r="F4567">
        <v>45.929699999999997</v>
      </c>
      <c r="G4567">
        <v>6.1058000000000003</v>
      </c>
      <c r="H4567">
        <v>1</v>
      </c>
      <c r="I4567">
        <v>459</v>
      </c>
      <c r="J4567" t="str">
        <f>HYPERLINK("https://climate.onebuilding.org/WMO_Region_6_Europe/FRA_France/AR_Auvergne-Rhone-Alpes/FRA_AR_Annecy-Mount-Blanc.AP.074900_TMYx.zip")</f>
        <v>https://climate.onebuilding.org/WMO_Region_6_Europe/FRA_France/AR_Auvergne-Rhone-Alpes/FRA_AR_Annecy-Mount-Blanc.AP.074900_TMYx.zip</v>
      </c>
    </row>
    <row r="4568" spans="1:10" x14ac:dyDescent="0.25">
      <c r="A4568" t="s">
        <v>2883</v>
      </c>
      <c r="B4568" t="s">
        <v>2038</v>
      </c>
      <c r="C4568" t="s">
        <v>3305</v>
      </c>
      <c r="D4568" s="1" t="s">
        <v>3306</v>
      </c>
      <c r="E4568" t="s">
        <v>3307</v>
      </c>
      <c r="F4568">
        <v>45.641399999999997</v>
      </c>
      <c r="G4568">
        <v>5.8780999999999999</v>
      </c>
      <c r="H4568">
        <v>1</v>
      </c>
      <c r="I4568">
        <v>235</v>
      </c>
      <c r="J4568" t="str">
        <f>HYPERLINK("https://climate.onebuilding.org/WMO_Region_6_Europe/FRA_France/AR_Auvergne-Rhone-Alpes/FRA_AR_Chambery-Savoie.AP.074910_TMYx.2004-2018.zip")</f>
        <v>https://climate.onebuilding.org/WMO_Region_6_Europe/FRA_France/AR_Auvergne-Rhone-Alpes/FRA_AR_Chambery-Savoie.AP.074910_TMYx.2004-2018.zip</v>
      </c>
    </row>
    <row r="4569" spans="1:10" x14ac:dyDescent="0.25">
      <c r="A4569" t="s">
        <v>2883</v>
      </c>
      <c r="B4569" t="s">
        <v>2038</v>
      </c>
      <c r="C4569" t="s">
        <v>3305</v>
      </c>
      <c r="D4569" s="1" t="s">
        <v>3306</v>
      </c>
      <c r="E4569" t="s">
        <v>14</v>
      </c>
      <c r="F4569">
        <v>45.641399999999997</v>
      </c>
      <c r="G4569">
        <v>5.8780999999999999</v>
      </c>
      <c r="H4569">
        <v>1</v>
      </c>
      <c r="I4569">
        <v>235</v>
      </c>
      <c r="J4569" t="str">
        <f>HYPERLINK("https://climate.onebuilding.org/WMO_Region_6_Europe/FRA_France/AR_Auvergne-Rhone-Alpes/FRA_AR_Chambery-Savoie.AP.074910_TMYx.2007-2021.zip")</f>
        <v>https://climate.onebuilding.org/WMO_Region_6_Europe/FRA_France/AR_Auvergne-Rhone-Alpes/FRA_AR_Chambery-Savoie.AP.074910_TMYx.2007-2021.zip</v>
      </c>
    </row>
    <row r="4570" spans="1:10" x14ac:dyDescent="0.25">
      <c r="A4570" t="s">
        <v>2883</v>
      </c>
      <c r="B4570" t="s">
        <v>2038</v>
      </c>
      <c r="C4570" t="s">
        <v>3305</v>
      </c>
      <c r="D4570" s="1" t="s">
        <v>3306</v>
      </c>
      <c r="E4570" t="s">
        <v>14</v>
      </c>
      <c r="F4570">
        <v>45.641399999999997</v>
      </c>
      <c r="G4570">
        <v>5.8780999999999999</v>
      </c>
      <c r="H4570">
        <v>1</v>
      </c>
      <c r="I4570">
        <v>235</v>
      </c>
      <c r="J4570" t="str">
        <f>HYPERLINK("https://climate.onebuilding.org/WMO_Region_6_Europe/FRA_France/AR_Auvergne-Rhone-Alpes/FRA_AR_Chambery-Savoie.AP.074910_TMYx.2009-2023.zip")</f>
        <v>https://climate.onebuilding.org/WMO_Region_6_Europe/FRA_France/AR_Auvergne-Rhone-Alpes/FRA_AR_Chambery-Savoie.AP.074910_TMYx.2009-2023.zip</v>
      </c>
    </row>
    <row r="4571" spans="1:10" x14ac:dyDescent="0.25">
      <c r="A4571" t="s">
        <v>2883</v>
      </c>
      <c r="B4571" t="s">
        <v>2038</v>
      </c>
      <c r="C4571" t="s">
        <v>3305</v>
      </c>
      <c r="D4571" s="1" t="s">
        <v>3306</v>
      </c>
      <c r="E4571" t="s">
        <v>14</v>
      </c>
      <c r="F4571">
        <v>45.641399999999997</v>
      </c>
      <c r="G4571">
        <v>5.8780999999999999</v>
      </c>
      <c r="H4571">
        <v>1</v>
      </c>
      <c r="I4571">
        <v>235</v>
      </c>
      <c r="J4571" t="str">
        <f>HYPERLINK("https://climate.onebuilding.org/WMO_Region_6_Europe/FRA_France/AR_Auvergne-Rhone-Alpes/FRA_AR_Chambery-Savoie.AP.074910_TMYx.zip")</f>
        <v>https://climate.onebuilding.org/WMO_Region_6_Europe/FRA_France/AR_Auvergne-Rhone-Alpes/FRA_AR_Chambery-Savoie.AP.074910_TMYx.zip</v>
      </c>
    </row>
    <row r="4572" spans="1:10" x14ac:dyDescent="0.25">
      <c r="A4572" t="s">
        <v>2883</v>
      </c>
      <c r="B4572" t="s">
        <v>3308</v>
      </c>
      <c r="C4572" t="s">
        <v>3309</v>
      </c>
      <c r="D4572" s="1" t="s">
        <v>3310</v>
      </c>
      <c r="E4572" t="s">
        <v>14</v>
      </c>
      <c r="F4572">
        <v>45.865499999999997</v>
      </c>
      <c r="G4572">
        <v>6.6139999999999999</v>
      </c>
      <c r="H4572">
        <v>1</v>
      </c>
      <c r="I4572">
        <v>1208</v>
      </c>
      <c r="J4572" t="str">
        <f>HYPERLINK("https://climate.onebuilding.org/FRA_AT_Megeve.074950_TMYx.2007-2021.zip")</f>
        <v>https://climate.onebuilding.org/FRA_AT_Megeve.074950_TMYx.2007-2021.zip</v>
      </c>
    </row>
    <row r="4573" spans="1:10" x14ac:dyDescent="0.25">
      <c r="A4573" t="s">
        <v>2883</v>
      </c>
      <c r="B4573" t="s">
        <v>3308</v>
      </c>
      <c r="C4573" t="s">
        <v>3309</v>
      </c>
      <c r="D4573" s="1" t="s">
        <v>3310</v>
      </c>
      <c r="E4573" t="s">
        <v>14</v>
      </c>
      <c r="F4573">
        <v>45.865499999999997</v>
      </c>
      <c r="G4573">
        <v>6.6139999999999999</v>
      </c>
      <c r="H4573">
        <v>1</v>
      </c>
      <c r="I4573">
        <v>1208</v>
      </c>
      <c r="J4573" t="str">
        <f>HYPERLINK("https://climate.onebuilding.org/FRA_AT_Megeve.074950_TMYx.2009-2023.zip")</f>
        <v>https://climate.onebuilding.org/FRA_AT_Megeve.074950_TMYx.2009-2023.zip</v>
      </c>
    </row>
    <row r="4574" spans="1:10" x14ac:dyDescent="0.25">
      <c r="A4574" t="s">
        <v>2883</v>
      </c>
      <c r="B4574" t="s">
        <v>3308</v>
      </c>
      <c r="C4574" t="s">
        <v>3309</v>
      </c>
      <c r="D4574" s="1" t="s">
        <v>3310</v>
      </c>
      <c r="E4574" t="s">
        <v>14</v>
      </c>
      <c r="F4574">
        <v>45.865499999999997</v>
      </c>
      <c r="G4574">
        <v>6.6139999999999999</v>
      </c>
      <c r="H4574">
        <v>1</v>
      </c>
      <c r="I4574">
        <v>1208</v>
      </c>
      <c r="J4574" t="str">
        <f>HYPERLINK("https://climate.onebuilding.org/FRA_AT_Megeve.074950_TMYx.zip")</f>
        <v>https://climate.onebuilding.org/FRA_AT_Megeve.074950_TMYx.zip</v>
      </c>
    </row>
    <row r="4575" spans="1:10" x14ac:dyDescent="0.25">
      <c r="A4575" t="s">
        <v>2883</v>
      </c>
      <c r="B4575" t="s">
        <v>2038</v>
      </c>
      <c r="C4575" t="s">
        <v>3311</v>
      </c>
      <c r="D4575" s="1" t="s">
        <v>3312</v>
      </c>
      <c r="E4575" t="s">
        <v>14</v>
      </c>
      <c r="F4575">
        <v>45.216999999999999</v>
      </c>
      <c r="G4575">
        <v>6.7169999999999996</v>
      </c>
      <c r="H4575">
        <v>1</v>
      </c>
      <c r="I4575">
        <v>1104</v>
      </c>
      <c r="J4575" t="str">
        <f>HYPERLINK("https://climate.onebuilding.org/WMO_Region_6_Europe/FRA_France/AR_Auvergne-Rhone-Alpes/FRA_AR_Modane.Avrieux.074960_TMYx.2007-2021.zip")</f>
        <v>https://climate.onebuilding.org/WMO_Region_6_Europe/FRA_France/AR_Auvergne-Rhone-Alpes/FRA_AR_Modane.Avrieux.074960_TMYx.2007-2021.zip</v>
      </c>
    </row>
    <row r="4576" spans="1:10" x14ac:dyDescent="0.25">
      <c r="A4576" t="s">
        <v>2883</v>
      </c>
      <c r="B4576" t="s">
        <v>2038</v>
      </c>
      <c r="C4576" t="s">
        <v>3311</v>
      </c>
      <c r="D4576" s="1" t="s">
        <v>3312</v>
      </c>
      <c r="E4576" t="s">
        <v>14</v>
      </c>
      <c r="F4576">
        <v>45.216999999999999</v>
      </c>
      <c r="G4576">
        <v>6.7169999999999996</v>
      </c>
      <c r="H4576">
        <v>1</v>
      </c>
      <c r="I4576">
        <v>1104</v>
      </c>
      <c r="J4576" t="str">
        <f>HYPERLINK("https://climate.onebuilding.org/WMO_Region_6_Europe/FRA_France/AR_Auvergne-Rhone-Alpes/FRA_AR_Modane.Avrieux.074960_TMYx.zip")</f>
        <v>https://climate.onebuilding.org/WMO_Region_6_Europe/FRA_France/AR_Auvergne-Rhone-Alpes/FRA_AR_Modane.Avrieux.074960_TMYx.zip</v>
      </c>
    </row>
    <row r="4577" spans="1:10" x14ac:dyDescent="0.25">
      <c r="A4577" t="s">
        <v>2883</v>
      </c>
      <c r="B4577" t="s">
        <v>2038</v>
      </c>
      <c r="C4577" t="s">
        <v>3313</v>
      </c>
      <c r="D4577" s="1" t="s">
        <v>3314</v>
      </c>
      <c r="E4577" t="s">
        <v>3315</v>
      </c>
      <c r="F4577">
        <v>45.6128</v>
      </c>
      <c r="G4577">
        <v>6.7633000000000001</v>
      </c>
      <c r="H4577">
        <v>1</v>
      </c>
      <c r="I4577">
        <v>868</v>
      </c>
      <c r="J4577" t="str">
        <f>HYPERLINK("https://climate.onebuilding.org/WMO_Region_6_Europe/FRA_France/AR_Auvergne-Rhone-Alpes/FRA_AR_Bourg-St-Maurice.074970_TMYx.2004-2018.zip")</f>
        <v>https://climate.onebuilding.org/WMO_Region_6_Europe/FRA_France/AR_Auvergne-Rhone-Alpes/FRA_AR_Bourg-St-Maurice.074970_TMYx.2004-2018.zip</v>
      </c>
    </row>
    <row r="4578" spans="1:10" x14ac:dyDescent="0.25">
      <c r="A4578" t="s">
        <v>2883</v>
      </c>
      <c r="B4578" t="s">
        <v>2038</v>
      </c>
      <c r="C4578" t="s">
        <v>3313</v>
      </c>
      <c r="D4578" s="1" t="s">
        <v>3314</v>
      </c>
      <c r="E4578" t="s">
        <v>14</v>
      </c>
      <c r="F4578">
        <v>45.6128</v>
      </c>
      <c r="G4578">
        <v>6.7633000000000001</v>
      </c>
      <c r="H4578">
        <v>1</v>
      </c>
      <c r="I4578">
        <v>868</v>
      </c>
      <c r="J4578" t="str">
        <f>HYPERLINK("https://climate.onebuilding.org/WMO_Region_6_Europe/FRA_France/AR_Auvergne-Rhone-Alpes/FRA_AR_Bourg-St-Maurice.074970_TMYx.2007-2021.zip")</f>
        <v>https://climate.onebuilding.org/WMO_Region_6_Europe/FRA_France/AR_Auvergne-Rhone-Alpes/FRA_AR_Bourg-St-Maurice.074970_TMYx.2007-2021.zip</v>
      </c>
    </row>
    <row r="4579" spans="1:10" x14ac:dyDescent="0.25">
      <c r="A4579" t="s">
        <v>2883</v>
      </c>
      <c r="B4579" t="s">
        <v>2038</v>
      </c>
      <c r="C4579" t="s">
        <v>3313</v>
      </c>
      <c r="D4579" s="1" t="s">
        <v>3314</v>
      </c>
      <c r="E4579" t="s">
        <v>14</v>
      </c>
      <c r="F4579">
        <v>45.6128</v>
      </c>
      <c r="G4579">
        <v>6.7633000000000001</v>
      </c>
      <c r="H4579">
        <v>1</v>
      </c>
      <c r="I4579">
        <v>868</v>
      </c>
      <c r="J4579" t="str">
        <f>HYPERLINK("https://climate.onebuilding.org/WMO_Region_6_Europe/FRA_France/AR_Auvergne-Rhone-Alpes/FRA_AR_Bourg-St-Maurice.074970_TMYx.2009-2023.zip")</f>
        <v>https://climate.onebuilding.org/WMO_Region_6_Europe/FRA_France/AR_Auvergne-Rhone-Alpes/FRA_AR_Bourg-St-Maurice.074970_TMYx.2009-2023.zip</v>
      </c>
    </row>
    <row r="4580" spans="1:10" x14ac:dyDescent="0.25">
      <c r="A4580" t="s">
        <v>2883</v>
      </c>
      <c r="B4580" t="s">
        <v>2038</v>
      </c>
      <c r="C4580" t="s">
        <v>3313</v>
      </c>
      <c r="D4580" s="1" t="s">
        <v>3314</v>
      </c>
      <c r="E4580" t="s">
        <v>14</v>
      </c>
      <c r="F4580">
        <v>45.6128</v>
      </c>
      <c r="G4580">
        <v>6.7633000000000001</v>
      </c>
      <c r="H4580">
        <v>1</v>
      </c>
      <c r="I4580">
        <v>868</v>
      </c>
      <c r="J4580" t="str">
        <f>HYPERLINK("https://climate.onebuilding.org/WMO_Region_6_Europe/FRA_France/AR_Auvergne-Rhone-Alpes/FRA_AR_Bourg-St-Maurice.074970_TMYx.zip")</f>
        <v>https://climate.onebuilding.org/WMO_Region_6_Europe/FRA_France/AR_Auvergne-Rhone-Alpes/FRA_AR_Bourg-St-Maurice.074970_TMYx.zip</v>
      </c>
    </row>
    <row r="4581" spans="1:10" x14ac:dyDescent="0.25">
      <c r="A4581" t="s">
        <v>2883</v>
      </c>
      <c r="B4581" t="s">
        <v>2038</v>
      </c>
      <c r="C4581" t="s">
        <v>3316</v>
      </c>
      <c r="D4581" s="1" t="s">
        <v>3317</v>
      </c>
      <c r="E4581" t="s">
        <v>14</v>
      </c>
      <c r="F4581">
        <v>45.917000000000002</v>
      </c>
      <c r="G4581">
        <v>6.867</v>
      </c>
      <c r="H4581">
        <v>1</v>
      </c>
      <c r="I4581">
        <v>1050</v>
      </c>
      <c r="J4581" t="str">
        <f>HYPERLINK("https://climate.onebuilding.org/WMO_Region_6_Europe/FRA_France/AR_Auvergne-Rhone-Alpes/FRA_AR_Chamonix.074990_TMYx.2007-2021.zip")</f>
        <v>https://climate.onebuilding.org/WMO_Region_6_Europe/FRA_France/AR_Auvergne-Rhone-Alpes/FRA_AR_Chamonix.074990_TMYx.2007-2021.zip</v>
      </c>
    </row>
    <row r="4582" spans="1:10" x14ac:dyDescent="0.25">
      <c r="A4582" t="s">
        <v>2883</v>
      </c>
      <c r="B4582" t="s">
        <v>2038</v>
      </c>
      <c r="C4582" t="s">
        <v>3316</v>
      </c>
      <c r="D4582" s="1" t="s">
        <v>3317</v>
      </c>
      <c r="E4582" t="s">
        <v>14</v>
      </c>
      <c r="F4582">
        <v>45.917000000000002</v>
      </c>
      <c r="G4582">
        <v>6.867</v>
      </c>
      <c r="H4582">
        <v>1</v>
      </c>
      <c r="I4582">
        <v>1050</v>
      </c>
      <c r="J4582" t="str">
        <f>HYPERLINK("https://climate.onebuilding.org/WMO_Region_6_Europe/FRA_France/AR_Auvergne-Rhone-Alpes/FRA_AR_Chamonix.074990_TMYx.2009-2023.zip")</f>
        <v>https://climate.onebuilding.org/WMO_Region_6_Europe/FRA_France/AR_Auvergne-Rhone-Alpes/FRA_AR_Chamonix.074990_TMYx.2009-2023.zip</v>
      </c>
    </row>
    <row r="4583" spans="1:10" x14ac:dyDescent="0.25">
      <c r="A4583" t="s">
        <v>2883</v>
      </c>
      <c r="B4583" t="s">
        <v>2038</v>
      </c>
      <c r="C4583" t="s">
        <v>3316</v>
      </c>
      <c r="D4583" s="1" t="s">
        <v>3317</v>
      </c>
      <c r="E4583" t="s">
        <v>14</v>
      </c>
      <c r="F4583">
        <v>45.917000000000002</v>
      </c>
      <c r="G4583">
        <v>6.867</v>
      </c>
      <c r="H4583">
        <v>1</v>
      </c>
      <c r="I4583">
        <v>1050</v>
      </c>
      <c r="J4583" t="str">
        <f>HYPERLINK("https://climate.onebuilding.org/WMO_Region_6_Europe/FRA_France/AR_Auvergne-Rhone-Alpes/FRA_AR_Chamonix.074990_TMYx.zip")</f>
        <v>https://climate.onebuilding.org/WMO_Region_6_Europe/FRA_France/AR_Auvergne-Rhone-Alpes/FRA_AR_Chamonix.074990_TMYx.zip</v>
      </c>
    </row>
    <row r="4584" spans="1:10" x14ac:dyDescent="0.25">
      <c r="A4584" t="s">
        <v>2883</v>
      </c>
      <c r="B4584" t="s">
        <v>3203</v>
      </c>
      <c r="C4584" t="s">
        <v>3318</v>
      </c>
      <c r="D4584" s="1" t="s">
        <v>3319</v>
      </c>
      <c r="E4584" t="s">
        <v>3320</v>
      </c>
      <c r="F4584">
        <v>44.631700000000002</v>
      </c>
      <c r="G4584">
        <v>-1.2483</v>
      </c>
      <c r="H4584">
        <v>1</v>
      </c>
      <c r="I4584">
        <v>28</v>
      </c>
      <c r="J4584" t="str">
        <f>HYPERLINK("https://climate.onebuilding.org/WMO_Region_6_Europe/FRA_France/AC_Nouvelle-Aquitaine/FRA_AC_Cap.Ferret.075000_TMYx.2004-2018.zip")</f>
        <v>https://climate.onebuilding.org/WMO_Region_6_Europe/FRA_France/AC_Nouvelle-Aquitaine/FRA_AC_Cap.Ferret.075000_TMYx.2004-2018.zip</v>
      </c>
    </row>
    <row r="4585" spans="1:10" x14ac:dyDescent="0.25">
      <c r="A4585" t="s">
        <v>2883</v>
      </c>
      <c r="B4585" t="s">
        <v>3203</v>
      </c>
      <c r="C4585" t="s">
        <v>3318</v>
      </c>
      <c r="D4585" s="1" t="s">
        <v>3319</v>
      </c>
      <c r="E4585" t="s">
        <v>14</v>
      </c>
      <c r="F4585">
        <v>44.631700000000002</v>
      </c>
      <c r="G4585">
        <v>-1.2483</v>
      </c>
      <c r="H4585">
        <v>1</v>
      </c>
      <c r="I4585">
        <v>28</v>
      </c>
      <c r="J4585" t="str">
        <f>HYPERLINK("https://climate.onebuilding.org/WMO_Region_6_Europe/FRA_France/AC_Nouvelle-Aquitaine/FRA_AC_Cap.Ferret.075000_TMYx.2007-2021.zip")</f>
        <v>https://climate.onebuilding.org/WMO_Region_6_Europe/FRA_France/AC_Nouvelle-Aquitaine/FRA_AC_Cap.Ferret.075000_TMYx.2007-2021.zip</v>
      </c>
    </row>
    <row r="4586" spans="1:10" x14ac:dyDescent="0.25">
      <c r="A4586" t="s">
        <v>2883</v>
      </c>
      <c r="B4586" t="s">
        <v>3203</v>
      </c>
      <c r="C4586" t="s">
        <v>3318</v>
      </c>
      <c r="D4586" s="1" t="s">
        <v>3319</v>
      </c>
      <c r="E4586" t="s">
        <v>14</v>
      </c>
      <c r="F4586">
        <v>44.631700000000002</v>
      </c>
      <c r="G4586">
        <v>-1.2483</v>
      </c>
      <c r="H4586">
        <v>1</v>
      </c>
      <c r="I4586">
        <v>28</v>
      </c>
      <c r="J4586" t="str">
        <f>HYPERLINK("https://climate.onebuilding.org/WMO_Region_6_Europe/FRA_France/AC_Nouvelle-Aquitaine/FRA_AC_Cap.Ferret.075000_TMYx.2009-2023.zip")</f>
        <v>https://climate.onebuilding.org/WMO_Region_6_Europe/FRA_France/AC_Nouvelle-Aquitaine/FRA_AC_Cap.Ferret.075000_TMYx.2009-2023.zip</v>
      </c>
    </row>
    <row r="4587" spans="1:10" x14ac:dyDescent="0.25">
      <c r="A4587" t="s">
        <v>2883</v>
      </c>
      <c r="B4587" t="s">
        <v>3203</v>
      </c>
      <c r="C4587" t="s">
        <v>3318</v>
      </c>
      <c r="D4587" s="1" t="s">
        <v>3319</v>
      </c>
      <c r="E4587" t="s">
        <v>14</v>
      </c>
      <c r="F4587">
        <v>44.631700000000002</v>
      </c>
      <c r="G4587">
        <v>-1.2483</v>
      </c>
      <c r="H4587">
        <v>1</v>
      </c>
      <c r="I4587">
        <v>28</v>
      </c>
      <c r="J4587" t="str">
        <f>HYPERLINK("https://climate.onebuilding.org/WMO_Region_6_Europe/FRA_France/AC_Nouvelle-Aquitaine/FRA_AC_Cap.Ferret.075000_TMYx.zip")</f>
        <v>https://climate.onebuilding.org/WMO_Region_6_Europe/FRA_France/AC_Nouvelle-Aquitaine/FRA_AC_Cap.Ferret.075000_TMYx.zip</v>
      </c>
    </row>
    <row r="4588" spans="1:10" x14ac:dyDescent="0.25">
      <c r="A4588" t="s">
        <v>2883</v>
      </c>
      <c r="B4588" t="s">
        <v>3203</v>
      </c>
      <c r="C4588" t="s">
        <v>3321</v>
      </c>
      <c r="D4588" s="1" t="s">
        <v>3322</v>
      </c>
      <c r="E4588" t="s">
        <v>3323</v>
      </c>
      <c r="F4588">
        <v>44.534700000000001</v>
      </c>
      <c r="G4588">
        <v>-1.1318999999999999</v>
      </c>
      <c r="H4588">
        <v>1</v>
      </c>
      <c r="I4588">
        <v>25.6</v>
      </c>
      <c r="J4588" t="str">
        <f>HYPERLINK("https://climate.onebuilding.org/WMO_Region_6_Europe/FRA_France/AC_Nouvelle-Aquitaine/FRA_AC_Cazaux.AB.075020_TMYx.2004-2018.zip")</f>
        <v>https://climate.onebuilding.org/WMO_Region_6_Europe/FRA_France/AC_Nouvelle-Aquitaine/FRA_AC_Cazaux.AB.075020_TMYx.2004-2018.zip</v>
      </c>
    </row>
    <row r="4589" spans="1:10" x14ac:dyDescent="0.25">
      <c r="A4589" t="s">
        <v>2883</v>
      </c>
      <c r="B4589" t="s">
        <v>3203</v>
      </c>
      <c r="C4589" t="s">
        <v>3321</v>
      </c>
      <c r="D4589" s="1" t="s">
        <v>3322</v>
      </c>
      <c r="E4589" t="s">
        <v>14</v>
      </c>
      <c r="F4589">
        <v>44.534700000000001</v>
      </c>
      <c r="G4589">
        <v>-1.1318999999999999</v>
      </c>
      <c r="H4589">
        <v>1</v>
      </c>
      <c r="I4589">
        <v>25.6</v>
      </c>
      <c r="J4589" t="str">
        <f>HYPERLINK("https://climate.onebuilding.org/WMO_Region_6_Europe/FRA_France/AC_Nouvelle-Aquitaine/FRA_AC_Cazaux.AB.075020_TMYx.2007-2021.zip")</f>
        <v>https://climate.onebuilding.org/WMO_Region_6_Europe/FRA_France/AC_Nouvelle-Aquitaine/FRA_AC_Cazaux.AB.075020_TMYx.2007-2021.zip</v>
      </c>
    </row>
    <row r="4590" spans="1:10" x14ac:dyDescent="0.25">
      <c r="A4590" t="s">
        <v>2883</v>
      </c>
      <c r="B4590" t="s">
        <v>3203</v>
      </c>
      <c r="C4590" t="s">
        <v>3321</v>
      </c>
      <c r="D4590" s="1" t="s">
        <v>3322</v>
      </c>
      <c r="E4590" t="s">
        <v>14</v>
      </c>
      <c r="F4590">
        <v>44.534700000000001</v>
      </c>
      <c r="G4590">
        <v>-1.1318999999999999</v>
      </c>
      <c r="H4590">
        <v>1</v>
      </c>
      <c r="I4590">
        <v>25.6</v>
      </c>
      <c r="J4590" t="str">
        <f>HYPERLINK("https://climate.onebuilding.org/WMO_Region_6_Europe/FRA_France/AC_Nouvelle-Aquitaine/FRA_AC_Cazaux.AB.075020_TMYx.2009-2023.zip")</f>
        <v>https://climate.onebuilding.org/WMO_Region_6_Europe/FRA_France/AC_Nouvelle-Aquitaine/FRA_AC_Cazaux.AB.075020_TMYx.2009-2023.zip</v>
      </c>
    </row>
    <row r="4591" spans="1:10" x14ac:dyDescent="0.25">
      <c r="A4591" t="s">
        <v>2883</v>
      </c>
      <c r="B4591" t="s">
        <v>3203</v>
      </c>
      <c r="C4591" t="s">
        <v>3321</v>
      </c>
      <c r="D4591" s="1" t="s">
        <v>3322</v>
      </c>
      <c r="E4591" t="s">
        <v>14</v>
      </c>
      <c r="F4591">
        <v>44.534700000000001</v>
      </c>
      <c r="G4591">
        <v>-1.1318999999999999</v>
      </c>
      <c r="H4591">
        <v>1</v>
      </c>
      <c r="I4591">
        <v>25.6</v>
      </c>
      <c r="J4591" t="str">
        <f>HYPERLINK("https://climate.onebuilding.org/WMO_Region_6_Europe/FRA_France/AC_Nouvelle-Aquitaine/FRA_AC_Cazaux.AB.075020_TMYx.zip")</f>
        <v>https://climate.onebuilding.org/WMO_Region_6_Europe/FRA_France/AC_Nouvelle-Aquitaine/FRA_AC_Cazaux.AB.075020_TMYx.zip</v>
      </c>
    </row>
    <row r="4592" spans="1:10" x14ac:dyDescent="0.25">
      <c r="A4592" t="s">
        <v>2883</v>
      </c>
      <c r="B4592" t="s">
        <v>3203</v>
      </c>
      <c r="C4592" t="s">
        <v>3324</v>
      </c>
      <c r="D4592" s="1" t="s">
        <v>3325</v>
      </c>
      <c r="E4592" t="s">
        <v>3326</v>
      </c>
      <c r="F4592">
        <v>44.431699999999999</v>
      </c>
      <c r="G4592">
        <v>-1.2475000000000001</v>
      </c>
      <c r="H4592">
        <v>1</v>
      </c>
      <c r="I4592">
        <v>39</v>
      </c>
      <c r="J4592" t="str">
        <f>HYPERLINK("https://climate.onebuilding.org/WMO_Region_6_Europe/FRA_France/AC_Nouvelle-Aquitaine/FRA_AC_Biscarosse.Parentis.075030_TMYx.2004-2018.zip")</f>
        <v>https://climate.onebuilding.org/WMO_Region_6_Europe/FRA_France/AC_Nouvelle-Aquitaine/FRA_AC_Biscarosse.Parentis.075030_TMYx.2004-2018.zip</v>
      </c>
    </row>
    <row r="4593" spans="1:10" x14ac:dyDescent="0.25">
      <c r="A4593" t="s">
        <v>2883</v>
      </c>
      <c r="B4593" t="s">
        <v>3203</v>
      </c>
      <c r="C4593" t="s">
        <v>3324</v>
      </c>
      <c r="D4593" s="1" t="s">
        <v>3325</v>
      </c>
      <c r="E4593" t="s">
        <v>14</v>
      </c>
      <c r="F4593">
        <v>44.431699999999999</v>
      </c>
      <c r="G4593">
        <v>-1.2475000000000001</v>
      </c>
      <c r="H4593">
        <v>1</v>
      </c>
      <c r="I4593">
        <v>39</v>
      </c>
      <c r="J4593" t="str">
        <f>HYPERLINK("https://climate.onebuilding.org/WMO_Region_6_Europe/FRA_France/AC_Nouvelle-Aquitaine/FRA_AC_Biscarosse.Parentis.075030_TMYx.2007-2021.zip")</f>
        <v>https://climate.onebuilding.org/WMO_Region_6_Europe/FRA_France/AC_Nouvelle-Aquitaine/FRA_AC_Biscarosse.Parentis.075030_TMYx.2007-2021.zip</v>
      </c>
    </row>
    <row r="4594" spans="1:10" x14ac:dyDescent="0.25">
      <c r="A4594" t="s">
        <v>2883</v>
      </c>
      <c r="B4594" t="s">
        <v>3203</v>
      </c>
      <c r="C4594" t="s">
        <v>3324</v>
      </c>
      <c r="D4594" s="1" t="s">
        <v>3325</v>
      </c>
      <c r="E4594" t="s">
        <v>14</v>
      </c>
      <c r="F4594">
        <v>44.431699999999999</v>
      </c>
      <c r="G4594">
        <v>-1.2475000000000001</v>
      </c>
      <c r="H4594">
        <v>1</v>
      </c>
      <c r="I4594">
        <v>39</v>
      </c>
      <c r="J4594" t="str">
        <f>HYPERLINK("https://climate.onebuilding.org/WMO_Region_6_Europe/FRA_France/AC_Nouvelle-Aquitaine/FRA_AC_Biscarosse.Parentis.075030_TMYx.2009-2023.zip")</f>
        <v>https://climate.onebuilding.org/WMO_Region_6_Europe/FRA_France/AC_Nouvelle-Aquitaine/FRA_AC_Biscarosse.Parentis.075030_TMYx.2009-2023.zip</v>
      </c>
    </row>
    <row r="4595" spans="1:10" x14ac:dyDescent="0.25">
      <c r="A4595" t="s">
        <v>2883</v>
      </c>
      <c r="B4595" t="s">
        <v>3203</v>
      </c>
      <c r="C4595" t="s">
        <v>3324</v>
      </c>
      <c r="D4595" s="1" t="s">
        <v>3325</v>
      </c>
      <c r="E4595" t="s">
        <v>14</v>
      </c>
      <c r="F4595">
        <v>44.431699999999999</v>
      </c>
      <c r="G4595">
        <v>-1.2475000000000001</v>
      </c>
      <c r="H4595">
        <v>1</v>
      </c>
      <c r="I4595">
        <v>39</v>
      </c>
      <c r="J4595" t="str">
        <f>HYPERLINK("https://climate.onebuilding.org/WMO_Region_6_Europe/FRA_France/AC_Nouvelle-Aquitaine/FRA_AC_Biscarosse.Parentis.075030_TMYx.zip")</f>
        <v>https://climate.onebuilding.org/WMO_Region_6_Europe/FRA_France/AC_Nouvelle-Aquitaine/FRA_AC_Biscarosse.Parentis.075030_TMYx.zip</v>
      </c>
    </row>
    <row r="4596" spans="1:10" x14ac:dyDescent="0.25">
      <c r="A4596" t="s">
        <v>2883</v>
      </c>
      <c r="B4596" t="s">
        <v>3203</v>
      </c>
      <c r="C4596" t="s">
        <v>3327</v>
      </c>
      <c r="D4596" s="1" t="s">
        <v>3328</v>
      </c>
      <c r="E4596" t="s">
        <v>3329</v>
      </c>
      <c r="F4596">
        <v>44.828000000000003</v>
      </c>
      <c r="G4596">
        <v>-0.71599999999999997</v>
      </c>
      <c r="H4596">
        <v>1</v>
      </c>
      <c r="I4596">
        <v>49.4</v>
      </c>
      <c r="J4596" t="str">
        <f>HYPERLINK("https://climate.onebuilding.org/WMO_Region_6_Europe/FRA_France/AC_Nouvelle-Aquitaine/FRA_AC_Bordeaux.Merignac.AP.075100_TMYx.2004-2018.zip")</f>
        <v>https://climate.onebuilding.org/WMO_Region_6_Europe/FRA_France/AC_Nouvelle-Aquitaine/FRA_AC_Bordeaux.Merignac.AP.075100_TMYx.2004-2018.zip</v>
      </c>
    </row>
    <row r="4597" spans="1:10" x14ac:dyDescent="0.25">
      <c r="A4597" t="s">
        <v>2883</v>
      </c>
      <c r="B4597" t="s">
        <v>3203</v>
      </c>
      <c r="C4597" t="s">
        <v>3327</v>
      </c>
      <c r="D4597" s="1" t="s">
        <v>3328</v>
      </c>
      <c r="E4597" t="s">
        <v>14</v>
      </c>
      <c r="F4597">
        <v>44.828000000000003</v>
      </c>
      <c r="G4597">
        <v>-0.71599999999999997</v>
      </c>
      <c r="H4597">
        <v>1</v>
      </c>
      <c r="I4597">
        <v>49.4</v>
      </c>
      <c r="J4597" t="str">
        <f>HYPERLINK("https://climate.onebuilding.org/WMO_Region_6_Europe/FRA_France/AC_Nouvelle-Aquitaine/FRA_AC_Bordeaux.Merignac.AP.075100_TMYx.2007-2021.zip")</f>
        <v>https://climate.onebuilding.org/WMO_Region_6_Europe/FRA_France/AC_Nouvelle-Aquitaine/FRA_AC_Bordeaux.Merignac.AP.075100_TMYx.2007-2021.zip</v>
      </c>
    </row>
    <row r="4598" spans="1:10" x14ac:dyDescent="0.25">
      <c r="A4598" t="s">
        <v>2883</v>
      </c>
      <c r="B4598" t="s">
        <v>3203</v>
      </c>
      <c r="C4598" t="s">
        <v>3327</v>
      </c>
      <c r="D4598" s="1" t="s">
        <v>3328</v>
      </c>
      <c r="E4598" t="s">
        <v>14</v>
      </c>
      <c r="F4598">
        <v>44.828000000000003</v>
      </c>
      <c r="G4598">
        <v>-0.71599999999999997</v>
      </c>
      <c r="H4598">
        <v>1</v>
      </c>
      <c r="I4598">
        <v>49.4</v>
      </c>
      <c r="J4598" t="str">
        <f>HYPERLINK("https://climate.onebuilding.org/WMO_Region_6_Europe/FRA_France/AC_Nouvelle-Aquitaine/FRA_AC_Bordeaux.Merignac.AP.075100_TMYx.2009-2023.zip")</f>
        <v>https://climate.onebuilding.org/WMO_Region_6_Europe/FRA_France/AC_Nouvelle-Aquitaine/FRA_AC_Bordeaux.Merignac.AP.075100_TMYx.2009-2023.zip</v>
      </c>
    </row>
    <row r="4599" spans="1:10" x14ac:dyDescent="0.25">
      <c r="A4599" t="s">
        <v>2883</v>
      </c>
      <c r="B4599" t="s">
        <v>3203</v>
      </c>
      <c r="C4599" t="s">
        <v>3327</v>
      </c>
      <c r="D4599" s="1" t="s">
        <v>3328</v>
      </c>
      <c r="E4599" t="s">
        <v>14</v>
      </c>
      <c r="F4599">
        <v>44.828000000000003</v>
      </c>
      <c r="G4599">
        <v>-0.71599999999999997</v>
      </c>
      <c r="H4599">
        <v>1</v>
      </c>
      <c r="I4599">
        <v>49.4</v>
      </c>
      <c r="J4599" t="str">
        <f>HYPERLINK("https://climate.onebuilding.org/WMO_Region_6_Europe/FRA_France/AC_Nouvelle-Aquitaine/FRA_AC_Bordeaux.Merignac.AP.075100_TMYx.zip")</f>
        <v>https://climate.onebuilding.org/WMO_Region_6_Europe/FRA_France/AC_Nouvelle-Aquitaine/FRA_AC_Bordeaux.Merignac.AP.075100_TMYx.zip</v>
      </c>
    </row>
    <row r="4600" spans="1:10" x14ac:dyDescent="0.25">
      <c r="A4600" t="s">
        <v>2883</v>
      </c>
      <c r="B4600" t="s">
        <v>3203</v>
      </c>
      <c r="C4600" t="s">
        <v>3330</v>
      </c>
      <c r="D4600" s="1" t="s">
        <v>3331</v>
      </c>
      <c r="E4600" t="s">
        <v>14</v>
      </c>
      <c r="F4600">
        <v>44.183</v>
      </c>
      <c r="G4600">
        <v>-0.28299999999999997</v>
      </c>
      <c r="H4600">
        <v>1</v>
      </c>
      <c r="I4600">
        <v>133</v>
      </c>
      <c r="J4600" t="str">
        <f>HYPERLINK("https://climate.onebuilding.org/WMO_Region_6_Europe/FRA_France/AC_Nouvelle-Aquitaine/FRA_AC_Captieux.Weather.075170_TMYx.zip")</f>
        <v>https://climate.onebuilding.org/WMO_Region_6_Europe/FRA_France/AC_Nouvelle-Aquitaine/FRA_AC_Captieux.Weather.075170_TMYx.zip</v>
      </c>
    </row>
    <row r="4601" spans="1:10" x14ac:dyDescent="0.25">
      <c r="A4601" t="s">
        <v>2883</v>
      </c>
      <c r="B4601" t="s">
        <v>3203</v>
      </c>
      <c r="C4601" t="s">
        <v>3332</v>
      </c>
      <c r="D4601" s="1" t="s">
        <v>3333</v>
      </c>
      <c r="E4601" t="s">
        <v>3334</v>
      </c>
      <c r="F4601">
        <v>44.172199999999997</v>
      </c>
      <c r="G4601">
        <v>0.59470000000000001</v>
      </c>
      <c r="H4601">
        <v>1</v>
      </c>
      <c r="I4601">
        <v>69</v>
      </c>
      <c r="J4601" t="str">
        <f>HYPERLINK("https://climate.onebuilding.org/WMO_Region_6_Europe/FRA_France/AC_Nouvelle-Aquitaine/FRA_AC_Agen-La.Garenne.AP.075240_TMYx.2004-2018.zip")</f>
        <v>https://climate.onebuilding.org/WMO_Region_6_Europe/FRA_France/AC_Nouvelle-Aquitaine/FRA_AC_Agen-La.Garenne.AP.075240_TMYx.2004-2018.zip</v>
      </c>
    </row>
    <row r="4602" spans="1:10" x14ac:dyDescent="0.25">
      <c r="A4602" t="s">
        <v>2883</v>
      </c>
      <c r="B4602" t="s">
        <v>3203</v>
      </c>
      <c r="C4602" t="s">
        <v>3332</v>
      </c>
      <c r="D4602" s="1" t="s">
        <v>3333</v>
      </c>
      <c r="E4602" t="s">
        <v>14</v>
      </c>
      <c r="F4602">
        <v>44.172199999999997</v>
      </c>
      <c r="G4602">
        <v>0.59470000000000001</v>
      </c>
      <c r="H4602">
        <v>1</v>
      </c>
      <c r="I4602">
        <v>69</v>
      </c>
      <c r="J4602" t="str">
        <f>HYPERLINK("https://climate.onebuilding.org/WMO_Region_6_Europe/FRA_France/AC_Nouvelle-Aquitaine/FRA_AC_Agen-La.Garenne.AP.075240_TMYx.2007-2021.zip")</f>
        <v>https://climate.onebuilding.org/WMO_Region_6_Europe/FRA_France/AC_Nouvelle-Aquitaine/FRA_AC_Agen-La.Garenne.AP.075240_TMYx.2007-2021.zip</v>
      </c>
    </row>
    <row r="4603" spans="1:10" x14ac:dyDescent="0.25">
      <c r="A4603" t="s">
        <v>2883</v>
      </c>
      <c r="B4603" t="s">
        <v>3203</v>
      </c>
      <c r="C4603" t="s">
        <v>3332</v>
      </c>
      <c r="D4603" s="1" t="s">
        <v>3333</v>
      </c>
      <c r="E4603" t="s">
        <v>14</v>
      </c>
      <c r="F4603">
        <v>44.172199999999997</v>
      </c>
      <c r="G4603">
        <v>0.59470000000000001</v>
      </c>
      <c r="H4603">
        <v>1</v>
      </c>
      <c r="I4603">
        <v>69</v>
      </c>
      <c r="J4603" t="str">
        <f>HYPERLINK("https://climate.onebuilding.org/WMO_Region_6_Europe/FRA_France/AC_Nouvelle-Aquitaine/FRA_AC_Agen-La.Garenne.AP.075240_TMYx.2009-2023.zip")</f>
        <v>https://climate.onebuilding.org/WMO_Region_6_Europe/FRA_France/AC_Nouvelle-Aquitaine/FRA_AC_Agen-La.Garenne.AP.075240_TMYx.2009-2023.zip</v>
      </c>
    </row>
    <row r="4604" spans="1:10" x14ac:dyDescent="0.25">
      <c r="A4604" t="s">
        <v>2883</v>
      </c>
      <c r="B4604" t="s">
        <v>3203</v>
      </c>
      <c r="C4604" t="s">
        <v>3332</v>
      </c>
      <c r="D4604" s="1" t="s">
        <v>3333</v>
      </c>
      <c r="E4604" t="s">
        <v>14</v>
      </c>
      <c r="F4604">
        <v>44.172199999999997</v>
      </c>
      <c r="G4604">
        <v>0.59470000000000001</v>
      </c>
      <c r="H4604">
        <v>1</v>
      </c>
      <c r="I4604">
        <v>69</v>
      </c>
      <c r="J4604" t="str">
        <f>HYPERLINK("https://climate.onebuilding.org/WMO_Region_6_Europe/FRA_France/AC_Nouvelle-Aquitaine/FRA_AC_Agen-La.Garenne.AP.075240_TMYx.zip")</f>
        <v>https://climate.onebuilding.org/WMO_Region_6_Europe/FRA_France/AC_Nouvelle-Aquitaine/FRA_AC_Agen-La.Garenne.AP.075240_TMYx.zip</v>
      </c>
    </row>
    <row r="4605" spans="1:10" x14ac:dyDescent="0.25">
      <c r="A4605" t="s">
        <v>2883</v>
      </c>
      <c r="B4605" t="s">
        <v>3203</v>
      </c>
      <c r="C4605" t="s">
        <v>3335</v>
      </c>
      <c r="D4605" s="1" t="s">
        <v>3336</v>
      </c>
      <c r="E4605" t="s">
        <v>14</v>
      </c>
      <c r="F4605">
        <v>44.85</v>
      </c>
      <c r="G4605">
        <v>0.48299999999999998</v>
      </c>
      <c r="H4605">
        <v>1</v>
      </c>
      <c r="I4605">
        <v>33</v>
      </c>
      <c r="J4605" t="str">
        <f>HYPERLINK("https://climate.onebuilding.org/WMO_Region_6_Europe/FRA_France/AC_Nouvelle-Aquitaine/FRA_AC_Bergerac.075280_TMYx.zip")</f>
        <v>https://climate.onebuilding.org/WMO_Region_6_Europe/FRA_France/AC_Nouvelle-Aquitaine/FRA_AC_Bergerac.075280_TMYx.zip</v>
      </c>
    </row>
    <row r="4606" spans="1:10" x14ac:dyDescent="0.25">
      <c r="A4606" t="s">
        <v>2883</v>
      </c>
      <c r="B4606" t="s">
        <v>3203</v>
      </c>
      <c r="C4606" t="s">
        <v>3337</v>
      </c>
      <c r="D4606" s="1" t="s">
        <v>3338</v>
      </c>
      <c r="E4606" t="s">
        <v>3339</v>
      </c>
      <c r="F4606">
        <v>44.823099999999997</v>
      </c>
      <c r="G4606">
        <v>0.5242</v>
      </c>
      <c r="H4606">
        <v>1</v>
      </c>
      <c r="I4606">
        <v>52</v>
      </c>
      <c r="J4606" t="str">
        <f>HYPERLINK("https://climate.onebuilding.org/WMO_Region_6_Europe/FRA_France/AC_Nouvelle-Aquitaine/FRA_AC_Bergerac.Dordogne.Perigord.AP.075300_TMYx.2004-2018.zip")</f>
        <v>https://climate.onebuilding.org/WMO_Region_6_Europe/FRA_France/AC_Nouvelle-Aquitaine/FRA_AC_Bergerac.Dordogne.Perigord.AP.075300_TMYx.2004-2018.zip</v>
      </c>
    </row>
    <row r="4607" spans="1:10" x14ac:dyDescent="0.25">
      <c r="A4607" t="s">
        <v>2883</v>
      </c>
      <c r="B4607" t="s">
        <v>3203</v>
      </c>
      <c r="C4607" t="s">
        <v>3337</v>
      </c>
      <c r="D4607" s="1" t="s">
        <v>3338</v>
      </c>
      <c r="E4607" t="s">
        <v>14</v>
      </c>
      <c r="F4607">
        <v>44.823099999999997</v>
      </c>
      <c r="G4607">
        <v>0.5242</v>
      </c>
      <c r="H4607">
        <v>1</v>
      </c>
      <c r="I4607">
        <v>52</v>
      </c>
      <c r="J4607" t="str">
        <f>HYPERLINK("https://climate.onebuilding.org/WMO_Region_6_Europe/FRA_France/AC_Nouvelle-Aquitaine/FRA_AC_Bergerac.Dordogne.Perigord.AP.075300_TMYx.2007-2021.zip")</f>
        <v>https://climate.onebuilding.org/WMO_Region_6_Europe/FRA_France/AC_Nouvelle-Aquitaine/FRA_AC_Bergerac.Dordogne.Perigord.AP.075300_TMYx.2007-2021.zip</v>
      </c>
    </row>
    <row r="4608" spans="1:10" x14ac:dyDescent="0.25">
      <c r="A4608" t="s">
        <v>2883</v>
      </c>
      <c r="B4608" t="s">
        <v>3203</v>
      </c>
      <c r="C4608" t="s">
        <v>3337</v>
      </c>
      <c r="D4608" s="1" t="s">
        <v>3338</v>
      </c>
      <c r="E4608" t="s">
        <v>14</v>
      </c>
      <c r="F4608">
        <v>44.823099999999997</v>
      </c>
      <c r="G4608">
        <v>0.5242</v>
      </c>
      <c r="H4608">
        <v>1</v>
      </c>
      <c r="I4608">
        <v>52</v>
      </c>
      <c r="J4608" t="str">
        <f>HYPERLINK("https://climate.onebuilding.org/WMO_Region_6_Europe/FRA_France/AC_Nouvelle-Aquitaine/FRA_AC_Bergerac.Dordogne.Perigord.AP.075300_TMYx.2009-2023.zip")</f>
        <v>https://climate.onebuilding.org/WMO_Region_6_Europe/FRA_France/AC_Nouvelle-Aquitaine/FRA_AC_Bergerac.Dordogne.Perigord.AP.075300_TMYx.2009-2023.zip</v>
      </c>
    </row>
    <row r="4609" spans="1:10" x14ac:dyDescent="0.25">
      <c r="A4609" t="s">
        <v>2883</v>
      </c>
      <c r="B4609" t="s">
        <v>3203</v>
      </c>
      <c r="C4609" t="s">
        <v>3337</v>
      </c>
      <c r="D4609" s="1" t="s">
        <v>3338</v>
      </c>
      <c r="E4609" t="s">
        <v>14</v>
      </c>
      <c r="F4609">
        <v>44.823099999999997</v>
      </c>
      <c r="G4609">
        <v>0.5242</v>
      </c>
      <c r="H4609">
        <v>1</v>
      </c>
      <c r="I4609">
        <v>52</v>
      </c>
      <c r="J4609" t="str">
        <f>HYPERLINK("https://climate.onebuilding.org/WMO_Region_6_Europe/FRA_France/AC_Nouvelle-Aquitaine/FRA_AC_Bergerac.Dordogne.Perigord.AP.075300_TMYx.zip")</f>
        <v>https://climate.onebuilding.org/WMO_Region_6_Europe/FRA_France/AC_Nouvelle-Aquitaine/FRA_AC_Bergerac.Dordogne.Perigord.AP.075300_TMYx.zip</v>
      </c>
    </row>
    <row r="4610" spans="1:10" x14ac:dyDescent="0.25">
      <c r="A4610" t="s">
        <v>2883</v>
      </c>
      <c r="B4610" t="s">
        <v>3064</v>
      </c>
      <c r="C4610" t="s">
        <v>3340</v>
      </c>
      <c r="D4610" s="1" t="s">
        <v>3341</v>
      </c>
      <c r="E4610" t="s">
        <v>3342</v>
      </c>
      <c r="F4610">
        <v>44.744999999999997</v>
      </c>
      <c r="G4610">
        <v>1.3967000000000001</v>
      </c>
      <c r="H4610">
        <v>1</v>
      </c>
      <c r="I4610">
        <v>261</v>
      </c>
      <c r="J4610" t="str">
        <f>HYPERLINK("https://climate.onebuilding.org/WMO_Region_6_Europe/FRA_France/LP_Occitanie/FRA_LP_Gourdon.075350_TMYx.2004-2018.zip")</f>
        <v>https://climate.onebuilding.org/WMO_Region_6_Europe/FRA_France/LP_Occitanie/FRA_LP_Gourdon.075350_TMYx.2004-2018.zip</v>
      </c>
    </row>
    <row r="4611" spans="1:10" x14ac:dyDescent="0.25">
      <c r="A4611" t="s">
        <v>2883</v>
      </c>
      <c r="B4611" t="s">
        <v>3064</v>
      </c>
      <c r="C4611" t="s">
        <v>3340</v>
      </c>
      <c r="D4611" s="1" t="s">
        <v>3341</v>
      </c>
      <c r="E4611" t="s">
        <v>14</v>
      </c>
      <c r="F4611">
        <v>44.744999999999997</v>
      </c>
      <c r="G4611">
        <v>1.3967000000000001</v>
      </c>
      <c r="H4611">
        <v>1</v>
      </c>
      <c r="I4611">
        <v>261</v>
      </c>
      <c r="J4611" t="str">
        <f>HYPERLINK("https://climate.onebuilding.org/WMO_Region_6_Europe/FRA_France/LP_Occitanie/FRA_LP_Gourdon.075350_TMYx.2007-2021.zip")</f>
        <v>https://climate.onebuilding.org/WMO_Region_6_Europe/FRA_France/LP_Occitanie/FRA_LP_Gourdon.075350_TMYx.2007-2021.zip</v>
      </c>
    </row>
    <row r="4612" spans="1:10" x14ac:dyDescent="0.25">
      <c r="A4612" t="s">
        <v>2883</v>
      </c>
      <c r="B4612" t="s">
        <v>3064</v>
      </c>
      <c r="C4612" t="s">
        <v>3340</v>
      </c>
      <c r="D4612" s="1" t="s">
        <v>3341</v>
      </c>
      <c r="E4612" t="s">
        <v>14</v>
      </c>
      <c r="F4612">
        <v>44.744999999999997</v>
      </c>
      <c r="G4612">
        <v>1.3967000000000001</v>
      </c>
      <c r="H4612">
        <v>1</v>
      </c>
      <c r="I4612">
        <v>261</v>
      </c>
      <c r="J4612" t="str">
        <f>HYPERLINK("https://climate.onebuilding.org/WMO_Region_6_Europe/FRA_France/LP_Occitanie/FRA_LP_Gourdon.075350_TMYx.2009-2023.zip")</f>
        <v>https://climate.onebuilding.org/WMO_Region_6_Europe/FRA_France/LP_Occitanie/FRA_LP_Gourdon.075350_TMYx.2009-2023.zip</v>
      </c>
    </row>
    <row r="4613" spans="1:10" x14ac:dyDescent="0.25">
      <c r="A4613" t="s">
        <v>2883</v>
      </c>
      <c r="B4613" t="s">
        <v>3064</v>
      </c>
      <c r="C4613" t="s">
        <v>3340</v>
      </c>
      <c r="D4613" s="1" t="s">
        <v>3341</v>
      </c>
      <c r="E4613" t="s">
        <v>14</v>
      </c>
      <c r="F4613">
        <v>44.744999999999997</v>
      </c>
      <c r="G4613">
        <v>1.3967000000000001</v>
      </c>
      <c r="H4613">
        <v>1</v>
      </c>
      <c r="I4613">
        <v>261</v>
      </c>
      <c r="J4613" t="str">
        <f>HYPERLINK("https://climate.onebuilding.org/WMO_Region_6_Europe/FRA_France/LP_Occitanie/FRA_LP_Gourdon.075350_TMYx.zip")</f>
        <v>https://climate.onebuilding.org/WMO_Region_6_Europe/FRA_France/LP_Occitanie/FRA_LP_Gourdon.075350_TMYx.zip</v>
      </c>
    </row>
    <row r="4614" spans="1:10" x14ac:dyDescent="0.25">
      <c r="A4614" t="s">
        <v>2883</v>
      </c>
      <c r="B4614" t="s">
        <v>3064</v>
      </c>
      <c r="C4614" t="s">
        <v>3343</v>
      </c>
      <c r="D4614" s="1" t="s">
        <v>3344</v>
      </c>
      <c r="E4614" t="s">
        <v>3345</v>
      </c>
      <c r="F4614">
        <v>44.028100000000002</v>
      </c>
      <c r="G4614">
        <v>1.3767</v>
      </c>
      <c r="H4614">
        <v>1</v>
      </c>
      <c r="I4614">
        <v>107</v>
      </c>
      <c r="J4614" t="str">
        <f>HYPERLINK("https://climate.onebuilding.org/WMO_Region_6_Europe/FRA_France/LP_Occitanie/FRA_LP_Montauban-Morin.Vedrines.AP.075400_TMYx.2004-2018.zip")</f>
        <v>https://climate.onebuilding.org/WMO_Region_6_Europe/FRA_France/LP_Occitanie/FRA_LP_Montauban-Morin.Vedrines.AP.075400_TMYx.2004-2018.zip</v>
      </c>
    </row>
    <row r="4615" spans="1:10" x14ac:dyDescent="0.25">
      <c r="A4615" t="s">
        <v>2883</v>
      </c>
      <c r="B4615" t="s">
        <v>3064</v>
      </c>
      <c r="C4615" t="s">
        <v>3343</v>
      </c>
      <c r="D4615" s="1" t="s">
        <v>3344</v>
      </c>
      <c r="E4615" t="s">
        <v>14</v>
      </c>
      <c r="F4615">
        <v>44.028100000000002</v>
      </c>
      <c r="G4615">
        <v>1.3767</v>
      </c>
      <c r="H4615">
        <v>1</v>
      </c>
      <c r="I4615">
        <v>107</v>
      </c>
      <c r="J4615" t="str">
        <f>HYPERLINK("https://climate.onebuilding.org/WMO_Region_6_Europe/FRA_France/LP_Occitanie/FRA_LP_Montauban-Morin.Vedrines.AP.075400_TMYx.2007-2021.zip")</f>
        <v>https://climate.onebuilding.org/WMO_Region_6_Europe/FRA_France/LP_Occitanie/FRA_LP_Montauban-Morin.Vedrines.AP.075400_TMYx.2007-2021.zip</v>
      </c>
    </row>
    <row r="4616" spans="1:10" x14ac:dyDescent="0.25">
      <c r="A4616" t="s">
        <v>2883</v>
      </c>
      <c r="B4616" t="s">
        <v>3064</v>
      </c>
      <c r="C4616" t="s">
        <v>3343</v>
      </c>
      <c r="D4616" s="1" t="s">
        <v>3344</v>
      </c>
      <c r="E4616" t="s">
        <v>14</v>
      </c>
      <c r="F4616">
        <v>44.028100000000002</v>
      </c>
      <c r="G4616">
        <v>1.3767</v>
      </c>
      <c r="H4616">
        <v>1</v>
      </c>
      <c r="I4616">
        <v>107</v>
      </c>
      <c r="J4616" t="str">
        <f>HYPERLINK("https://climate.onebuilding.org/WMO_Region_6_Europe/FRA_France/LP_Occitanie/FRA_LP_Montauban-Morin.Vedrines.AP.075400_TMYx.2009-2023.zip")</f>
        <v>https://climate.onebuilding.org/WMO_Region_6_Europe/FRA_France/LP_Occitanie/FRA_LP_Montauban-Morin.Vedrines.AP.075400_TMYx.2009-2023.zip</v>
      </c>
    </row>
    <row r="4617" spans="1:10" x14ac:dyDescent="0.25">
      <c r="A4617" t="s">
        <v>2883</v>
      </c>
      <c r="B4617" t="s">
        <v>3064</v>
      </c>
      <c r="C4617" t="s">
        <v>3343</v>
      </c>
      <c r="D4617" s="1" t="s">
        <v>3344</v>
      </c>
      <c r="E4617" t="s">
        <v>14</v>
      </c>
      <c r="F4617">
        <v>44.028100000000002</v>
      </c>
      <c r="G4617">
        <v>1.3767</v>
      </c>
      <c r="H4617">
        <v>1</v>
      </c>
      <c r="I4617">
        <v>107</v>
      </c>
      <c r="J4617" t="str">
        <f>HYPERLINK("https://climate.onebuilding.org/WMO_Region_6_Europe/FRA_France/LP_Occitanie/FRA_LP_Montauban-Morin.Vedrines.AP.075400_TMYx.zip")</f>
        <v>https://climate.onebuilding.org/WMO_Region_6_Europe/FRA_France/LP_Occitanie/FRA_LP_Montauban-Morin.Vedrines.AP.075400_TMYx.zip</v>
      </c>
    </row>
    <row r="4618" spans="1:10" x14ac:dyDescent="0.25">
      <c r="A4618" t="s">
        <v>2883</v>
      </c>
      <c r="B4618" t="s">
        <v>2038</v>
      </c>
      <c r="C4618" t="s">
        <v>3346</v>
      </c>
      <c r="D4618" s="1" t="s">
        <v>3347</v>
      </c>
      <c r="E4618" t="s">
        <v>3348</v>
      </c>
      <c r="F4618">
        <v>44.898600000000002</v>
      </c>
      <c r="G4618">
        <v>2.4211</v>
      </c>
      <c r="H4618">
        <v>1</v>
      </c>
      <c r="I4618">
        <v>640</v>
      </c>
      <c r="J4618" t="str">
        <f>HYPERLINK("https://climate.onebuilding.org/WMO_Region_6_Europe/FRA_France/AR_Auvergne-Rhone-Alpes/FRA_AR_Aurillac.AP.075490_TMYx.2004-2018.zip")</f>
        <v>https://climate.onebuilding.org/WMO_Region_6_Europe/FRA_France/AR_Auvergne-Rhone-Alpes/FRA_AR_Aurillac.AP.075490_TMYx.2004-2018.zip</v>
      </c>
    </row>
    <row r="4619" spans="1:10" x14ac:dyDescent="0.25">
      <c r="A4619" t="s">
        <v>2883</v>
      </c>
      <c r="B4619" t="s">
        <v>2038</v>
      </c>
      <c r="C4619" t="s">
        <v>3346</v>
      </c>
      <c r="D4619" s="1" t="s">
        <v>3347</v>
      </c>
      <c r="E4619" t="s">
        <v>14</v>
      </c>
      <c r="F4619">
        <v>44.898600000000002</v>
      </c>
      <c r="G4619">
        <v>2.4211</v>
      </c>
      <c r="H4619">
        <v>1</v>
      </c>
      <c r="I4619">
        <v>640</v>
      </c>
      <c r="J4619" t="str">
        <f>HYPERLINK("https://climate.onebuilding.org/WMO_Region_6_Europe/FRA_France/AR_Auvergne-Rhone-Alpes/FRA_AR_Aurillac.AP.075490_TMYx.2007-2021.zip")</f>
        <v>https://climate.onebuilding.org/WMO_Region_6_Europe/FRA_France/AR_Auvergne-Rhone-Alpes/FRA_AR_Aurillac.AP.075490_TMYx.2007-2021.zip</v>
      </c>
    </row>
    <row r="4620" spans="1:10" x14ac:dyDescent="0.25">
      <c r="A4620" t="s">
        <v>2883</v>
      </c>
      <c r="B4620" t="s">
        <v>2038</v>
      </c>
      <c r="C4620" t="s">
        <v>3346</v>
      </c>
      <c r="D4620" s="1" t="s">
        <v>3347</v>
      </c>
      <c r="E4620" t="s">
        <v>14</v>
      </c>
      <c r="F4620">
        <v>44.898600000000002</v>
      </c>
      <c r="G4620">
        <v>2.4211</v>
      </c>
      <c r="H4620">
        <v>1</v>
      </c>
      <c r="I4620">
        <v>640</v>
      </c>
      <c r="J4620" t="str">
        <f>HYPERLINK("https://climate.onebuilding.org/WMO_Region_6_Europe/FRA_France/AR_Auvergne-Rhone-Alpes/FRA_AR_Aurillac.AP.075490_TMYx.2009-2023.zip")</f>
        <v>https://climate.onebuilding.org/WMO_Region_6_Europe/FRA_France/AR_Auvergne-Rhone-Alpes/FRA_AR_Aurillac.AP.075490_TMYx.2009-2023.zip</v>
      </c>
    </row>
    <row r="4621" spans="1:10" x14ac:dyDescent="0.25">
      <c r="A4621" t="s">
        <v>2883</v>
      </c>
      <c r="B4621" t="s">
        <v>2038</v>
      </c>
      <c r="C4621" t="s">
        <v>3346</v>
      </c>
      <c r="D4621" s="1" t="s">
        <v>3347</v>
      </c>
      <c r="E4621" t="s">
        <v>14</v>
      </c>
      <c r="F4621">
        <v>44.898600000000002</v>
      </c>
      <c r="G4621">
        <v>2.4211</v>
      </c>
      <c r="H4621">
        <v>1</v>
      </c>
      <c r="I4621">
        <v>640</v>
      </c>
      <c r="J4621" t="str">
        <f>HYPERLINK("https://climate.onebuilding.org/WMO_Region_6_Europe/FRA_France/AR_Auvergne-Rhone-Alpes/FRA_AR_Aurillac.AP.075490_TMYx.zip")</f>
        <v>https://climate.onebuilding.org/WMO_Region_6_Europe/FRA_France/AR_Auvergne-Rhone-Alpes/FRA_AR_Aurillac.AP.075490_TMYx.zip</v>
      </c>
    </row>
    <row r="4622" spans="1:10" x14ac:dyDescent="0.25">
      <c r="A4622" t="s">
        <v>2883</v>
      </c>
      <c r="B4622" t="s">
        <v>3064</v>
      </c>
      <c r="C4622" t="s">
        <v>3349</v>
      </c>
      <c r="D4622" s="1" t="s">
        <v>3350</v>
      </c>
      <c r="E4622" t="s">
        <v>3351</v>
      </c>
      <c r="F4622">
        <v>44.410299999999999</v>
      </c>
      <c r="G4622">
        <v>2.4824999999999999</v>
      </c>
      <c r="H4622">
        <v>1</v>
      </c>
      <c r="I4622">
        <v>579</v>
      </c>
      <c r="J4622" t="str">
        <f>HYPERLINK("https://climate.onebuilding.org/WMO_Region_6_Europe/FRA_France/LP_Occitanie/FRA_LP_Rodez.Aveyron.AP.075520_TMYx.2004-2018.zip")</f>
        <v>https://climate.onebuilding.org/WMO_Region_6_Europe/FRA_France/LP_Occitanie/FRA_LP_Rodez.Aveyron.AP.075520_TMYx.2004-2018.zip</v>
      </c>
    </row>
    <row r="4623" spans="1:10" x14ac:dyDescent="0.25">
      <c r="A4623" t="s">
        <v>2883</v>
      </c>
      <c r="B4623" t="s">
        <v>3064</v>
      </c>
      <c r="C4623" t="s">
        <v>3349</v>
      </c>
      <c r="D4623" s="1" t="s">
        <v>3350</v>
      </c>
      <c r="E4623" t="s">
        <v>14</v>
      </c>
      <c r="F4623">
        <v>44.410299999999999</v>
      </c>
      <c r="G4623">
        <v>2.4824999999999999</v>
      </c>
      <c r="H4623">
        <v>1</v>
      </c>
      <c r="I4623">
        <v>579</v>
      </c>
      <c r="J4623" t="str">
        <f>HYPERLINK("https://climate.onebuilding.org/WMO_Region_6_Europe/FRA_France/LP_Occitanie/FRA_LP_Rodez.Aveyron.AP.075520_TMYx.2007-2021.zip")</f>
        <v>https://climate.onebuilding.org/WMO_Region_6_Europe/FRA_France/LP_Occitanie/FRA_LP_Rodez.Aveyron.AP.075520_TMYx.2007-2021.zip</v>
      </c>
    </row>
    <row r="4624" spans="1:10" x14ac:dyDescent="0.25">
      <c r="A4624" t="s">
        <v>2883</v>
      </c>
      <c r="B4624" t="s">
        <v>3064</v>
      </c>
      <c r="C4624" t="s">
        <v>3349</v>
      </c>
      <c r="D4624" s="1" t="s">
        <v>3350</v>
      </c>
      <c r="E4624" t="s">
        <v>14</v>
      </c>
      <c r="F4624">
        <v>44.410299999999999</v>
      </c>
      <c r="G4624">
        <v>2.4824999999999999</v>
      </c>
      <c r="H4624">
        <v>1</v>
      </c>
      <c r="I4624">
        <v>579</v>
      </c>
      <c r="J4624" t="str">
        <f>HYPERLINK("https://climate.onebuilding.org/WMO_Region_6_Europe/FRA_France/LP_Occitanie/FRA_LP_Rodez.Aveyron.AP.075520_TMYx.2009-2023.zip")</f>
        <v>https://climate.onebuilding.org/WMO_Region_6_Europe/FRA_France/LP_Occitanie/FRA_LP_Rodez.Aveyron.AP.075520_TMYx.2009-2023.zip</v>
      </c>
    </row>
    <row r="4625" spans="1:10" x14ac:dyDescent="0.25">
      <c r="A4625" t="s">
        <v>2883</v>
      </c>
      <c r="B4625" t="s">
        <v>3064</v>
      </c>
      <c r="C4625" t="s">
        <v>3349</v>
      </c>
      <c r="D4625" s="1" t="s">
        <v>3350</v>
      </c>
      <c r="E4625" t="s">
        <v>14</v>
      </c>
      <c r="F4625">
        <v>44.410299999999999</v>
      </c>
      <c r="G4625">
        <v>2.4824999999999999</v>
      </c>
      <c r="H4625">
        <v>1</v>
      </c>
      <c r="I4625">
        <v>579</v>
      </c>
      <c r="J4625" t="str">
        <f>HYPERLINK("https://climate.onebuilding.org/WMO_Region_6_Europe/FRA_France/LP_Occitanie/FRA_LP_Rodez.Aveyron.AP.075520_TMYx.zip")</f>
        <v>https://climate.onebuilding.org/WMO_Region_6_Europe/FRA_France/LP_Occitanie/FRA_LP_Rodez.Aveyron.AP.075520_TMYx.zip</v>
      </c>
    </row>
    <row r="4626" spans="1:10" x14ac:dyDescent="0.25">
      <c r="A4626" t="s">
        <v>2883</v>
      </c>
      <c r="B4626" t="s">
        <v>3064</v>
      </c>
      <c r="C4626" t="s">
        <v>3352</v>
      </c>
      <c r="D4626" s="1" t="s">
        <v>3353</v>
      </c>
      <c r="E4626" t="s">
        <v>3354</v>
      </c>
      <c r="F4626">
        <v>44.5336</v>
      </c>
      <c r="G4626">
        <v>3.4544000000000001</v>
      </c>
      <c r="H4626">
        <v>1</v>
      </c>
      <c r="I4626">
        <v>934</v>
      </c>
      <c r="J4626" t="str">
        <f>HYPERLINK("https://climate.onebuilding.org/WMO_Region_6_Europe/FRA_France/LP_Occitanie/FRA_LP_Mende.075540_TMYx.2004-2018.zip")</f>
        <v>https://climate.onebuilding.org/WMO_Region_6_Europe/FRA_France/LP_Occitanie/FRA_LP_Mende.075540_TMYx.2004-2018.zip</v>
      </c>
    </row>
    <row r="4627" spans="1:10" x14ac:dyDescent="0.25">
      <c r="A4627" t="s">
        <v>2883</v>
      </c>
      <c r="B4627" t="s">
        <v>3064</v>
      </c>
      <c r="C4627" t="s">
        <v>3352</v>
      </c>
      <c r="D4627" s="1" t="s">
        <v>3353</v>
      </c>
      <c r="E4627" t="s">
        <v>14</v>
      </c>
      <c r="F4627">
        <v>44.5336</v>
      </c>
      <c r="G4627">
        <v>3.4544000000000001</v>
      </c>
      <c r="H4627">
        <v>1</v>
      </c>
      <c r="I4627">
        <v>934</v>
      </c>
      <c r="J4627" t="str">
        <f>HYPERLINK("https://climate.onebuilding.org/WMO_Region_6_Europe/FRA_France/LP_Occitanie/FRA_LP_Mende.075540_TMYx.2007-2021.zip")</f>
        <v>https://climate.onebuilding.org/WMO_Region_6_Europe/FRA_France/LP_Occitanie/FRA_LP_Mende.075540_TMYx.2007-2021.zip</v>
      </c>
    </row>
    <row r="4628" spans="1:10" x14ac:dyDescent="0.25">
      <c r="A4628" t="s">
        <v>2883</v>
      </c>
      <c r="B4628" t="s">
        <v>3064</v>
      </c>
      <c r="C4628" t="s">
        <v>3352</v>
      </c>
      <c r="D4628" s="1" t="s">
        <v>3353</v>
      </c>
      <c r="E4628" t="s">
        <v>14</v>
      </c>
      <c r="F4628">
        <v>44.5336</v>
      </c>
      <c r="G4628">
        <v>3.4544000000000001</v>
      </c>
      <c r="H4628">
        <v>1</v>
      </c>
      <c r="I4628">
        <v>934</v>
      </c>
      <c r="J4628" t="str">
        <f>HYPERLINK("https://climate.onebuilding.org/WMO_Region_6_Europe/FRA_France/LP_Occitanie/FRA_LP_Mende.075540_TMYx.2009-2023.zip")</f>
        <v>https://climate.onebuilding.org/WMO_Region_6_Europe/FRA_France/LP_Occitanie/FRA_LP_Mende.075540_TMYx.2009-2023.zip</v>
      </c>
    </row>
    <row r="4629" spans="1:10" x14ac:dyDescent="0.25">
      <c r="A4629" t="s">
        <v>2883</v>
      </c>
      <c r="B4629" t="s">
        <v>3064</v>
      </c>
      <c r="C4629" t="s">
        <v>3352</v>
      </c>
      <c r="D4629" s="1" t="s">
        <v>3353</v>
      </c>
      <c r="E4629" t="s">
        <v>14</v>
      </c>
      <c r="F4629">
        <v>44.5336</v>
      </c>
      <c r="G4629">
        <v>3.4544000000000001</v>
      </c>
      <c r="H4629">
        <v>1</v>
      </c>
      <c r="I4629">
        <v>934</v>
      </c>
      <c r="J4629" t="str">
        <f>HYPERLINK("https://climate.onebuilding.org/WMO_Region_6_Europe/FRA_France/LP_Occitanie/FRA_LP_Mende.075540_TMYx.zip")</f>
        <v>https://climate.onebuilding.org/WMO_Region_6_Europe/FRA_France/LP_Occitanie/FRA_LP_Mende.075540_TMYx.zip</v>
      </c>
    </row>
    <row r="4630" spans="1:10" x14ac:dyDescent="0.25">
      <c r="A4630" t="s">
        <v>2883</v>
      </c>
      <c r="B4630" t="s">
        <v>3064</v>
      </c>
      <c r="C4630" t="s">
        <v>3355</v>
      </c>
      <c r="D4630" s="1" t="s">
        <v>3356</v>
      </c>
      <c r="E4630" t="s">
        <v>3357</v>
      </c>
      <c r="F4630">
        <v>44.177999999999997</v>
      </c>
      <c r="G4630">
        <v>2.5150000000000001</v>
      </c>
      <c r="H4630">
        <v>1</v>
      </c>
      <c r="I4630">
        <v>616.9</v>
      </c>
      <c r="J4630" t="str">
        <f>HYPERLINK("https://climate.onebuilding.org/WMO_Region_6_Europe/FRA_France/LP_Occitanie/FRA_LP_Cassagnes.Begonhes.AP.075550_TMYx.2004-2018.zip")</f>
        <v>https://climate.onebuilding.org/WMO_Region_6_Europe/FRA_France/LP_Occitanie/FRA_LP_Cassagnes.Begonhes.AP.075550_TMYx.2004-2018.zip</v>
      </c>
    </row>
    <row r="4631" spans="1:10" x14ac:dyDescent="0.25">
      <c r="A4631" t="s">
        <v>2883</v>
      </c>
      <c r="B4631" t="s">
        <v>3064</v>
      </c>
      <c r="C4631" t="s">
        <v>3355</v>
      </c>
      <c r="D4631" s="1" t="s">
        <v>3356</v>
      </c>
      <c r="E4631" t="s">
        <v>14</v>
      </c>
      <c r="F4631">
        <v>44.177999999999997</v>
      </c>
      <c r="G4631">
        <v>2.5150000000000001</v>
      </c>
      <c r="H4631">
        <v>1</v>
      </c>
      <c r="I4631">
        <v>616.9</v>
      </c>
      <c r="J4631" t="str">
        <f>HYPERLINK("https://climate.onebuilding.org/WMO_Region_6_Europe/FRA_France/LP_Occitanie/FRA_LP_Cassagnes.Begonhes.AP.075550_TMYx.zip")</f>
        <v>https://climate.onebuilding.org/WMO_Region_6_Europe/FRA_France/LP_Occitanie/FRA_LP_Cassagnes.Begonhes.AP.075550_TMYx.zip</v>
      </c>
    </row>
    <row r="4632" spans="1:10" x14ac:dyDescent="0.25">
      <c r="A4632" t="s">
        <v>2883</v>
      </c>
      <c r="B4632" t="s">
        <v>3064</v>
      </c>
      <c r="C4632" t="s">
        <v>3358</v>
      </c>
      <c r="D4632" s="1" t="s">
        <v>3359</v>
      </c>
      <c r="E4632" t="s">
        <v>3360</v>
      </c>
      <c r="F4632">
        <v>44.118600000000001</v>
      </c>
      <c r="G4632">
        <v>3.0194000000000001</v>
      </c>
      <c r="H4632">
        <v>1</v>
      </c>
      <c r="I4632">
        <v>713</v>
      </c>
      <c r="J4632" t="str">
        <f>HYPERLINK("https://climate.onebuilding.org/WMO_Region_6_Europe/FRA_France/LP_Occitanie/FRA_LP_Millau.075580_TMYx.2004-2018.zip")</f>
        <v>https://climate.onebuilding.org/WMO_Region_6_Europe/FRA_France/LP_Occitanie/FRA_LP_Millau.075580_TMYx.2004-2018.zip</v>
      </c>
    </row>
    <row r="4633" spans="1:10" x14ac:dyDescent="0.25">
      <c r="A4633" t="s">
        <v>2883</v>
      </c>
      <c r="B4633" t="s">
        <v>3064</v>
      </c>
      <c r="C4633" t="s">
        <v>3358</v>
      </c>
      <c r="D4633" s="1" t="s">
        <v>3359</v>
      </c>
      <c r="E4633" t="s">
        <v>14</v>
      </c>
      <c r="F4633">
        <v>44.118600000000001</v>
      </c>
      <c r="G4633">
        <v>3.0194000000000001</v>
      </c>
      <c r="H4633">
        <v>1</v>
      </c>
      <c r="I4633">
        <v>713</v>
      </c>
      <c r="J4633" t="str">
        <f>HYPERLINK("https://climate.onebuilding.org/WMO_Region_6_Europe/FRA_France/LP_Occitanie/FRA_LP_Millau.075580_TMYx.2007-2021.zip")</f>
        <v>https://climate.onebuilding.org/WMO_Region_6_Europe/FRA_France/LP_Occitanie/FRA_LP_Millau.075580_TMYx.2007-2021.zip</v>
      </c>
    </row>
    <row r="4634" spans="1:10" x14ac:dyDescent="0.25">
      <c r="A4634" t="s">
        <v>2883</v>
      </c>
      <c r="B4634" t="s">
        <v>3064</v>
      </c>
      <c r="C4634" t="s">
        <v>3358</v>
      </c>
      <c r="D4634" s="1" t="s">
        <v>3359</v>
      </c>
      <c r="E4634" t="s">
        <v>14</v>
      </c>
      <c r="F4634">
        <v>44.118600000000001</v>
      </c>
      <c r="G4634">
        <v>3.0194000000000001</v>
      </c>
      <c r="H4634">
        <v>1</v>
      </c>
      <c r="I4634">
        <v>713</v>
      </c>
      <c r="J4634" t="str">
        <f>HYPERLINK("https://climate.onebuilding.org/WMO_Region_6_Europe/FRA_France/LP_Occitanie/FRA_LP_Millau.075580_TMYx.2009-2023.zip")</f>
        <v>https://climate.onebuilding.org/WMO_Region_6_Europe/FRA_France/LP_Occitanie/FRA_LP_Millau.075580_TMYx.2009-2023.zip</v>
      </c>
    </row>
    <row r="4635" spans="1:10" x14ac:dyDescent="0.25">
      <c r="A4635" t="s">
        <v>2883</v>
      </c>
      <c r="B4635" t="s">
        <v>3064</v>
      </c>
      <c r="C4635" t="s">
        <v>3358</v>
      </c>
      <c r="D4635" s="1" t="s">
        <v>3359</v>
      </c>
      <c r="E4635" t="s">
        <v>14</v>
      </c>
      <c r="F4635">
        <v>44.118600000000001</v>
      </c>
      <c r="G4635">
        <v>3.0194000000000001</v>
      </c>
      <c r="H4635">
        <v>1</v>
      </c>
      <c r="I4635">
        <v>713</v>
      </c>
      <c r="J4635" t="str">
        <f>HYPERLINK("https://climate.onebuilding.org/WMO_Region_6_Europe/FRA_France/LP_Occitanie/FRA_LP_Millau.075580_TMYx.zip")</f>
        <v>https://climate.onebuilding.org/WMO_Region_6_Europe/FRA_France/LP_Occitanie/FRA_LP_Millau.075580_TMYx.zip</v>
      </c>
    </row>
    <row r="4636" spans="1:10" x14ac:dyDescent="0.25">
      <c r="A4636" t="s">
        <v>2883</v>
      </c>
      <c r="B4636" t="s">
        <v>3064</v>
      </c>
      <c r="C4636" t="s">
        <v>3361</v>
      </c>
      <c r="D4636" s="1" t="s">
        <v>3362</v>
      </c>
      <c r="E4636" t="s">
        <v>3363</v>
      </c>
      <c r="F4636">
        <v>44.121400000000001</v>
      </c>
      <c r="G4636">
        <v>3.5813999999999999</v>
      </c>
      <c r="H4636">
        <v>1</v>
      </c>
      <c r="I4636">
        <v>1564</v>
      </c>
      <c r="J4636" t="str">
        <f>HYPERLINK("https://climate.onebuilding.org/WMO_Region_6_Europe/FRA_France/LP_Occitanie/FRA_LP_Mont.Aigoual.Obs.075600_TMYx.2004-2018.zip")</f>
        <v>https://climate.onebuilding.org/WMO_Region_6_Europe/FRA_France/LP_Occitanie/FRA_LP_Mont.Aigoual.Obs.075600_TMYx.2004-2018.zip</v>
      </c>
    </row>
    <row r="4637" spans="1:10" x14ac:dyDescent="0.25">
      <c r="A4637" t="s">
        <v>2883</v>
      </c>
      <c r="B4637" t="s">
        <v>3064</v>
      </c>
      <c r="C4637" t="s">
        <v>3361</v>
      </c>
      <c r="D4637" s="1" t="s">
        <v>3362</v>
      </c>
      <c r="E4637" t="s">
        <v>14</v>
      </c>
      <c r="F4637">
        <v>44.121400000000001</v>
      </c>
      <c r="G4637">
        <v>3.5813999999999999</v>
      </c>
      <c r="H4637">
        <v>1</v>
      </c>
      <c r="I4637">
        <v>1564</v>
      </c>
      <c r="J4637" t="str">
        <f>HYPERLINK("https://climate.onebuilding.org/WMO_Region_6_Europe/FRA_France/LP_Occitanie/FRA_LP_Mont.Aigoual.Obs.075600_TMYx.2007-2021.zip")</f>
        <v>https://climate.onebuilding.org/WMO_Region_6_Europe/FRA_France/LP_Occitanie/FRA_LP_Mont.Aigoual.Obs.075600_TMYx.2007-2021.zip</v>
      </c>
    </row>
    <row r="4638" spans="1:10" x14ac:dyDescent="0.25">
      <c r="A4638" t="s">
        <v>2883</v>
      </c>
      <c r="B4638" t="s">
        <v>3064</v>
      </c>
      <c r="C4638" t="s">
        <v>3361</v>
      </c>
      <c r="D4638" s="1" t="s">
        <v>3362</v>
      </c>
      <c r="E4638" t="s">
        <v>14</v>
      </c>
      <c r="F4638">
        <v>44.121400000000001</v>
      </c>
      <c r="G4638">
        <v>3.5813999999999999</v>
      </c>
      <c r="H4638">
        <v>1</v>
      </c>
      <c r="I4638">
        <v>1564</v>
      </c>
      <c r="J4638" t="str">
        <f>HYPERLINK("https://climate.onebuilding.org/WMO_Region_6_Europe/FRA_France/LP_Occitanie/FRA_LP_Mont.Aigoual.Obs.075600_TMYx.2009-2023.zip")</f>
        <v>https://climate.onebuilding.org/WMO_Region_6_Europe/FRA_France/LP_Occitanie/FRA_LP_Mont.Aigoual.Obs.075600_TMYx.2009-2023.zip</v>
      </c>
    </row>
    <row r="4639" spans="1:10" x14ac:dyDescent="0.25">
      <c r="A4639" t="s">
        <v>2883</v>
      </c>
      <c r="B4639" t="s">
        <v>3064</v>
      </c>
      <c r="C4639" t="s">
        <v>3361</v>
      </c>
      <c r="D4639" s="1" t="s">
        <v>3362</v>
      </c>
      <c r="E4639" t="s">
        <v>14</v>
      </c>
      <c r="F4639">
        <v>44.121400000000001</v>
      </c>
      <c r="G4639">
        <v>3.5813999999999999</v>
      </c>
      <c r="H4639">
        <v>1</v>
      </c>
      <c r="I4639">
        <v>1564</v>
      </c>
      <c r="J4639" t="str">
        <f>HYPERLINK("https://climate.onebuilding.org/WMO_Region_6_Europe/FRA_France/LP_Occitanie/FRA_LP_Mont.Aigoual.Obs.075600_TMYx.zip")</f>
        <v>https://climate.onebuilding.org/WMO_Region_6_Europe/FRA_France/LP_Occitanie/FRA_LP_Mont.Aigoual.Obs.075600_TMYx.zip</v>
      </c>
    </row>
    <row r="4640" spans="1:10" x14ac:dyDescent="0.25">
      <c r="A4640" t="s">
        <v>2883</v>
      </c>
      <c r="B4640" t="s">
        <v>3064</v>
      </c>
      <c r="C4640" t="s">
        <v>3364</v>
      </c>
      <c r="D4640" s="1" t="s">
        <v>3365</v>
      </c>
      <c r="E4640" t="s">
        <v>14</v>
      </c>
      <c r="F4640">
        <v>44.502000000000002</v>
      </c>
      <c r="G4640">
        <v>3.5329999999999999</v>
      </c>
      <c r="H4640">
        <v>1</v>
      </c>
      <c r="I4640">
        <v>1024.7</v>
      </c>
      <c r="J4640" t="str">
        <f>HYPERLINK("https://climate.onebuilding.org/WMO_Region_6_Europe/FRA_France/LP_Occitanie/FRA_LP_Brenoux.AP.075615_TMYx.zip")</f>
        <v>https://climate.onebuilding.org/WMO_Region_6_Europe/FRA_France/LP_Occitanie/FRA_LP_Brenoux.AP.075615_TMYx.zip</v>
      </c>
    </row>
    <row r="4641" spans="1:10" x14ac:dyDescent="0.25">
      <c r="A4641" t="s">
        <v>2883</v>
      </c>
      <c r="B4641" t="s">
        <v>2293</v>
      </c>
      <c r="C4641" t="s">
        <v>3366</v>
      </c>
      <c r="D4641" s="1" t="s">
        <v>3367</v>
      </c>
      <c r="E4641" t="s">
        <v>3368</v>
      </c>
      <c r="F4641">
        <v>43.9114</v>
      </c>
      <c r="G4641">
        <v>4.9024999999999999</v>
      </c>
      <c r="H4641">
        <v>1</v>
      </c>
      <c r="I4641">
        <v>48</v>
      </c>
      <c r="J4641" t="str">
        <f>HYPERLINK("https://climate.onebuilding.org/WMO_Region_6_Europe/FRA_France/PR_Provence-Alpes-Cote_d-Azur/FRA_PR_Avignon.Provence.AP.075630_TMYx.2004-2018.zip")</f>
        <v>https://climate.onebuilding.org/WMO_Region_6_Europe/FRA_France/PR_Provence-Alpes-Cote_d-Azur/FRA_PR_Avignon.Provence.AP.075630_TMYx.2004-2018.zip</v>
      </c>
    </row>
    <row r="4642" spans="1:10" x14ac:dyDescent="0.25">
      <c r="A4642" t="s">
        <v>2883</v>
      </c>
      <c r="B4642" t="s">
        <v>2293</v>
      </c>
      <c r="C4642" t="s">
        <v>3366</v>
      </c>
      <c r="D4642" s="1" t="s">
        <v>3367</v>
      </c>
      <c r="E4642" t="s">
        <v>14</v>
      </c>
      <c r="F4642">
        <v>43.9114</v>
      </c>
      <c r="G4642">
        <v>4.9024999999999999</v>
      </c>
      <c r="H4642">
        <v>1</v>
      </c>
      <c r="I4642">
        <v>48</v>
      </c>
      <c r="J4642" t="str">
        <f>HYPERLINK("https://climate.onebuilding.org/WMO_Region_6_Europe/FRA_France/PR_Provence-Alpes-Cote_d-Azur/FRA_PR_Avignon.Provence.AP.075630_TMYx.2007-2021.zip")</f>
        <v>https://climate.onebuilding.org/WMO_Region_6_Europe/FRA_France/PR_Provence-Alpes-Cote_d-Azur/FRA_PR_Avignon.Provence.AP.075630_TMYx.2007-2021.zip</v>
      </c>
    </row>
    <row r="4643" spans="1:10" x14ac:dyDescent="0.25">
      <c r="A4643" t="s">
        <v>2883</v>
      </c>
      <c r="B4643" t="s">
        <v>2293</v>
      </c>
      <c r="C4643" t="s">
        <v>3366</v>
      </c>
      <c r="D4643" s="1" t="s">
        <v>3367</v>
      </c>
      <c r="E4643" t="s">
        <v>14</v>
      </c>
      <c r="F4643">
        <v>43.9114</v>
      </c>
      <c r="G4643">
        <v>4.9024999999999999</v>
      </c>
      <c r="H4643">
        <v>1</v>
      </c>
      <c r="I4643">
        <v>48</v>
      </c>
      <c r="J4643" t="str">
        <f>HYPERLINK("https://climate.onebuilding.org/WMO_Region_6_Europe/FRA_France/PR_Provence-Alpes-Cote_d-Azur/FRA_PR_Avignon.Provence.AP.075630_TMYx.2009-2023.zip")</f>
        <v>https://climate.onebuilding.org/WMO_Region_6_Europe/FRA_France/PR_Provence-Alpes-Cote_d-Azur/FRA_PR_Avignon.Provence.AP.075630_TMYx.2009-2023.zip</v>
      </c>
    </row>
    <row r="4644" spans="1:10" x14ac:dyDescent="0.25">
      <c r="A4644" t="s">
        <v>2883</v>
      </c>
      <c r="B4644" t="s">
        <v>2293</v>
      </c>
      <c r="C4644" t="s">
        <v>3366</v>
      </c>
      <c r="D4644" s="1" t="s">
        <v>3367</v>
      </c>
      <c r="E4644" t="s">
        <v>14</v>
      </c>
      <c r="F4644">
        <v>43.9114</v>
      </c>
      <c r="G4644">
        <v>4.9024999999999999</v>
      </c>
      <c r="H4644">
        <v>1</v>
      </c>
      <c r="I4644">
        <v>48</v>
      </c>
      <c r="J4644" t="str">
        <f>HYPERLINK("https://climate.onebuilding.org/WMO_Region_6_Europe/FRA_France/PR_Provence-Alpes-Cote_d-Azur/FRA_PR_Avignon.Provence.AP.075630_TMYx.zip")</f>
        <v>https://climate.onebuilding.org/WMO_Region_6_Europe/FRA_France/PR_Provence-Alpes-Cote_d-Azur/FRA_PR_Avignon.Provence.AP.075630_TMYx.zip</v>
      </c>
    </row>
    <row r="4645" spans="1:10" x14ac:dyDescent="0.25">
      <c r="A4645" t="s">
        <v>2883</v>
      </c>
      <c r="B4645" t="s">
        <v>2038</v>
      </c>
      <c r="C4645" t="s">
        <v>3369</v>
      </c>
      <c r="D4645" s="1" t="s">
        <v>3370</v>
      </c>
      <c r="E4645" t="s">
        <v>3371</v>
      </c>
      <c r="F4645">
        <v>44.5383</v>
      </c>
      <c r="G4645">
        <v>4.3672000000000004</v>
      </c>
      <c r="H4645">
        <v>1</v>
      </c>
      <c r="I4645">
        <v>280</v>
      </c>
      <c r="J4645" t="str">
        <f>HYPERLINK("https://climate.onebuilding.org/WMO_Region_6_Europe/FRA_France/AR_Auvergne-Rhone-Alpes/FRA_AR_Aubenas.Ardeche.Meridionale.AP.075700_TMYx.2004-2018.zip")</f>
        <v>https://climate.onebuilding.org/WMO_Region_6_Europe/FRA_France/AR_Auvergne-Rhone-Alpes/FRA_AR_Aubenas.Ardeche.Meridionale.AP.075700_TMYx.2004-2018.zip</v>
      </c>
    </row>
    <row r="4646" spans="1:10" x14ac:dyDescent="0.25">
      <c r="A4646" t="s">
        <v>2883</v>
      </c>
      <c r="B4646" t="s">
        <v>2038</v>
      </c>
      <c r="C4646" t="s">
        <v>3369</v>
      </c>
      <c r="D4646" s="1" t="s">
        <v>3370</v>
      </c>
      <c r="E4646" t="s">
        <v>14</v>
      </c>
      <c r="F4646">
        <v>44.5383</v>
      </c>
      <c r="G4646">
        <v>4.3672000000000004</v>
      </c>
      <c r="H4646">
        <v>1</v>
      </c>
      <c r="I4646">
        <v>280</v>
      </c>
      <c r="J4646" t="str">
        <f>HYPERLINK("https://climate.onebuilding.org/WMO_Region_6_Europe/FRA_France/AR_Auvergne-Rhone-Alpes/FRA_AR_Aubenas.Ardeche.Meridionale.AP.075700_TMYx.2007-2021.zip")</f>
        <v>https://climate.onebuilding.org/WMO_Region_6_Europe/FRA_France/AR_Auvergne-Rhone-Alpes/FRA_AR_Aubenas.Ardeche.Meridionale.AP.075700_TMYx.2007-2021.zip</v>
      </c>
    </row>
    <row r="4647" spans="1:10" x14ac:dyDescent="0.25">
      <c r="A4647" t="s">
        <v>2883</v>
      </c>
      <c r="B4647" t="s">
        <v>2038</v>
      </c>
      <c r="C4647" t="s">
        <v>3369</v>
      </c>
      <c r="D4647" s="1" t="s">
        <v>3370</v>
      </c>
      <c r="E4647" t="s">
        <v>14</v>
      </c>
      <c r="F4647">
        <v>44.5383</v>
      </c>
      <c r="G4647">
        <v>4.3672000000000004</v>
      </c>
      <c r="H4647">
        <v>1</v>
      </c>
      <c r="I4647">
        <v>280</v>
      </c>
      <c r="J4647" t="str">
        <f>HYPERLINK("https://climate.onebuilding.org/WMO_Region_6_Europe/FRA_France/AR_Auvergne-Rhone-Alpes/FRA_AR_Aubenas.Ardeche.Meridionale.AP.075700_TMYx.2009-2023.zip")</f>
        <v>https://climate.onebuilding.org/WMO_Region_6_Europe/FRA_France/AR_Auvergne-Rhone-Alpes/FRA_AR_Aubenas.Ardeche.Meridionale.AP.075700_TMYx.2009-2023.zip</v>
      </c>
    </row>
    <row r="4648" spans="1:10" x14ac:dyDescent="0.25">
      <c r="A4648" t="s">
        <v>2883</v>
      </c>
      <c r="B4648" t="s">
        <v>2038</v>
      </c>
      <c r="C4648" t="s">
        <v>3369</v>
      </c>
      <c r="D4648" s="1" t="s">
        <v>3370</v>
      </c>
      <c r="E4648" t="s">
        <v>14</v>
      </c>
      <c r="F4648">
        <v>44.5383</v>
      </c>
      <c r="G4648">
        <v>4.3672000000000004</v>
      </c>
      <c r="H4648">
        <v>1</v>
      </c>
      <c r="I4648">
        <v>280</v>
      </c>
      <c r="J4648" t="str">
        <f>HYPERLINK("https://climate.onebuilding.org/WMO_Region_6_Europe/FRA_France/AR_Auvergne-Rhone-Alpes/FRA_AR_Aubenas.Ardeche.Meridionale.AP.075700_TMYx.zip")</f>
        <v>https://climate.onebuilding.org/WMO_Region_6_Europe/FRA_France/AR_Auvergne-Rhone-Alpes/FRA_AR_Aubenas.Ardeche.Meridionale.AP.075700_TMYx.zip</v>
      </c>
    </row>
    <row r="4649" spans="1:10" x14ac:dyDescent="0.25">
      <c r="A4649" t="s">
        <v>2883</v>
      </c>
      <c r="B4649" t="s">
        <v>2038</v>
      </c>
      <c r="C4649" t="s">
        <v>3372</v>
      </c>
      <c r="D4649" s="1" t="s">
        <v>3373</v>
      </c>
      <c r="E4649" t="s">
        <v>3374</v>
      </c>
      <c r="F4649">
        <v>44.581099999999999</v>
      </c>
      <c r="G4649">
        <v>4.7331000000000003</v>
      </c>
      <c r="H4649">
        <v>1</v>
      </c>
      <c r="I4649">
        <v>74</v>
      </c>
      <c r="J4649" t="str">
        <f>HYPERLINK("https://climate.onebuilding.org/WMO_Region_6_Europe/FRA_France/AR_Auvergne-Rhone-Alpes/FRA_AR_Montelimar-Ancone.AF.075770_TMYx.2004-2018.zip")</f>
        <v>https://climate.onebuilding.org/WMO_Region_6_Europe/FRA_France/AR_Auvergne-Rhone-Alpes/FRA_AR_Montelimar-Ancone.AF.075770_TMYx.2004-2018.zip</v>
      </c>
    </row>
    <row r="4650" spans="1:10" x14ac:dyDescent="0.25">
      <c r="A4650" t="s">
        <v>2883</v>
      </c>
      <c r="B4650" t="s">
        <v>2038</v>
      </c>
      <c r="C4650" t="s">
        <v>3372</v>
      </c>
      <c r="D4650" s="1" t="s">
        <v>3373</v>
      </c>
      <c r="E4650" t="s">
        <v>14</v>
      </c>
      <c r="F4650">
        <v>44.581099999999999</v>
      </c>
      <c r="G4650">
        <v>4.7331000000000003</v>
      </c>
      <c r="H4650">
        <v>1</v>
      </c>
      <c r="I4650">
        <v>74</v>
      </c>
      <c r="J4650" t="str">
        <f>HYPERLINK("https://climate.onebuilding.org/WMO_Region_6_Europe/FRA_France/AR_Auvergne-Rhone-Alpes/FRA_AR_Montelimar-Ancone.AF.075770_TMYx.2007-2021.zip")</f>
        <v>https://climate.onebuilding.org/WMO_Region_6_Europe/FRA_France/AR_Auvergne-Rhone-Alpes/FRA_AR_Montelimar-Ancone.AF.075770_TMYx.2007-2021.zip</v>
      </c>
    </row>
    <row r="4651" spans="1:10" x14ac:dyDescent="0.25">
      <c r="A4651" t="s">
        <v>2883</v>
      </c>
      <c r="B4651" t="s">
        <v>2038</v>
      </c>
      <c r="C4651" t="s">
        <v>3372</v>
      </c>
      <c r="D4651" s="1" t="s">
        <v>3373</v>
      </c>
      <c r="E4651" t="s">
        <v>14</v>
      </c>
      <c r="F4651">
        <v>44.581099999999999</v>
      </c>
      <c r="G4651">
        <v>4.7331000000000003</v>
      </c>
      <c r="H4651">
        <v>1</v>
      </c>
      <c r="I4651">
        <v>74</v>
      </c>
      <c r="J4651" t="str">
        <f>HYPERLINK("https://climate.onebuilding.org/WMO_Region_6_Europe/FRA_France/AR_Auvergne-Rhone-Alpes/FRA_AR_Montelimar-Ancone.AF.075770_TMYx.2009-2023.zip")</f>
        <v>https://climate.onebuilding.org/WMO_Region_6_Europe/FRA_France/AR_Auvergne-Rhone-Alpes/FRA_AR_Montelimar-Ancone.AF.075770_TMYx.2009-2023.zip</v>
      </c>
    </row>
    <row r="4652" spans="1:10" x14ac:dyDescent="0.25">
      <c r="A4652" t="s">
        <v>2883</v>
      </c>
      <c r="B4652" t="s">
        <v>2038</v>
      </c>
      <c r="C4652" t="s">
        <v>3372</v>
      </c>
      <c r="D4652" s="1" t="s">
        <v>3373</v>
      </c>
      <c r="E4652" t="s">
        <v>14</v>
      </c>
      <c r="F4652">
        <v>44.581099999999999</v>
      </c>
      <c r="G4652">
        <v>4.7331000000000003</v>
      </c>
      <c r="H4652">
        <v>1</v>
      </c>
      <c r="I4652">
        <v>74</v>
      </c>
      <c r="J4652" t="str">
        <f>HYPERLINK("https://climate.onebuilding.org/WMO_Region_6_Europe/FRA_France/AR_Auvergne-Rhone-Alpes/FRA_AR_Montelimar-Ancone.AF.075770_TMYx.zip")</f>
        <v>https://climate.onebuilding.org/WMO_Region_6_Europe/FRA_France/AR_Auvergne-Rhone-Alpes/FRA_AR_Montelimar-Ancone.AF.075770_TMYx.zip</v>
      </c>
    </row>
    <row r="4653" spans="1:10" x14ac:dyDescent="0.25">
      <c r="A4653" t="s">
        <v>2883</v>
      </c>
      <c r="B4653" t="s">
        <v>2293</v>
      </c>
      <c r="C4653" t="s">
        <v>3375</v>
      </c>
      <c r="D4653" s="1" t="s">
        <v>3376</v>
      </c>
      <c r="E4653" t="s">
        <v>3377</v>
      </c>
      <c r="F4653">
        <v>44.144500000000001</v>
      </c>
      <c r="G4653">
        <v>4.8611000000000004</v>
      </c>
      <c r="H4653">
        <v>1</v>
      </c>
      <c r="I4653">
        <v>55</v>
      </c>
      <c r="J4653" t="str">
        <f>HYPERLINK("https://climate.onebuilding.org/WMO_Region_6_Europe/FRA_France/PR_Provence-Alpes-Cote_d-Azur/FRA_PR_Orange.Caritat.AB.075790_TMYx.2004-2018.zip")</f>
        <v>https://climate.onebuilding.org/WMO_Region_6_Europe/FRA_France/PR_Provence-Alpes-Cote_d-Azur/FRA_PR_Orange.Caritat.AB.075790_TMYx.2004-2018.zip</v>
      </c>
    </row>
    <row r="4654" spans="1:10" x14ac:dyDescent="0.25">
      <c r="A4654" t="s">
        <v>2883</v>
      </c>
      <c r="B4654" t="s">
        <v>2293</v>
      </c>
      <c r="C4654" t="s">
        <v>3375</v>
      </c>
      <c r="D4654" s="1" t="s">
        <v>3376</v>
      </c>
      <c r="E4654" t="s">
        <v>14</v>
      </c>
      <c r="F4654">
        <v>44.144500000000001</v>
      </c>
      <c r="G4654">
        <v>4.8611000000000004</v>
      </c>
      <c r="H4654">
        <v>1</v>
      </c>
      <c r="I4654">
        <v>55</v>
      </c>
      <c r="J4654" t="str">
        <f>HYPERLINK("https://climate.onebuilding.org/WMO_Region_6_Europe/FRA_France/PR_Provence-Alpes-Cote_d-Azur/FRA_PR_Orange.Caritat.AB.075790_TMYx.2007-2021.zip")</f>
        <v>https://climate.onebuilding.org/WMO_Region_6_Europe/FRA_France/PR_Provence-Alpes-Cote_d-Azur/FRA_PR_Orange.Caritat.AB.075790_TMYx.2007-2021.zip</v>
      </c>
    </row>
    <row r="4655" spans="1:10" x14ac:dyDescent="0.25">
      <c r="A4655" t="s">
        <v>2883</v>
      </c>
      <c r="B4655" t="s">
        <v>2293</v>
      </c>
      <c r="C4655" t="s">
        <v>3375</v>
      </c>
      <c r="D4655" s="1" t="s">
        <v>3376</v>
      </c>
      <c r="E4655" t="s">
        <v>14</v>
      </c>
      <c r="F4655">
        <v>44.144500000000001</v>
      </c>
      <c r="G4655">
        <v>4.8611000000000004</v>
      </c>
      <c r="H4655">
        <v>1</v>
      </c>
      <c r="I4655">
        <v>55</v>
      </c>
      <c r="J4655" t="str">
        <f>HYPERLINK("https://climate.onebuilding.org/WMO_Region_6_Europe/FRA_France/PR_Provence-Alpes-Cote_d-Azur/FRA_PR_Orange.Caritat.AB.075790_TMYx.2009-2023.zip")</f>
        <v>https://climate.onebuilding.org/WMO_Region_6_Europe/FRA_France/PR_Provence-Alpes-Cote_d-Azur/FRA_PR_Orange.Caritat.AB.075790_TMYx.2009-2023.zip</v>
      </c>
    </row>
    <row r="4656" spans="1:10" x14ac:dyDescent="0.25">
      <c r="A4656" t="s">
        <v>2883</v>
      </c>
      <c r="B4656" t="s">
        <v>2293</v>
      </c>
      <c r="C4656" t="s">
        <v>3375</v>
      </c>
      <c r="D4656" s="1" t="s">
        <v>3376</v>
      </c>
      <c r="E4656" t="s">
        <v>14</v>
      </c>
      <c r="F4656">
        <v>44.144500000000001</v>
      </c>
      <c r="G4656">
        <v>4.8611000000000004</v>
      </c>
      <c r="H4656">
        <v>1</v>
      </c>
      <c r="I4656">
        <v>55</v>
      </c>
      <c r="J4656" t="str">
        <f>HYPERLINK("https://climate.onebuilding.org/WMO_Region_6_Europe/FRA_France/PR_Provence-Alpes-Cote_d-Azur/FRA_PR_Orange.Caritat.AB.075790_TMYx.zip")</f>
        <v>https://climate.onebuilding.org/WMO_Region_6_Europe/FRA_France/PR_Provence-Alpes-Cote_d-Azur/FRA_PR_Orange.Caritat.AB.075790_TMYx.zip</v>
      </c>
    </row>
    <row r="4657" spans="1:10" x14ac:dyDescent="0.25">
      <c r="A4657" t="s">
        <v>2883</v>
      </c>
      <c r="B4657" t="s">
        <v>2038</v>
      </c>
      <c r="C4657" t="s">
        <v>3378</v>
      </c>
      <c r="D4657" s="1" t="s">
        <v>3379</v>
      </c>
      <c r="E4657" t="s">
        <v>14</v>
      </c>
      <c r="F4657">
        <v>44.921999999999997</v>
      </c>
      <c r="G4657">
        <v>4.97</v>
      </c>
      <c r="H4657">
        <v>1</v>
      </c>
      <c r="I4657">
        <v>160</v>
      </c>
      <c r="J4657" t="str">
        <f>HYPERLINK("https://climate.onebuilding.org/WMO_Region_6_Europe/FRA_France/AR_Auvergne-Rhone-Alpes/FRA_AR_Valence.Chabeuil.AP.075795_TMYx.2007-2021.zip")</f>
        <v>https://climate.onebuilding.org/WMO_Region_6_Europe/FRA_France/AR_Auvergne-Rhone-Alpes/FRA_AR_Valence.Chabeuil.AP.075795_TMYx.2007-2021.zip</v>
      </c>
    </row>
    <row r="4658" spans="1:10" x14ac:dyDescent="0.25">
      <c r="A4658" t="s">
        <v>2883</v>
      </c>
      <c r="B4658" t="s">
        <v>2038</v>
      </c>
      <c r="C4658" t="s">
        <v>3378</v>
      </c>
      <c r="D4658" s="1" t="s">
        <v>3379</v>
      </c>
      <c r="E4658" t="s">
        <v>14</v>
      </c>
      <c r="F4658">
        <v>44.921999999999997</v>
      </c>
      <c r="G4658">
        <v>4.97</v>
      </c>
      <c r="H4658">
        <v>1</v>
      </c>
      <c r="I4658">
        <v>160</v>
      </c>
      <c r="J4658" t="str">
        <f>HYPERLINK("https://climate.onebuilding.org/WMO_Region_6_Europe/FRA_France/AR_Auvergne-Rhone-Alpes/FRA_AR_Valence.Chabeuil.AP.075795_TMYx.2009-2023.zip")</f>
        <v>https://climate.onebuilding.org/WMO_Region_6_Europe/FRA_France/AR_Auvergne-Rhone-Alpes/FRA_AR_Valence.Chabeuil.AP.075795_TMYx.2009-2023.zip</v>
      </c>
    </row>
    <row r="4659" spans="1:10" x14ac:dyDescent="0.25">
      <c r="A4659" t="s">
        <v>2883</v>
      </c>
      <c r="B4659" t="s">
        <v>2038</v>
      </c>
      <c r="C4659" t="s">
        <v>3378</v>
      </c>
      <c r="D4659" s="1" t="s">
        <v>3379</v>
      </c>
      <c r="E4659" t="s">
        <v>14</v>
      </c>
      <c r="F4659">
        <v>44.921999999999997</v>
      </c>
      <c r="G4659">
        <v>4.97</v>
      </c>
      <c r="H4659">
        <v>1</v>
      </c>
      <c r="I4659">
        <v>160</v>
      </c>
      <c r="J4659" t="str">
        <f>HYPERLINK("https://climate.onebuilding.org/WMO_Region_6_Europe/FRA_France/AR_Auvergne-Rhone-Alpes/FRA_AR_Valence.Chabeuil.AP.075795_TMYx.zip")</f>
        <v>https://climate.onebuilding.org/WMO_Region_6_Europe/FRA_France/AR_Auvergne-Rhone-Alpes/FRA_AR_Valence.Chabeuil.AP.075795_TMYx.zip</v>
      </c>
    </row>
    <row r="4660" spans="1:10" x14ac:dyDescent="0.25">
      <c r="A4660" t="s">
        <v>2883</v>
      </c>
      <c r="B4660" t="s">
        <v>2293</v>
      </c>
      <c r="C4660" t="s">
        <v>3380</v>
      </c>
      <c r="D4660" s="1" t="s">
        <v>3381</v>
      </c>
      <c r="E4660" t="s">
        <v>3382</v>
      </c>
      <c r="F4660">
        <v>44.082999999999998</v>
      </c>
      <c r="G4660">
        <v>5.0591999999999997</v>
      </c>
      <c r="H4660">
        <v>1</v>
      </c>
      <c r="I4660">
        <v>106</v>
      </c>
      <c r="J4660" t="str">
        <f>HYPERLINK("https://climate.onebuilding.org/WMO_Region_6_Europe/FRA_France/PR_Provence-Alpes-Cote_d-Azur/FRA_PR_Carpentras.075860_TMYx.2004-2018.zip")</f>
        <v>https://climate.onebuilding.org/WMO_Region_6_Europe/FRA_France/PR_Provence-Alpes-Cote_d-Azur/FRA_PR_Carpentras.075860_TMYx.2004-2018.zip</v>
      </c>
    </row>
    <row r="4661" spans="1:10" x14ac:dyDescent="0.25">
      <c r="A4661" t="s">
        <v>2883</v>
      </c>
      <c r="B4661" t="s">
        <v>2293</v>
      </c>
      <c r="C4661" t="s">
        <v>3380</v>
      </c>
      <c r="D4661" s="1" t="s">
        <v>3381</v>
      </c>
      <c r="E4661" t="s">
        <v>14</v>
      </c>
      <c r="F4661">
        <v>44.082999999999998</v>
      </c>
      <c r="G4661">
        <v>5.0591999999999997</v>
      </c>
      <c r="H4661">
        <v>1</v>
      </c>
      <c r="I4661">
        <v>106</v>
      </c>
      <c r="J4661" t="str">
        <f>HYPERLINK("https://climate.onebuilding.org/WMO_Region_6_Europe/FRA_France/PR_Provence-Alpes-Cote_d-Azur/FRA_PR_Carpentras.075860_TMYx.2007-2021.zip")</f>
        <v>https://climate.onebuilding.org/WMO_Region_6_Europe/FRA_France/PR_Provence-Alpes-Cote_d-Azur/FRA_PR_Carpentras.075860_TMYx.2007-2021.zip</v>
      </c>
    </row>
    <row r="4662" spans="1:10" x14ac:dyDescent="0.25">
      <c r="A4662" t="s">
        <v>2883</v>
      </c>
      <c r="B4662" t="s">
        <v>2293</v>
      </c>
      <c r="C4662" t="s">
        <v>3380</v>
      </c>
      <c r="D4662" s="1" t="s">
        <v>3381</v>
      </c>
      <c r="E4662" t="s">
        <v>14</v>
      </c>
      <c r="F4662">
        <v>44.082999999999998</v>
      </c>
      <c r="G4662">
        <v>5.0591999999999997</v>
      </c>
      <c r="H4662">
        <v>1</v>
      </c>
      <c r="I4662">
        <v>106</v>
      </c>
      <c r="J4662" t="str">
        <f>HYPERLINK("https://climate.onebuilding.org/WMO_Region_6_Europe/FRA_France/PR_Provence-Alpes-Cote_d-Azur/FRA_PR_Carpentras.075860_TMYx.2009-2023.zip")</f>
        <v>https://climate.onebuilding.org/WMO_Region_6_Europe/FRA_France/PR_Provence-Alpes-Cote_d-Azur/FRA_PR_Carpentras.075860_TMYx.2009-2023.zip</v>
      </c>
    </row>
    <row r="4663" spans="1:10" x14ac:dyDescent="0.25">
      <c r="A4663" t="s">
        <v>2883</v>
      </c>
      <c r="B4663" t="s">
        <v>2293</v>
      </c>
      <c r="C4663" t="s">
        <v>3380</v>
      </c>
      <c r="D4663" s="1" t="s">
        <v>3381</v>
      </c>
      <c r="E4663" t="s">
        <v>14</v>
      </c>
      <c r="F4663">
        <v>44.082999999999998</v>
      </c>
      <c r="G4663">
        <v>5.0591999999999997</v>
      </c>
      <c r="H4663">
        <v>1</v>
      </c>
      <c r="I4663">
        <v>106</v>
      </c>
      <c r="J4663" t="str">
        <f>HYPERLINK("https://climate.onebuilding.org/WMO_Region_6_Europe/FRA_France/PR_Provence-Alpes-Cote_d-Azur/FRA_PR_Carpentras.075860_TMYx.zip")</f>
        <v>https://climate.onebuilding.org/WMO_Region_6_Europe/FRA_France/PR_Provence-Alpes-Cote_d-Azur/FRA_PR_Carpentras.075860_TMYx.zip</v>
      </c>
    </row>
    <row r="4664" spans="1:10" x14ac:dyDescent="0.25">
      <c r="A4664" t="s">
        <v>2883</v>
      </c>
      <c r="B4664" t="s">
        <v>2038</v>
      </c>
      <c r="C4664" t="s">
        <v>3383</v>
      </c>
      <c r="D4664" s="1" t="s">
        <v>3384</v>
      </c>
      <c r="E4664" t="s">
        <v>14</v>
      </c>
      <c r="F4664">
        <v>44.665399999999998</v>
      </c>
      <c r="G4664">
        <v>5.7068000000000003</v>
      </c>
      <c r="H4664">
        <v>1</v>
      </c>
      <c r="I4664">
        <v>1020</v>
      </c>
      <c r="J4664" t="str">
        <f>HYPERLINK("https://climate.onebuilding.org/WMO_Region_6_Europe/FRA_France/AR_Auvergne-Rhone-Alpes/FRA_AR_Lus-la-Croix-Haute.075870_TMYx.zip")</f>
        <v>https://climate.onebuilding.org/WMO_Region_6_Europe/FRA_France/AR_Auvergne-Rhone-Alpes/FRA_AR_Lus-la-Croix-Haute.075870_TMYx.zip</v>
      </c>
    </row>
    <row r="4665" spans="1:10" x14ac:dyDescent="0.25">
      <c r="A4665" t="s">
        <v>2883</v>
      </c>
      <c r="B4665" t="s">
        <v>2293</v>
      </c>
      <c r="C4665" t="s">
        <v>3385</v>
      </c>
      <c r="D4665" s="1" t="s">
        <v>3386</v>
      </c>
      <c r="E4665" t="s">
        <v>3387</v>
      </c>
      <c r="F4665">
        <v>44.062199999999997</v>
      </c>
      <c r="G4665">
        <v>5.9897</v>
      </c>
      <c r="H4665">
        <v>1</v>
      </c>
      <c r="I4665">
        <v>461</v>
      </c>
      <c r="J4665" t="str">
        <f>HYPERLINK("https://climate.onebuilding.org/WMO_Region_6_Europe/FRA_France/PR_Provence-Alpes-Cote_d-Azur/FRA_PR_Chateau-Arnoux-St.Auban.AP.075880_TMYx.2004-2018.zip")</f>
        <v>https://climate.onebuilding.org/WMO_Region_6_Europe/FRA_France/PR_Provence-Alpes-Cote_d-Azur/FRA_PR_Chateau-Arnoux-St.Auban.AP.075880_TMYx.2004-2018.zip</v>
      </c>
    </row>
    <row r="4666" spans="1:10" x14ac:dyDescent="0.25">
      <c r="A4666" t="s">
        <v>2883</v>
      </c>
      <c r="B4666" t="s">
        <v>2293</v>
      </c>
      <c r="C4666" t="s">
        <v>3385</v>
      </c>
      <c r="D4666" s="1" t="s">
        <v>3386</v>
      </c>
      <c r="E4666" t="s">
        <v>14</v>
      </c>
      <c r="F4666">
        <v>44.062199999999997</v>
      </c>
      <c r="G4666">
        <v>5.9897</v>
      </c>
      <c r="H4666">
        <v>1</v>
      </c>
      <c r="I4666">
        <v>461</v>
      </c>
      <c r="J4666" t="str">
        <f>HYPERLINK("https://climate.onebuilding.org/WMO_Region_6_Europe/FRA_France/PR_Provence-Alpes-Cote_d-Azur/FRA_PR_Chateau-Arnoux-St.Auban.AP.075880_TMYx.2007-2021.zip")</f>
        <v>https://climate.onebuilding.org/WMO_Region_6_Europe/FRA_France/PR_Provence-Alpes-Cote_d-Azur/FRA_PR_Chateau-Arnoux-St.Auban.AP.075880_TMYx.2007-2021.zip</v>
      </c>
    </row>
    <row r="4667" spans="1:10" x14ac:dyDescent="0.25">
      <c r="A4667" t="s">
        <v>2883</v>
      </c>
      <c r="B4667" t="s">
        <v>2293</v>
      </c>
      <c r="C4667" t="s">
        <v>3385</v>
      </c>
      <c r="D4667" s="1" t="s">
        <v>3386</v>
      </c>
      <c r="E4667" t="s">
        <v>14</v>
      </c>
      <c r="F4667">
        <v>44.062199999999997</v>
      </c>
      <c r="G4667">
        <v>5.9897</v>
      </c>
      <c r="H4667">
        <v>1</v>
      </c>
      <c r="I4667">
        <v>461</v>
      </c>
      <c r="J4667" t="str">
        <f>HYPERLINK("https://climate.onebuilding.org/WMO_Region_6_Europe/FRA_France/PR_Provence-Alpes-Cote_d-Azur/FRA_PR_Chateau-Arnoux-St.Auban.AP.075880_TMYx.2009-2023.zip")</f>
        <v>https://climate.onebuilding.org/WMO_Region_6_Europe/FRA_France/PR_Provence-Alpes-Cote_d-Azur/FRA_PR_Chateau-Arnoux-St.Auban.AP.075880_TMYx.2009-2023.zip</v>
      </c>
    </row>
    <row r="4668" spans="1:10" x14ac:dyDescent="0.25">
      <c r="A4668" t="s">
        <v>2883</v>
      </c>
      <c r="B4668" t="s">
        <v>2293</v>
      </c>
      <c r="C4668" t="s">
        <v>3385</v>
      </c>
      <c r="D4668" s="1" t="s">
        <v>3386</v>
      </c>
      <c r="E4668" t="s">
        <v>14</v>
      </c>
      <c r="F4668">
        <v>44.062199999999997</v>
      </c>
      <c r="G4668">
        <v>5.9897</v>
      </c>
      <c r="H4668">
        <v>1</v>
      </c>
      <c r="I4668">
        <v>461</v>
      </c>
      <c r="J4668" t="str">
        <f>HYPERLINK("https://climate.onebuilding.org/WMO_Region_6_Europe/FRA_France/PR_Provence-Alpes-Cote_d-Azur/FRA_PR_Chateau-Arnoux-St.Auban.AP.075880_TMYx.zip")</f>
        <v>https://climate.onebuilding.org/WMO_Region_6_Europe/FRA_France/PR_Provence-Alpes-Cote_d-Azur/FRA_PR_Chateau-Arnoux-St.Auban.AP.075880_TMYx.zip</v>
      </c>
    </row>
    <row r="4669" spans="1:10" x14ac:dyDescent="0.25">
      <c r="A4669" t="s">
        <v>2883</v>
      </c>
      <c r="B4669" t="s">
        <v>2038</v>
      </c>
      <c r="C4669" t="s">
        <v>3388</v>
      </c>
      <c r="D4669" s="1" t="s">
        <v>3389</v>
      </c>
      <c r="E4669" t="s">
        <v>14</v>
      </c>
      <c r="F4669">
        <v>44.957799999999999</v>
      </c>
      <c r="G4669">
        <v>6.1778000000000004</v>
      </c>
      <c r="H4669">
        <v>1</v>
      </c>
      <c r="I4669">
        <v>1502</v>
      </c>
      <c r="J4669" t="str">
        <f>HYPERLINK("https://climate.onebuilding.org/WMO_Region_6_Europe/FRA_France/AR_Auvergne-Rhone-Alpes/FRA_AR_Saint.Christophe.en.Oisans.075890_TMYx.2007-2021.zip")</f>
        <v>https://climate.onebuilding.org/WMO_Region_6_Europe/FRA_France/AR_Auvergne-Rhone-Alpes/FRA_AR_Saint.Christophe.en.Oisans.075890_TMYx.2007-2021.zip</v>
      </c>
    </row>
    <row r="4670" spans="1:10" x14ac:dyDescent="0.25">
      <c r="A4670" t="s">
        <v>2883</v>
      </c>
      <c r="B4670" t="s">
        <v>2038</v>
      </c>
      <c r="C4670" t="s">
        <v>3388</v>
      </c>
      <c r="D4670" s="1" t="s">
        <v>3389</v>
      </c>
      <c r="E4670" t="s">
        <v>14</v>
      </c>
      <c r="F4670">
        <v>44.957799999999999</v>
      </c>
      <c r="G4670">
        <v>6.1778000000000004</v>
      </c>
      <c r="H4670">
        <v>1</v>
      </c>
      <c r="I4670">
        <v>1502</v>
      </c>
      <c r="J4670" t="str">
        <f>HYPERLINK("https://climate.onebuilding.org/WMO_Region_6_Europe/FRA_France/AR_Auvergne-Rhone-Alpes/FRA_AR_Saint.Christophe.en.Oisans.075890_TMYx.2009-2023.zip")</f>
        <v>https://climate.onebuilding.org/WMO_Region_6_Europe/FRA_France/AR_Auvergne-Rhone-Alpes/FRA_AR_Saint.Christophe.en.Oisans.075890_TMYx.2009-2023.zip</v>
      </c>
    </row>
    <row r="4671" spans="1:10" x14ac:dyDescent="0.25">
      <c r="A4671" t="s">
        <v>2883</v>
      </c>
      <c r="B4671" t="s">
        <v>2038</v>
      </c>
      <c r="C4671" t="s">
        <v>3388</v>
      </c>
      <c r="D4671" s="1" t="s">
        <v>3389</v>
      </c>
      <c r="E4671" t="s">
        <v>14</v>
      </c>
      <c r="F4671">
        <v>44.957799999999999</v>
      </c>
      <c r="G4671">
        <v>6.1778000000000004</v>
      </c>
      <c r="H4671">
        <v>1</v>
      </c>
      <c r="I4671">
        <v>1502</v>
      </c>
      <c r="J4671" t="str">
        <f>HYPERLINK("https://climate.onebuilding.org/WMO_Region_6_Europe/FRA_France/AR_Auvergne-Rhone-Alpes/FRA_AR_Saint.Christophe.en.Oisans.075890_TMYx.zip")</f>
        <v>https://climate.onebuilding.org/WMO_Region_6_Europe/FRA_France/AR_Auvergne-Rhone-Alpes/FRA_AR_Saint.Christophe.en.Oisans.075890_TMYx.zip</v>
      </c>
    </row>
    <row r="4672" spans="1:10" x14ac:dyDescent="0.25">
      <c r="A4672" t="s">
        <v>2883</v>
      </c>
      <c r="B4672" t="s">
        <v>2293</v>
      </c>
      <c r="C4672" t="s">
        <v>3390</v>
      </c>
      <c r="D4672" s="1" t="s">
        <v>3391</v>
      </c>
      <c r="E4672" t="s">
        <v>14</v>
      </c>
      <c r="F4672">
        <v>44.567</v>
      </c>
      <c r="G4672">
        <v>6.0830000000000002</v>
      </c>
      <c r="H4672">
        <v>1</v>
      </c>
      <c r="I4672">
        <v>733</v>
      </c>
      <c r="J4672" t="str">
        <f>HYPERLINK("https://climate.onebuilding.org/WMO_Region_6_Europe/FRA_France/PR_Provence-Alpes-Cote_d-Azur/FRA_PR_Gap-Tallard.075900_TMYx.2007-2021.zip")</f>
        <v>https://climate.onebuilding.org/WMO_Region_6_Europe/FRA_France/PR_Provence-Alpes-Cote_d-Azur/FRA_PR_Gap-Tallard.075900_TMYx.2007-2021.zip</v>
      </c>
    </row>
    <row r="4673" spans="1:10" x14ac:dyDescent="0.25">
      <c r="A4673" t="s">
        <v>2883</v>
      </c>
      <c r="B4673" t="s">
        <v>2293</v>
      </c>
      <c r="C4673" t="s">
        <v>3390</v>
      </c>
      <c r="D4673" s="1" t="s">
        <v>3391</v>
      </c>
      <c r="E4673" t="s">
        <v>14</v>
      </c>
      <c r="F4673">
        <v>44.567</v>
      </c>
      <c r="G4673">
        <v>6.0830000000000002</v>
      </c>
      <c r="H4673">
        <v>1</v>
      </c>
      <c r="I4673">
        <v>733</v>
      </c>
      <c r="J4673" t="str">
        <f>HYPERLINK("https://climate.onebuilding.org/WMO_Region_6_Europe/FRA_France/PR_Provence-Alpes-Cote_d-Azur/FRA_PR_Gap-Tallard.075900_TMYx.2009-2023.zip")</f>
        <v>https://climate.onebuilding.org/WMO_Region_6_Europe/FRA_France/PR_Provence-Alpes-Cote_d-Azur/FRA_PR_Gap-Tallard.075900_TMYx.2009-2023.zip</v>
      </c>
    </row>
    <row r="4674" spans="1:10" x14ac:dyDescent="0.25">
      <c r="A4674" t="s">
        <v>2883</v>
      </c>
      <c r="B4674" t="s">
        <v>2293</v>
      </c>
      <c r="C4674" t="s">
        <v>3390</v>
      </c>
      <c r="D4674" s="1" t="s">
        <v>3391</v>
      </c>
      <c r="E4674" t="s">
        <v>14</v>
      </c>
      <c r="F4674">
        <v>44.567</v>
      </c>
      <c r="G4674">
        <v>6.0830000000000002</v>
      </c>
      <c r="H4674">
        <v>1</v>
      </c>
      <c r="I4674">
        <v>733</v>
      </c>
      <c r="J4674" t="str">
        <f>HYPERLINK("https://climate.onebuilding.org/WMO_Region_6_Europe/FRA_France/PR_Provence-Alpes-Cote_d-Azur/FRA_PR_Gap-Tallard.075900_TMYx.zip")</f>
        <v>https://climate.onebuilding.org/WMO_Region_6_Europe/FRA_France/PR_Provence-Alpes-Cote_d-Azur/FRA_PR_Gap-Tallard.075900_TMYx.zip</v>
      </c>
    </row>
    <row r="4675" spans="1:10" x14ac:dyDescent="0.25">
      <c r="A4675" t="s">
        <v>2883</v>
      </c>
      <c r="B4675" t="s">
        <v>2293</v>
      </c>
      <c r="C4675" t="s">
        <v>3392</v>
      </c>
      <c r="D4675" s="1" t="s">
        <v>3393</v>
      </c>
      <c r="E4675" t="s">
        <v>3394</v>
      </c>
      <c r="F4675">
        <v>44.565600000000003</v>
      </c>
      <c r="G4675">
        <v>6.5022000000000002</v>
      </c>
      <c r="H4675">
        <v>1</v>
      </c>
      <c r="I4675">
        <v>877</v>
      </c>
      <c r="J4675" t="str">
        <f>HYPERLINK("https://climate.onebuilding.org/WMO_Region_6_Europe/FRA_France/PR_Provence-Alpes-Cote_d-Azur/FRA_PR_Embrun.075910_TMYx.2004-2018.zip")</f>
        <v>https://climate.onebuilding.org/WMO_Region_6_Europe/FRA_France/PR_Provence-Alpes-Cote_d-Azur/FRA_PR_Embrun.075910_TMYx.2004-2018.zip</v>
      </c>
    </row>
    <row r="4676" spans="1:10" x14ac:dyDescent="0.25">
      <c r="A4676" t="s">
        <v>2883</v>
      </c>
      <c r="B4676" t="s">
        <v>2293</v>
      </c>
      <c r="C4676" t="s">
        <v>3392</v>
      </c>
      <c r="D4676" s="1" t="s">
        <v>3393</v>
      </c>
      <c r="E4676" t="s">
        <v>14</v>
      </c>
      <c r="F4676">
        <v>44.565600000000003</v>
      </c>
      <c r="G4676">
        <v>6.5022000000000002</v>
      </c>
      <c r="H4676">
        <v>1</v>
      </c>
      <c r="I4676">
        <v>877</v>
      </c>
      <c r="J4676" t="str">
        <f>HYPERLINK("https://climate.onebuilding.org/WMO_Region_6_Europe/FRA_France/PR_Provence-Alpes-Cote_d-Azur/FRA_PR_Embrun.075910_TMYx.2007-2021.zip")</f>
        <v>https://climate.onebuilding.org/WMO_Region_6_Europe/FRA_France/PR_Provence-Alpes-Cote_d-Azur/FRA_PR_Embrun.075910_TMYx.2007-2021.zip</v>
      </c>
    </row>
    <row r="4677" spans="1:10" x14ac:dyDescent="0.25">
      <c r="A4677" t="s">
        <v>2883</v>
      </c>
      <c r="B4677" t="s">
        <v>2293</v>
      </c>
      <c r="C4677" t="s">
        <v>3392</v>
      </c>
      <c r="D4677" s="1" t="s">
        <v>3393</v>
      </c>
      <c r="E4677" t="s">
        <v>14</v>
      </c>
      <c r="F4677">
        <v>44.565600000000003</v>
      </c>
      <c r="G4677">
        <v>6.5022000000000002</v>
      </c>
      <c r="H4677">
        <v>1</v>
      </c>
      <c r="I4677">
        <v>877</v>
      </c>
      <c r="J4677" t="str">
        <f>HYPERLINK("https://climate.onebuilding.org/WMO_Region_6_Europe/FRA_France/PR_Provence-Alpes-Cote_d-Azur/FRA_PR_Embrun.075910_TMYx.2009-2023.zip")</f>
        <v>https://climate.onebuilding.org/WMO_Region_6_Europe/FRA_France/PR_Provence-Alpes-Cote_d-Azur/FRA_PR_Embrun.075910_TMYx.2009-2023.zip</v>
      </c>
    </row>
    <row r="4678" spans="1:10" x14ac:dyDescent="0.25">
      <c r="A4678" t="s">
        <v>2883</v>
      </c>
      <c r="B4678" t="s">
        <v>2293</v>
      </c>
      <c r="C4678" t="s">
        <v>3392</v>
      </c>
      <c r="D4678" s="1" t="s">
        <v>3393</v>
      </c>
      <c r="E4678" t="s">
        <v>14</v>
      </c>
      <c r="F4678">
        <v>44.565600000000003</v>
      </c>
      <c r="G4678">
        <v>6.5022000000000002</v>
      </c>
      <c r="H4678">
        <v>1</v>
      </c>
      <c r="I4678">
        <v>877</v>
      </c>
      <c r="J4678" t="str">
        <f>HYPERLINK("https://climate.onebuilding.org/WMO_Region_6_Europe/FRA_France/PR_Provence-Alpes-Cote_d-Azur/FRA_PR_Embrun.075910_TMYx.zip")</f>
        <v>https://climate.onebuilding.org/WMO_Region_6_Europe/FRA_France/PR_Provence-Alpes-Cote_d-Azur/FRA_PR_Embrun.075910_TMYx.zip</v>
      </c>
    </row>
    <row r="4679" spans="1:10" x14ac:dyDescent="0.25">
      <c r="A4679" t="s">
        <v>2883</v>
      </c>
      <c r="B4679" t="s">
        <v>2293</v>
      </c>
      <c r="C4679" t="s">
        <v>3395</v>
      </c>
      <c r="D4679" s="1" t="s">
        <v>3396</v>
      </c>
      <c r="E4679" t="s">
        <v>14</v>
      </c>
      <c r="F4679">
        <v>44.667000000000002</v>
      </c>
      <c r="G4679">
        <v>6.65</v>
      </c>
      <c r="H4679">
        <v>1</v>
      </c>
      <c r="I4679">
        <v>995</v>
      </c>
      <c r="J4679" t="str">
        <f>HYPERLINK("https://climate.onebuilding.org/WMO_Region_6_Europe/FRA_France/PR_Provence-Alpes-Cote_d-Azur/FRA_PR_Guillestre.075920_TMYx.zip")</f>
        <v>https://climate.onebuilding.org/WMO_Region_6_Europe/FRA_France/PR_Provence-Alpes-Cote_d-Azur/FRA_PR_Guillestre.075920_TMYx.zip</v>
      </c>
    </row>
    <row r="4680" spans="1:10" x14ac:dyDescent="0.25">
      <c r="A4680" t="s">
        <v>2883</v>
      </c>
      <c r="B4680" t="s">
        <v>2038</v>
      </c>
      <c r="C4680" t="s">
        <v>3397</v>
      </c>
      <c r="D4680" s="1" t="s">
        <v>3398</v>
      </c>
      <c r="E4680" t="s">
        <v>14</v>
      </c>
      <c r="F4680">
        <v>44.880299999999998</v>
      </c>
      <c r="G4680">
        <v>6.6402999999999999</v>
      </c>
      <c r="H4680">
        <v>1</v>
      </c>
      <c r="I4680">
        <v>1245</v>
      </c>
      <c r="J4680" t="str">
        <f>HYPERLINK("https://climate.onebuilding.org/WMO_Region_6_Europe/FRA_France/AR_Auvergne-Rhone-Alpes/FRA_AR_Villar.Saint.Pancrace.075930_TMYx.zip")</f>
        <v>https://climate.onebuilding.org/WMO_Region_6_Europe/FRA_France/AR_Auvergne-Rhone-Alpes/FRA_AR_Villar.Saint.Pancrace.075930_TMYx.zip</v>
      </c>
    </row>
    <row r="4681" spans="1:10" x14ac:dyDescent="0.25">
      <c r="A4681" t="s">
        <v>2883</v>
      </c>
      <c r="B4681" t="s">
        <v>3203</v>
      </c>
      <c r="C4681" t="s">
        <v>3399</v>
      </c>
      <c r="D4681" s="1" t="s">
        <v>3400</v>
      </c>
      <c r="E4681" t="s">
        <v>3401</v>
      </c>
      <c r="F4681">
        <v>43.394500000000001</v>
      </c>
      <c r="G4681">
        <v>-1.6863999999999999</v>
      </c>
      <c r="H4681">
        <v>1</v>
      </c>
      <c r="I4681">
        <v>43</v>
      </c>
      <c r="J4681" t="str">
        <f>HYPERLINK("https://climate.onebuilding.org/WMO_Region_6_Europe/FRA_France/AC_Nouvelle-Aquitaine/FRA_AC_Socoa.076000_TMYx.2004-2018.zip")</f>
        <v>https://climate.onebuilding.org/WMO_Region_6_Europe/FRA_France/AC_Nouvelle-Aquitaine/FRA_AC_Socoa.076000_TMYx.2004-2018.zip</v>
      </c>
    </row>
    <row r="4682" spans="1:10" x14ac:dyDescent="0.25">
      <c r="A4682" t="s">
        <v>2883</v>
      </c>
      <c r="B4682" t="s">
        <v>3203</v>
      </c>
      <c r="C4682" t="s">
        <v>3399</v>
      </c>
      <c r="D4682" s="1" t="s">
        <v>3400</v>
      </c>
      <c r="E4682" t="s">
        <v>14</v>
      </c>
      <c r="F4682">
        <v>43.394500000000001</v>
      </c>
      <c r="G4682">
        <v>-1.6863999999999999</v>
      </c>
      <c r="H4682">
        <v>1</v>
      </c>
      <c r="I4682">
        <v>43</v>
      </c>
      <c r="J4682" t="str">
        <f>HYPERLINK("https://climate.onebuilding.org/WMO_Region_6_Europe/FRA_France/AC_Nouvelle-Aquitaine/FRA_AC_Socoa.076000_TMYx.2007-2021.zip")</f>
        <v>https://climate.onebuilding.org/WMO_Region_6_Europe/FRA_France/AC_Nouvelle-Aquitaine/FRA_AC_Socoa.076000_TMYx.2007-2021.zip</v>
      </c>
    </row>
    <row r="4683" spans="1:10" x14ac:dyDescent="0.25">
      <c r="A4683" t="s">
        <v>2883</v>
      </c>
      <c r="B4683" t="s">
        <v>3203</v>
      </c>
      <c r="C4683" t="s">
        <v>3399</v>
      </c>
      <c r="D4683" s="1" t="s">
        <v>3400</v>
      </c>
      <c r="E4683" t="s">
        <v>14</v>
      </c>
      <c r="F4683">
        <v>43.394500000000001</v>
      </c>
      <c r="G4683">
        <v>-1.6863999999999999</v>
      </c>
      <c r="H4683">
        <v>1</v>
      </c>
      <c r="I4683">
        <v>43</v>
      </c>
      <c r="J4683" t="str">
        <f>HYPERLINK("https://climate.onebuilding.org/WMO_Region_6_Europe/FRA_France/AC_Nouvelle-Aquitaine/FRA_AC_Socoa.076000_TMYx.2009-2023.zip")</f>
        <v>https://climate.onebuilding.org/WMO_Region_6_Europe/FRA_France/AC_Nouvelle-Aquitaine/FRA_AC_Socoa.076000_TMYx.2009-2023.zip</v>
      </c>
    </row>
    <row r="4684" spans="1:10" x14ac:dyDescent="0.25">
      <c r="A4684" t="s">
        <v>2883</v>
      </c>
      <c r="B4684" t="s">
        <v>3203</v>
      </c>
      <c r="C4684" t="s">
        <v>3399</v>
      </c>
      <c r="D4684" s="1" t="s">
        <v>3400</v>
      </c>
      <c r="E4684" t="s">
        <v>14</v>
      </c>
      <c r="F4684">
        <v>43.394500000000001</v>
      </c>
      <c r="G4684">
        <v>-1.6863999999999999</v>
      </c>
      <c r="H4684">
        <v>1</v>
      </c>
      <c r="I4684">
        <v>43</v>
      </c>
      <c r="J4684" t="str">
        <f>HYPERLINK("https://climate.onebuilding.org/WMO_Region_6_Europe/FRA_France/AC_Nouvelle-Aquitaine/FRA_AC_Socoa.076000_TMYx.zip")</f>
        <v>https://climate.onebuilding.org/WMO_Region_6_Europe/FRA_France/AC_Nouvelle-Aquitaine/FRA_AC_Socoa.076000_TMYx.zip</v>
      </c>
    </row>
    <row r="4685" spans="1:10" x14ac:dyDescent="0.25">
      <c r="A4685" t="s">
        <v>2883</v>
      </c>
      <c r="B4685" t="s">
        <v>3203</v>
      </c>
      <c r="C4685" t="s">
        <v>3402</v>
      </c>
      <c r="D4685" s="1" t="s">
        <v>3403</v>
      </c>
      <c r="E4685" t="s">
        <v>3404</v>
      </c>
      <c r="F4685">
        <v>43.4694</v>
      </c>
      <c r="G4685">
        <v>-1.5344</v>
      </c>
      <c r="H4685">
        <v>1</v>
      </c>
      <c r="I4685">
        <v>71</v>
      </c>
      <c r="J4685" t="str">
        <f>HYPERLINK("https://climate.onebuilding.org/WMO_Region_6_Europe/FRA_France/AC_Nouvelle-Aquitaine/FRA_AC_Biarritz-Anglet-Bayonne.AP.076020_TMYx.2004-2018.zip")</f>
        <v>https://climate.onebuilding.org/WMO_Region_6_Europe/FRA_France/AC_Nouvelle-Aquitaine/FRA_AC_Biarritz-Anglet-Bayonne.AP.076020_TMYx.2004-2018.zip</v>
      </c>
    </row>
    <row r="4686" spans="1:10" x14ac:dyDescent="0.25">
      <c r="A4686" t="s">
        <v>2883</v>
      </c>
      <c r="B4686" t="s">
        <v>3203</v>
      </c>
      <c r="C4686" t="s">
        <v>3402</v>
      </c>
      <c r="D4686" s="1" t="s">
        <v>3403</v>
      </c>
      <c r="E4686" t="s">
        <v>14</v>
      </c>
      <c r="F4686">
        <v>43.4694</v>
      </c>
      <c r="G4686">
        <v>-1.5344</v>
      </c>
      <c r="H4686">
        <v>1</v>
      </c>
      <c r="I4686">
        <v>71</v>
      </c>
      <c r="J4686" t="str">
        <f>HYPERLINK("https://climate.onebuilding.org/WMO_Region_6_Europe/FRA_France/AC_Nouvelle-Aquitaine/FRA_AC_Biarritz-Anglet-Bayonne.AP.076020_TMYx.2007-2021.zip")</f>
        <v>https://climate.onebuilding.org/WMO_Region_6_Europe/FRA_France/AC_Nouvelle-Aquitaine/FRA_AC_Biarritz-Anglet-Bayonne.AP.076020_TMYx.2007-2021.zip</v>
      </c>
    </row>
    <row r="4687" spans="1:10" x14ac:dyDescent="0.25">
      <c r="A4687" t="s">
        <v>2883</v>
      </c>
      <c r="B4687" t="s">
        <v>3203</v>
      </c>
      <c r="C4687" t="s">
        <v>3402</v>
      </c>
      <c r="D4687" s="1" t="s">
        <v>3403</v>
      </c>
      <c r="E4687" t="s">
        <v>14</v>
      </c>
      <c r="F4687">
        <v>43.4694</v>
      </c>
      <c r="G4687">
        <v>-1.5344</v>
      </c>
      <c r="H4687">
        <v>1</v>
      </c>
      <c r="I4687">
        <v>71</v>
      </c>
      <c r="J4687" t="str">
        <f>HYPERLINK("https://climate.onebuilding.org/WMO_Region_6_Europe/FRA_France/AC_Nouvelle-Aquitaine/FRA_AC_Biarritz-Anglet-Bayonne.AP.076020_TMYx.2009-2023.zip")</f>
        <v>https://climate.onebuilding.org/WMO_Region_6_Europe/FRA_France/AC_Nouvelle-Aquitaine/FRA_AC_Biarritz-Anglet-Bayonne.AP.076020_TMYx.2009-2023.zip</v>
      </c>
    </row>
    <row r="4688" spans="1:10" x14ac:dyDescent="0.25">
      <c r="A4688" t="s">
        <v>2883</v>
      </c>
      <c r="B4688" t="s">
        <v>3203</v>
      </c>
      <c r="C4688" t="s">
        <v>3402</v>
      </c>
      <c r="D4688" s="1" t="s">
        <v>3403</v>
      </c>
      <c r="E4688" t="s">
        <v>14</v>
      </c>
      <c r="F4688">
        <v>43.4694</v>
      </c>
      <c r="G4688">
        <v>-1.5344</v>
      </c>
      <c r="H4688">
        <v>1</v>
      </c>
      <c r="I4688">
        <v>71</v>
      </c>
      <c r="J4688" t="str">
        <f>HYPERLINK("https://climate.onebuilding.org/WMO_Region_6_Europe/FRA_France/AC_Nouvelle-Aquitaine/FRA_AC_Biarritz-Anglet-Bayonne.AP.076020_TMYx.zip")</f>
        <v>https://climate.onebuilding.org/WMO_Region_6_Europe/FRA_France/AC_Nouvelle-Aquitaine/FRA_AC_Biarritz-Anglet-Bayonne.AP.076020_TMYx.zip</v>
      </c>
    </row>
    <row r="4689" spans="1:10" x14ac:dyDescent="0.25">
      <c r="A4689" t="s">
        <v>2883</v>
      </c>
      <c r="B4689" t="s">
        <v>3203</v>
      </c>
      <c r="C4689" t="s">
        <v>3405</v>
      </c>
      <c r="D4689" s="1" t="s">
        <v>3406</v>
      </c>
      <c r="E4689" t="s">
        <v>3407</v>
      </c>
      <c r="F4689">
        <v>43.689700000000002</v>
      </c>
      <c r="G4689">
        <v>-1.07</v>
      </c>
      <c r="H4689">
        <v>1</v>
      </c>
      <c r="I4689">
        <v>31</v>
      </c>
      <c r="J4689" t="str">
        <f>HYPERLINK("https://climate.onebuilding.org/WMO_Region_6_Europe/FRA_France/AC_Nouvelle-Aquitaine/FRA_AC_Seyresse-Dax.AF.076030_TMYx.2004-2018.zip")</f>
        <v>https://climate.onebuilding.org/WMO_Region_6_Europe/FRA_France/AC_Nouvelle-Aquitaine/FRA_AC_Seyresse-Dax.AF.076030_TMYx.2004-2018.zip</v>
      </c>
    </row>
    <row r="4690" spans="1:10" x14ac:dyDescent="0.25">
      <c r="A4690" t="s">
        <v>2883</v>
      </c>
      <c r="B4690" t="s">
        <v>3203</v>
      </c>
      <c r="C4690" t="s">
        <v>3405</v>
      </c>
      <c r="D4690" s="1" t="s">
        <v>3406</v>
      </c>
      <c r="E4690" t="s">
        <v>14</v>
      </c>
      <c r="F4690">
        <v>43.689700000000002</v>
      </c>
      <c r="G4690">
        <v>-1.07</v>
      </c>
      <c r="H4690">
        <v>1</v>
      </c>
      <c r="I4690">
        <v>31</v>
      </c>
      <c r="J4690" t="str">
        <f>HYPERLINK("https://climate.onebuilding.org/WMO_Region_6_Europe/FRA_France/AC_Nouvelle-Aquitaine/FRA_AC_Seyresse-Dax.AF.076030_TMYx.2007-2021.zip")</f>
        <v>https://climate.onebuilding.org/WMO_Region_6_Europe/FRA_France/AC_Nouvelle-Aquitaine/FRA_AC_Seyresse-Dax.AF.076030_TMYx.2007-2021.zip</v>
      </c>
    </row>
    <row r="4691" spans="1:10" x14ac:dyDescent="0.25">
      <c r="A4691" t="s">
        <v>2883</v>
      </c>
      <c r="B4691" t="s">
        <v>3203</v>
      </c>
      <c r="C4691" t="s">
        <v>3405</v>
      </c>
      <c r="D4691" s="1" t="s">
        <v>3406</v>
      </c>
      <c r="E4691" t="s">
        <v>14</v>
      </c>
      <c r="F4691">
        <v>43.689700000000002</v>
      </c>
      <c r="G4691">
        <v>-1.07</v>
      </c>
      <c r="H4691">
        <v>1</v>
      </c>
      <c r="I4691">
        <v>31</v>
      </c>
      <c r="J4691" t="str">
        <f>HYPERLINK("https://climate.onebuilding.org/WMO_Region_6_Europe/FRA_France/AC_Nouvelle-Aquitaine/FRA_AC_Seyresse-Dax.AF.076030_TMYx.2009-2023.zip")</f>
        <v>https://climate.onebuilding.org/WMO_Region_6_Europe/FRA_France/AC_Nouvelle-Aquitaine/FRA_AC_Seyresse-Dax.AF.076030_TMYx.2009-2023.zip</v>
      </c>
    </row>
    <row r="4692" spans="1:10" x14ac:dyDescent="0.25">
      <c r="A4692" t="s">
        <v>2883</v>
      </c>
      <c r="B4692" t="s">
        <v>3203</v>
      </c>
      <c r="C4692" t="s">
        <v>3405</v>
      </c>
      <c r="D4692" s="1" t="s">
        <v>3406</v>
      </c>
      <c r="E4692" t="s">
        <v>14</v>
      </c>
      <c r="F4692">
        <v>43.689700000000002</v>
      </c>
      <c r="G4692">
        <v>-1.07</v>
      </c>
      <c r="H4692">
        <v>1</v>
      </c>
      <c r="I4692">
        <v>31</v>
      </c>
      <c r="J4692" t="str">
        <f>HYPERLINK("https://climate.onebuilding.org/WMO_Region_6_Europe/FRA_France/AC_Nouvelle-Aquitaine/FRA_AC_Seyresse-Dax.AF.076030_TMYx.zip")</f>
        <v>https://climate.onebuilding.org/WMO_Region_6_Europe/FRA_France/AC_Nouvelle-Aquitaine/FRA_AC_Seyresse-Dax.AF.076030_TMYx.zip</v>
      </c>
    </row>
    <row r="4693" spans="1:10" x14ac:dyDescent="0.25">
      <c r="A4693" t="s">
        <v>2883</v>
      </c>
      <c r="B4693" t="s">
        <v>3203</v>
      </c>
      <c r="C4693" t="s">
        <v>3408</v>
      </c>
      <c r="D4693" s="1" t="s">
        <v>3409</v>
      </c>
      <c r="E4693" t="s">
        <v>3410</v>
      </c>
      <c r="F4693">
        <v>43.909700000000001</v>
      </c>
      <c r="G4693">
        <v>-0.50029999999999997</v>
      </c>
      <c r="H4693">
        <v>1</v>
      </c>
      <c r="I4693">
        <v>59</v>
      </c>
      <c r="J4693" t="str">
        <f>HYPERLINK("https://climate.onebuilding.org/WMO_Region_6_Europe/FRA_France/AC_Nouvelle-Aquitaine/FRA_AC_Mont-de-Marsan.AB.076070_TMYx.2004-2018.zip")</f>
        <v>https://climate.onebuilding.org/WMO_Region_6_Europe/FRA_France/AC_Nouvelle-Aquitaine/FRA_AC_Mont-de-Marsan.AB.076070_TMYx.2004-2018.zip</v>
      </c>
    </row>
    <row r="4694" spans="1:10" x14ac:dyDescent="0.25">
      <c r="A4694" t="s">
        <v>2883</v>
      </c>
      <c r="B4694" t="s">
        <v>3203</v>
      </c>
      <c r="C4694" t="s">
        <v>3408</v>
      </c>
      <c r="D4694" s="1" t="s">
        <v>3409</v>
      </c>
      <c r="E4694" t="s">
        <v>14</v>
      </c>
      <c r="F4694">
        <v>43.909700000000001</v>
      </c>
      <c r="G4694">
        <v>-0.50029999999999997</v>
      </c>
      <c r="H4694">
        <v>1</v>
      </c>
      <c r="I4694">
        <v>59</v>
      </c>
      <c r="J4694" t="str">
        <f>HYPERLINK("https://climate.onebuilding.org/WMO_Region_6_Europe/FRA_France/AC_Nouvelle-Aquitaine/FRA_AC_Mont-de-Marsan.AB.076070_TMYx.2007-2021.zip")</f>
        <v>https://climate.onebuilding.org/WMO_Region_6_Europe/FRA_France/AC_Nouvelle-Aquitaine/FRA_AC_Mont-de-Marsan.AB.076070_TMYx.2007-2021.zip</v>
      </c>
    </row>
    <row r="4695" spans="1:10" x14ac:dyDescent="0.25">
      <c r="A4695" t="s">
        <v>2883</v>
      </c>
      <c r="B4695" t="s">
        <v>3203</v>
      </c>
      <c r="C4695" t="s">
        <v>3408</v>
      </c>
      <c r="D4695" s="1" t="s">
        <v>3409</v>
      </c>
      <c r="E4695" t="s">
        <v>14</v>
      </c>
      <c r="F4695">
        <v>43.909700000000001</v>
      </c>
      <c r="G4695">
        <v>-0.50029999999999997</v>
      </c>
      <c r="H4695">
        <v>1</v>
      </c>
      <c r="I4695">
        <v>59</v>
      </c>
      <c r="J4695" t="str">
        <f>HYPERLINK("https://climate.onebuilding.org/WMO_Region_6_Europe/FRA_France/AC_Nouvelle-Aquitaine/FRA_AC_Mont-de-Marsan.AB.076070_TMYx.2009-2023.zip")</f>
        <v>https://climate.onebuilding.org/WMO_Region_6_Europe/FRA_France/AC_Nouvelle-Aquitaine/FRA_AC_Mont-de-Marsan.AB.076070_TMYx.2009-2023.zip</v>
      </c>
    </row>
    <row r="4696" spans="1:10" x14ac:dyDescent="0.25">
      <c r="A4696" t="s">
        <v>2883</v>
      </c>
      <c r="B4696" t="s">
        <v>3203</v>
      </c>
      <c r="C4696" t="s">
        <v>3408</v>
      </c>
      <c r="D4696" s="1" t="s">
        <v>3409</v>
      </c>
      <c r="E4696" t="s">
        <v>14</v>
      </c>
      <c r="F4696">
        <v>43.909700000000001</v>
      </c>
      <c r="G4696">
        <v>-0.50029999999999997</v>
      </c>
      <c r="H4696">
        <v>1</v>
      </c>
      <c r="I4696">
        <v>59</v>
      </c>
      <c r="J4696" t="str">
        <f>HYPERLINK("https://climate.onebuilding.org/WMO_Region_6_Europe/FRA_France/AC_Nouvelle-Aquitaine/FRA_AC_Mont-de-Marsan.AB.076070_TMYx.zip")</f>
        <v>https://climate.onebuilding.org/WMO_Region_6_Europe/FRA_France/AC_Nouvelle-Aquitaine/FRA_AC_Mont-de-Marsan.AB.076070_TMYx.zip</v>
      </c>
    </row>
    <row r="4697" spans="1:10" x14ac:dyDescent="0.25">
      <c r="A4697" t="s">
        <v>2883</v>
      </c>
      <c r="B4697" t="s">
        <v>3203</v>
      </c>
      <c r="C4697" t="s">
        <v>3411</v>
      </c>
      <c r="D4697" s="1" t="s">
        <v>3412</v>
      </c>
      <c r="E4697" t="s">
        <v>3413</v>
      </c>
      <c r="F4697">
        <v>43.384999999999998</v>
      </c>
      <c r="G4697">
        <v>-0.41639999999999999</v>
      </c>
      <c r="H4697">
        <v>1</v>
      </c>
      <c r="I4697">
        <v>183</v>
      </c>
      <c r="J4697" t="str">
        <f>HYPERLINK("https://climate.onebuilding.org/WMO_Region_6_Europe/FRA_France/AC_Nouvelle-Aquitaine/FRA_AC_Pyrenees.AP.076100_TMYx.2004-2018.zip")</f>
        <v>https://climate.onebuilding.org/WMO_Region_6_Europe/FRA_France/AC_Nouvelle-Aquitaine/FRA_AC_Pyrenees.AP.076100_TMYx.2004-2018.zip</v>
      </c>
    </row>
    <row r="4698" spans="1:10" x14ac:dyDescent="0.25">
      <c r="A4698" t="s">
        <v>2883</v>
      </c>
      <c r="B4698" t="s">
        <v>3203</v>
      </c>
      <c r="C4698" t="s">
        <v>3411</v>
      </c>
      <c r="D4698" s="1" t="s">
        <v>3412</v>
      </c>
      <c r="E4698" t="s">
        <v>14</v>
      </c>
      <c r="F4698">
        <v>43.384999999999998</v>
      </c>
      <c r="G4698">
        <v>-0.41639999999999999</v>
      </c>
      <c r="H4698">
        <v>1</v>
      </c>
      <c r="I4698">
        <v>183</v>
      </c>
      <c r="J4698" t="str">
        <f>HYPERLINK("https://climate.onebuilding.org/WMO_Region_6_Europe/FRA_France/AC_Nouvelle-Aquitaine/FRA_AC_Pyrenees.AP.076100_TMYx.2007-2021.zip")</f>
        <v>https://climate.onebuilding.org/WMO_Region_6_Europe/FRA_France/AC_Nouvelle-Aquitaine/FRA_AC_Pyrenees.AP.076100_TMYx.2007-2021.zip</v>
      </c>
    </row>
    <row r="4699" spans="1:10" x14ac:dyDescent="0.25">
      <c r="A4699" t="s">
        <v>2883</v>
      </c>
      <c r="B4699" t="s">
        <v>3203</v>
      </c>
      <c r="C4699" t="s">
        <v>3411</v>
      </c>
      <c r="D4699" s="1" t="s">
        <v>3412</v>
      </c>
      <c r="E4699" t="s">
        <v>14</v>
      </c>
      <c r="F4699">
        <v>43.384999999999998</v>
      </c>
      <c r="G4699">
        <v>-0.41639999999999999</v>
      </c>
      <c r="H4699">
        <v>1</v>
      </c>
      <c r="I4699">
        <v>183</v>
      </c>
      <c r="J4699" t="str">
        <f>HYPERLINK("https://climate.onebuilding.org/WMO_Region_6_Europe/FRA_France/AC_Nouvelle-Aquitaine/FRA_AC_Pyrenees.AP.076100_TMYx.2009-2023.zip")</f>
        <v>https://climate.onebuilding.org/WMO_Region_6_Europe/FRA_France/AC_Nouvelle-Aquitaine/FRA_AC_Pyrenees.AP.076100_TMYx.2009-2023.zip</v>
      </c>
    </row>
    <row r="4700" spans="1:10" x14ac:dyDescent="0.25">
      <c r="A4700" t="s">
        <v>2883</v>
      </c>
      <c r="B4700" t="s">
        <v>3203</v>
      </c>
      <c r="C4700" t="s">
        <v>3411</v>
      </c>
      <c r="D4700" s="1" t="s">
        <v>3412</v>
      </c>
      <c r="E4700" t="s">
        <v>14</v>
      </c>
      <c r="F4700">
        <v>43.384999999999998</v>
      </c>
      <c r="G4700">
        <v>-0.41639999999999999</v>
      </c>
      <c r="H4700">
        <v>1</v>
      </c>
      <c r="I4700">
        <v>183</v>
      </c>
      <c r="J4700" t="str">
        <f>HYPERLINK("https://climate.onebuilding.org/WMO_Region_6_Europe/FRA_France/AC_Nouvelle-Aquitaine/FRA_AC_Pyrenees.AP.076100_TMYx.zip")</f>
        <v>https://climate.onebuilding.org/WMO_Region_6_Europe/FRA_France/AC_Nouvelle-Aquitaine/FRA_AC_Pyrenees.AP.076100_TMYx.zip</v>
      </c>
    </row>
    <row r="4701" spans="1:10" x14ac:dyDescent="0.25">
      <c r="A4701" t="s">
        <v>2883</v>
      </c>
      <c r="B4701" t="s">
        <v>3064</v>
      </c>
      <c r="C4701" t="s">
        <v>3414</v>
      </c>
      <c r="D4701" s="1" t="s">
        <v>3415</v>
      </c>
      <c r="E4701" t="s">
        <v>3416</v>
      </c>
      <c r="F4701">
        <v>43.188099999999999</v>
      </c>
      <c r="G4701">
        <v>0</v>
      </c>
      <c r="H4701">
        <v>1</v>
      </c>
      <c r="I4701">
        <v>364</v>
      </c>
      <c r="J4701" t="str">
        <f>HYPERLINK("https://climate.onebuilding.org/WMO_Region_6_Europe/FRA_France/LP_Occitanie/FRA_LP_Tarbes-Lourdes.Pyrenees.AP.076210_TMYx.2004-2018.zip")</f>
        <v>https://climate.onebuilding.org/WMO_Region_6_Europe/FRA_France/LP_Occitanie/FRA_LP_Tarbes-Lourdes.Pyrenees.AP.076210_TMYx.2004-2018.zip</v>
      </c>
    </row>
    <row r="4702" spans="1:10" x14ac:dyDescent="0.25">
      <c r="A4702" t="s">
        <v>2883</v>
      </c>
      <c r="B4702" t="s">
        <v>3064</v>
      </c>
      <c r="C4702" t="s">
        <v>3414</v>
      </c>
      <c r="D4702" s="1" t="s">
        <v>3415</v>
      </c>
      <c r="E4702" t="s">
        <v>14</v>
      </c>
      <c r="F4702">
        <v>43.188099999999999</v>
      </c>
      <c r="G4702">
        <v>0</v>
      </c>
      <c r="H4702">
        <v>1</v>
      </c>
      <c r="I4702">
        <v>364</v>
      </c>
      <c r="J4702" t="str">
        <f>HYPERLINK("https://climate.onebuilding.org/WMO_Region_6_Europe/FRA_France/LP_Occitanie/FRA_LP_Tarbes-Lourdes.Pyrenees.AP.076210_TMYx.2007-2021.zip")</f>
        <v>https://climate.onebuilding.org/WMO_Region_6_Europe/FRA_France/LP_Occitanie/FRA_LP_Tarbes-Lourdes.Pyrenees.AP.076210_TMYx.2007-2021.zip</v>
      </c>
    </row>
    <row r="4703" spans="1:10" x14ac:dyDescent="0.25">
      <c r="A4703" t="s">
        <v>2883</v>
      </c>
      <c r="B4703" t="s">
        <v>3064</v>
      </c>
      <c r="C4703" t="s">
        <v>3414</v>
      </c>
      <c r="D4703" s="1" t="s">
        <v>3415</v>
      </c>
      <c r="E4703" t="s">
        <v>14</v>
      </c>
      <c r="F4703">
        <v>43.188099999999999</v>
      </c>
      <c r="G4703">
        <v>0</v>
      </c>
      <c r="H4703">
        <v>1</v>
      </c>
      <c r="I4703">
        <v>364</v>
      </c>
      <c r="J4703" t="str">
        <f>HYPERLINK("https://climate.onebuilding.org/WMO_Region_6_Europe/FRA_France/LP_Occitanie/FRA_LP_Tarbes-Lourdes.Pyrenees.AP.076210_TMYx.2009-2023.zip")</f>
        <v>https://climate.onebuilding.org/WMO_Region_6_Europe/FRA_France/LP_Occitanie/FRA_LP_Tarbes-Lourdes.Pyrenees.AP.076210_TMYx.2009-2023.zip</v>
      </c>
    </row>
    <row r="4704" spans="1:10" x14ac:dyDescent="0.25">
      <c r="A4704" t="s">
        <v>2883</v>
      </c>
      <c r="B4704" t="s">
        <v>3064</v>
      </c>
      <c r="C4704" t="s">
        <v>3414</v>
      </c>
      <c r="D4704" s="1" t="s">
        <v>3415</v>
      </c>
      <c r="E4704" t="s">
        <v>14</v>
      </c>
      <c r="F4704">
        <v>43.188099999999999</v>
      </c>
      <c r="G4704">
        <v>0</v>
      </c>
      <c r="H4704">
        <v>1</v>
      </c>
      <c r="I4704">
        <v>364</v>
      </c>
      <c r="J4704" t="str">
        <f>HYPERLINK("https://climate.onebuilding.org/WMO_Region_6_Europe/FRA_France/LP_Occitanie/FRA_LP_Tarbes-Lourdes.Pyrenees.AP.076210_TMYx.zip")</f>
        <v>https://climate.onebuilding.org/WMO_Region_6_Europe/FRA_France/LP_Occitanie/FRA_LP_Tarbes-Lourdes.Pyrenees.AP.076210_TMYx.zip</v>
      </c>
    </row>
    <row r="4705" spans="1:10" x14ac:dyDescent="0.25">
      <c r="A4705" t="s">
        <v>2883</v>
      </c>
      <c r="B4705" t="s">
        <v>3064</v>
      </c>
      <c r="C4705" t="s">
        <v>3417</v>
      </c>
      <c r="D4705" s="1" t="s">
        <v>3418</v>
      </c>
      <c r="E4705" t="s">
        <v>3419</v>
      </c>
      <c r="F4705">
        <v>43.688899999999997</v>
      </c>
      <c r="G4705">
        <v>0.60109999999999997</v>
      </c>
      <c r="H4705">
        <v>1</v>
      </c>
      <c r="I4705">
        <v>128</v>
      </c>
      <c r="J4705" t="str">
        <f>HYPERLINK("https://climate.onebuilding.org/WMO_Region_6_Europe/FRA_France/LP_Occitanie/FRA_LP_Auch-Lamothe.AP.076220_TMYx.2004-2018.zip")</f>
        <v>https://climate.onebuilding.org/WMO_Region_6_Europe/FRA_France/LP_Occitanie/FRA_LP_Auch-Lamothe.AP.076220_TMYx.2004-2018.zip</v>
      </c>
    </row>
    <row r="4706" spans="1:10" x14ac:dyDescent="0.25">
      <c r="A4706" t="s">
        <v>2883</v>
      </c>
      <c r="B4706" t="s">
        <v>3064</v>
      </c>
      <c r="C4706" t="s">
        <v>3417</v>
      </c>
      <c r="D4706" s="1" t="s">
        <v>3418</v>
      </c>
      <c r="E4706" t="s">
        <v>14</v>
      </c>
      <c r="F4706">
        <v>43.688899999999997</v>
      </c>
      <c r="G4706">
        <v>0.60109999999999997</v>
      </c>
      <c r="H4706">
        <v>1</v>
      </c>
      <c r="I4706">
        <v>128</v>
      </c>
      <c r="J4706" t="str">
        <f>HYPERLINK("https://climate.onebuilding.org/WMO_Region_6_Europe/FRA_France/LP_Occitanie/FRA_LP_Auch-Lamothe.AP.076220_TMYx.2007-2021.zip")</f>
        <v>https://climate.onebuilding.org/WMO_Region_6_Europe/FRA_France/LP_Occitanie/FRA_LP_Auch-Lamothe.AP.076220_TMYx.2007-2021.zip</v>
      </c>
    </row>
    <row r="4707" spans="1:10" x14ac:dyDescent="0.25">
      <c r="A4707" t="s">
        <v>2883</v>
      </c>
      <c r="B4707" t="s">
        <v>3064</v>
      </c>
      <c r="C4707" t="s">
        <v>3417</v>
      </c>
      <c r="D4707" s="1" t="s">
        <v>3418</v>
      </c>
      <c r="E4707" t="s">
        <v>14</v>
      </c>
      <c r="F4707">
        <v>43.688899999999997</v>
      </c>
      <c r="G4707">
        <v>0.60109999999999997</v>
      </c>
      <c r="H4707">
        <v>1</v>
      </c>
      <c r="I4707">
        <v>128</v>
      </c>
      <c r="J4707" t="str">
        <f>HYPERLINK("https://climate.onebuilding.org/WMO_Region_6_Europe/FRA_France/LP_Occitanie/FRA_LP_Auch-Lamothe.AP.076220_TMYx.2009-2023.zip")</f>
        <v>https://climate.onebuilding.org/WMO_Region_6_Europe/FRA_France/LP_Occitanie/FRA_LP_Auch-Lamothe.AP.076220_TMYx.2009-2023.zip</v>
      </c>
    </row>
    <row r="4708" spans="1:10" x14ac:dyDescent="0.25">
      <c r="A4708" t="s">
        <v>2883</v>
      </c>
      <c r="B4708" t="s">
        <v>3064</v>
      </c>
      <c r="C4708" t="s">
        <v>3417</v>
      </c>
      <c r="D4708" s="1" t="s">
        <v>3418</v>
      </c>
      <c r="E4708" t="s">
        <v>14</v>
      </c>
      <c r="F4708">
        <v>43.688899999999997</v>
      </c>
      <c r="G4708">
        <v>0.60109999999999997</v>
      </c>
      <c r="H4708">
        <v>1</v>
      </c>
      <c r="I4708">
        <v>128</v>
      </c>
      <c r="J4708" t="str">
        <f>HYPERLINK("https://climate.onebuilding.org/WMO_Region_6_Europe/FRA_France/LP_Occitanie/FRA_LP_Auch-Lamothe.AP.076220_TMYx.zip")</f>
        <v>https://climate.onebuilding.org/WMO_Region_6_Europe/FRA_France/LP_Occitanie/FRA_LP_Auch-Lamothe.AP.076220_TMYx.zip</v>
      </c>
    </row>
    <row r="4709" spans="1:10" x14ac:dyDescent="0.25">
      <c r="A4709" t="s">
        <v>2883</v>
      </c>
      <c r="B4709" t="s">
        <v>3064</v>
      </c>
      <c r="C4709" t="s">
        <v>3420</v>
      </c>
      <c r="D4709" s="1" t="s">
        <v>3421</v>
      </c>
      <c r="E4709" t="s">
        <v>3422</v>
      </c>
      <c r="F4709">
        <v>43.005299999999998</v>
      </c>
      <c r="G4709">
        <v>1.1069</v>
      </c>
      <c r="H4709">
        <v>1</v>
      </c>
      <c r="I4709">
        <v>415</v>
      </c>
      <c r="J4709" t="str">
        <f>HYPERLINK("https://climate.onebuilding.org/WMO_Region_6_Europe/FRA_France/LP_Occitanie/FRA_LP_St.Girons-Antichan.AP.076270_TMYx.2004-2018.zip")</f>
        <v>https://climate.onebuilding.org/WMO_Region_6_Europe/FRA_France/LP_Occitanie/FRA_LP_St.Girons-Antichan.AP.076270_TMYx.2004-2018.zip</v>
      </c>
    </row>
    <row r="4710" spans="1:10" x14ac:dyDescent="0.25">
      <c r="A4710" t="s">
        <v>2883</v>
      </c>
      <c r="B4710" t="s">
        <v>3064</v>
      </c>
      <c r="C4710" t="s">
        <v>3420</v>
      </c>
      <c r="D4710" s="1" t="s">
        <v>3421</v>
      </c>
      <c r="E4710" t="s">
        <v>14</v>
      </c>
      <c r="F4710">
        <v>43.005299999999998</v>
      </c>
      <c r="G4710">
        <v>1.1069</v>
      </c>
      <c r="H4710">
        <v>1</v>
      </c>
      <c r="I4710">
        <v>415</v>
      </c>
      <c r="J4710" t="str">
        <f>HYPERLINK("https://climate.onebuilding.org/WMO_Region_6_Europe/FRA_France/LP_Occitanie/FRA_LP_St.Girons-Antichan.AP.076270_TMYx.2007-2021.zip")</f>
        <v>https://climate.onebuilding.org/WMO_Region_6_Europe/FRA_France/LP_Occitanie/FRA_LP_St.Girons-Antichan.AP.076270_TMYx.2007-2021.zip</v>
      </c>
    </row>
    <row r="4711" spans="1:10" x14ac:dyDescent="0.25">
      <c r="A4711" t="s">
        <v>2883</v>
      </c>
      <c r="B4711" t="s">
        <v>3064</v>
      </c>
      <c r="C4711" t="s">
        <v>3420</v>
      </c>
      <c r="D4711" s="1" t="s">
        <v>3421</v>
      </c>
      <c r="E4711" t="s">
        <v>14</v>
      </c>
      <c r="F4711">
        <v>43.005299999999998</v>
      </c>
      <c r="G4711">
        <v>1.1069</v>
      </c>
      <c r="H4711">
        <v>1</v>
      </c>
      <c r="I4711">
        <v>415</v>
      </c>
      <c r="J4711" t="str">
        <f>HYPERLINK("https://climate.onebuilding.org/WMO_Region_6_Europe/FRA_France/LP_Occitanie/FRA_LP_St.Girons-Antichan.AP.076270_TMYx.2009-2023.zip")</f>
        <v>https://climate.onebuilding.org/WMO_Region_6_Europe/FRA_France/LP_Occitanie/FRA_LP_St.Girons-Antichan.AP.076270_TMYx.2009-2023.zip</v>
      </c>
    </row>
    <row r="4712" spans="1:10" x14ac:dyDescent="0.25">
      <c r="A4712" t="s">
        <v>2883</v>
      </c>
      <c r="B4712" t="s">
        <v>3064</v>
      </c>
      <c r="C4712" t="s">
        <v>3420</v>
      </c>
      <c r="D4712" s="1" t="s">
        <v>3421</v>
      </c>
      <c r="E4712" t="s">
        <v>14</v>
      </c>
      <c r="F4712">
        <v>43.005299999999998</v>
      </c>
      <c r="G4712">
        <v>1.1069</v>
      </c>
      <c r="H4712">
        <v>1</v>
      </c>
      <c r="I4712">
        <v>415</v>
      </c>
      <c r="J4712" t="str">
        <f>HYPERLINK("https://climate.onebuilding.org/WMO_Region_6_Europe/FRA_France/LP_Occitanie/FRA_LP_St.Girons-Antichan.AP.076270_TMYx.zip")</f>
        <v>https://climate.onebuilding.org/WMO_Region_6_Europe/FRA_France/LP_Occitanie/FRA_LP_St.Girons-Antichan.AP.076270_TMYx.zip</v>
      </c>
    </row>
    <row r="4713" spans="1:10" x14ac:dyDescent="0.25">
      <c r="A4713" t="s">
        <v>2883</v>
      </c>
      <c r="B4713" t="s">
        <v>3064</v>
      </c>
      <c r="C4713" t="s">
        <v>3423</v>
      </c>
      <c r="D4713" s="1" t="s">
        <v>3424</v>
      </c>
      <c r="E4713" t="s">
        <v>3425</v>
      </c>
      <c r="F4713">
        <v>43.448999999999998</v>
      </c>
      <c r="G4713">
        <v>1.2629999999999999</v>
      </c>
      <c r="H4713">
        <v>1</v>
      </c>
      <c r="I4713">
        <v>189.6</v>
      </c>
      <c r="J4713" t="str">
        <f>HYPERLINK("https://climate.onebuilding.org/WMO_Region_6_Europe/FRA_France/LP_Occitanie/FRA_LP_Muret-Lherm.AP.076293_TMYx.2004-2018.zip")</f>
        <v>https://climate.onebuilding.org/WMO_Region_6_Europe/FRA_France/LP_Occitanie/FRA_LP_Muret-Lherm.AP.076293_TMYx.2004-2018.zip</v>
      </c>
    </row>
    <row r="4714" spans="1:10" x14ac:dyDescent="0.25">
      <c r="A4714" t="s">
        <v>2883</v>
      </c>
      <c r="B4714" t="s">
        <v>3064</v>
      </c>
      <c r="C4714" t="s">
        <v>3423</v>
      </c>
      <c r="D4714" s="1" t="s">
        <v>3424</v>
      </c>
      <c r="E4714" t="s">
        <v>14</v>
      </c>
      <c r="F4714">
        <v>43.448999999999998</v>
      </c>
      <c r="G4714">
        <v>1.2629999999999999</v>
      </c>
      <c r="H4714">
        <v>1</v>
      </c>
      <c r="I4714">
        <v>189.6</v>
      </c>
      <c r="J4714" t="str">
        <f>HYPERLINK("https://climate.onebuilding.org/WMO_Region_6_Europe/FRA_France/LP_Occitanie/FRA_LP_Muret-Lherm.AP.076293_TMYx.2007-2021.zip")</f>
        <v>https://climate.onebuilding.org/WMO_Region_6_Europe/FRA_France/LP_Occitanie/FRA_LP_Muret-Lherm.AP.076293_TMYx.2007-2021.zip</v>
      </c>
    </row>
    <row r="4715" spans="1:10" x14ac:dyDescent="0.25">
      <c r="A4715" t="s">
        <v>2883</v>
      </c>
      <c r="B4715" t="s">
        <v>3064</v>
      </c>
      <c r="C4715" t="s">
        <v>3423</v>
      </c>
      <c r="D4715" s="1" t="s">
        <v>3424</v>
      </c>
      <c r="E4715" t="s">
        <v>14</v>
      </c>
      <c r="F4715">
        <v>43.448999999999998</v>
      </c>
      <c r="G4715">
        <v>1.2629999999999999</v>
      </c>
      <c r="H4715">
        <v>1</v>
      </c>
      <c r="I4715">
        <v>189.6</v>
      </c>
      <c r="J4715" t="str">
        <f>HYPERLINK("https://climate.onebuilding.org/WMO_Region_6_Europe/FRA_France/LP_Occitanie/FRA_LP_Muret-Lherm.AP.076293_TMYx.2009-2023.zip")</f>
        <v>https://climate.onebuilding.org/WMO_Region_6_Europe/FRA_France/LP_Occitanie/FRA_LP_Muret-Lherm.AP.076293_TMYx.2009-2023.zip</v>
      </c>
    </row>
    <row r="4716" spans="1:10" x14ac:dyDescent="0.25">
      <c r="A4716" t="s">
        <v>2883</v>
      </c>
      <c r="B4716" t="s">
        <v>3064</v>
      </c>
      <c r="C4716" t="s">
        <v>3423</v>
      </c>
      <c r="D4716" s="1" t="s">
        <v>3424</v>
      </c>
      <c r="E4716" t="s">
        <v>14</v>
      </c>
      <c r="F4716">
        <v>43.448999999999998</v>
      </c>
      <c r="G4716">
        <v>1.2629999999999999</v>
      </c>
      <c r="H4716">
        <v>1</v>
      </c>
      <c r="I4716">
        <v>189.6</v>
      </c>
      <c r="J4716" t="str">
        <f>HYPERLINK("https://climate.onebuilding.org/WMO_Region_6_Europe/FRA_France/LP_Occitanie/FRA_LP_Muret-Lherm.AP.076293_TMYx.zip")</f>
        <v>https://climate.onebuilding.org/WMO_Region_6_Europe/FRA_France/LP_Occitanie/FRA_LP_Muret-Lherm.AP.076293_TMYx.zip</v>
      </c>
    </row>
    <row r="4717" spans="1:10" x14ac:dyDescent="0.25">
      <c r="A4717" t="s">
        <v>2883</v>
      </c>
      <c r="B4717" t="s">
        <v>3064</v>
      </c>
      <c r="C4717" t="s">
        <v>3426</v>
      </c>
      <c r="D4717" s="1" t="s">
        <v>3427</v>
      </c>
      <c r="E4717" t="s">
        <v>3428</v>
      </c>
      <c r="F4717">
        <v>43.621099999999998</v>
      </c>
      <c r="G4717">
        <v>1.3789</v>
      </c>
      <c r="H4717">
        <v>1</v>
      </c>
      <c r="I4717">
        <v>150</v>
      </c>
      <c r="J4717" t="str">
        <f>HYPERLINK("https://climate.onebuilding.org/WMO_Region_6_Europe/FRA_France/LP_Occitanie/FRA_LP_Toulouse-Blagnac.AP.076300_TMYx.2004-2018.zip")</f>
        <v>https://climate.onebuilding.org/WMO_Region_6_Europe/FRA_France/LP_Occitanie/FRA_LP_Toulouse-Blagnac.AP.076300_TMYx.2004-2018.zip</v>
      </c>
    </row>
    <row r="4718" spans="1:10" x14ac:dyDescent="0.25">
      <c r="A4718" t="s">
        <v>2883</v>
      </c>
      <c r="B4718" t="s">
        <v>3064</v>
      </c>
      <c r="C4718" t="s">
        <v>3426</v>
      </c>
      <c r="D4718" s="1" t="s">
        <v>3427</v>
      </c>
      <c r="E4718" t="s">
        <v>14</v>
      </c>
      <c r="F4718">
        <v>43.621099999999998</v>
      </c>
      <c r="G4718">
        <v>1.3789</v>
      </c>
      <c r="H4718">
        <v>1</v>
      </c>
      <c r="I4718">
        <v>150</v>
      </c>
      <c r="J4718" t="str">
        <f>HYPERLINK("https://climate.onebuilding.org/WMO_Region_6_Europe/FRA_France/LP_Occitanie/FRA_LP_Toulouse-Blagnac.AP.076300_TMYx.2007-2021.zip")</f>
        <v>https://climate.onebuilding.org/WMO_Region_6_Europe/FRA_France/LP_Occitanie/FRA_LP_Toulouse-Blagnac.AP.076300_TMYx.2007-2021.zip</v>
      </c>
    </row>
    <row r="4719" spans="1:10" x14ac:dyDescent="0.25">
      <c r="A4719" t="s">
        <v>2883</v>
      </c>
      <c r="B4719" t="s">
        <v>3064</v>
      </c>
      <c r="C4719" t="s">
        <v>3426</v>
      </c>
      <c r="D4719" s="1" t="s">
        <v>3427</v>
      </c>
      <c r="E4719" t="s">
        <v>14</v>
      </c>
      <c r="F4719">
        <v>43.621099999999998</v>
      </c>
      <c r="G4719">
        <v>1.3789</v>
      </c>
      <c r="H4719">
        <v>1</v>
      </c>
      <c r="I4719">
        <v>150</v>
      </c>
      <c r="J4719" t="str">
        <f>HYPERLINK("https://climate.onebuilding.org/WMO_Region_6_Europe/FRA_France/LP_Occitanie/FRA_LP_Toulouse-Blagnac.AP.076300_TMYx.2009-2023.zip")</f>
        <v>https://climate.onebuilding.org/WMO_Region_6_Europe/FRA_France/LP_Occitanie/FRA_LP_Toulouse-Blagnac.AP.076300_TMYx.2009-2023.zip</v>
      </c>
    </row>
    <row r="4720" spans="1:10" x14ac:dyDescent="0.25">
      <c r="A4720" t="s">
        <v>2883</v>
      </c>
      <c r="B4720" t="s">
        <v>3064</v>
      </c>
      <c r="C4720" t="s">
        <v>3426</v>
      </c>
      <c r="D4720" s="1" t="s">
        <v>3427</v>
      </c>
      <c r="E4720" t="s">
        <v>14</v>
      </c>
      <c r="F4720">
        <v>43.621099999999998</v>
      </c>
      <c r="G4720">
        <v>1.3789</v>
      </c>
      <c r="H4720">
        <v>1</v>
      </c>
      <c r="I4720">
        <v>150</v>
      </c>
      <c r="J4720" t="str">
        <f>HYPERLINK("https://climate.onebuilding.org/WMO_Region_6_Europe/FRA_France/LP_Occitanie/FRA_LP_Toulouse-Blagnac.AP.076300_TMYx.zip")</f>
        <v>https://climate.onebuilding.org/WMO_Region_6_Europe/FRA_France/LP_Occitanie/FRA_LP_Toulouse-Blagnac.AP.076300_TMYx.zip</v>
      </c>
    </row>
    <row r="4721" spans="1:10" x14ac:dyDescent="0.25">
      <c r="A4721" t="s">
        <v>2883</v>
      </c>
      <c r="B4721" t="s">
        <v>3064</v>
      </c>
      <c r="C4721" t="s">
        <v>3429</v>
      </c>
      <c r="D4721" s="1" t="s">
        <v>3430</v>
      </c>
      <c r="E4721" t="s">
        <v>3431</v>
      </c>
      <c r="F4721">
        <v>43.545999999999999</v>
      </c>
      <c r="G4721">
        <v>1.3680000000000001</v>
      </c>
      <c r="H4721">
        <v>1</v>
      </c>
      <c r="I4721">
        <v>163.1</v>
      </c>
      <c r="J4721" t="str">
        <f>HYPERLINK("https://climate.onebuilding.org/WMO_Region_6_Europe/FRA_France/LP_Occitanie/FRA_LP_Toulouse-Francazal.AB.076310_TMYx.2004-2018.zip")</f>
        <v>https://climate.onebuilding.org/WMO_Region_6_Europe/FRA_France/LP_Occitanie/FRA_LP_Toulouse-Francazal.AB.076310_TMYx.2004-2018.zip</v>
      </c>
    </row>
    <row r="4722" spans="1:10" x14ac:dyDescent="0.25">
      <c r="A4722" t="s">
        <v>2883</v>
      </c>
      <c r="B4722" t="s">
        <v>3064</v>
      </c>
      <c r="C4722" t="s">
        <v>3429</v>
      </c>
      <c r="D4722" s="1" t="s">
        <v>3430</v>
      </c>
      <c r="E4722" t="s">
        <v>14</v>
      </c>
      <c r="F4722">
        <v>43.545999999999999</v>
      </c>
      <c r="G4722">
        <v>1.3680000000000001</v>
      </c>
      <c r="H4722">
        <v>1</v>
      </c>
      <c r="I4722">
        <v>163.1</v>
      </c>
      <c r="J4722" t="str">
        <f>HYPERLINK("https://climate.onebuilding.org/WMO_Region_6_Europe/FRA_France/LP_Occitanie/FRA_LP_Toulouse-Francazal.AB.076310_TMYx.2007-2021.zip")</f>
        <v>https://climate.onebuilding.org/WMO_Region_6_Europe/FRA_France/LP_Occitanie/FRA_LP_Toulouse-Francazal.AB.076310_TMYx.2007-2021.zip</v>
      </c>
    </row>
    <row r="4723" spans="1:10" x14ac:dyDescent="0.25">
      <c r="A4723" t="s">
        <v>2883</v>
      </c>
      <c r="B4723" t="s">
        <v>3064</v>
      </c>
      <c r="C4723" t="s">
        <v>3429</v>
      </c>
      <c r="D4723" s="1" t="s">
        <v>3430</v>
      </c>
      <c r="E4723" t="s">
        <v>14</v>
      </c>
      <c r="F4723">
        <v>43.545999999999999</v>
      </c>
      <c r="G4723">
        <v>1.3680000000000001</v>
      </c>
      <c r="H4723">
        <v>1</v>
      </c>
      <c r="I4723">
        <v>163.1</v>
      </c>
      <c r="J4723" t="str">
        <f>HYPERLINK("https://climate.onebuilding.org/WMO_Region_6_Europe/FRA_France/LP_Occitanie/FRA_LP_Toulouse-Francazal.AB.076310_TMYx.2009-2023.zip")</f>
        <v>https://climate.onebuilding.org/WMO_Region_6_Europe/FRA_France/LP_Occitanie/FRA_LP_Toulouse-Francazal.AB.076310_TMYx.2009-2023.zip</v>
      </c>
    </row>
    <row r="4724" spans="1:10" x14ac:dyDescent="0.25">
      <c r="A4724" t="s">
        <v>2883</v>
      </c>
      <c r="B4724" t="s">
        <v>3064</v>
      </c>
      <c r="C4724" t="s">
        <v>3429</v>
      </c>
      <c r="D4724" s="1" t="s">
        <v>3430</v>
      </c>
      <c r="E4724" t="s">
        <v>14</v>
      </c>
      <c r="F4724">
        <v>43.545999999999999</v>
      </c>
      <c r="G4724">
        <v>1.3680000000000001</v>
      </c>
      <c r="H4724">
        <v>1</v>
      </c>
      <c r="I4724">
        <v>163.1</v>
      </c>
      <c r="J4724" t="str">
        <f>HYPERLINK("https://climate.onebuilding.org/WMO_Region_6_Europe/FRA_France/LP_Occitanie/FRA_LP_Toulouse-Francazal.AB.076310_TMYx.zip")</f>
        <v>https://climate.onebuilding.org/WMO_Region_6_Europe/FRA_France/LP_Occitanie/FRA_LP_Toulouse-Francazal.AB.076310_TMYx.zip</v>
      </c>
    </row>
    <row r="4725" spans="1:10" x14ac:dyDescent="0.25">
      <c r="A4725" t="s">
        <v>2883</v>
      </c>
      <c r="B4725" t="s">
        <v>3064</v>
      </c>
      <c r="C4725" t="s">
        <v>3432</v>
      </c>
      <c r="D4725" s="1" t="s">
        <v>3433</v>
      </c>
      <c r="E4725" t="s">
        <v>3434</v>
      </c>
      <c r="F4725">
        <v>43.914700000000003</v>
      </c>
      <c r="G4725">
        <v>2.1164000000000001</v>
      </c>
      <c r="H4725">
        <v>1</v>
      </c>
      <c r="I4725">
        <v>171</v>
      </c>
      <c r="J4725" t="str">
        <f>HYPERLINK("https://climate.onebuilding.org/WMO_Region_6_Europe/FRA_France/LP_Occitanie/FRA_LP_Albi-Le.Sequestre.AP.076320_TMYx.2004-2018.zip")</f>
        <v>https://climate.onebuilding.org/WMO_Region_6_Europe/FRA_France/LP_Occitanie/FRA_LP_Albi-Le.Sequestre.AP.076320_TMYx.2004-2018.zip</v>
      </c>
    </row>
    <row r="4726" spans="1:10" x14ac:dyDescent="0.25">
      <c r="A4726" t="s">
        <v>2883</v>
      </c>
      <c r="B4726" t="s">
        <v>3064</v>
      </c>
      <c r="C4726" t="s">
        <v>3432</v>
      </c>
      <c r="D4726" s="1" t="s">
        <v>3433</v>
      </c>
      <c r="E4726" t="s">
        <v>14</v>
      </c>
      <c r="F4726">
        <v>43.914700000000003</v>
      </c>
      <c r="G4726">
        <v>2.1164000000000001</v>
      </c>
      <c r="H4726">
        <v>1</v>
      </c>
      <c r="I4726">
        <v>171</v>
      </c>
      <c r="J4726" t="str">
        <f>HYPERLINK("https://climate.onebuilding.org/WMO_Region_6_Europe/FRA_France/LP_Occitanie/FRA_LP_Albi-Le.Sequestre.AP.076320_TMYx.2007-2021.zip")</f>
        <v>https://climate.onebuilding.org/WMO_Region_6_Europe/FRA_France/LP_Occitanie/FRA_LP_Albi-Le.Sequestre.AP.076320_TMYx.2007-2021.zip</v>
      </c>
    </row>
    <row r="4727" spans="1:10" x14ac:dyDescent="0.25">
      <c r="A4727" t="s">
        <v>2883</v>
      </c>
      <c r="B4727" t="s">
        <v>3064</v>
      </c>
      <c r="C4727" t="s">
        <v>3432</v>
      </c>
      <c r="D4727" s="1" t="s">
        <v>3433</v>
      </c>
      <c r="E4727" t="s">
        <v>14</v>
      </c>
      <c r="F4727">
        <v>43.914700000000003</v>
      </c>
      <c r="G4727">
        <v>2.1164000000000001</v>
      </c>
      <c r="H4727">
        <v>1</v>
      </c>
      <c r="I4727">
        <v>171</v>
      </c>
      <c r="J4727" t="str">
        <f>HYPERLINK("https://climate.onebuilding.org/WMO_Region_6_Europe/FRA_France/LP_Occitanie/FRA_LP_Albi-Le.Sequestre.AP.076320_TMYx.2009-2023.zip")</f>
        <v>https://climate.onebuilding.org/WMO_Region_6_Europe/FRA_France/LP_Occitanie/FRA_LP_Albi-Le.Sequestre.AP.076320_TMYx.2009-2023.zip</v>
      </c>
    </row>
    <row r="4728" spans="1:10" x14ac:dyDescent="0.25">
      <c r="A4728" t="s">
        <v>2883</v>
      </c>
      <c r="B4728" t="s">
        <v>3064</v>
      </c>
      <c r="C4728" t="s">
        <v>3432</v>
      </c>
      <c r="D4728" s="1" t="s">
        <v>3433</v>
      </c>
      <c r="E4728" t="s">
        <v>14</v>
      </c>
      <c r="F4728">
        <v>43.914700000000003</v>
      </c>
      <c r="G4728">
        <v>2.1164000000000001</v>
      </c>
      <c r="H4728">
        <v>1</v>
      </c>
      <c r="I4728">
        <v>171</v>
      </c>
      <c r="J4728" t="str">
        <f>HYPERLINK("https://climate.onebuilding.org/WMO_Region_6_Europe/FRA_France/LP_Occitanie/FRA_LP_Albi-Le.Sequestre.AP.076320_TMYx.zip")</f>
        <v>https://climate.onebuilding.org/WMO_Region_6_Europe/FRA_France/LP_Occitanie/FRA_LP_Albi-Le.Sequestre.AP.076320_TMYx.zip</v>
      </c>
    </row>
    <row r="4729" spans="1:10" x14ac:dyDescent="0.25">
      <c r="A4729" t="s">
        <v>2883</v>
      </c>
      <c r="B4729" t="s">
        <v>3064</v>
      </c>
      <c r="C4729" t="s">
        <v>3435</v>
      </c>
      <c r="D4729" s="1" t="s">
        <v>3436</v>
      </c>
      <c r="E4729" t="s">
        <v>3437</v>
      </c>
      <c r="F4729">
        <v>43.215299999999999</v>
      </c>
      <c r="G4729">
        <v>2.2955999999999999</v>
      </c>
      <c r="H4729">
        <v>1</v>
      </c>
      <c r="I4729">
        <v>127</v>
      </c>
      <c r="J4729" t="str">
        <f>HYPERLINK("https://climate.onebuilding.org/WMO_Region_6_Europe/FRA_France/LP_Occitanie/FRA_LP_Carcassonne.AP.076350_TMYx.2004-2018.zip")</f>
        <v>https://climate.onebuilding.org/WMO_Region_6_Europe/FRA_France/LP_Occitanie/FRA_LP_Carcassonne.AP.076350_TMYx.2004-2018.zip</v>
      </c>
    </row>
    <row r="4730" spans="1:10" x14ac:dyDescent="0.25">
      <c r="A4730" t="s">
        <v>2883</v>
      </c>
      <c r="B4730" t="s">
        <v>3064</v>
      </c>
      <c r="C4730" t="s">
        <v>3435</v>
      </c>
      <c r="D4730" s="1" t="s">
        <v>3436</v>
      </c>
      <c r="E4730" t="s">
        <v>14</v>
      </c>
      <c r="F4730">
        <v>43.215299999999999</v>
      </c>
      <c r="G4730">
        <v>2.2955999999999999</v>
      </c>
      <c r="H4730">
        <v>1</v>
      </c>
      <c r="I4730">
        <v>127</v>
      </c>
      <c r="J4730" t="str">
        <f>HYPERLINK("https://climate.onebuilding.org/WMO_Region_6_Europe/FRA_France/LP_Occitanie/FRA_LP_Carcassonne.AP.076350_TMYx.2007-2021.zip")</f>
        <v>https://climate.onebuilding.org/WMO_Region_6_Europe/FRA_France/LP_Occitanie/FRA_LP_Carcassonne.AP.076350_TMYx.2007-2021.zip</v>
      </c>
    </row>
    <row r="4731" spans="1:10" x14ac:dyDescent="0.25">
      <c r="A4731" t="s">
        <v>2883</v>
      </c>
      <c r="B4731" t="s">
        <v>3064</v>
      </c>
      <c r="C4731" t="s">
        <v>3435</v>
      </c>
      <c r="D4731" s="1" t="s">
        <v>3436</v>
      </c>
      <c r="E4731" t="s">
        <v>14</v>
      </c>
      <c r="F4731">
        <v>43.215299999999999</v>
      </c>
      <c r="G4731">
        <v>2.2955999999999999</v>
      </c>
      <c r="H4731">
        <v>1</v>
      </c>
      <c r="I4731">
        <v>127</v>
      </c>
      <c r="J4731" t="str">
        <f>HYPERLINK("https://climate.onebuilding.org/WMO_Region_6_Europe/FRA_France/LP_Occitanie/FRA_LP_Carcassonne.AP.076350_TMYx.2009-2023.zip")</f>
        <v>https://climate.onebuilding.org/WMO_Region_6_Europe/FRA_France/LP_Occitanie/FRA_LP_Carcassonne.AP.076350_TMYx.2009-2023.zip</v>
      </c>
    </row>
    <row r="4732" spans="1:10" x14ac:dyDescent="0.25">
      <c r="A4732" t="s">
        <v>2883</v>
      </c>
      <c r="B4732" t="s">
        <v>3064</v>
      </c>
      <c r="C4732" t="s">
        <v>3435</v>
      </c>
      <c r="D4732" s="1" t="s">
        <v>3436</v>
      </c>
      <c r="E4732" t="s">
        <v>14</v>
      </c>
      <c r="F4732">
        <v>43.215299999999999</v>
      </c>
      <c r="G4732">
        <v>2.2955999999999999</v>
      </c>
      <c r="H4732">
        <v>1</v>
      </c>
      <c r="I4732">
        <v>127</v>
      </c>
      <c r="J4732" t="str">
        <f>HYPERLINK("https://climate.onebuilding.org/WMO_Region_6_Europe/FRA_France/LP_Occitanie/FRA_LP_Carcassonne.AP.076350_TMYx.zip")</f>
        <v>https://climate.onebuilding.org/WMO_Region_6_Europe/FRA_France/LP_Occitanie/FRA_LP_Carcassonne.AP.076350_TMYx.zip</v>
      </c>
    </row>
    <row r="4733" spans="1:10" x14ac:dyDescent="0.25">
      <c r="A4733" t="s">
        <v>2883</v>
      </c>
      <c r="B4733" t="s">
        <v>3064</v>
      </c>
      <c r="C4733" t="s">
        <v>3438</v>
      </c>
      <c r="D4733" s="1" t="s">
        <v>3439</v>
      </c>
      <c r="E4733" t="s">
        <v>3440</v>
      </c>
      <c r="F4733">
        <v>43.321899999999999</v>
      </c>
      <c r="G4733">
        <v>3.3527999999999998</v>
      </c>
      <c r="H4733">
        <v>1</v>
      </c>
      <c r="I4733">
        <v>16</v>
      </c>
      <c r="J4733" t="str">
        <f>HYPERLINK("https://climate.onebuilding.org/WMO_Region_6_Europe/FRA_France/LP_Occitanie/FRA_LP_Beziers.Cap.d-Agde.AP.076380_TMYx.2004-2018.zip")</f>
        <v>https://climate.onebuilding.org/WMO_Region_6_Europe/FRA_France/LP_Occitanie/FRA_LP_Beziers.Cap.d-Agde.AP.076380_TMYx.2004-2018.zip</v>
      </c>
    </row>
    <row r="4734" spans="1:10" x14ac:dyDescent="0.25">
      <c r="A4734" t="s">
        <v>2883</v>
      </c>
      <c r="B4734" t="s">
        <v>3064</v>
      </c>
      <c r="C4734" t="s">
        <v>3438</v>
      </c>
      <c r="D4734" s="1" t="s">
        <v>3439</v>
      </c>
      <c r="E4734" t="s">
        <v>14</v>
      </c>
      <c r="F4734">
        <v>43.321899999999999</v>
      </c>
      <c r="G4734">
        <v>3.3527999999999998</v>
      </c>
      <c r="H4734">
        <v>1</v>
      </c>
      <c r="I4734">
        <v>16</v>
      </c>
      <c r="J4734" t="str">
        <f>HYPERLINK("https://climate.onebuilding.org/WMO_Region_6_Europe/FRA_France/LP_Occitanie/FRA_LP_Beziers.Cap.d-Agde.AP.076380_TMYx.2007-2021.zip")</f>
        <v>https://climate.onebuilding.org/WMO_Region_6_Europe/FRA_France/LP_Occitanie/FRA_LP_Beziers.Cap.d-Agde.AP.076380_TMYx.2007-2021.zip</v>
      </c>
    </row>
    <row r="4735" spans="1:10" x14ac:dyDescent="0.25">
      <c r="A4735" t="s">
        <v>2883</v>
      </c>
      <c r="B4735" t="s">
        <v>3064</v>
      </c>
      <c r="C4735" t="s">
        <v>3438</v>
      </c>
      <c r="D4735" s="1" t="s">
        <v>3439</v>
      </c>
      <c r="E4735" t="s">
        <v>14</v>
      </c>
      <c r="F4735">
        <v>43.321899999999999</v>
      </c>
      <c r="G4735">
        <v>3.3527999999999998</v>
      </c>
      <c r="H4735">
        <v>1</v>
      </c>
      <c r="I4735">
        <v>16</v>
      </c>
      <c r="J4735" t="str">
        <f>HYPERLINK("https://climate.onebuilding.org/WMO_Region_6_Europe/FRA_France/LP_Occitanie/FRA_LP_Beziers.Cap.d-Agde.AP.076380_TMYx.2009-2023.zip")</f>
        <v>https://climate.onebuilding.org/WMO_Region_6_Europe/FRA_France/LP_Occitanie/FRA_LP_Beziers.Cap.d-Agde.AP.076380_TMYx.2009-2023.zip</v>
      </c>
    </row>
    <row r="4736" spans="1:10" x14ac:dyDescent="0.25">
      <c r="A4736" t="s">
        <v>2883</v>
      </c>
      <c r="B4736" t="s">
        <v>3064</v>
      </c>
      <c r="C4736" t="s">
        <v>3438</v>
      </c>
      <c r="D4736" s="1" t="s">
        <v>3439</v>
      </c>
      <c r="E4736" t="s">
        <v>14</v>
      </c>
      <c r="F4736">
        <v>43.321899999999999</v>
      </c>
      <c r="G4736">
        <v>3.3527999999999998</v>
      </c>
      <c r="H4736">
        <v>1</v>
      </c>
      <c r="I4736">
        <v>16</v>
      </c>
      <c r="J4736" t="str">
        <f>HYPERLINK("https://climate.onebuilding.org/WMO_Region_6_Europe/FRA_France/LP_Occitanie/FRA_LP_Beziers.Cap.d-Agde.AP.076380_TMYx.zip")</f>
        <v>https://climate.onebuilding.org/WMO_Region_6_Europe/FRA_France/LP_Occitanie/FRA_LP_Beziers.Cap.d-Agde.AP.076380_TMYx.zip</v>
      </c>
    </row>
    <row r="4737" spans="1:10" x14ac:dyDescent="0.25">
      <c r="A4737" t="s">
        <v>2883</v>
      </c>
      <c r="B4737" t="s">
        <v>3064</v>
      </c>
      <c r="C4737" t="s">
        <v>3441</v>
      </c>
      <c r="D4737" s="1" t="s">
        <v>3442</v>
      </c>
      <c r="E4737" t="s">
        <v>3443</v>
      </c>
      <c r="F4737">
        <v>43.397199999999998</v>
      </c>
      <c r="G4737">
        <v>3.6922000000000001</v>
      </c>
      <c r="H4737">
        <v>1</v>
      </c>
      <c r="I4737">
        <v>81</v>
      </c>
      <c r="J4737" t="str">
        <f>HYPERLINK("https://climate.onebuilding.org/WMO_Region_6_Europe/FRA_France/LP_Occitanie/FRA_LP_Sete.076410_TMYx.2004-2018.zip")</f>
        <v>https://climate.onebuilding.org/WMO_Region_6_Europe/FRA_France/LP_Occitanie/FRA_LP_Sete.076410_TMYx.2004-2018.zip</v>
      </c>
    </row>
    <row r="4738" spans="1:10" x14ac:dyDescent="0.25">
      <c r="A4738" t="s">
        <v>2883</v>
      </c>
      <c r="B4738" t="s">
        <v>3064</v>
      </c>
      <c r="C4738" t="s">
        <v>3441</v>
      </c>
      <c r="D4738" s="1" t="s">
        <v>3442</v>
      </c>
      <c r="E4738" t="s">
        <v>14</v>
      </c>
      <c r="F4738">
        <v>43.397199999999998</v>
      </c>
      <c r="G4738">
        <v>3.6922000000000001</v>
      </c>
      <c r="H4738">
        <v>1</v>
      </c>
      <c r="I4738">
        <v>81</v>
      </c>
      <c r="J4738" t="str">
        <f>HYPERLINK("https://climate.onebuilding.org/WMO_Region_6_Europe/FRA_France/LP_Occitanie/FRA_LP_Sete.076410_TMYx.2007-2021.zip")</f>
        <v>https://climate.onebuilding.org/WMO_Region_6_Europe/FRA_France/LP_Occitanie/FRA_LP_Sete.076410_TMYx.2007-2021.zip</v>
      </c>
    </row>
    <row r="4739" spans="1:10" x14ac:dyDescent="0.25">
      <c r="A4739" t="s">
        <v>2883</v>
      </c>
      <c r="B4739" t="s">
        <v>3064</v>
      </c>
      <c r="C4739" t="s">
        <v>3441</v>
      </c>
      <c r="D4739" s="1" t="s">
        <v>3442</v>
      </c>
      <c r="E4739" t="s">
        <v>14</v>
      </c>
      <c r="F4739">
        <v>43.397199999999998</v>
      </c>
      <c r="G4739">
        <v>3.6922000000000001</v>
      </c>
      <c r="H4739">
        <v>1</v>
      </c>
      <c r="I4739">
        <v>81</v>
      </c>
      <c r="J4739" t="str">
        <f>HYPERLINK("https://climate.onebuilding.org/WMO_Region_6_Europe/FRA_France/LP_Occitanie/FRA_LP_Sete.076410_TMYx.2009-2023.zip")</f>
        <v>https://climate.onebuilding.org/WMO_Region_6_Europe/FRA_France/LP_Occitanie/FRA_LP_Sete.076410_TMYx.2009-2023.zip</v>
      </c>
    </row>
    <row r="4740" spans="1:10" x14ac:dyDescent="0.25">
      <c r="A4740" t="s">
        <v>2883</v>
      </c>
      <c r="B4740" t="s">
        <v>3064</v>
      </c>
      <c r="C4740" t="s">
        <v>3441</v>
      </c>
      <c r="D4740" s="1" t="s">
        <v>3442</v>
      </c>
      <c r="E4740" t="s">
        <v>14</v>
      </c>
      <c r="F4740">
        <v>43.397199999999998</v>
      </c>
      <c r="G4740">
        <v>3.6922000000000001</v>
      </c>
      <c r="H4740">
        <v>1</v>
      </c>
      <c r="I4740">
        <v>81</v>
      </c>
      <c r="J4740" t="str">
        <f>HYPERLINK("https://climate.onebuilding.org/WMO_Region_6_Europe/FRA_France/LP_Occitanie/FRA_LP_Sete.076410_TMYx.zip")</f>
        <v>https://climate.onebuilding.org/WMO_Region_6_Europe/FRA_France/LP_Occitanie/FRA_LP_Sete.076410_TMYx.zip</v>
      </c>
    </row>
    <row r="4741" spans="1:10" x14ac:dyDescent="0.25">
      <c r="A4741" t="s">
        <v>2883</v>
      </c>
      <c r="B4741" t="s">
        <v>3064</v>
      </c>
      <c r="C4741" t="s">
        <v>3444</v>
      </c>
      <c r="D4741" s="1" t="s">
        <v>3445</v>
      </c>
      <c r="E4741" t="s">
        <v>3446</v>
      </c>
      <c r="F4741">
        <v>43.576900000000002</v>
      </c>
      <c r="G4741">
        <v>3.9630999999999998</v>
      </c>
      <c r="H4741">
        <v>1</v>
      </c>
      <c r="I4741">
        <v>8</v>
      </c>
      <c r="J4741" t="str">
        <f>HYPERLINK("https://climate.onebuilding.org/WMO_Region_6_Europe/FRA_France/LP_Occitanie/FRA_LP_Montpellier-Mediterranee.AP.076430_TMYx.2004-2018.zip")</f>
        <v>https://climate.onebuilding.org/WMO_Region_6_Europe/FRA_France/LP_Occitanie/FRA_LP_Montpellier-Mediterranee.AP.076430_TMYx.2004-2018.zip</v>
      </c>
    </row>
    <row r="4742" spans="1:10" x14ac:dyDescent="0.25">
      <c r="A4742" t="s">
        <v>2883</v>
      </c>
      <c r="B4742" t="s">
        <v>3064</v>
      </c>
      <c r="C4742" t="s">
        <v>3444</v>
      </c>
      <c r="D4742" s="1" t="s">
        <v>3445</v>
      </c>
      <c r="E4742" t="s">
        <v>14</v>
      </c>
      <c r="F4742">
        <v>43.576900000000002</v>
      </c>
      <c r="G4742">
        <v>3.9630999999999998</v>
      </c>
      <c r="H4742">
        <v>1</v>
      </c>
      <c r="I4742">
        <v>8</v>
      </c>
      <c r="J4742" t="str">
        <f>HYPERLINK("https://climate.onebuilding.org/WMO_Region_6_Europe/FRA_France/LP_Occitanie/FRA_LP_Montpellier-Mediterranee.AP.076430_TMYx.2007-2021.zip")</f>
        <v>https://climate.onebuilding.org/WMO_Region_6_Europe/FRA_France/LP_Occitanie/FRA_LP_Montpellier-Mediterranee.AP.076430_TMYx.2007-2021.zip</v>
      </c>
    </row>
    <row r="4743" spans="1:10" x14ac:dyDescent="0.25">
      <c r="A4743" t="s">
        <v>2883</v>
      </c>
      <c r="B4743" t="s">
        <v>3064</v>
      </c>
      <c r="C4743" t="s">
        <v>3444</v>
      </c>
      <c r="D4743" s="1" t="s">
        <v>3445</v>
      </c>
      <c r="E4743" t="s">
        <v>14</v>
      </c>
      <c r="F4743">
        <v>43.576900000000002</v>
      </c>
      <c r="G4743">
        <v>3.9630999999999998</v>
      </c>
      <c r="H4743">
        <v>1</v>
      </c>
      <c r="I4743">
        <v>8</v>
      </c>
      <c r="J4743" t="str">
        <f>HYPERLINK("https://climate.onebuilding.org/WMO_Region_6_Europe/FRA_France/LP_Occitanie/FRA_LP_Montpellier-Mediterranee.AP.076430_TMYx.2009-2023.zip")</f>
        <v>https://climate.onebuilding.org/WMO_Region_6_Europe/FRA_France/LP_Occitanie/FRA_LP_Montpellier-Mediterranee.AP.076430_TMYx.2009-2023.zip</v>
      </c>
    </row>
    <row r="4744" spans="1:10" x14ac:dyDescent="0.25">
      <c r="A4744" t="s">
        <v>2883</v>
      </c>
      <c r="B4744" t="s">
        <v>3064</v>
      </c>
      <c r="C4744" t="s">
        <v>3444</v>
      </c>
      <c r="D4744" s="1" t="s">
        <v>3445</v>
      </c>
      <c r="E4744" t="s">
        <v>14</v>
      </c>
      <c r="F4744">
        <v>43.576900000000002</v>
      </c>
      <c r="G4744">
        <v>3.9630999999999998</v>
      </c>
      <c r="H4744">
        <v>1</v>
      </c>
      <c r="I4744">
        <v>8</v>
      </c>
      <c r="J4744" t="str">
        <f>HYPERLINK("https://climate.onebuilding.org/WMO_Region_6_Europe/FRA_France/LP_Occitanie/FRA_LP_Montpellier-Mediterranee.AP.076430_TMYx.zip")</f>
        <v>https://climate.onebuilding.org/WMO_Region_6_Europe/FRA_France/LP_Occitanie/FRA_LP_Montpellier-Mediterranee.AP.076430_TMYx.zip</v>
      </c>
    </row>
    <row r="4745" spans="1:10" x14ac:dyDescent="0.25">
      <c r="A4745" t="s">
        <v>2883</v>
      </c>
      <c r="B4745" t="s">
        <v>3064</v>
      </c>
      <c r="C4745" t="s">
        <v>3447</v>
      </c>
      <c r="D4745" s="1" t="s">
        <v>3448</v>
      </c>
      <c r="E4745" t="s">
        <v>3449</v>
      </c>
      <c r="F4745">
        <v>43.856900000000003</v>
      </c>
      <c r="G4745">
        <v>4.4063999999999997</v>
      </c>
      <c r="H4745">
        <v>1</v>
      </c>
      <c r="I4745">
        <v>62</v>
      </c>
      <c r="J4745" t="str">
        <f>HYPERLINK("https://climate.onebuilding.org/WMO_Region_6_Europe/FRA_France/LP_Occitanie/FRA_LP_Nimes-Courbessac.AF.076450_TMYx.2004-2018.zip")</f>
        <v>https://climate.onebuilding.org/WMO_Region_6_Europe/FRA_France/LP_Occitanie/FRA_LP_Nimes-Courbessac.AF.076450_TMYx.2004-2018.zip</v>
      </c>
    </row>
    <row r="4746" spans="1:10" x14ac:dyDescent="0.25">
      <c r="A4746" t="s">
        <v>2883</v>
      </c>
      <c r="B4746" t="s">
        <v>3064</v>
      </c>
      <c r="C4746" t="s">
        <v>3447</v>
      </c>
      <c r="D4746" s="1" t="s">
        <v>3448</v>
      </c>
      <c r="E4746" t="s">
        <v>14</v>
      </c>
      <c r="F4746">
        <v>43.856900000000003</v>
      </c>
      <c r="G4746">
        <v>4.4063999999999997</v>
      </c>
      <c r="H4746">
        <v>1</v>
      </c>
      <c r="I4746">
        <v>62</v>
      </c>
      <c r="J4746" t="str">
        <f>HYPERLINK("https://climate.onebuilding.org/WMO_Region_6_Europe/FRA_France/LP_Occitanie/FRA_LP_Nimes-Courbessac.AF.076450_TMYx.2007-2021.zip")</f>
        <v>https://climate.onebuilding.org/WMO_Region_6_Europe/FRA_France/LP_Occitanie/FRA_LP_Nimes-Courbessac.AF.076450_TMYx.2007-2021.zip</v>
      </c>
    </row>
    <row r="4747" spans="1:10" x14ac:dyDescent="0.25">
      <c r="A4747" t="s">
        <v>2883</v>
      </c>
      <c r="B4747" t="s">
        <v>3064</v>
      </c>
      <c r="C4747" t="s">
        <v>3447</v>
      </c>
      <c r="D4747" s="1" t="s">
        <v>3448</v>
      </c>
      <c r="E4747" t="s">
        <v>14</v>
      </c>
      <c r="F4747">
        <v>43.856900000000003</v>
      </c>
      <c r="G4747">
        <v>4.4063999999999997</v>
      </c>
      <c r="H4747">
        <v>1</v>
      </c>
      <c r="I4747">
        <v>62</v>
      </c>
      <c r="J4747" t="str">
        <f>HYPERLINK("https://climate.onebuilding.org/WMO_Region_6_Europe/FRA_France/LP_Occitanie/FRA_LP_Nimes-Courbessac.AF.076450_TMYx.2009-2023.zip")</f>
        <v>https://climate.onebuilding.org/WMO_Region_6_Europe/FRA_France/LP_Occitanie/FRA_LP_Nimes-Courbessac.AF.076450_TMYx.2009-2023.zip</v>
      </c>
    </row>
    <row r="4748" spans="1:10" x14ac:dyDescent="0.25">
      <c r="A4748" t="s">
        <v>2883</v>
      </c>
      <c r="B4748" t="s">
        <v>3064</v>
      </c>
      <c r="C4748" t="s">
        <v>3447</v>
      </c>
      <c r="D4748" s="1" t="s">
        <v>3448</v>
      </c>
      <c r="E4748" t="s">
        <v>14</v>
      </c>
      <c r="F4748">
        <v>43.856900000000003</v>
      </c>
      <c r="G4748">
        <v>4.4063999999999997</v>
      </c>
      <c r="H4748">
        <v>1</v>
      </c>
      <c r="I4748">
        <v>62</v>
      </c>
      <c r="J4748" t="str">
        <f>HYPERLINK("https://climate.onebuilding.org/WMO_Region_6_Europe/FRA_France/LP_Occitanie/FRA_LP_Nimes-Courbessac.AF.076450_TMYx.zip")</f>
        <v>https://climate.onebuilding.org/WMO_Region_6_Europe/FRA_France/LP_Occitanie/FRA_LP_Nimes-Courbessac.AF.076450_TMYx.zip</v>
      </c>
    </row>
    <row r="4749" spans="1:10" x14ac:dyDescent="0.25">
      <c r="A4749" t="s">
        <v>2883</v>
      </c>
      <c r="B4749" t="s">
        <v>3064</v>
      </c>
      <c r="C4749" t="s">
        <v>3450</v>
      </c>
      <c r="D4749" s="1" t="s">
        <v>3451</v>
      </c>
      <c r="E4749" t="s">
        <v>3452</v>
      </c>
      <c r="F4749">
        <v>43.759399999999999</v>
      </c>
      <c r="G4749">
        <v>4.4172000000000002</v>
      </c>
      <c r="H4749">
        <v>1</v>
      </c>
      <c r="I4749">
        <v>105</v>
      </c>
      <c r="J4749" t="str">
        <f>HYPERLINK("https://climate.onebuilding.org/WMO_Region_6_Europe/FRA_France/LP_Occitanie/FRA_LP_Nimes-Ales-Camargue-Cevennes.AP.076460_TMYx.2004-2018.zip")</f>
        <v>https://climate.onebuilding.org/WMO_Region_6_Europe/FRA_France/LP_Occitanie/FRA_LP_Nimes-Ales-Camargue-Cevennes.AP.076460_TMYx.2004-2018.zip</v>
      </c>
    </row>
    <row r="4750" spans="1:10" x14ac:dyDescent="0.25">
      <c r="A4750" t="s">
        <v>2883</v>
      </c>
      <c r="B4750" t="s">
        <v>3064</v>
      </c>
      <c r="C4750" t="s">
        <v>3450</v>
      </c>
      <c r="D4750" s="1" t="s">
        <v>3451</v>
      </c>
      <c r="E4750" t="s">
        <v>14</v>
      </c>
      <c r="F4750">
        <v>43.759399999999999</v>
      </c>
      <c r="G4750">
        <v>4.4172000000000002</v>
      </c>
      <c r="H4750">
        <v>1</v>
      </c>
      <c r="I4750">
        <v>105</v>
      </c>
      <c r="J4750" t="str">
        <f>HYPERLINK("https://climate.onebuilding.org/WMO_Region_6_Europe/FRA_France/LP_Occitanie/FRA_LP_Nimes-Ales-Camargue-Cevennes.AP.076460_TMYx.2007-2021.zip")</f>
        <v>https://climate.onebuilding.org/WMO_Region_6_Europe/FRA_France/LP_Occitanie/FRA_LP_Nimes-Ales-Camargue-Cevennes.AP.076460_TMYx.2007-2021.zip</v>
      </c>
    </row>
    <row r="4751" spans="1:10" x14ac:dyDescent="0.25">
      <c r="A4751" t="s">
        <v>2883</v>
      </c>
      <c r="B4751" t="s">
        <v>3064</v>
      </c>
      <c r="C4751" t="s">
        <v>3450</v>
      </c>
      <c r="D4751" s="1" t="s">
        <v>3451</v>
      </c>
      <c r="E4751" t="s">
        <v>14</v>
      </c>
      <c r="F4751">
        <v>43.759399999999999</v>
      </c>
      <c r="G4751">
        <v>4.4172000000000002</v>
      </c>
      <c r="H4751">
        <v>1</v>
      </c>
      <c r="I4751">
        <v>105</v>
      </c>
      <c r="J4751" t="str">
        <f>HYPERLINK("https://climate.onebuilding.org/WMO_Region_6_Europe/FRA_France/LP_Occitanie/FRA_LP_Nimes-Ales-Camargue-Cevennes.AP.076460_TMYx.2009-2023.zip")</f>
        <v>https://climate.onebuilding.org/WMO_Region_6_Europe/FRA_France/LP_Occitanie/FRA_LP_Nimes-Ales-Camargue-Cevennes.AP.076460_TMYx.2009-2023.zip</v>
      </c>
    </row>
    <row r="4752" spans="1:10" x14ac:dyDescent="0.25">
      <c r="A4752" t="s">
        <v>2883</v>
      </c>
      <c r="B4752" t="s">
        <v>3064</v>
      </c>
      <c r="C4752" t="s">
        <v>3450</v>
      </c>
      <c r="D4752" s="1" t="s">
        <v>3451</v>
      </c>
      <c r="E4752" t="s">
        <v>14</v>
      </c>
      <c r="F4752">
        <v>43.759399999999999</v>
      </c>
      <c r="G4752">
        <v>4.4172000000000002</v>
      </c>
      <c r="H4752">
        <v>1</v>
      </c>
      <c r="I4752">
        <v>105</v>
      </c>
      <c r="J4752" t="str">
        <f>HYPERLINK("https://climate.onebuilding.org/WMO_Region_6_Europe/FRA_France/LP_Occitanie/FRA_LP_Nimes-Ales-Camargue-Cevennes.AP.076460_TMYx.zip")</f>
        <v>https://climate.onebuilding.org/WMO_Region_6_Europe/FRA_France/LP_Occitanie/FRA_LP_Nimes-Ales-Camargue-Cevennes.AP.076460_TMYx.zip</v>
      </c>
    </row>
    <row r="4753" spans="1:10" x14ac:dyDescent="0.25">
      <c r="A4753" t="s">
        <v>2883</v>
      </c>
      <c r="B4753" t="s">
        <v>2293</v>
      </c>
      <c r="C4753" t="s">
        <v>3453</v>
      </c>
      <c r="D4753" s="1" t="s">
        <v>3454</v>
      </c>
      <c r="E4753" t="s">
        <v>3455</v>
      </c>
      <c r="F4753">
        <v>43.523099999999999</v>
      </c>
      <c r="G4753">
        <v>4.9222000000000001</v>
      </c>
      <c r="H4753">
        <v>1</v>
      </c>
      <c r="I4753">
        <v>24</v>
      </c>
      <c r="J4753" t="str">
        <f>HYPERLINK("https://climate.onebuilding.org/WMO_Region_6_Europe/FRA_France/PR_Provence-Alpes-Cote_d-Azur/FRA_PR_Istres-le.Tube.AB.076470_TMYx.2004-2018.zip")</f>
        <v>https://climate.onebuilding.org/WMO_Region_6_Europe/FRA_France/PR_Provence-Alpes-Cote_d-Azur/FRA_PR_Istres-le.Tube.AB.076470_TMYx.2004-2018.zip</v>
      </c>
    </row>
    <row r="4754" spans="1:10" x14ac:dyDescent="0.25">
      <c r="A4754" t="s">
        <v>2883</v>
      </c>
      <c r="B4754" t="s">
        <v>2293</v>
      </c>
      <c r="C4754" t="s">
        <v>3453</v>
      </c>
      <c r="D4754" s="1" t="s">
        <v>3454</v>
      </c>
      <c r="E4754" t="s">
        <v>14</v>
      </c>
      <c r="F4754">
        <v>43.523099999999999</v>
      </c>
      <c r="G4754">
        <v>4.9222000000000001</v>
      </c>
      <c r="H4754">
        <v>1</v>
      </c>
      <c r="I4754">
        <v>24</v>
      </c>
      <c r="J4754" t="str">
        <f>HYPERLINK("https://climate.onebuilding.org/WMO_Region_6_Europe/FRA_France/PR_Provence-Alpes-Cote_d-Azur/FRA_PR_Istres-le.Tube.AB.076470_TMYx.2007-2021.zip")</f>
        <v>https://climate.onebuilding.org/WMO_Region_6_Europe/FRA_France/PR_Provence-Alpes-Cote_d-Azur/FRA_PR_Istres-le.Tube.AB.076470_TMYx.2007-2021.zip</v>
      </c>
    </row>
    <row r="4755" spans="1:10" x14ac:dyDescent="0.25">
      <c r="A4755" t="s">
        <v>2883</v>
      </c>
      <c r="B4755" t="s">
        <v>2293</v>
      </c>
      <c r="C4755" t="s">
        <v>3453</v>
      </c>
      <c r="D4755" s="1" t="s">
        <v>3454</v>
      </c>
      <c r="E4755" t="s">
        <v>14</v>
      </c>
      <c r="F4755">
        <v>43.523099999999999</v>
      </c>
      <c r="G4755">
        <v>4.9222000000000001</v>
      </c>
      <c r="H4755">
        <v>1</v>
      </c>
      <c r="I4755">
        <v>24</v>
      </c>
      <c r="J4755" t="str">
        <f>HYPERLINK("https://climate.onebuilding.org/WMO_Region_6_Europe/FRA_France/PR_Provence-Alpes-Cote_d-Azur/FRA_PR_Istres-le.Tube.AB.076470_TMYx.2009-2023.zip")</f>
        <v>https://climate.onebuilding.org/WMO_Region_6_Europe/FRA_France/PR_Provence-Alpes-Cote_d-Azur/FRA_PR_Istres-le.Tube.AB.076470_TMYx.2009-2023.zip</v>
      </c>
    </row>
    <row r="4756" spans="1:10" x14ac:dyDescent="0.25">
      <c r="A4756" t="s">
        <v>2883</v>
      </c>
      <c r="B4756" t="s">
        <v>2293</v>
      </c>
      <c r="C4756" t="s">
        <v>3453</v>
      </c>
      <c r="D4756" s="1" t="s">
        <v>3454</v>
      </c>
      <c r="E4756" t="s">
        <v>14</v>
      </c>
      <c r="F4756">
        <v>43.523099999999999</v>
      </c>
      <c r="G4756">
        <v>4.9222000000000001</v>
      </c>
      <c r="H4756">
        <v>1</v>
      </c>
      <c r="I4756">
        <v>24</v>
      </c>
      <c r="J4756" t="str">
        <f>HYPERLINK("https://climate.onebuilding.org/WMO_Region_6_Europe/FRA_France/PR_Provence-Alpes-Cote_d-Azur/FRA_PR_Istres-le.Tube.AB.076470_TMYx.zip")</f>
        <v>https://climate.onebuilding.org/WMO_Region_6_Europe/FRA_France/PR_Provence-Alpes-Cote_d-Azur/FRA_PR_Istres-le.Tube.AB.076470_TMYx.zip</v>
      </c>
    </row>
    <row r="4757" spans="1:10" x14ac:dyDescent="0.25">
      <c r="A4757" t="s">
        <v>2883</v>
      </c>
      <c r="B4757" t="s">
        <v>2293</v>
      </c>
      <c r="C4757" t="s">
        <v>3456</v>
      </c>
      <c r="D4757" s="1" t="s">
        <v>3457</v>
      </c>
      <c r="E4757" t="s">
        <v>3458</v>
      </c>
      <c r="F4757">
        <v>43.6036</v>
      </c>
      <c r="G4757">
        <v>5.1041999999999996</v>
      </c>
      <c r="H4757">
        <v>1</v>
      </c>
      <c r="I4757">
        <v>59</v>
      </c>
      <c r="J4757" t="str">
        <f>HYPERLINK("https://climate.onebuilding.org/WMO_Region_6_Europe/FRA_France/PR_Provence-Alpes-Cote_d-Azur/FRA_PR_Salon.de.Provence.AB.076480_TMYx.2004-2018.zip")</f>
        <v>https://climate.onebuilding.org/WMO_Region_6_Europe/FRA_France/PR_Provence-Alpes-Cote_d-Azur/FRA_PR_Salon.de.Provence.AB.076480_TMYx.2004-2018.zip</v>
      </c>
    </row>
    <row r="4758" spans="1:10" x14ac:dyDescent="0.25">
      <c r="A4758" t="s">
        <v>2883</v>
      </c>
      <c r="B4758" t="s">
        <v>2293</v>
      </c>
      <c r="C4758" t="s">
        <v>3456</v>
      </c>
      <c r="D4758" s="1" t="s">
        <v>3457</v>
      </c>
      <c r="E4758" t="s">
        <v>14</v>
      </c>
      <c r="F4758">
        <v>43.6036</v>
      </c>
      <c r="G4758">
        <v>5.1041999999999996</v>
      </c>
      <c r="H4758">
        <v>1</v>
      </c>
      <c r="I4758">
        <v>59</v>
      </c>
      <c r="J4758" t="str">
        <f>HYPERLINK("https://climate.onebuilding.org/WMO_Region_6_Europe/FRA_France/PR_Provence-Alpes-Cote_d-Azur/FRA_PR_Salon.de.Provence.AB.076480_TMYx.2007-2021.zip")</f>
        <v>https://climate.onebuilding.org/WMO_Region_6_Europe/FRA_France/PR_Provence-Alpes-Cote_d-Azur/FRA_PR_Salon.de.Provence.AB.076480_TMYx.2007-2021.zip</v>
      </c>
    </row>
    <row r="4759" spans="1:10" x14ac:dyDescent="0.25">
      <c r="A4759" t="s">
        <v>2883</v>
      </c>
      <c r="B4759" t="s">
        <v>2293</v>
      </c>
      <c r="C4759" t="s">
        <v>3456</v>
      </c>
      <c r="D4759" s="1" t="s">
        <v>3457</v>
      </c>
      <c r="E4759" t="s">
        <v>14</v>
      </c>
      <c r="F4759">
        <v>43.6036</v>
      </c>
      <c r="G4759">
        <v>5.1041999999999996</v>
      </c>
      <c r="H4759">
        <v>1</v>
      </c>
      <c r="I4759">
        <v>59</v>
      </c>
      <c r="J4759" t="str">
        <f>HYPERLINK("https://climate.onebuilding.org/WMO_Region_6_Europe/FRA_France/PR_Provence-Alpes-Cote_d-Azur/FRA_PR_Salon.de.Provence.AB.076480_TMYx.2009-2023.zip")</f>
        <v>https://climate.onebuilding.org/WMO_Region_6_Europe/FRA_France/PR_Provence-Alpes-Cote_d-Azur/FRA_PR_Salon.de.Provence.AB.076480_TMYx.2009-2023.zip</v>
      </c>
    </row>
    <row r="4760" spans="1:10" x14ac:dyDescent="0.25">
      <c r="A4760" t="s">
        <v>2883</v>
      </c>
      <c r="B4760" t="s">
        <v>2293</v>
      </c>
      <c r="C4760" t="s">
        <v>3456</v>
      </c>
      <c r="D4760" s="1" t="s">
        <v>3457</v>
      </c>
      <c r="E4760" t="s">
        <v>14</v>
      </c>
      <c r="F4760">
        <v>43.6036</v>
      </c>
      <c r="G4760">
        <v>5.1041999999999996</v>
      </c>
      <c r="H4760">
        <v>1</v>
      </c>
      <c r="I4760">
        <v>59</v>
      </c>
      <c r="J4760" t="str">
        <f>HYPERLINK("https://climate.onebuilding.org/WMO_Region_6_Europe/FRA_France/PR_Provence-Alpes-Cote_d-Azur/FRA_PR_Salon.de.Provence.AB.076480_TMYx.zip")</f>
        <v>https://climate.onebuilding.org/WMO_Region_6_Europe/FRA_France/PR_Provence-Alpes-Cote_d-Azur/FRA_PR_Salon.de.Provence.AB.076480_TMYx.zip</v>
      </c>
    </row>
    <row r="4761" spans="1:10" x14ac:dyDescent="0.25">
      <c r="A4761" t="s">
        <v>2883</v>
      </c>
      <c r="B4761" t="s">
        <v>2293</v>
      </c>
      <c r="C4761" t="s">
        <v>3459</v>
      </c>
      <c r="D4761" s="1" t="s">
        <v>3460</v>
      </c>
      <c r="E4761" t="s">
        <v>14</v>
      </c>
      <c r="F4761">
        <v>43.506</v>
      </c>
      <c r="G4761">
        <v>5.3680000000000003</v>
      </c>
      <c r="H4761">
        <v>1</v>
      </c>
      <c r="I4761">
        <v>111.9</v>
      </c>
      <c r="J4761" t="str">
        <f>HYPERLINK("https://climate.onebuilding.org/WMO_Region_6_Europe/FRA_France/PR_Provence-Alpes-Cote_d-Azur/FRA_PR_Aix.en.Province.AF.076490_TMYx.zip")</f>
        <v>https://climate.onebuilding.org/WMO_Region_6_Europe/FRA_France/PR_Provence-Alpes-Cote_d-Azur/FRA_PR_Aix.en.Province.AF.076490_TMYx.zip</v>
      </c>
    </row>
    <row r="4762" spans="1:10" x14ac:dyDescent="0.25">
      <c r="A4762" t="s">
        <v>2883</v>
      </c>
      <c r="B4762" t="s">
        <v>2293</v>
      </c>
      <c r="C4762" t="s">
        <v>3461</v>
      </c>
      <c r="D4762" s="1" t="s">
        <v>3462</v>
      </c>
      <c r="E4762" t="s">
        <v>3463</v>
      </c>
      <c r="F4762">
        <v>43.437800000000003</v>
      </c>
      <c r="G4762">
        <v>5.2161</v>
      </c>
      <c r="H4762">
        <v>1</v>
      </c>
      <c r="I4762">
        <v>32</v>
      </c>
      <c r="J4762" t="str">
        <f>HYPERLINK("https://climate.onebuilding.org/WMO_Region_6_Europe/FRA_France/PR_Provence-Alpes-Cote_d-Azur/FRA_PR_Marseille.Provence.AP.076500_TMYx.2004-2018.zip")</f>
        <v>https://climate.onebuilding.org/WMO_Region_6_Europe/FRA_France/PR_Provence-Alpes-Cote_d-Azur/FRA_PR_Marseille.Provence.AP.076500_TMYx.2004-2018.zip</v>
      </c>
    </row>
    <row r="4763" spans="1:10" x14ac:dyDescent="0.25">
      <c r="A4763" t="s">
        <v>2883</v>
      </c>
      <c r="B4763" t="s">
        <v>2293</v>
      </c>
      <c r="C4763" t="s">
        <v>3461</v>
      </c>
      <c r="D4763" s="1" t="s">
        <v>3462</v>
      </c>
      <c r="E4763" t="s">
        <v>14</v>
      </c>
      <c r="F4763">
        <v>43.437800000000003</v>
      </c>
      <c r="G4763">
        <v>5.2161</v>
      </c>
      <c r="H4763">
        <v>1</v>
      </c>
      <c r="I4763">
        <v>32</v>
      </c>
      <c r="J4763" t="str">
        <f>HYPERLINK("https://climate.onebuilding.org/WMO_Region_6_Europe/FRA_France/PR_Provence-Alpes-Cote_d-Azur/FRA_PR_Marseille.Provence.AP.076500_TMYx.2007-2021.zip")</f>
        <v>https://climate.onebuilding.org/WMO_Region_6_Europe/FRA_France/PR_Provence-Alpes-Cote_d-Azur/FRA_PR_Marseille.Provence.AP.076500_TMYx.2007-2021.zip</v>
      </c>
    </row>
    <row r="4764" spans="1:10" x14ac:dyDescent="0.25">
      <c r="A4764" t="s">
        <v>2883</v>
      </c>
      <c r="B4764" t="s">
        <v>2293</v>
      </c>
      <c r="C4764" t="s">
        <v>3461</v>
      </c>
      <c r="D4764" s="1" t="s">
        <v>3462</v>
      </c>
      <c r="E4764" t="s">
        <v>14</v>
      </c>
      <c r="F4764">
        <v>43.437800000000003</v>
      </c>
      <c r="G4764">
        <v>5.2161</v>
      </c>
      <c r="H4764">
        <v>1</v>
      </c>
      <c r="I4764">
        <v>32</v>
      </c>
      <c r="J4764" t="str">
        <f>HYPERLINK("https://climate.onebuilding.org/WMO_Region_6_Europe/FRA_France/PR_Provence-Alpes-Cote_d-Azur/FRA_PR_Marseille.Provence.AP.076500_TMYx.2009-2023.zip")</f>
        <v>https://climate.onebuilding.org/WMO_Region_6_Europe/FRA_France/PR_Provence-Alpes-Cote_d-Azur/FRA_PR_Marseille.Provence.AP.076500_TMYx.2009-2023.zip</v>
      </c>
    </row>
    <row r="4765" spans="1:10" x14ac:dyDescent="0.25">
      <c r="A4765" t="s">
        <v>2883</v>
      </c>
      <c r="B4765" t="s">
        <v>2293</v>
      </c>
      <c r="C4765" t="s">
        <v>3461</v>
      </c>
      <c r="D4765" s="1" t="s">
        <v>3462</v>
      </c>
      <c r="E4765" t="s">
        <v>14</v>
      </c>
      <c r="F4765">
        <v>43.437800000000003</v>
      </c>
      <c r="G4765">
        <v>5.2161</v>
      </c>
      <c r="H4765">
        <v>1</v>
      </c>
      <c r="I4765">
        <v>32</v>
      </c>
      <c r="J4765" t="str">
        <f>HYPERLINK("https://climate.onebuilding.org/WMO_Region_6_Europe/FRA_France/PR_Provence-Alpes-Cote_d-Azur/FRA_PR_Marseille.Provence.AP.076500_TMYx.zip")</f>
        <v>https://climate.onebuilding.org/WMO_Region_6_Europe/FRA_France/PR_Provence-Alpes-Cote_d-Azur/FRA_PR_Marseille.Provence.AP.076500_TMYx.zip</v>
      </c>
    </row>
    <row r="4766" spans="1:10" x14ac:dyDescent="0.25">
      <c r="A4766" t="s">
        <v>2883</v>
      </c>
      <c r="B4766" t="s">
        <v>2293</v>
      </c>
      <c r="C4766" t="s">
        <v>3464</v>
      </c>
      <c r="D4766" s="1" t="s">
        <v>3465</v>
      </c>
      <c r="E4766" t="s">
        <v>14</v>
      </c>
      <c r="F4766">
        <v>43.2682</v>
      </c>
      <c r="G4766">
        <v>5.2995999999999999</v>
      </c>
      <c r="H4766">
        <v>1</v>
      </c>
      <c r="I4766">
        <v>10</v>
      </c>
      <c r="J4766" t="str">
        <f>HYPERLINK("https://climate.onebuilding.org/WMO_Region_6_Europe/FRA_France/PR_Provence-Alpes-Cote_d-Azur/FRA_PR_Cap.Pomegues.076520_TMYx.zip")</f>
        <v>https://climate.onebuilding.org/WMO_Region_6_Europe/FRA_France/PR_Provence-Alpes-Cote_d-Azur/FRA_PR_Cap.Pomegues.076520_TMYx.zip</v>
      </c>
    </row>
    <row r="4767" spans="1:10" x14ac:dyDescent="0.25">
      <c r="A4767" t="s">
        <v>2883</v>
      </c>
      <c r="B4767" t="s">
        <v>2293</v>
      </c>
      <c r="C4767" t="s">
        <v>3466</v>
      </c>
      <c r="D4767" s="1" t="s">
        <v>3467</v>
      </c>
      <c r="E4767" t="s">
        <v>14</v>
      </c>
      <c r="F4767">
        <v>43.332999999999998</v>
      </c>
      <c r="G4767">
        <v>5.05</v>
      </c>
      <c r="H4767">
        <v>1</v>
      </c>
      <c r="I4767">
        <v>27</v>
      </c>
      <c r="J4767" t="str">
        <f>HYPERLINK("https://climate.onebuilding.org/WMO_Region_6_Europe/FRA_France/PR_Provence-Alpes-Cote_d-Azur/FRA_PR_Cap.Couronne.076530_TMYx.zip")</f>
        <v>https://climate.onebuilding.org/WMO_Region_6_Europe/FRA_France/PR_Provence-Alpes-Cote_d-Azur/FRA_PR_Cap.Couronne.076530_TMYx.zip</v>
      </c>
    </row>
    <row r="4768" spans="1:10" x14ac:dyDescent="0.25">
      <c r="A4768" t="s">
        <v>2883</v>
      </c>
      <c r="B4768" t="s">
        <v>2293</v>
      </c>
      <c r="C4768" t="s">
        <v>3468</v>
      </c>
      <c r="D4768" s="1" t="s">
        <v>3469</v>
      </c>
      <c r="E4768" t="s">
        <v>14</v>
      </c>
      <c r="F4768">
        <v>43.183</v>
      </c>
      <c r="G4768">
        <v>5.5830000000000002</v>
      </c>
      <c r="H4768">
        <v>1</v>
      </c>
      <c r="I4768">
        <v>315</v>
      </c>
      <c r="J4768" t="str">
        <f>HYPERLINK("https://climate.onebuilding.org/WMO_Region_6_Europe/FRA_France/PR_Provence-Alpes-Cote_d-Azur/FRA_PR_Bec.de.Laigle.076560_TMYx.zip")</f>
        <v>https://climate.onebuilding.org/WMO_Region_6_Europe/FRA_France/PR_Provence-Alpes-Cote_d-Azur/FRA_PR_Bec.de.Laigle.076560_TMYx.zip</v>
      </c>
    </row>
    <row r="4769" spans="1:10" x14ac:dyDescent="0.25">
      <c r="A4769" t="s">
        <v>2883</v>
      </c>
      <c r="B4769" t="s">
        <v>2293</v>
      </c>
      <c r="C4769" t="s">
        <v>3470</v>
      </c>
      <c r="D4769" s="1" t="s">
        <v>3471</v>
      </c>
      <c r="E4769" t="s">
        <v>14</v>
      </c>
      <c r="F4769">
        <v>44.05</v>
      </c>
      <c r="G4769">
        <v>5.4829999999999997</v>
      </c>
      <c r="H4769">
        <v>1</v>
      </c>
      <c r="I4769">
        <v>837</v>
      </c>
      <c r="J4769" t="str">
        <f>HYPERLINK("https://climate.onebuilding.org/WMO_Region_6_Europe/FRA_France/PR_Provence-Alpes-Cote_d-Azur/FRA_PR_St.Christol.AP-AFB.076570_TMYx.zip")</f>
        <v>https://climate.onebuilding.org/WMO_Region_6_Europe/FRA_France/PR_Provence-Alpes-Cote_d-Azur/FRA_PR_St.Christol.AP-AFB.076570_TMYx.zip</v>
      </c>
    </row>
    <row r="4770" spans="1:10" x14ac:dyDescent="0.25">
      <c r="A4770" t="s">
        <v>2883</v>
      </c>
      <c r="B4770" t="s">
        <v>2293</v>
      </c>
      <c r="C4770" t="s">
        <v>3472</v>
      </c>
      <c r="D4770" s="1" t="s">
        <v>3473</v>
      </c>
      <c r="E4770" t="s">
        <v>3474</v>
      </c>
      <c r="F4770">
        <v>43.129300000000001</v>
      </c>
      <c r="G4770">
        <v>5.9192999999999998</v>
      </c>
      <c r="H4770">
        <v>1</v>
      </c>
      <c r="I4770">
        <v>20</v>
      </c>
      <c r="J4770" t="str">
        <f>HYPERLINK("https://climate.onebuilding.org/WMO_Region_6_Europe/FRA_France/PR_Provence-Alpes-Cote_d-Azur/FRA_PR_Toulon.076600_TMYx.2004-2018.zip")</f>
        <v>https://climate.onebuilding.org/WMO_Region_6_Europe/FRA_France/PR_Provence-Alpes-Cote_d-Azur/FRA_PR_Toulon.076600_TMYx.2004-2018.zip</v>
      </c>
    </row>
    <row r="4771" spans="1:10" x14ac:dyDescent="0.25">
      <c r="A4771" t="s">
        <v>2883</v>
      </c>
      <c r="B4771" t="s">
        <v>2293</v>
      </c>
      <c r="C4771" t="s">
        <v>3472</v>
      </c>
      <c r="D4771" s="1" t="s">
        <v>3473</v>
      </c>
      <c r="E4771" t="s">
        <v>14</v>
      </c>
      <c r="F4771">
        <v>43.129300000000001</v>
      </c>
      <c r="G4771">
        <v>5.9192999999999998</v>
      </c>
      <c r="H4771">
        <v>1</v>
      </c>
      <c r="I4771">
        <v>20</v>
      </c>
      <c r="J4771" t="str">
        <f>HYPERLINK("https://climate.onebuilding.org/WMO_Region_6_Europe/FRA_France/PR_Provence-Alpes-Cote_d-Azur/FRA_PR_Toulon.076600_TMYx.2007-2021.zip")</f>
        <v>https://climate.onebuilding.org/WMO_Region_6_Europe/FRA_France/PR_Provence-Alpes-Cote_d-Azur/FRA_PR_Toulon.076600_TMYx.2007-2021.zip</v>
      </c>
    </row>
    <row r="4772" spans="1:10" x14ac:dyDescent="0.25">
      <c r="A4772" t="s">
        <v>2883</v>
      </c>
      <c r="B4772" t="s">
        <v>2293</v>
      </c>
      <c r="C4772" t="s">
        <v>3472</v>
      </c>
      <c r="D4772" s="1" t="s">
        <v>3473</v>
      </c>
      <c r="E4772" t="s">
        <v>14</v>
      </c>
      <c r="F4772">
        <v>43.129300000000001</v>
      </c>
      <c r="G4772">
        <v>5.9192999999999998</v>
      </c>
      <c r="H4772">
        <v>1</v>
      </c>
      <c r="I4772">
        <v>20</v>
      </c>
      <c r="J4772" t="str">
        <f>HYPERLINK("https://climate.onebuilding.org/WMO_Region_6_Europe/FRA_France/PR_Provence-Alpes-Cote_d-Azur/FRA_PR_Toulon.076600_TMYx.2009-2023.zip")</f>
        <v>https://climate.onebuilding.org/WMO_Region_6_Europe/FRA_France/PR_Provence-Alpes-Cote_d-Azur/FRA_PR_Toulon.076600_TMYx.2009-2023.zip</v>
      </c>
    </row>
    <row r="4773" spans="1:10" x14ac:dyDescent="0.25">
      <c r="A4773" t="s">
        <v>2883</v>
      </c>
      <c r="B4773" t="s">
        <v>2293</v>
      </c>
      <c r="C4773" t="s">
        <v>3472</v>
      </c>
      <c r="D4773" s="1" t="s">
        <v>3473</v>
      </c>
      <c r="E4773" t="s">
        <v>14</v>
      </c>
      <c r="F4773">
        <v>43.129300000000001</v>
      </c>
      <c r="G4773">
        <v>5.9192999999999998</v>
      </c>
      <c r="H4773">
        <v>1</v>
      </c>
      <c r="I4773">
        <v>20</v>
      </c>
      <c r="J4773" t="str">
        <f>HYPERLINK("https://climate.onebuilding.org/WMO_Region_6_Europe/FRA_France/PR_Provence-Alpes-Cote_d-Azur/FRA_PR_Toulon.076600_TMYx.zip")</f>
        <v>https://climate.onebuilding.org/WMO_Region_6_Europe/FRA_France/PR_Provence-Alpes-Cote_d-Azur/FRA_PR_Toulon.076600_TMYx.zip</v>
      </c>
    </row>
    <row r="4774" spans="1:10" x14ac:dyDescent="0.25">
      <c r="A4774" t="s">
        <v>2883</v>
      </c>
      <c r="B4774" t="s">
        <v>2293</v>
      </c>
      <c r="C4774" t="s">
        <v>3475</v>
      </c>
      <c r="D4774" s="1" t="s">
        <v>3476</v>
      </c>
      <c r="E4774" t="s">
        <v>3477</v>
      </c>
      <c r="F4774">
        <v>43.0794</v>
      </c>
      <c r="G4774">
        <v>5.9408000000000003</v>
      </c>
      <c r="H4774">
        <v>1</v>
      </c>
      <c r="I4774">
        <v>134</v>
      </c>
      <c r="J4774" t="str">
        <f>HYPERLINK("https://climate.onebuilding.org/WMO_Region_6_Europe/FRA_France/PR_Provence-Alpes-Cote_d-Azur/FRA_PR_Cap.Cepet.076610_TMYx.2004-2018.zip")</f>
        <v>https://climate.onebuilding.org/WMO_Region_6_Europe/FRA_France/PR_Provence-Alpes-Cote_d-Azur/FRA_PR_Cap.Cepet.076610_TMYx.2004-2018.zip</v>
      </c>
    </row>
    <row r="4775" spans="1:10" x14ac:dyDescent="0.25">
      <c r="A4775" t="s">
        <v>2883</v>
      </c>
      <c r="B4775" t="s">
        <v>2293</v>
      </c>
      <c r="C4775" t="s">
        <v>3475</v>
      </c>
      <c r="D4775" s="1" t="s">
        <v>3476</v>
      </c>
      <c r="E4775" t="s">
        <v>14</v>
      </c>
      <c r="F4775">
        <v>43.0794</v>
      </c>
      <c r="G4775">
        <v>5.9408000000000003</v>
      </c>
      <c r="H4775">
        <v>1</v>
      </c>
      <c r="I4775">
        <v>134</v>
      </c>
      <c r="J4775" t="str">
        <f>HYPERLINK("https://climate.onebuilding.org/WMO_Region_6_Europe/FRA_France/PR_Provence-Alpes-Cote_d-Azur/FRA_PR_Cap.Cepet.076610_TMYx.2007-2021.zip")</f>
        <v>https://climate.onebuilding.org/WMO_Region_6_Europe/FRA_France/PR_Provence-Alpes-Cote_d-Azur/FRA_PR_Cap.Cepet.076610_TMYx.2007-2021.zip</v>
      </c>
    </row>
    <row r="4776" spans="1:10" x14ac:dyDescent="0.25">
      <c r="A4776" t="s">
        <v>2883</v>
      </c>
      <c r="B4776" t="s">
        <v>2293</v>
      </c>
      <c r="C4776" t="s">
        <v>3475</v>
      </c>
      <c r="D4776" s="1" t="s">
        <v>3476</v>
      </c>
      <c r="E4776" t="s">
        <v>14</v>
      </c>
      <c r="F4776">
        <v>43.0794</v>
      </c>
      <c r="G4776">
        <v>5.9408000000000003</v>
      </c>
      <c r="H4776">
        <v>1</v>
      </c>
      <c r="I4776">
        <v>134</v>
      </c>
      <c r="J4776" t="str">
        <f>HYPERLINK("https://climate.onebuilding.org/WMO_Region_6_Europe/FRA_France/PR_Provence-Alpes-Cote_d-Azur/FRA_PR_Cap.Cepet.076610_TMYx.2009-2023.zip")</f>
        <v>https://climate.onebuilding.org/WMO_Region_6_Europe/FRA_France/PR_Provence-Alpes-Cote_d-Azur/FRA_PR_Cap.Cepet.076610_TMYx.2009-2023.zip</v>
      </c>
    </row>
    <row r="4777" spans="1:10" x14ac:dyDescent="0.25">
      <c r="A4777" t="s">
        <v>2883</v>
      </c>
      <c r="B4777" t="s">
        <v>2293</v>
      </c>
      <c r="C4777" t="s">
        <v>3475</v>
      </c>
      <c r="D4777" s="1" t="s">
        <v>3476</v>
      </c>
      <c r="E4777" t="s">
        <v>14</v>
      </c>
      <c r="F4777">
        <v>43.0794</v>
      </c>
      <c r="G4777">
        <v>5.9408000000000003</v>
      </c>
      <c r="H4777">
        <v>1</v>
      </c>
      <c r="I4777">
        <v>134</v>
      </c>
      <c r="J4777" t="str">
        <f>HYPERLINK("https://climate.onebuilding.org/WMO_Region_6_Europe/FRA_France/PR_Provence-Alpes-Cote_d-Azur/FRA_PR_Cap.Cepet.076610_TMYx.zip")</f>
        <v>https://climate.onebuilding.org/WMO_Region_6_Europe/FRA_France/PR_Provence-Alpes-Cote_d-Azur/FRA_PR_Cap.Cepet.076610_TMYx.zip</v>
      </c>
    </row>
    <row r="4778" spans="1:10" x14ac:dyDescent="0.25">
      <c r="A4778" t="s">
        <v>2883</v>
      </c>
      <c r="B4778" t="s">
        <v>2293</v>
      </c>
      <c r="C4778" t="s">
        <v>3478</v>
      </c>
      <c r="D4778" s="1" t="s">
        <v>3479</v>
      </c>
      <c r="E4778" t="s">
        <v>14</v>
      </c>
      <c r="F4778">
        <v>43.25</v>
      </c>
      <c r="G4778">
        <v>6.133</v>
      </c>
      <c r="H4778">
        <v>1</v>
      </c>
      <c r="I4778">
        <v>81</v>
      </c>
      <c r="J4778" t="str">
        <f>HYPERLINK("https://climate.onebuilding.org/WMO_Region_6_Europe/FRA_France/PR_Provence-Alpes-Cote_d-Azur/FRA_PR_Pierrefeu.NAB.076630_TMYx.zip")</f>
        <v>https://climate.onebuilding.org/WMO_Region_6_Europe/FRA_France/PR_Provence-Alpes-Cote_d-Azur/FRA_PR_Pierrefeu.NAB.076630_TMYx.zip</v>
      </c>
    </row>
    <row r="4779" spans="1:10" x14ac:dyDescent="0.25">
      <c r="A4779" t="s">
        <v>2883</v>
      </c>
      <c r="B4779" t="s">
        <v>3064</v>
      </c>
      <c r="C4779" t="s">
        <v>3480</v>
      </c>
      <c r="D4779" s="1" t="s">
        <v>3481</v>
      </c>
      <c r="E4779" t="s">
        <v>3482</v>
      </c>
      <c r="F4779">
        <v>42.917299999999997</v>
      </c>
      <c r="G4779">
        <v>3.0596999999999999</v>
      </c>
      <c r="H4779">
        <v>1</v>
      </c>
      <c r="I4779">
        <v>35</v>
      </c>
      <c r="J4779" t="str">
        <f>HYPERLINK("https://climate.onebuilding.org/WMO_Region_6_Europe/FRA_France/LP_Occitanie/FRA_LP_Cap.Leucate.Lighthouse.076660_TMYx.2004-2018.zip")</f>
        <v>https://climate.onebuilding.org/WMO_Region_6_Europe/FRA_France/LP_Occitanie/FRA_LP_Cap.Leucate.Lighthouse.076660_TMYx.2004-2018.zip</v>
      </c>
    </row>
    <row r="4780" spans="1:10" x14ac:dyDescent="0.25">
      <c r="A4780" t="s">
        <v>2883</v>
      </c>
      <c r="B4780" t="s">
        <v>3064</v>
      </c>
      <c r="C4780" t="s">
        <v>3480</v>
      </c>
      <c r="D4780" s="1" t="s">
        <v>3481</v>
      </c>
      <c r="E4780" t="s">
        <v>14</v>
      </c>
      <c r="F4780">
        <v>42.917299999999997</v>
      </c>
      <c r="G4780">
        <v>3.0596999999999999</v>
      </c>
      <c r="H4780">
        <v>1</v>
      </c>
      <c r="I4780">
        <v>35</v>
      </c>
      <c r="J4780" t="str">
        <f>HYPERLINK("https://climate.onebuilding.org/WMO_Region_6_Europe/FRA_France/LP_Occitanie/FRA_LP_Cap.Leucate.Lighthouse.076660_TMYx.2007-2021.zip")</f>
        <v>https://climate.onebuilding.org/WMO_Region_6_Europe/FRA_France/LP_Occitanie/FRA_LP_Cap.Leucate.Lighthouse.076660_TMYx.2007-2021.zip</v>
      </c>
    </row>
    <row r="4781" spans="1:10" x14ac:dyDescent="0.25">
      <c r="A4781" t="s">
        <v>2883</v>
      </c>
      <c r="B4781" t="s">
        <v>3064</v>
      </c>
      <c r="C4781" t="s">
        <v>3480</v>
      </c>
      <c r="D4781" s="1" t="s">
        <v>3481</v>
      </c>
      <c r="E4781" t="s">
        <v>14</v>
      </c>
      <c r="F4781">
        <v>42.917299999999997</v>
      </c>
      <c r="G4781">
        <v>3.0596999999999999</v>
      </c>
      <c r="H4781">
        <v>1</v>
      </c>
      <c r="I4781">
        <v>35</v>
      </c>
      <c r="J4781" t="str">
        <f>HYPERLINK("https://climate.onebuilding.org/WMO_Region_6_Europe/FRA_France/LP_Occitanie/FRA_LP_Cap.Leucate.Lighthouse.076660_TMYx.2009-2023.zip")</f>
        <v>https://climate.onebuilding.org/WMO_Region_6_Europe/FRA_France/LP_Occitanie/FRA_LP_Cap.Leucate.Lighthouse.076660_TMYx.2009-2023.zip</v>
      </c>
    </row>
    <row r="4782" spans="1:10" x14ac:dyDescent="0.25">
      <c r="A4782" t="s">
        <v>2883</v>
      </c>
      <c r="B4782" t="s">
        <v>3064</v>
      </c>
      <c r="C4782" t="s">
        <v>3480</v>
      </c>
      <c r="D4782" s="1" t="s">
        <v>3481</v>
      </c>
      <c r="E4782" t="s">
        <v>14</v>
      </c>
      <c r="F4782">
        <v>42.917299999999997</v>
      </c>
      <c r="G4782">
        <v>3.0596999999999999</v>
      </c>
      <c r="H4782">
        <v>1</v>
      </c>
      <c r="I4782">
        <v>35</v>
      </c>
      <c r="J4782" t="str">
        <f>HYPERLINK("https://climate.onebuilding.org/WMO_Region_6_Europe/FRA_France/LP_Occitanie/FRA_LP_Cap.Leucate.Lighthouse.076660_TMYx.zip")</f>
        <v>https://climate.onebuilding.org/WMO_Region_6_Europe/FRA_France/LP_Occitanie/FRA_LP_Cap.Leucate.Lighthouse.076660_TMYx.zip</v>
      </c>
    </row>
    <row r="4783" spans="1:10" x14ac:dyDescent="0.25">
      <c r="A4783" t="s">
        <v>2883</v>
      </c>
      <c r="B4783" t="s">
        <v>2293</v>
      </c>
      <c r="C4783" t="s">
        <v>3483</v>
      </c>
      <c r="D4783" s="1" t="s">
        <v>3484</v>
      </c>
      <c r="E4783" t="s">
        <v>3485</v>
      </c>
      <c r="F4783">
        <v>43.0944</v>
      </c>
      <c r="G4783">
        <v>6.1463999999999999</v>
      </c>
      <c r="H4783">
        <v>1</v>
      </c>
      <c r="I4783">
        <v>4</v>
      </c>
      <c r="J4783" t="str">
        <f>HYPERLINK("https://climate.onebuilding.org/WMO_Region_6_Europe/FRA_France/PR_Provence-Alpes-Cote_d-Azur/FRA_PR_Toulon-Hyeres.Intl.AP.076670_TMYx.2004-2018.zip")</f>
        <v>https://climate.onebuilding.org/WMO_Region_6_Europe/FRA_France/PR_Provence-Alpes-Cote_d-Azur/FRA_PR_Toulon-Hyeres.Intl.AP.076670_TMYx.2004-2018.zip</v>
      </c>
    </row>
    <row r="4784" spans="1:10" x14ac:dyDescent="0.25">
      <c r="A4784" t="s">
        <v>2883</v>
      </c>
      <c r="B4784" t="s">
        <v>2293</v>
      </c>
      <c r="C4784" t="s">
        <v>3483</v>
      </c>
      <c r="D4784" s="1" t="s">
        <v>3484</v>
      </c>
      <c r="E4784" t="s">
        <v>14</v>
      </c>
      <c r="F4784">
        <v>43.0944</v>
      </c>
      <c r="G4784">
        <v>6.1463999999999999</v>
      </c>
      <c r="H4784">
        <v>1</v>
      </c>
      <c r="I4784">
        <v>4</v>
      </c>
      <c r="J4784" t="str">
        <f>HYPERLINK("https://climate.onebuilding.org/WMO_Region_6_Europe/FRA_France/PR_Provence-Alpes-Cote_d-Azur/FRA_PR_Toulon-Hyeres.Intl.AP.076670_TMYx.2007-2021.zip")</f>
        <v>https://climate.onebuilding.org/WMO_Region_6_Europe/FRA_France/PR_Provence-Alpes-Cote_d-Azur/FRA_PR_Toulon-Hyeres.Intl.AP.076670_TMYx.2007-2021.zip</v>
      </c>
    </row>
    <row r="4785" spans="1:10" x14ac:dyDescent="0.25">
      <c r="A4785" t="s">
        <v>2883</v>
      </c>
      <c r="B4785" t="s">
        <v>2293</v>
      </c>
      <c r="C4785" t="s">
        <v>3483</v>
      </c>
      <c r="D4785" s="1" t="s">
        <v>3484</v>
      </c>
      <c r="E4785" t="s">
        <v>14</v>
      </c>
      <c r="F4785">
        <v>43.0944</v>
      </c>
      <c r="G4785">
        <v>6.1463999999999999</v>
      </c>
      <c r="H4785">
        <v>1</v>
      </c>
      <c r="I4785">
        <v>4</v>
      </c>
      <c r="J4785" t="str">
        <f>HYPERLINK("https://climate.onebuilding.org/WMO_Region_6_Europe/FRA_France/PR_Provence-Alpes-Cote_d-Azur/FRA_PR_Toulon-Hyeres.Intl.AP.076670_TMYx.2009-2023.zip")</f>
        <v>https://climate.onebuilding.org/WMO_Region_6_Europe/FRA_France/PR_Provence-Alpes-Cote_d-Azur/FRA_PR_Toulon-Hyeres.Intl.AP.076670_TMYx.2009-2023.zip</v>
      </c>
    </row>
    <row r="4786" spans="1:10" x14ac:dyDescent="0.25">
      <c r="A4786" t="s">
        <v>2883</v>
      </c>
      <c r="B4786" t="s">
        <v>2293</v>
      </c>
      <c r="C4786" t="s">
        <v>3483</v>
      </c>
      <c r="D4786" s="1" t="s">
        <v>3484</v>
      </c>
      <c r="E4786" t="s">
        <v>14</v>
      </c>
      <c r="F4786">
        <v>43.0944</v>
      </c>
      <c r="G4786">
        <v>6.1463999999999999</v>
      </c>
      <c r="H4786">
        <v>1</v>
      </c>
      <c r="I4786">
        <v>4</v>
      </c>
      <c r="J4786" t="str">
        <f>HYPERLINK("https://climate.onebuilding.org/WMO_Region_6_Europe/FRA_France/PR_Provence-Alpes-Cote_d-Azur/FRA_PR_Toulon-Hyeres.Intl.AP.076670_TMYx.zip")</f>
        <v>https://climate.onebuilding.org/WMO_Region_6_Europe/FRA_France/PR_Provence-Alpes-Cote_d-Azur/FRA_PR_Toulon-Hyeres.Intl.AP.076670_TMYx.zip</v>
      </c>
    </row>
    <row r="4787" spans="1:10" x14ac:dyDescent="0.25">
      <c r="A4787" t="s">
        <v>2883</v>
      </c>
      <c r="B4787" t="s">
        <v>2293</v>
      </c>
      <c r="C4787" t="s">
        <v>3486</v>
      </c>
      <c r="D4787" s="1" t="s">
        <v>3487</v>
      </c>
      <c r="E4787" t="s">
        <v>14</v>
      </c>
      <c r="F4787">
        <v>43</v>
      </c>
      <c r="G4787">
        <v>6.2329999999999997</v>
      </c>
      <c r="H4787">
        <v>1</v>
      </c>
      <c r="I4787">
        <v>147</v>
      </c>
      <c r="J4787" t="str">
        <f>HYPERLINK("https://climate.onebuilding.org/WMO_Region_6_Europe/FRA_France/PR_Provence-Alpes-Cote_d-Azur/FRA_PR_Porquerolles.076700_TMYx.2007-2021.zip")</f>
        <v>https://climate.onebuilding.org/WMO_Region_6_Europe/FRA_France/PR_Provence-Alpes-Cote_d-Azur/FRA_PR_Porquerolles.076700_TMYx.2007-2021.zip</v>
      </c>
    </row>
    <row r="4788" spans="1:10" x14ac:dyDescent="0.25">
      <c r="A4788" t="s">
        <v>2883</v>
      </c>
      <c r="B4788" t="s">
        <v>2293</v>
      </c>
      <c r="C4788" t="s">
        <v>3486</v>
      </c>
      <c r="D4788" s="1" t="s">
        <v>3487</v>
      </c>
      <c r="E4788" t="s">
        <v>14</v>
      </c>
      <c r="F4788">
        <v>43</v>
      </c>
      <c r="G4788">
        <v>6.2329999999999997</v>
      </c>
      <c r="H4788">
        <v>1</v>
      </c>
      <c r="I4788">
        <v>147</v>
      </c>
      <c r="J4788" t="str">
        <f>HYPERLINK("https://climate.onebuilding.org/WMO_Region_6_Europe/FRA_France/PR_Provence-Alpes-Cote_d-Azur/FRA_PR_Porquerolles.076700_TMYx.2009-2023.zip")</f>
        <v>https://climate.onebuilding.org/WMO_Region_6_Europe/FRA_France/PR_Provence-Alpes-Cote_d-Azur/FRA_PR_Porquerolles.076700_TMYx.2009-2023.zip</v>
      </c>
    </row>
    <row r="4789" spans="1:10" x14ac:dyDescent="0.25">
      <c r="A4789" t="s">
        <v>2883</v>
      </c>
      <c r="B4789" t="s">
        <v>2293</v>
      </c>
      <c r="C4789" t="s">
        <v>3486</v>
      </c>
      <c r="D4789" s="1" t="s">
        <v>3487</v>
      </c>
      <c r="E4789" t="s">
        <v>14</v>
      </c>
      <c r="F4789">
        <v>43</v>
      </c>
      <c r="G4789">
        <v>6.2329999999999997</v>
      </c>
      <c r="H4789">
        <v>1</v>
      </c>
      <c r="I4789">
        <v>147</v>
      </c>
      <c r="J4789" t="str">
        <f>HYPERLINK("https://climate.onebuilding.org/WMO_Region_6_Europe/FRA_France/PR_Provence-Alpes-Cote_d-Azur/FRA_PR_Porquerolles.076700_TMYx.zip")</f>
        <v>https://climate.onebuilding.org/WMO_Region_6_Europe/FRA_France/PR_Provence-Alpes-Cote_d-Azur/FRA_PR_Porquerolles.076700_TMYx.zip</v>
      </c>
    </row>
    <row r="4790" spans="1:10" x14ac:dyDescent="0.25">
      <c r="A4790" t="s">
        <v>2883</v>
      </c>
      <c r="B4790" t="s">
        <v>2293</v>
      </c>
      <c r="C4790" t="s">
        <v>3488</v>
      </c>
      <c r="D4790" s="1" t="s">
        <v>3489</v>
      </c>
      <c r="E4790" t="s">
        <v>14</v>
      </c>
      <c r="F4790">
        <v>43.2059</v>
      </c>
      <c r="G4790">
        <v>6.4794</v>
      </c>
      <c r="H4790">
        <v>1</v>
      </c>
      <c r="I4790">
        <v>21</v>
      </c>
      <c r="J4790" t="str">
        <f>HYPERLINK("https://climate.onebuilding.org/WMO_Region_6_Europe/FRA_France/PR_Provence-Alpes-Cote_d-Azur/FRA_PR_Saint.Tropez.Intl.AP.076720_TMYx.zip")</f>
        <v>https://climate.onebuilding.org/WMO_Region_6_Europe/FRA_France/PR_Provence-Alpes-Cote_d-Azur/FRA_PR_Saint.Tropez.Intl.AP.076720_TMYx.zip</v>
      </c>
    </row>
    <row r="4791" spans="1:10" x14ac:dyDescent="0.25">
      <c r="A4791" t="s">
        <v>2883</v>
      </c>
      <c r="B4791" t="s">
        <v>2293</v>
      </c>
      <c r="C4791" t="s">
        <v>3490</v>
      </c>
      <c r="D4791" s="1" t="s">
        <v>3491</v>
      </c>
      <c r="E4791" t="s">
        <v>3492</v>
      </c>
      <c r="F4791">
        <v>43.383000000000003</v>
      </c>
      <c r="G4791">
        <v>6.3860999999999999</v>
      </c>
      <c r="H4791">
        <v>1</v>
      </c>
      <c r="I4791">
        <v>82</v>
      </c>
      <c r="J4791" t="str">
        <f>HYPERLINK("https://climate.onebuilding.org/WMO_Region_6_Europe/FRA_France/PR_Provence-Alpes-Cote_d-Azur/FRA_PR_Le.Luc-Le.Cannet.AP.076750_TMYx.2004-2018.zip")</f>
        <v>https://climate.onebuilding.org/WMO_Region_6_Europe/FRA_France/PR_Provence-Alpes-Cote_d-Azur/FRA_PR_Le.Luc-Le.Cannet.AP.076750_TMYx.2004-2018.zip</v>
      </c>
    </row>
    <row r="4792" spans="1:10" x14ac:dyDescent="0.25">
      <c r="A4792" t="s">
        <v>2883</v>
      </c>
      <c r="B4792" t="s">
        <v>2293</v>
      </c>
      <c r="C4792" t="s">
        <v>3490</v>
      </c>
      <c r="D4792" s="1" t="s">
        <v>3491</v>
      </c>
      <c r="E4792" t="s">
        <v>14</v>
      </c>
      <c r="F4792">
        <v>43.383000000000003</v>
      </c>
      <c r="G4792">
        <v>6.3860999999999999</v>
      </c>
      <c r="H4792">
        <v>1</v>
      </c>
      <c r="I4792">
        <v>82</v>
      </c>
      <c r="J4792" t="str">
        <f>HYPERLINK("https://climate.onebuilding.org/WMO_Region_6_Europe/FRA_France/PR_Provence-Alpes-Cote_d-Azur/FRA_PR_Le.Luc-Le.Cannet.AP.076750_TMYx.2007-2021.zip")</f>
        <v>https://climate.onebuilding.org/WMO_Region_6_Europe/FRA_France/PR_Provence-Alpes-Cote_d-Azur/FRA_PR_Le.Luc-Le.Cannet.AP.076750_TMYx.2007-2021.zip</v>
      </c>
    </row>
    <row r="4793" spans="1:10" x14ac:dyDescent="0.25">
      <c r="A4793" t="s">
        <v>2883</v>
      </c>
      <c r="B4793" t="s">
        <v>2293</v>
      </c>
      <c r="C4793" t="s">
        <v>3490</v>
      </c>
      <c r="D4793" s="1" t="s">
        <v>3491</v>
      </c>
      <c r="E4793" t="s">
        <v>14</v>
      </c>
      <c r="F4793">
        <v>43.383000000000003</v>
      </c>
      <c r="G4793">
        <v>6.3860999999999999</v>
      </c>
      <c r="H4793">
        <v>1</v>
      </c>
      <c r="I4793">
        <v>82</v>
      </c>
      <c r="J4793" t="str">
        <f>HYPERLINK("https://climate.onebuilding.org/WMO_Region_6_Europe/FRA_France/PR_Provence-Alpes-Cote_d-Azur/FRA_PR_Le.Luc-Le.Cannet.AP.076750_TMYx.2009-2023.zip")</f>
        <v>https://climate.onebuilding.org/WMO_Region_6_Europe/FRA_France/PR_Provence-Alpes-Cote_d-Azur/FRA_PR_Le.Luc-Le.Cannet.AP.076750_TMYx.2009-2023.zip</v>
      </c>
    </row>
    <row r="4794" spans="1:10" x14ac:dyDescent="0.25">
      <c r="A4794" t="s">
        <v>2883</v>
      </c>
      <c r="B4794" t="s">
        <v>2293</v>
      </c>
      <c r="C4794" t="s">
        <v>3490</v>
      </c>
      <c r="D4794" s="1" t="s">
        <v>3491</v>
      </c>
      <c r="E4794" t="s">
        <v>14</v>
      </c>
      <c r="F4794">
        <v>43.383000000000003</v>
      </c>
      <c r="G4794">
        <v>6.3860999999999999</v>
      </c>
      <c r="H4794">
        <v>1</v>
      </c>
      <c r="I4794">
        <v>82</v>
      </c>
      <c r="J4794" t="str">
        <f>HYPERLINK("https://climate.onebuilding.org/WMO_Region_6_Europe/FRA_France/PR_Provence-Alpes-Cote_d-Azur/FRA_PR_Le.Luc-Le.Cannet.AP.076750_TMYx.zip")</f>
        <v>https://climate.onebuilding.org/WMO_Region_6_Europe/FRA_France/PR_Provence-Alpes-Cote_d-Azur/FRA_PR_Le.Luc-Le.Cannet.AP.076750_TMYx.zip</v>
      </c>
    </row>
    <row r="4795" spans="1:10" x14ac:dyDescent="0.25">
      <c r="A4795" t="s">
        <v>2883</v>
      </c>
      <c r="B4795" t="s">
        <v>2293</v>
      </c>
      <c r="C4795" t="s">
        <v>3493</v>
      </c>
      <c r="D4795" s="1" t="s">
        <v>3494</v>
      </c>
      <c r="E4795" t="s">
        <v>14</v>
      </c>
      <c r="F4795">
        <v>43.200099999999999</v>
      </c>
      <c r="G4795">
        <v>6.6822999999999997</v>
      </c>
      <c r="H4795">
        <v>1</v>
      </c>
      <c r="I4795">
        <v>7</v>
      </c>
      <c r="J4795" t="str">
        <f>HYPERLINK("https://climate.onebuilding.org/WMO_Region_6_Europe/FRA_France/PR_Provence-Alpes-Cote_d-Azur/FRA_PR_Cape.Camarat.076770_TMYx.zip")</f>
        <v>https://climate.onebuilding.org/WMO_Region_6_Europe/FRA_France/PR_Provence-Alpes-Cote_d-Azur/FRA_PR_Cape.Camarat.076770_TMYx.zip</v>
      </c>
    </row>
    <row r="4796" spans="1:10" x14ac:dyDescent="0.25">
      <c r="A4796" t="s">
        <v>2883</v>
      </c>
      <c r="B4796" t="s">
        <v>2293</v>
      </c>
      <c r="C4796" t="s">
        <v>3495</v>
      </c>
      <c r="D4796" s="1" t="s">
        <v>3496</v>
      </c>
      <c r="E4796" t="s">
        <v>3497</v>
      </c>
      <c r="F4796">
        <v>43.033000000000001</v>
      </c>
      <c r="G4796">
        <v>6.4669999999999996</v>
      </c>
      <c r="H4796">
        <v>1</v>
      </c>
      <c r="I4796">
        <v>131</v>
      </c>
      <c r="J4796" t="str">
        <f>HYPERLINK("https://climate.onebuilding.org/WMO_Region_6_Europe/FRA_France/PR_Provence-Alpes-Cote_d-Azur/FRA_PR_Hyeres.Island.076780_TMYx.2004-2018.zip")</f>
        <v>https://climate.onebuilding.org/WMO_Region_6_Europe/FRA_France/PR_Provence-Alpes-Cote_d-Azur/FRA_PR_Hyeres.Island.076780_TMYx.2004-2018.zip</v>
      </c>
    </row>
    <row r="4797" spans="1:10" x14ac:dyDescent="0.25">
      <c r="A4797" t="s">
        <v>2883</v>
      </c>
      <c r="B4797" t="s">
        <v>2293</v>
      </c>
      <c r="C4797" t="s">
        <v>3495</v>
      </c>
      <c r="D4797" s="1" t="s">
        <v>3496</v>
      </c>
      <c r="E4797" t="s">
        <v>14</v>
      </c>
      <c r="F4797">
        <v>43.033000000000001</v>
      </c>
      <c r="G4797">
        <v>6.4669999999999996</v>
      </c>
      <c r="H4797">
        <v>1</v>
      </c>
      <c r="I4797">
        <v>131</v>
      </c>
      <c r="J4797" t="str">
        <f>HYPERLINK("https://climate.onebuilding.org/WMO_Region_6_Europe/FRA_France/PR_Provence-Alpes-Cote_d-Azur/FRA_PR_Hyeres.Island.076780_TMYx.2007-2021.zip")</f>
        <v>https://climate.onebuilding.org/WMO_Region_6_Europe/FRA_France/PR_Provence-Alpes-Cote_d-Azur/FRA_PR_Hyeres.Island.076780_TMYx.2007-2021.zip</v>
      </c>
    </row>
    <row r="4798" spans="1:10" x14ac:dyDescent="0.25">
      <c r="A4798" t="s">
        <v>2883</v>
      </c>
      <c r="B4798" t="s">
        <v>2293</v>
      </c>
      <c r="C4798" t="s">
        <v>3495</v>
      </c>
      <c r="D4798" s="1" t="s">
        <v>3496</v>
      </c>
      <c r="E4798" t="s">
        <v>14</v>
      </c>
      <c r="F4798">
        <v>43.033000000000001</v>
      </c>
      <c r="G4798">
        <v>6.4669999999999996</v>
      </c>
      <c r="H4798">
        <v>1</v>
      </c>
      <c r="I4798">
        <v>131</v>
      </c>
      <c r="J4798" t="str">
        <f>HYPERLINK("https://climate.onebuilding.org/WMO_Region_6_Europe/FRA_France/PR_Provence-Alpes-Cote_d-Azur/FRA_PR_Hyeres.Island.076780_TMYx.2009-2023.zip")</f>
        <v>https://climate.onebuilding.org/WMO_Region_6_Europe/FRA_France/PR_Provence-Alpes-Cote_d-Azur/FRA_PR_Hyeres.Island.076780_TMYx.2009-2023.zip</v>
      </c>
    </row>
    <row r="4799" spans="1:10" x14ac:dyDescent="0.25">
      <c r="A4799" t="s">
        <v>2883</v>
      </c>
      <c r="B4799" t="s">
        <v>2293</v>
      </c>
      <c r="C4799" t="s">
        <v>3495</v>
      </c>
      <c r="D4799" s="1" t="s">
        <v>3496</v>
      </c>
      <c r="E4799" t="s">
        <v>14</v>
      </c>
      <c r="F4799">
        <v>43.033000000000001</v>
      </c>
      <c r="G4799">
        <v>6.4669999999999996</v>
      </c>
      <c r="H4799">
        <v>1</v>
      </c>
      <c r="I4799">
        <v>131</v>
      </c>
      <c r="J4799" t="str">
        <f>HYPERLINK("https://climate.onebuilding.org/WMO_Region_6_Europe/FRA_France/PR_Provence-Alpes-Cote_d-Azur/FRA_PR_Hyeres.Island.076780_TMYx.zip")</f>
        <v>https://climate.onebuilding.org/WMO_Region_6_Europe/FRA_France/PR_Provence-Alpes-Cote_d-Azur/FRA_PR_Hyeres.Island.076780_TMYx.zip</v>
      </c>
    </row>
    <row r="4800" spans="1:10" x14ac:dyDescent="0.25">
      <c r="A4800" t="s">
        <v>2883</v>
      </c>
      <c r="B4800" t="s">
        <v>2293</v>
      </c>
      <c r="C4800" t="s">
        <v>3498</v>
      </c>
      <c r="D4800" s="1" t="s">
        <v>3499</v>
      </c>
      <c r="E4800" t="s">
        <v>14</v>
      </c>
      <c r="F4800">
        <v>43.4163</v>
      </c>
      <c r="G4800">
        <v>6.7332000000000001</v>
      </c>
      <c r="H4800">
        <v>1</v>
      </c>
      <c r="I4800">
        <v>6</v>
      </c>
      <c r="J4800" t="str">
        <f>HYPERLINK("https://climate.onebuilding.org/WMO_Region_6_Europe/FRA_France/PR_Provence-Alpes-Cote_d-Azur/FRA_PR_St.Raphael.AF.076800_TMYx.zip")</f>
        <v>https://climate.onebuilding.org/WMO_Region_6_Europe/FRA_France/PR_Provence-Alpes-Cote_d-Azur/FRA_PR_St.Raphael.AF.076800_TMYx.zip</v>
      </c>
    </row>
    <row r="4801" spans="1:10" x14ac:dyDescent="0.25">
      <c r="A4801" t="s">
        <v>2883</v>
      </c>
      <c r="B4801" t="s">
        <v>2293</v>
      </c>
      <c r="C4801" t="s">
        <v>3500</v>
      </c>
      <c r="D4801" s="1" t="s">
        <v>3501</v>
      </c>
      <c r="E4801" t="s">
        <v>78</v>
      </c>
      <c r="F4801">
        <v>43.417000000000002</v>
      </c>
      <c r="G4801">
        <v>6.85</v>
      </c>
      <c r="H4801">
        <v>1</v>
      </c>
      <c r="I4801">
        <v>126</v>
      </c>
      <c r="J4801" t="str">
        <f>HYPERLINK("https://climate.onebuilding.org/WMO_Region_6_Europe/FRA_France/PR_Provence-Alpes-Cote_d-Azur/FRA_PR_Le.Dramont.076810_TMYx.2007-2021.zip")</f>
        <v>https://climate.onebuilding.org/WMO_Region_6_Europe/FRA_France/PR_Provence-Alpes-Cote_d-Azur/FRA_PR_Le.Dramont.076810_TMYx.2007-2021.zip</v>
      </c>
    </row>
    <row r="4802" spans="1:10" x14ac:dyDescent="0.25">
      <c r="A4802" t="s">
        <v>2883</v>
      </c>
      <c r="B4802" t="s">
        <v>2293</v>
      </c>
      <c r="C4802" t="s">
        <v>3500</v>
      </c>
      <c r="D4802" s="1" t="s">
        <v>3501</v>
      </c>
      <c r="E4802" t="s">
        <v>78</v>
      </c>
      <c r="F4802">
        <v>43.417000000000002</v>
      </c>
      <c r="G4802">
        <v>6.85</v>
      </c>
      <c r="H4802">
        <v>1</v>
      </c>
      <c r="I4802">
        <v>126</v>
      </c>
      <c r="J4802" t="str">
        <f>HYPERLINK("https://climate.onebuilding.org/WMO_Region_6_Europe/FRA_France/PR_Provence-Alpes-Cote_d-Azur/FRA_PR_Le.Dramont.076810_TMYx.2009-2023.zip")</f>
        <v>https://climate.onebuilding.org/WMO_Region_6_Europe/FRA_France/PR_Provence-Alpes-Cote_d-Azur/FRA_PR_Le.Dramont.076810_TMYx.2009-2023.zip</v>
      </c>
    </row>
    <row r="4803" spans="1:10" x14ac:dyDescent="0.25">
      <c r="A4803" t="s">
        <v>2883</v>
      </c>
      <c r="B4803" t="s">
        <v>2293</v>
      </c>
      <c r="C4803" t="s">
        <v>3500</v>
      </c>
      <c r="D4803" s="1" t="s">
        <v>3501</v>
      </c>
      <c r="E4803" t="s">
        <v>78</v>
      </c>
      <c r="F4803">
        <v>43.417000000000002</v>
      </c>
      <c r="G4803">
        <v>6.85</v>
      </c>
      <c r="H4803">
        <v>1</v>
      </c>
      <c r="I4803">
        <v>126</v>
      </c>
      <c r="J4803" t="str">
        <f>HYPERLINK("https://climate.onebuilding.org/WMO_Region_6_Europe/FRA_France/PR_Provence-Alpes-Cote_d-Azur/FRA_PR_Le.Dramont.076810_TMYx.zip")</f>
        <v>https://climate.onebuilding.org/WMO_Region_6_Europe/FRA_France/PR_Provence-Alpes-Cote_d-Azur/FRA_PR_Le.Dramont.076810_TMYx.zip</v>
      </c>
    </row>
    <row r="4804" spans="1:10" x14ac:dyDescent="0.25">
      <c r="A4804" t="s">
        <v>2883</v>
      </c>
      <c r="B4804" t="s">
        <v>2293</v>
      </c>
      <c r="C4804" t="s">
        <v>3502</v>
      </c>
      <c r="D4804" s="1" t="s">
        <v>3503</v>
      </c>
      <c r="E4804" t="s">
        <v>3504</v>
      </c>
      <c r="F4804">
        <v>43.556399999999996</v>
      </c>
      <c r="G4804">
        <v>6.9505999999999997</v>
      </c>
      <c r="H4804">
        <v>1</v>
      </c>
      <c r="I4804">
        <v>4</v>
      </c>
      <c r="J4804" t="str">
        <f>HYPERLINK("https://climate.onebuilding.org/WMO_Region_6_Europe/FRA_France/PR_Provence-Alpes-Cote_d-Azur/FRA_PR_Cannes-Mandelieu.AP.076840_TMYx.2004-2018.zip")</f>
        <v>https://climate.onebuilding.org/WMO_Region_6_Europe/FRA_France/PR_Provence-Alpes-Cote_d-Azur/FRA_PR_Cannes-Mandelieu.AP.076840_TMYx.2004-2018.zip</v>
      </c>
    </row>
    <row r="4805" spans="1:10" x14ac:dyDescent="0.25">
      <c r="A4805" t="s">
        <v>2883</v>
      </c>
      <c r="B4805" t="s">
        <v>2293</v>
      </c>
      <c r="C4805" t="s">
        <v>3502</v>
      </c>
      <c r="D4805" s="1" t="s">
        <v>3503</v>
      </c>
      <c r="E4805" t="s">
        <v>14</v>
      </c>
      <c r="F4805">
        <v>43.556399999999996</v>
      </c>
      <c r="G4805">
        <v>6.9505999999999997</v>
      </c>
      <c r="H4805">
        <v>1</v>
      </c>
      <c r="I4805">
        <v>4</v>
      </c>
      <c r="J4805" t="str">
        <f>HYPERLINK("https://climate.onebuilding.org/WMO_Region_6_Europe/FRA_France/PR_Provence-Alpes-Cote_d-Azur/FRA_PR_Cannes-Mandelieu.AP.076840_TMYx.2007-2021.zip")</f>
        <v>https://climate.onebuilding.org/WMO_Region_6_Europe/FRA_France/PR_Provence-Alpes-Cote_d-Azur/FRA_PR_Cannes-Mandelieu.AP.076840_TMYx.2007-2021.zip</v>
      </c>
    </row>
    <row r="4806" spans="1:10" x14ac:dyDescent="0.25">
      <c r="A4806" t="s">
        <v>2883</v>
      </c>
      <c r="B4806" t="s">
        <v>2293</v>
      </c>
      <c r="C4806" t="s">
        <v>3502</v>
      </c>
      <c r="D4806" s="1" t="s">
        <v>3503</v>
      </c>
      <c r="E4806" t="s">
        <v>14</v>
      </c>
      <c r="F4806">
        <v>43.556399999999996</v>
      </c>
      <c r="G4806">
        <v>6.9505999999999997</v>
      </c>
      <c r="H4806">
        <v>1</v>
      </c>
      <c r="I4806">
        <v>4</v>
      </c>
      <c r="J4806" t="str">
        <f>HYPERLINK("https://climate.onebuilding.org/WMO_Region_6_Europe/FRA_France/PR_Provence-Alpes-Cote_d-Azur/FRA_PR_Cannes-Mandelieu.AP.076840_TMYx.2009-2023.zip")</f>
        <v>https://climate.onebuilding.org/WMO_Region_6_Europe/FRA_France/PR_Provence-Alpes-Cote_d-Azur/FRA_PR_Cannes-Mandelieu.AP.076840_TMYx.2009-2023.zip</v>
      </c>
    </row>
    <row r="4807" spans="1:10" x14ac:dyDescent="0.25">
      <c r="A4807" t="s">
        <v>2883</v>
      </c>
      <c r="B4807" t="s">
        <v>2293</v>
      </c>
      <c r="C4807" t="s">
        <v>3502</v>
      </c>
      <c r="D4807" s="1" t="s">
        <v>3503</v>
      </c>
      <c r="E4807" t="s">
        <v>14</v>
      </c>
      <c r="F4807">
        <v>43.556399999999996</v>
      </c>
      <c r="G4807">
        <v>6.9505999999999997</v>
      </c>
      <c r="H4807">
        <v>1</v>
      </c>
      <c r="I4807">
        <v>4</v>
      </c>
      <c r="J4807" t="str">
        <f>HYPERLINK("https://climate.onebuilding.org/WMO_Region_6_Europe/FRA_France/PR_Provence-Alpes-Cote_d-Azur/FRA_PR_Cannes-Mandelieu.AP.076840_TMYx.zip")</f>
        <v>https://climate.onebuilding.org/WMO_Region_6_Europe/FRA_France/PR_Provence-Alpes-Cote_d-Azur/FRA_PR_Cannes-Mandelieu.AP.076840_TMYx.zip</v>
      </c>
    </row>
    <row r="4808" spans="1:10" x14ac:dyDescent="0.25">
      <c r="A4808" t="s">
        <v>2883</v>
      </c>
      <c r="B4808" t="s">
        <v>2293</v>
      </c>
      <c r="C4808" t="s">
        <v>3505</v>
      </c>
      <c r="D4808" s="1" t="s">
        <v>3506</v>
      </c>
      <c r="E4808" t="s">
        <v>14</v>
      </c>
      <c r="F4808">
        <v>43.567</v>
      </c>
      <c r="G4808">
        <v>7.133</v>
      </c>
      <c r="H4808">
        <v>1</v>
      </c>
      <c r="I4808">
        <v>82</v>
      </c>
      <c r="J4808" t="str">
        <f>HYPERLINK("https://climate.onebuilding.org/WMO_Region_6_Europe/FRA_France/PR_Provence-Alpes-Cote_d-Azur/FRA_PR_La.Garoupe.076880_TMYx.zip")</f>
        <v>https://climate.onebuilding.org/WMO_Region_6_Europe/FRA_France/PR_Provence-Alpes-Cote_d-Azur/FRA_PR_La.Garoupe.076880_TMYx.zip</v>
      </c>
    </row>
    <row r="4809" spans="1:10" x14ac:dyDescent="0.25">
      <c r="A4809" t="s">
        <v>2883</v>
      </c>
      <c r="B4809" t="s">
        <v>2293</v>
      </c>
      <c r="C4809" t="s">
        <v>3507</v>
      </c>
      <c r="D4809" s="1" t="s">
        <v>3508</v>
      </c>
      <c r="E4809" t="s">
        <v>3509</v>
      </c>
      <c r="F4809">
        <v>43.648899999999998</v>
      </c>
      <c r="G4809">
        <v>7.2088999999999999</v>
      </c>
      <c r="H4809">
        <v>1</v>
      </c>
      <c r="I4809">
        <v>26</v>
      </c>
      <c r="J4809" t="str">
        <f>HYPERLINK("https://climate.onebuilding.org/WMO_Region_6_Europe/FRA_France/PR_Provence-Alpes-Cote_d-Azur/FRA_PR_Nice-Cote.d-Azur.AP.076900_TMYx.2004-2018.zip")</f>
        <v>https://climate.onebuilding.org/WMO_Region_6_Europe/FRA_France/PR_Provence-Alpes-Cote_d-Azur/FRA_PR_Nice-Cote.d-Azur.AP.076900_TMYx.2004-2018.zip</v>
      </c>
    </row>
    <row r="4810" spans="1:10" x14ac:dyDescent="0.25">
      <c r="A4810" t="s">
        <v>2883</v>
      </c>
      <c r="B4810" t="s">
        <v>2293</v>
      </c>
      <c r="C4810" t="s">
        <v>3507</v>
      </c>
      <c r="D4810" s="1" t="s">
        <v>3508</v>
      </c>
      <c r="E4810" t="s">
        <v>14</v>
      </c>
      <c r="F4810">
        <v>43.648899999999998</v>
      </c>
      <c r="G4810">
        <v>7.2088999999999999</v>
      </c>
      <c r="H4810">
        <v>1</v>
      </c>
      <c r="I4810">
        <v>26</v>
      </c>
      <c r="J4810" t="str">
        <f>HYPERLINK("https://climate.onebuilding.org/WMO_Region_6_Europe/FRA_France/PR_Provence-Alpes-Cote_d-Azur/FRA_PR_Nice-Cote.d-Azur.AP.076900_TMYx.2007-2021.zip")</f>
        <v>https://climate.onebuilding.org/WMO_Region_6_Europe/FRA_France/PR_Provence-Alpes-Cote_d-Azur/FRA_PR_Nice-Cote.d-Azur.AP.076900_TMYx.2007-2021.zip</v>
      </c>
    </row>
    <row r="4811" spans="1:10" x14ac:dyDescent="0.25">
      <c r="A4811" t="s">
        <v>2883</v>
      </c>
      <c r="B4811" t="s">
        <v>2293</v>
      </c>
      <c r="C4811" t="s">
        <v>3507</v>
      </c>
      <c r="D4811" s="1" t="s">
        <v>3508</v>
      </c>
      <c r="E4811" t="s">
        <v>14</v>
      </c>
      <c r="F4811">
        <v>43.648899999999998</v>
      </c>
      <c r="G4811">
        <v>7.2088999999999999</v>
      </c>
      <c r="H4811">
        <v>1</v>
      </c>
      <c r="I4811">
        <v>26</v>
      </c>
      <c r="J4811" t="str">
        <f>HYPERLINK("https://climate.onebuilding.org/WMO_Region_6_Europe/FRA_France/PR_Provence-Alpes-Cote_d-Azur/FRA_PR_Nice-Cote.d-Azur.AP.076900_TMYx.2009-2023.zip")</f>
        <v>https://climate.onebuilding.org/WMO_Region_6_Europe/FRA_France/PR_Provence-Alpes-Cote_d-Azur/FRA_PR_Nice-Cote.d-Azur.AP.076900_TMYx.2009-2023.zip</v>
      </c>
    </row>
    <row r="4812" spans="1:10" x14ac:dyDescent="0.25">
      <c r="A4812" t="s">
        <v>2883</v>
      </c>
      <c r="B4812" t="s">
        <v>2293</v>
      </c>
      <c r="C4812" t="s">
        <v>3507</v>
      </c>
      <c r="D4812" s="1" t="s">
        <v>3508</v>
      </c>
      <c r="E4812" t="s">
        <v>14</v>
      </c>
      <c r="F4812">
        <v>43.648899999999998</v>
      </c>
      <c r="G4812">
        <v>7.2088999999999999</v>
      </c>
      <c r="H4812">
        <v>1</v>
      </c>
      <c r="I4812">
        <v>26</v>
      </c>
      <c r="J4812" t="str">
        <f>HYPERLINK("https://climate.onebuilding.org/WMO_Region_6_Europe/FRA_France/PR_Provence-Alpes-Cote_d-Azur/FRA_PR_Nice-Cote.d-Azur.AP.076900_TMYx.zip")</f>
        <v>https://climate.onebuilding.org/WMO_Region_6_Europe/FRA_France/PR_Provence-Alpes-Cote_d-Azur/FRA_PR_Nice-Cote.d-Azur.AP.076900_TMYx.zip</v>
      </c>
    </row>
    <row r="4813" spans="1:10" x14ac:dyDescent="0.25">
      <c r="A4813" t="s">
        <v>2883</v>
      </c>
      <c r="B4813" t="s">
        <v>3064</v>
      </c>
      <c r="C4813" t="s">
        <v>3510</v>
      </c>
      <c r="D4813" s="1" t="s">
        <v>3511</v>
      </c>
      <c r="E4813" t="s">
        <v>14</v>
      </c>
      <c r="F4813">
        <v>42.937100000000001</v>
      </c>
      <c r="G4813" s="1" t="s">
        <v>3512</v>
      </c>
      <c r="H4813">
        <v>1</v>
      </c>
      <c r="I4813">
        <v>2814</v>
      </c>
      <c r="J4813" t="str">
        <f>HYPERLINK("https://climate.onebuilding.org/WMO_Region_6_Europe/FRA_France/LP_Occitanie/FRA_LP_Pic.du.Midi.Mtn.077200_TMYx.zip")</f>
        <v>https://climate.onebuilding.org/WMO_Region_6_Europe/FRA_France/LP_Occitanie/FRA_LP_Pic.du.Midi.Mtn.077200_TMYx.zip</v>
      </c>
    </row>
    <row r="4814" spans="1:10" x14ac:dyDescent="0.25">
      <c r="A4814" t="s">
        <v>2883</v>
      </c>
      <c r="B4814" t="s">
        <v>3064</v>
      </c>
      <c r="C4814" t="s">
        <v>3513</v>
      </c>
      <c r="D4814" s="1" t="s">
        <v>3514</v>
      </c>
      <c r="E4814" t="s">
        <v>14</v>
      </c>
      <c r="F4814">
        <v>42.61</v>
      </c>
      <c r="G4814">
        <v>2.1</v>
      </c>
      <c r="H4814">
        <v>1</v>
      </c>
      <c r="I4814">
        <v>1530</v>
      </c>
      <c r="J4814" t="str">
        <f>HYPERLINK("https://climate.onebuilding.org/WMO_Region_6_Europe/FRA_France/LP_Occitanie/FRA_LP_Formigueres.077370_TMYx.2007-2021.zip")</f>
        <v>https://climate.onebuilding.org/WMO_Region_6_Europe/FRA_France/LP_Occitanie/FRA_LP_Formigueres.077370_TMYx.2007-2021.zip</v>
      </c>
    </row>
    <row r="4815" spans="1:10" x14ac:dyDescent="0.25">
      <c r="A4815" t="s">
        <v>2883</v>
      </c>
      <c r="B4815" t="s">
        <v>3064</v>
      </c>
      <c r="C4815" t="s">
        <v>3513</v>
      </c>
      <c r="D4815" s="1" t="s">
        <v>3514</v>
      </c>
      <c r="E4815" t="s">
        <v>14</v>
      </c>
      <c r="F4815">
        <v>42.61</v>
      </c>
      <c r="G4815">
        <v>2.1</v>
      </c>
      <c r="H4815">
        <v>1</v>
      </c>
      <c r="I4815">
        <v>1530</v>
      </c>
      <c r="J4815" t="str">
        <f>HYPERLINK("https://climate.onebuilding.org/WMO_Region_6_Europe/FRA_France/LP_Occitanie/FRA_LP_Formigueres.077370_TMYx.2009-2023.zip")</f>
        <v>https://climate.onebuilding.org/WMO_Region_6_Europe/FRA_France/LP_Occitanie/FRA_LP_Formigueres.077370_TMYx.2009-2023.zip</v>
      </c>
    </row>
    <row r="4816" spans="1:10" x14ac:dyDescent="0.25">
      <c r="A4816" t="s">
        <v>2883</v>
      </c>
      <c r="B4816" t="s">
        <v>3064</v>
      </c>
      <c r="C4816" t="s">
        <v>3513</v>
      </c>
      <c r="D4816" s="1" t="s">
        <v>3514</v>
      </c>
      <c r="E4816" t="s">
        <v>14</v>
      </c>
      <c r="F4816">
        <v>42.61</v>
      </c>
      <c r="G4816">
        <v>2.1</v>
      </c>
      <c r="H4816">
        <v>1</v>
      </c>
      <c r="I4816">
        <v>1530</v>
      </c>
      <c r="J4816" t="str">
        <f>HYPERLINK("https://climate.onebuilding.org/WMO_Region_6_Europe/FRA_France/LP_Occitanie/FRA_LP_Formigueres.077370_TMYx.zip")</f>
        <v>https://climate.onebuilding.org/WMO_Region_6_Europe/FRA_France/LP_Occitanie/FRA_LP_Formigueres.077370_TMYx.zip</v>
      </c>
    </row>
    <row r="4817" spans="1:10" x14ac:dyDescent="0.25">
      <c r="A4817" t="s">
        <v>2883</v>
      </c>
      <c r="B4817" t="s">
        <v>3064</v>
      </c>
      <c r="C4817" t="s">
        <v>3515</v>
      </c>
      <c r="D4817" s="1" t="s">
        <v>3516</v>
      </c>
      <c r="E4817" t="s">
        <v>14</v>
      </c>
      <c r="F4817">
        <v>42.4876</v>
      </c>
      <c r="G4817">
        <v>1.9533</v>
      </c>
      <c r="H4817">
        <v>1</v>
      </c>
      <c r="I4817">
        <v>1395</v>
      </c>
      <c r="J4817" t="str">
        <f>HYPERLINK("https://climate.onebuilding.org/WMO_Region_6_Europe/FRA_France/LP_Occitanie/FRA_LP_Les.Escaldes.077380_TMYx.zip")</f>
        <v>https://climate.onebuilding.org/WMO_Region_6_Europe/FRA_France/LP_Occitanie/FRA_LP_Les.Escaldes.077380_TMYx.zip</v>
      </c>
    </row>
    <row r="4818" spans="1:10" x14ac:dyDescent="0.25">
      <c r="A4818" t="s">
        <v>2883</v>
      </c>
      <c r="B4818" t="s">
        <v>3064</v>
      </c>
      <c r="C4818" t="s">
        <v>3517</v>
      </c>
      <c r="D4818" s="1" t="s">
        <v>3518</v>
      </c>
      <c r="E4818" t="s">
        <v>14</v>
      </c>
      <c r="F4818">
        <v>43.383000000000003</v>
      </c>
      <c r="G4818">
        <v>1.9830000000000001</v>
      </c>
      <c r="H4818">
        <v>1</v>
      </c>
      <c r="I4818">
        <v>450</v>
      </c>
      <c r="J4818" t="str">
        <f>HYPERLINK("https://climate.onebuilding.org/WMO_Region_6_Europe/FRA_France/LP_Occitanie/FRA_LP_La.Montagne.Noire.077385_TMYx.zip")</f>
        <v>https://climate.onebuilding.org/WMO_Region_6_Europe/FRA_France/LP_Occitanie/FRA_LP_La.Montagne.Noire.077385_TMYx.zip</v>
      </c>
    </row>
    <row r="4819" spans="1:10" x14ac:dyDescent="0.25">
      <c r="A4819" t="s">
        <v>2883</v>
      </c>
      <c r="B4819" t="s">
        <v>3064</v>
      </c>
      <c r="C4819" t="s">
        <v>3519</v>
      </c>
      <c r="D4819" s="1" t="s">
        <v>3520</v>
      </c>
      <c r="E4819" t="s">
        <v>14</v>
      </c>
      <c r="F4819">
        <v>42.4467</v>
      </c>
      <c r="G4819">
        <v>2.0076999999999998</v>
      </c>
      <c r="H4819">
        <v>1</v>
      </c>
      <c r="I4819">
        <v>1250</v>
      </c>
      <c r="J4819" t="str">
        <f>HYPERLINK("https://climate.onebuilding.org/WMO_Region_6_Europe/FRA_France/LP_Occitanie/FRA_LP_St.Leocadie.AF.077400_TMYx.2007-2021.zip")</f>
        <v>https://climate.onebuilding.org/WMO_Region_6_Europe/FRA_France/LP_Occitanie/FRA_LP_St.Leocadie.AF.077400_TMYx.2007-2021.zip</v>
      </c>
    </row>
    <row r="4820" spans="1:10" x14ac:dyDescent="0.25">
      <c r="A4820" t="s">
        <v>2883</v>
      </c>
      <c r="B4820" t="s">
        <v>3064</v>
      </c>
      <c r="C4820" t="s">
        <v>3519</v>
      </c>
      <c r="D4820" s="1" t="s">
        <v>3520</v>
      </c>
      <c r="E4820" t="s">
        <v>14</v>
      </c>
      <c r="F4820">
        <v>42.4467</v>
      </c>
      <c r="G4820">
        <v>2.0076999999999998</v>
      </c>
      <c r="H4820">
        <v>1</v>
      </c>
      <c r="I4820">
        <v>1250</v>
      </c>
      <c r="J4820" t="str">
        <f>HYPERLINK("https://climate.onebuilding.org/WMO_Region_6_Europe/FRA_France/LP_Occitanie/FRA_LP_St.Leocadie.AF.077400_TMYx.2009-2023.zip")</f>
        <v>https://climate.onebuilding.org/WMO_Region_6_Europe/FRA_France/LP_Occitanie/FRA_LP_St.Leocadie.AF.077400_TMYx.2009-2023.zip</v>
      </c>
    </row>
    <row r="4821" spans="1:10" x14ac:dyDescent="0.25">
      <c r="A4821" t="s">
        <v>2883</v>
      </c>
      <c r="B4821" t="s">
        <v>3064</v>
      </c>
      <c r="C4821" t="s">
        <v>3519</v>
      </c>
      <c r="D4821" s="1" t="s">
        <v>3520</v>
      </c>
      <c r="E4821" t="s">
        <v>14</v>
      </c>
      <c r="F4821">
        <v>42.4467</v>
      </c>
      <c r="G4821">
        <v>2.0076999999999998</v>
      </c>
      <c r="H4821">
        <v>1</v>
      </c>
      <c r="I4821">
        <v>1250</v>
      </c>
      <c r="J4821" t="str">
        <f>HYPERLINK("https://climate.onebuilding.org/WMO_Region_6_Europe/FRA_France/LP_Occitanie/FRA_LP_St.Leocadie.AF.077400_TMYx.zip")</f>
        <v>https://climate.onebuilding.org/WMO_Region_6_Europe/FRA_France/LP_Occitanie/FRA_LP_St.Leocadie.AF.077400_TMYx.zip</v>
      </c>
    </row>
    <row r="4822" spans="1:10" x14ac:dyDescent="0.25">
      <c r="A4822" t="s">
        <v>2883</v>
      </c>
      <c r="B4822" t="s">
        <v>3064</v>
      </c>
      <c r="C4822" t="s">
        <v>3521</v>
      </c>
      <c r="D4822" s="1" t="s">
        <v>3522</v>
      </c>
      <c r="E4822" t="s">
        <v>14</v>
      </c>
      <c r="F4822">
        <v>42.5946</v>
      </c>
      <c r="G4822">
        <v>2.4171</v>
      </c>
      <c r="H4822">
        <v>1</v>
      </c>
      <c r="I4822">
        <v>451</v>
      </c>
      <c r="J4822" t="str">
        <f>HYPERLINK("https://climate.onebuilding.org/WMO_Region_6_Europe/FRA_France/LP_Occitanie/FRA_LP_St.Michel.De.Cuxa.Abbey.077420_TMYx.2007-2021.zip")</f>
        <v>https://climate.onebuilding.org/WMO_Region_6_Europe/FRA_France/LP_Occitanie/FRA_LP_St.Michel.De.Cuxa.Abbey.077420_TMYx.2007-2021.zip</v>
      </c>
    </row>
    <row r="4823" spans="1:10" x14ac:dyDescent="0.25">
      <c r="A4823" t="s">
        <v>2883</v>
      </c>
      <c r="B4823" t="s">
        <v>3064</v>
      </c>
      <c r="C4823" t="s">
        <v>3521</v>
      </c>
      <c r="D4823" s="1" t="s">
        <v>3522</v>
      </c>
      <c r="E4823" t="s">
        <v>14</v>
      </c>
      <c r="F4823">
        <v>42.5946</v>
      </c>
      <c r="G4823">
        <v>2.4171</v>
      </c>
      <c r="H4823">
        <v>1</v>
      </c>
      <c r="I4823">
        <v>451</v>
      </c>
      <c r="J4823" t="str">
        <f>HYPERLINK("https://climate.onebuilding.org/WMO_Region_6_Europe/FRA_France/LP_Occitanie/FRA_LP_St.Michel.De.Cuxa.Abbey.077420_TMYx.zip")</f>
        <v>https://climate.onebuilding.org/WMO_Region_6_Europe/FRA_France/LP_Occitanie/FRA_LP_St.Michel.De.Cuxa.Abbey.077420_TMYx.zip</v>
      </c>
    </row>
    <row r="4824" spans="1:10" x14ac:dyDescent="0.25">
      <c r="A4824" t="s">
        <v>2883</v>
      </c>
      <c r="B4824" t="s">
        <v>3064</v>
      </c>
      <c r="C4824" t="s">
        <v>3523</v>
      </c>
      <c r="D4824" s="1" t="s">
        <v>3524</v>
      </c>
      <c r="E4824" t="s">
        <v>3525</v>
      </c>
      <c r="F4824">
        <v>42.737200000000001</v>
      </c>
      <c r="G4824">
        <v>2.8727999999999998</v>
      </c>
      <c r="H4824">
        <v>1</v>
      </c>
      <c r="I4824">
        <v>44</v>
      </c>
      <c r="J4824" t="str">
        <f>HYPERLINK("https://climate.onebuilding.org/WMO_Region_6_Europe/FRA_France/LP_Occitanie/FRA_LP_Perpignan-Rivesaltes.AP.077470_TMYx.2004-2018.zip")</f>
        <v>https://climate.onebuilding.org/WMO_Region_6_Europe/FRA_France/LP_Occitanie/FRA_LP_Perpignan-Rivesaltes.AP.077470_TMYx.2004-2018.zip</v>
      </c>
    </row>
    <row r="4825" spans="1:10" x14ac:dyDescent="0.25">
      <c r="A4825" t="s">
        <v>2883</v>
      </c>
      <c r="B4825" t="s">
        <v>3064</v>
      </c>
      <c r="C4825" t="s">
        <v>3523</v>
      </c>
      <c r="D4825" s="1" t="s">
        <v>3524</v>
      </c>
      <c r="E4825" t="s">
        <v>14</v>
      </c>
      <c r="F4825">
        <v>42.737200000000001</v>
      </c>
      <c r="G4825">
        <v>2.8727999999999998</v>
      </c>
      <c r="H4825">
        <v>1</v>
      </c>
      <c r="I4825">
        <v>44</v>
      </c>
      <c r="J4825" t="str">
        <f>HYPERLINK("https://climate.onebuilding.org/WMO_Region_6_Europe/FRA_France/LP_Occitanie/FRA_LP_Perpignan-Rivesaltes.AP.077470_TMYx.2007-2021.zip")</f>
        <v>https://climate.onebuilding.org/WMO_Region_6_Europe/FRA_France/LP_Occitanie/FRA_LP_Perpignan-Rivesaltes.AP.077470_TMYx.2007-2021.zip</v>
      </c>
    </row>
    <row r="4826" spans="1:10" x14ac:dyDescent="0.25">
      <c r="A4826" t="s">
        <v>2883</v>
      </c>
      <c r="B4826" t="s">
        <v>3064</v>
      </c>
      <c r="C4826" t="s">
        <v>3523</v>
      </c>
      <c r="D4826" s="1" t="s">
        <v>3524</v>
      </c>
      <c r="E4826" t="s">
        <v>14</v>
      </c>
      <c r="F4826">
        <v>42.737200000000001</v>
      </c>
      <c r="G4826">
        <v>2.8727999999999998</v>
      </c>
      <c r="H4826">
        <v>1</v>
      </c>
      <c r="I4826">
        <v>44</v>
      </c>
      <c r="J4826" t="str">
        <f>HYPERLINK("https://climate.onebuilding.org/WMO_Region_6_Europe/FRA_France/LP_Occitanie/FRA_LP_Perpignan-Rivesaltes.AP.077470_TMYx.2009-2023.zip")</f>
        <v>https://climate.onebuilding.org/WMO_Region_6_Europe/FRA_France/LP_Occitanie/FRA_LP_Perpignan-Rivesaltes.AP.077470_TMYx.2009-2023.zip</v>
      </c>
    </row>
    <row r="4827" spans="1:10" x14ac:dyDescent="0.25">
      <c r="A4827" t="s">
        <v>2883</v>
      </c>
      <c r="B4827" t="s">
        <v>3064</v>
      </c>
      <c r="C4827" t="s">
        <v>3523</v>
      </c>
      <c r="D4827" s="1" t="s">
        <v>3524</v>
      </c>
      <c r="E4827" t="s">
        <v>14</v>
      </c>
      <c r="F4827">
        <v>42.737200000000001</v>
      </c>
      <c r="G4827">
        <v>2.8727999999999998</v>
      </c>
      <c r="H4827">
        <v>1</v>
      </c>
      <c r="I4827">
        <v>44</v>
      </c>
      <c r="J4827" t="str">
        <f>HYPERLINK("https://climate.onebuilding.org/WMO_Region_6_Europe/FRA_France/LP_Occitanie/FRA_LP_Perpignan-Rivesaltes.AP.077470_TMYx.zip")</f>
        <v>https://climate.onebuilding.org/WMO_Region_6_Europe/FRA_France/LP_Occitanie/FRA_LP_Perpignan-Rivesaltes.AP.077470_TMYx.zip</v>
      </c>
    </row>
    <row r="4828" spans="1:10" x14ac:dyDescent="0.25">
      <c r="A4828" t="s">
        <v>2883</v>
      </c>
      <c r="B4828" t="s">
        <v>3064</v>
      </c>
      <c r="C4828" t="s">
        <v>3526</v>
      </c>
      <c r="D4828" s="1" t="s">
        <v>3527</v>
      </c>
      <c r="E4828" t="s">
        <v>3528</v>
      </c>
      <c r="F4828">
        <v>42.515300000000003</v>
      </c>
      <c r="G4828">
        <v>3.1373000000000002</v>
      </c>
      <c r="H4828">
        <v>1</v>
      </c>
      <c r="I4828">
        <v>39</v>
      </c>
      <c r="J4828" t="str">
        <f>HYPERLINK("https://climate.onebuilding.org/WMO_Region_6_Europe/FRA_France/LP_Occitanie/FRA_LP_Cap.Bear.Lighthouse.077490_TMYx.2004-2018.zip")</f>
        <v>https://climate.onebuilding.org/WMO_Region_6_Europe/FRA_France/LP_Occitanie/FRA_LP_Cap.Bear.Lighthouse.077490_TMYx.2004-2018.zip</v>
      </c>
    </row>
    <row r="4829" spans="1:10" x14ac:dyDescent="0.25">
      <c r="A4829" t="s">
        <v>2883</v>
      </c>
      <c r="B4829" t="s">
        <v>3064</v>
      </c>
      <c r="C4829" t="s">
        <v>3526</v>
      </c>
      <c r="D4829" s="1" t="s">
        <v>3527</v>
      </c>
      <c r="E4829" t="s">
        <v>14</v>
      </c>
      <c r="F4829">
        <v>42.515300000000003</v>
      </c>
      <c r="G4829">
        <v>3.1373000000000002</v>
      </c>
      <c r="H4829">
        <v>1</v>
      </c>
      <c r="I4829">
        <v>39</v>
      </c>
      <c r="J4829" t="str">
        <f>HYPERLINK("https://climate.onebuilding.org/WMO_Region_6_Europe/FRA_France/LP_Occitanie/FRA_LP_Cap.Bear.Lighthouse.077490_TMYx.2007-2021.zip")</f>
        <v>https://climate.onebuilding.org/WMO_Region_6_Europe/FRA_France/LP_Occitanie/FRA_LP_Cap.Bear.Lighthouse.077490_TMYx.2007-2021.zip</v>
      </c>
    </row>
    <row r="4830" spans="1:10" x14ac:dyDescent="0.25">
      <c r="A4830" t="s">
        <v>2883</v>
      </c>
      <c r="B4830" t="s">
        <v>3064</v>
      </c>
      <c r="C4830" t="s">
        <v>3526</v>
      </c>
      <c r="D4830" s="1" t="s">
        <v>3527</v>
      </c>
      <c r="E4830" t="s">
        <v>14</v>
      </c>
      <c r="F4830">
        <v>42.515300000000003</v>
      </c>
      <c r="G4830">
        <v>3.1373000000000002</v>
      </c>
      <c r="H4830">
        <v>1</v>
      </c>
      <c r="I4830">
        <v>39</v>
      </c>
      <c r="J4830" t="str">
        <f>HYPERLINK("https://climate.onebuilding.org/WMO_Region_6_Europe/FRA_France/LP_Occitanie/FRA_LP_Cap.Bear.Lighthouse.077490_TMYx.2009-2023.zip")</f>
        <v>https://climate.onebuilding.org/WMO_Region_6_Europe/FRA_France/LP_Occitanie/FRA_LP_Cap.Bear.Lighthouse.077490_TMYx.2009-2023.zip</v>
      </c>
    </row>
    <row r="4831" spans="1:10" x14ac:dyDescent="0.25">
      <c r="A4831" t="s">
        <v>2883</v>
      </c>
      <c r="B4831" t="s">
        <v>3064</v>
      </c>
      <c r="C4831" t="s">
        <v>3526</v>
      </c>
      <c r="D4831" s="1" t="s">
        <v>3527</v>
      </c>
      <c r="E4831" t="s">
        <v>14</v>
      </c>
      <c r="F4831">
        <v>42.515300000000003</v>
      </c>
      <c r="G4831">
        <v>3.1373000000000002</v>
      </c>
      <c r="H4831">
        <v>1</v>
      </c>
      <c r="I4831">
        <v>39</v>
      </c>
      <c r="J4831" t="str">
        <f>HYPERLINK("https://climate.onebuilding.org/WMO_Region_6_Europe/FRA_France/LP_Occitanie/FRA_LP_Cap.Bear.Lighthouse.077490_TMYx.zip")</f>
        <v>https://climate.onebuilding.org/WMO_Region_6_Europe/FRA_France/LP_Occitanie/FRA_LP_Cap.Bear.Lighthouse.077490_TMYx.zip</v>
      </c>
    </row>
    <row r="4832" spans="1:10" x14ac:dyDescent="0.25">
      <c r="A4832" t="s">
        <v>2883</v>
      </c>
      <c r="B4832" t="s">
        <v>3529</v>
      </c>
      <c r="C4832" t="s">
        <v>3530</v>
      </c>
      <c r="D4832" s="1" t="s">
        <v>3531</v>
      </c>
      <c r="E4832" t="s">
        <v>3532</v>
      </c>
      <c r="F4832">
        <v>41.917000000000002</v>
      </c>
      <c r="G4832">
        <v>8.6170000000000009</v>
      </c>
      <c r="H4832">
        <v>1</v>
      </c>
      <c r="I4832">
        <v>40</v>
      </c>
      <c r="J4832" t="str">
        <f>HYPERLINK("https://climate.onebuilding.org/WMO_Region_6_Europe/FRA_France/CE_Corse/FRA_CE_La.Parata.077520_TMYx.2004-2018.zip")</f>
        <v>https://climate.onebuilding.org/WMO_Region_6_Europe/FRA_France/CE_Corse/FRA_CE_La.Parata.077520_TMYx.2004-2018.zip</v>
      </c>
    </row>
    <row r="4833" spans="1:10" x14ac:dyDescent="0.25">
      <c r="A4833" t="s">
        <v>2883</v>
      </c>
      <c r="B4833" t="s">
        <v>3529</v>
      </c>
      <c r="C4833" t="s">
        <v>3530</v>
      </c>
      <c r="D4833" s="1" t="s">
        <v>3531</v>
      </c>
      <c r="E4833" t="s">
        <v>14</v>
      </c>
      <c r="F4833">
        <v>41.917000000000002</v>
      </c>
      <c r="G4833">
        <v>8.6170000000000009</v>
      </c>
      <c r="H4833">
        <v>1</v>
      </c>
      <c r="I4833">
        <v>40</v>
      </c>
      <c r="J4833" t="str">
        <f>HYPERLINK("https://climate.onebuilding.org/WMO_Region_6_Europe/FRA_France/CE_Corse/FRA_CE_La.Parata.077520_TMYx.2007-2021.zip")</f>
        <v>https://climate.onebuilding.org/WMO_Region_6_Europe/FRA_France/CE_Corse/FRA_CE_La.Parata.077520_TMYx.2007-2021.zip</v>
      </c>
    </row>
    <row r="4834" spans="1:10" x14ac:dyDescent="0.25">
      <c r="A4834" t="s">
        <v>2883</v>
      </c>
      <c r="B4834" t="s">
        <v>3529</v>
      </c>
      <c r="C4834" t="s">
        <v>3530</v>
      </c>
      <c r="D4834" s="1" t="s">
        <v>3531</v>
      </c>
      <c r="E4834" t="s">
        <v>14</v>
      </c>
      <c r="F4834">
        <v>41.917000000000002</v>
      </c>
      <c r="G4834">
        <v>8.6170000000000009</v>
      </c>
      <c r="H4834">
        <v>1</v>
      </c>
      <c r="I4834">
        <v>40</v>
      </c>
      <c r="J4834" t="str">
        <f>HYPERLINK("https://climate.onebuilding.org/WMO_Region_6_Europe/FRA_France/CE_Corse/FRA_CE_La.Parata.077520_TMYx.zip")</f>
        <v>https://climate.onebuilding.org/WMO_Region_6_Europe/FRA_France/CE_Corse/FRA_CE_La.Parata.077520_TMYx.zip</v>
      </c>
    </row>
    <row r="4835" spans="1:10" x14ac:dyDescent="0.25">
      <c r="A4835" t="s">
        <v>2883</v>
      </c>
      <c r="B4835" t="s">
        <v>3529</v>
      </c>
      <c r="C4835" t="s">
        <v>3533</v>
      </c>
      <c r="D4835" s="1" t="s">
        <v>3534</v>
      </c>
      <c r="E4835" t="s">
        <v>3535</v>
      </c>
      <c r="F4835">
        <v>42.633000000000003</v>
      </c>
      <c r="G4835">
        <v>8.9228000000000005</v>
      </c>
      <c r="H4835">
        <v>1</v>
      </c>
      <c r="I4835">
        <v>145</v>
      </c>
      <c r="J4835" t="str">
        <f>HYPERLINK("https://climate.onebuilding.org/WMO_Region_6_Europe/FRA_France/CE_Corse/FRA_CE_Ile.Rousse.077530_TMYx.2004-2018.zip")</f>
        <v>https://climate.onebuilding.org/WMO_Region_6_Europe/FRA_France/CE_Corse/FRA_CE_Ile.Rousse.077530_TMYx.2004-2018.zip</v>
      </c>
    </row>
    <row r="4836" spans="1:10" x14ac:dyDescent="0.25">
      <c r="A4836" t="s">
        <v>2883</v>
      </c>
      <c r="B4836" t="s">
        <v>3529</v>
      </c>
      <c r="C4836" t="s">
        <v>3533</v>
      </c>
      <c r="D4836" s="1" t="s">
        <v>3534</v>
      </c>
      <c r="E4836" t="s">
        <v>14</v>
      </c>
      <c r="F4836">
        <v>42.633000000000003</v>
      </c>
      <c r="G4836">
        <v>8.9228000000000005</v>
      </c>
      <c r="H4836">
        <v>1</v>
      </c>
      <c r="I4836">
        <v>145</v>
      </c>
      <c r="J4836" t="str">
        <f>HYPERLINK("https://climate.onebuilding.org/WMO_Region_6_Europe/FRA_France/CE_Corse/FRA_CE_Ile.Rousse.077530_TMYx.2007-2021.zip")</f>
        <v>https://climate.onebuilding.org/WMO_Region_6_Europe/FRA_France/CE_Corse/FRA_CE_Ile.Rousse.077530_TMYx.2007-2021.zip</v>
      </c>
    </row>
    <row r="4837" spans="1:10" x14ac:dyDescent="0.25">
      <c r="A4837" t="s">
        <v>2883</v>
      </c>
      <c r="B4837" t="s">
        <v>3529</v>
      </c>
      <c r="C4837" t="s">
        <v>3533</v>
      </c>
      <c r="D4837" s="1" t="s">
        <v>3534</v>
      </c>
      <c r="E4837" t="s">
        <v>14</v>
      </c>
      <c r="F4837">
        <v>42.633000000000003</v>
      </c>
      <c r="G4837">
        <v>8.9228000000000005</v>
      </c>
      <c r="H4837">
        <v>1</v>
      </c>
      <c r="I4837">
        <v>145</v>
      </c>
      <c r="J4837" t="str">
        <f>HYPERLINK("https://climate.onebuilding.org/WMO_Region_6_Europe/FRA_France/CE_Corse/FRA_CE_Ile.Rousse.077530_TMYx.2009-2023.zip")</f>
        <v>https://climate.onebuilding.org/WMO_Region_6_Europe/FRA_France/CE_Corse/FRA_CE_Ile.Rousse.077530_TMYx.2009-2023.zip</v>
      </c>
    </row>
    <row r="4838" spans="1:10" x14ac:dyDescent="0.25">
      <c r="A4838" t="s">
        <v>2883</v>
      </c>
      <c r="B4838" t="s">
        <v>3529</v>
      </c>
      <c r="C4838" t="s">
        <v>3533</v>
      </c>
      <c r="D4838" s="1" t="s">
        <v>3534</v>
      </c>
      <c r="E4838" t="s">
        <v>14</v>
      </c>
      <c r="F4838">
        <v>42.633000000000003</v>
      </c>
      <c r="G4838">
        <v>8.9228000000000005</v>
      </c>
      <c r="H4838">
        <v>1</v>
      </c>
      <c r="I4838">
        <v>145</v>
      </c>
      <c r="J4838" t="str">
        <f>HYPERLINK("https://climate.onebuilding.org/WMO_Region_6_Europe/FRA_France/CE_Corse/FRA_CE_Ile.Rousse.077530_TMYx.zip")</f>
        <v>https://climate.onebuilding.org/WMO_Region_6_Europe/FRA_France/CE_Corse/FRA_CE_Ile.Rousse.077530_TMYx.zip</v>
      </c>
    </row>
    <row r="4839" spans="1:10" x14ac:dyDescent="0.25">
      <c r="A4839" t="s">
        <v>2883</v>
      </c>
      <c r="B4839" t="s">
        <v>3529</v>
      </c>
      <c r="C4839" t="s">
        <v>3536</v>
      </c>
      <c r="D4839" s="1" t="s">
        <v>3537</v>
      </c>
      <c r="E4839" t="s">
        <v>3538</v>
      </c>
      <c r="F4839">
        <v>42.529400000000003</v>
      </c>
      <c r="G4839">
        <v>8.7913999999999994</v>
      </c>
      <c r="H4839">
        <v>1</v>
      </c>
      <c r="I4839">
        <v>58</v>
      </c>
      <c r="J4839" t="str">
        <f>HYPERLINK("https://climate.onebuilding.org/WMO_Region_6_Europe/FRA_France/CE_Corse/FRA_CE_Calvi-St.Catherine.AP.077540_TMYx.2004-2018.zip")</f>
        <v>https://climate.onebuilding.org/WMO_Region_6_Europe/FRA_France/CE_Corse/FRA_CE_Calvi-St.Catherine.AP.077540_TMYx.2004-2018.zip</v>
      </c>
    </row>
    <row r="4840" spans="1:10" x14ac:dyDescent="0.25">
      <c r="A4840" t="s">
        <v>2883</v>
      </c>
      <c r="B4840" t="s">
        <v>3529</v>
      </c>
      <c r="C4840" t="s">
        <v>3536</v>
      </c>
      <c r="D4840" s="1" t="s">
        <v>3537</v>
      </c>
      <c r="E4840" t="s">
        <v>14</v>
      </c>
      <c r="F4840">
        <v>42.529400000000003</v>
      </c>
      <c r="G4840">
        <v>8.7913999999999994</v>
      </c>
      <c r="H4840">
        <v>1</v>
      </c>
      <c r="I4840">
        <v>58</v>
      </c>
      <c r="J4840" t="str">
        <f>HYPERLINK("https://climate.onebuilding.org/WMO_Region_6_Europe/FRA_France/CE_Corse/FRA_CE_Calvi-St.Catherine.AP.077540_TMYx.2007-2021.zip")</f>
        <v>https://climate.onebuilding.org/WMO_Region_6_Europe/FRA_France/CE_Corse/FRA_CE_Calvi-St.Catherine.AP.077540_TMYx.2007-2021.zip</v>
      </c>
    </row>
    <row r="4841" spans="1:10" x14ac:dyDescent="0.25">
      <c r="A4841" t="s">
        <v>2883</v>
      </c>
      <c r="B4841" t="s">
        <v>3529</v>
      </c>
      <c r="C4841" t="s">
        <v>3536</v>
      </c>
      <c r="D4841" s="1" t="s">
        <v>3537</v>
      </c>
      <c r="E4841" t="s">
        <v>14</v>
      </c>
      <c r="F4841">
        <v>42.529400000000003</v>
      </c>
      <c r="G4841">
        <v>8.7913999999999994</v>
      </c>
      <c r="H4841">
        <v>1</v>
      </c>
      <c r="I4841">
        <v>58</v>
      </c>
      <c r="J4841" t="str">
        <f>HYPERLINK("https://climate.onebuilding.org/WMO_Region_6_Europe/FRA_France/CE_Corse/FRA_CE_Calvi-St.Catherine.AP.077540_TMYx.2009-2023.zip")</f>
        <v>https://climate.onebuilding.org/WMO_Region_6_Europe/FRA_France/CE_Corse/FRA_CE_Calvi-St.Catherine.AP.077540_TMYx.2009-2023.zip</v>
      </c>
    </row>
    <row r="4842" spans="1:10" x14ac:dyDescent="0.25">
      <c r="A4842" t="s">
        <v>2883</v>
      </c>
      <c r="B4842" t="s">
        <v>3529</v>
      </c>
      <c r="C4842" t="s">
        <v>3536</v>
      </c>
      <c r="D4842" s="1" t="s">
        <v>3537</v>
      </c>
      <c r="E4842" t="s">
        <v>14</v>
      </c>
      <c r="F4842">
        <v>42.529400000000003</v>
      </c>
      <c r="G4842">
        <v>8.7913999999999994</v>
      </c>
      <c r="H4842">
        <v>1</v>
      </c>
      <c r="I4842">
        <v>58</v>
      </c>
      <c r="J4842" t="str">
        <f>HYPERLINK("https://climate.onebuilding.org/WMO_Region_6_Europe/FRA_France/CE_Corse/FRA_CE_Calvi-St.Catherine.AP.077540_TMYx.zip")</f>
        <v>https://climate.onebuilding.org/WMO_Region_6_Europe/FRA_France/CE_Corse/FRA_CE_Calvi-St.Catherine.AP.077540_TMYx.zip</v>
      </c>
    </row>
    <row r="4843" spans="1:10" x14ac:dyDescent="0.25">
      <c r="A4843" t="s">
        <v>2883</v>
      </c>
      <c r="B4843" t="s">
        <v>3529</v>
      </c>
      <c r="C4843" t="s">
        <v>3539</v>
      </c>
      <c r="D4843" s="1" t="s">
        <v>3540</v>
      </c>
      <c r="E4843" t="s">
        <v>14</v>
      </c>
      <c r="F4843">
        <v>42.511499999999998</v>
      </c>
      <c r="G4843">
        <v>8.6759000000000004</v>
      </c>
      <c r="H4843">
        <v>1</v>
      </c>
      <c r="I4843">
        <v>266</v>
      </c>
      <c r="J4843" t="str">
        <f>HYPERLINK("https://climate.onebuilding.org/WMO_Region_6_Europe/FRA_France/CE_Corse/FRA_CE_Cape.Cavallo.077560_TMYx.zip")</f>
        <v>https://climate.onebuilding.org/WMO_Region_6_Europe/FRA_France/CE_Corse/FRA_CE_Cape.Cavallo.077560_TMYx.zip</v>
      </c>
    </row>
    <row r="4844" spans="1:10" x14ac:dyDescent="0.25">
      <c r="A4844" t="s">
        <v>2883</v>
      </c>
      <c r="B4844" t="s">
        <v>3529</v>
      </c>
      <c r="C4844" t="s">
        <v>3541</v>
      </c>
      <c r="D4844" s="1" t="s">
        <v>3542</v>
      </c>
      <c r="E4844" t="s">
        <v>3543</v>
      </c>
      <c r="F4844">
        <v>41.918100000000003</v>
      </c>
      <c r="G4844">
        <v>8.7927999999999997</v>
      </c>
      <c r="H4844">
        <v>1</v>
      </c>
      <c r="I4844">
        <v>9</v>
      </c>
      <c r="J4844" t="str">
        <f>HYPERLINK("https://climate.onebuilding.org/WMO_Region_6_Europe/FRA_France/CE_Corse/FRA_CE_Ajaccio.Bonaparte.AP.077610_TMYx.2004-2018.zip")</f>
        <v>https://climate.onebuilding.org/WMO_Region_6_Europe/FRA_France/CE_Corse/FRA_CE_Ajaccio.Bonaparte.AP.077610_TMYx.2004-2018.zip</v>
      </c>
    </row>
    <row r="4845" spans="1:10" x14ac:dyDescent="0.25">
      <c r="A4845" t="s">
        <v>2883</v>
      </c>
      <c r="B4845" t="s">
        <v>3529</v>
      </c>
      <c r="C4845" t="s">
        <v>3541</v>
      </c>
      <c r="D4845" s="1" t="s">
        <v>3542</v>
      </c>
      <c r="E4845" t="s">
        <v>14</v>
      </c>
      <c r="F4845">
        <v>41.918100000000003</v>
      </c>
      <c r="G4845">
        <v>8.7927999999999997</v>
      </c>
      <c r="H4845">
        <v>1</v>
      </c>
      <c r="I4845">
        <v>9</v>
      </c>
      <c r="J4845" t="str">
        <f>HYPERLINK("https://climate.onebuilding.org/WMO_Region_6_Europe/FRA_France/CE_Corse/FRA_CE_Ajaccio.Bonaparte.AP.077610_TMYx.2007-2021.zip")</f>
        <v>https://climate.onebuilding.org/WMO_Region_6_Europe/FRA_France/CE_Corse/FRA_CE_Ajaccio.Bonaparte.AP.077610_TMYx.2007-2021.zip</v>
      </c>
    </row>
    <row r="4846" spans="1:10" x14ac:dyDescent="0.25">
      <c r="A4846" t="s">
        <v>2883</v>
      </c>
      <c r="B4846" t="s">
        <v>3529</v>
      </c>
      <c r="C4846" t="s">
        <v>3541</v>
      </c>
      <c r="D4846" s="1" t="s">
        <v>3542</v>
      </c>
      <c r="E4846" t="s">
        <v>14</v>
      </c>
      <c r="F4846">
        <v>41.918100000000003</v>
      </c>
      <c r="G4846">
        <v>8.7927999999999997</v>
      </c>
      <c r="H4846">
        <v>1</v>
      </c>
      <c r="I4846">
        <v>9</v>
      </c>
      <c r="J4846" t="str">
        <f>HYPERLINK("https://climate.onebuilding.org/WMO_Region_6_Europe/FRA_France/CE_Corse/FRA_CE_Ajaccio.Bonaparte.AP.077610_TMYx.2009-2023.zip")</f>
        <v>https://climate.onebuilding.org/WMO_Region_6_Europe/FRA_France/CE_Corse/FRA_CE_Ajaccio.Bonaparte.AP.077610_TMYx.2009-2023.zip</v>
      </c>
    </row>
    <row r="4847" spans="1:10" x14ac:dyDescent="0.25">
      <c r="A4847" t="s">
        <v>2883</v>
      </c>
      <c r="B4847" t="s">
        <v>3529</v>
      </c>
      <c r="C4847" t="s">
        <v>3541</v>
      </c>
      <c r="D4847" s="1" t="s">
        <v>3542</v>
      </c>
      <c r="E4847" t="s">
        <v>14</v>
      </c>
      <c r="F4847">
        <v>41.918100000000003</v>
      </c>
      <c r="G4847">
        <v>8.7927999999999997</v>
      </c>
      <c r="H4847">
        <v>1</v>
      </c>
      <c r="I4847">
        <v>9</v>
      </c>
      <c r="J4847" t="str">
        <f>HYPERLINK("https://climate.onebuilding.org/WMO_Region_6_Europe/FRA_France/CE_Corse/FRA_CE_Ajaccio.Bonaparte.AP.077610_TMYx.zip")</f>
        <v>https://climate.onebuilding.org/WMO_Region_6_Europe/FRA_France/CE_Corse/FRA_CE_Ajaccio.Bonaparte.AP.077610_TMYx.zip</v>
      </c>
    </row>
    <row r="4848" spans="1:10" x14ac:dyDescent="0.25">
      <c r="A4848" t="s">
        <v>2883</v>
      </c>
      <c r="B4848" t="s">
        <v>3529</v>
      </c>
      <c r="C4848" t="s">
        <v>3544</v>
      </c>
      <c r="D4848" s="1" t="s">
        <v>3545</v>
      </c>
      <c r="E4848" t="s">
        <v>3546</v>
      </c>
      <c r="F4848">
        <v>41.923900000000003</v>
      </c>
      <c r="G4848">
        <v>9.3971999999999998</v>
      </c>
      <c r="H4848">
        <v>1</v>
      </c>
      <c r="I4848">
        <v>17</v>
      </c>
      <c r="J4848" t="str">
        <f>HYPERLINK("https://climate.onebuilding.org/WMO_Region_6_Europe/FRA_France/CE_Corse/FRA_CE_Solenzara.AB.077650_TMYx.2004-2018.zip")</f>
        <v>https://climate.onebuilding.org/WMO_Region_6_Europe/FRA_France/CE_Corse/FRA_CE_Solenzara.AB.077650_TMYx.2004-2018.zip</v>
      </c>
    </row>
    <row r="4849" spans="1:10" x14ac:dyDescent="0.25">
      <c r="A4849" t="s">
        <v>2883</v>
      </c>
      <c r="B4849" t="s">
        <v>3529</v>
      </c>
      <c r="C4849" t="s">
        <v>3544</v>
      </c>
      <c r="D4849" s="1" t="s">
        <v>3545</v>
      </c>
      <c r="E4849" t="s">
        <v>14</v>
      </c>
      <c r="F4849">
        <v>41.923900000000003</v>
      </c>
      <c r="G4849">
        <v>9.3971999999999998</v>
      </c>
      <c r="H4849">
        <v>1</v>
      </c>
      <c r="I4849">
        <v>17</v>
      </c>
      <c r="J4849" t="str">
        <f>HYPERLINK("https://climate.onebuilding.org/WMO_Region_6_Europe/FRA_France/CE_Corse/FRA_CE_Solenzara.AB.077650_TMYx.2007-2021.zip")</f>
        <v>https://climate.onebuilding.org/WMO_Region_6_Europe/FRA_France/CE_Corse/FRA_CE_Solenzara.AB.077650_TMYx.2007-2021.zip</v>
      </c>
    </row>
    <row r="4850" spans="1:10" x14ac:dyDescent="0.25">
      <c r="A4850" t="s">
        <v>2883</v>
      </c>
      <c r="B4850" t="s">
        <v>3529</v>
      </c>
      <c r="C4850" t="s">
        <v>3544</v>
      </c>
      <c r="D4850" s="1" t="s">
        <v>3545</v>
      </c>
      <c r="E4850" t="s">
        <v>14</v>
      </c>
      <c r="F4850">
        <v>41.923900000000003</v>
      </c>
      <c r="G4850">
        <v>9.3971999999999998</v>
      </c>
      <c r="H4850">
        <v>1</v>
      </c>
      <c r="I4850">
        <v>17</v>
      </c>
      <c r="J4850" t="str">
        <f>HYPERLINK("https://climate.onebuilding.org/WMO_Region_6_Europe/FRA_France/CE_Corse/FRA_CE_Solenzara.AB.077650_TMYx.2009-2023.zip")</f>
        <v>https://climate.onebuilding.org/WMO_Region_6_Europe/FRA_France/CE_Corse/FRA_CE_Solenzara.AB.077650_TMYx.2009-2023.zip</v>
      </c>
    </row>
    <row r="4851" spans="1:10" x14ac:dyDescent="0.25">
      <c r="A4851" t="s">
        <v>2883</v>
      </c>
      <c r="B4851" t="s">
        <v>3529</v>
      </c>
      <c r="C4851" t="s">
        <v>3544</v>
      </c>
      <c r="D4851" s="1" t="s">
        <v>3545</v>
      </c>
      <c r="E4851" t="s">
        <v>14</v>
      </c>
      <c r="F4851">
        <v>41.923900000000003</v>
      </c>
      <c r="G4851">
        <v>9.3971999999999998</v>
      </c>
      <c r="H4851">
        <v>1</v>
      </c>
      <c r="I4851">
        <v>17</v>
      </c>
      <c r="J4851" t="str">
        <f>HYPERLINK("https://climate.onebuilding.org/WMO_Region_6_Europe/FRA_France/CE_Corse/FRA_CE_Solenzara.AB.077650_TMYx.zip")</f>
        <v>https://climate.onebuilding.org/WMO_Region_6_Europe/FRA_France/CE_Corse/FRA_CE_Solenzara.AB.077650_TMYx.zip</v>
      </c>
    </row>
    <row r="4852" spans="1:10" x14ac:dyDescent="0.25">
      <c r="A4852" t="s">
        <v>2883</v>
      </c>
      <c r="B4852" t="s">
        <v>3529</v>
      </c>
      <c r="C4852" t="s">
        <v>3547</v>
      </c>
      <c r="D4852" s="1" t="s">
        <v>3548</v>
      </c>
      <c r="E4852" t="s">
        <v>3549</v>
      </c>
      <c r="F4852">
        <v>41.594299999999997</v>
      </c>
      <c r="G4852">
        <v>9.3658000000000001</v>
      </c>
      <c r="H4852">
        <v>1</v>
      </c>
      <c r="I4852">
        <v>34</v>
      </c>
      <c r="J4852" t="str">
        <f>HYPERLINK("https://climate.onebuilding.org/WMO_Region_6_Europe/FRA_France/CE_Corse/FRA_CE_La.Chiappa.077680_TMYx.2004-2018.zip")</f>
        <v>https://climate.onebuilding.org/WMO_Region_6_Europe/FRA_France/CE_Corse/FRA_CE_La.Chiappa.077680_TMYx.2004-2018.zip</v>
      </c>
    </row>
    <row r="4853" spans="1:10" x14ac:dyDescent="0.25">
      <c r="A4853" t="s">
        <v>2883</v>
      </c>
      <c r="B4853" t="s">
        <v>3529</v>
      </c>
      <c r="C4853" t="s">
        <v>3547</v>
      </c>
      <c r="D4853" s="1" t="s">
        <v>3548</v>
      </c>
      <c r="E4853" t="s">
        <v>14</v>
      </c>
      <c r="F4853">
        <v>41.594299999999997</v>
      </c>
      <c r="G4853">
        <v>9.3658000000000001</v>
      </c>
      <c r="H4853">
        <v>1</v>
      </c>
      <c r="I4853">
        <v>34</v>
      </c>
      <c r="J4853" t="str">
        <f>HYPERLINK("https://climate.onebuilding.org/WMO_Region_6_Europe/FRA_France/CE_Corse/FRA_CE_La.Chiappa.077680_TMYx.2007-2021.zip")</f>
        <v>https://climate.onebuilding.org/WMO_Region_6_Europe/FRA_France/CE_Corse/FRA_CE_La.Chiappa.077680_TMYx.2007-2021.zip</v>
      </c>
    </row>
    <row r="4854" spans="1:10" x14ac:dyDescent="0.25">
      <c r="A4854" t="s">
        <v>2883</v>
      </c>
      <c r="B4854" t="s">
        <v>3529</v>
      </c>
      <c r="C4854" t="s">
        <v>3547</v>
      </c>
      <c r="D4854" s="1" t="s">
        <v>3548</v>
      </c>
      <c r="E4854" t="s">
        <v>14</v>
      </c>
      <c r="F4854">
        <v>41.594299999999997</v>
      </c>
      <c r="G4854">
        <v>9.3658000000000001</v>
      </c>
      <c r="H4854">
        <v>1</v>
      </c>
      <c r="I4854">
        <v>34</v>
      </c>
      <c r="J4854" t="str">
        <f>HYPERLINK("https://climate.onebuilding.org/WMO_Region_6_Europe/FRA_France/CE_Corse/FRA_CE_La.Chiappa.077680_TMYx.2009-2023.zip")</f>
        <v>https://climate.onebuilding.org/WMO_Region_6_Europe/FRA_France/CE_Corse/FRA_CE_La.Chiappa.077680_TMYx.2009-2023.zip</v>
      </c>
    </row>
    <row r="4855" spans="1:10" x14ac:dyDescent="0.25">
      <c r="A4855" t="s">
        <v>2883</v>
      </c>
      <c r="B4855" t="s">
        <v>3529</v>
      </c>
      <c r="C4855" t="s">
        <v>3547</v>
      </c>
      <c r="D4855" s="1" t="s">
        <v>3548</v>
      </c>
      <c r="E4855" t="s">
        <v>14</v>
      </c>
      <c r="F4855">
        <v>41.594299999999997</v>
      </c>
      <c r="G4855">
        <v>9.3658000000000001</v>
      </c>
      <c r="H4855">
        <v>1</v>
      </c>
      <c r="I4855">
        <v>34</v>
      </c>
      <c r="J4855" t="str">
        <f>HYPERLINK("https://climate.onebuilding.org/WMO_Region_6_Europe/FRA_France/CE_Corse/FRA_CE_La.Chiappa.077680_TMYx.zip")</f>
        <v>https://climate.onebuilding.org/WMO_Region_6_Europe/FRA_France/CE_Corse/FRA_CE_La.Chiappa.077680_TMYx.zip</v>
      </c>
    </row>
    <row r="4856" spans="1:10" x14ac:dyDescent="0.25">
      <c r="A4856" t="s">
        <v>2883</v>
      </c>
      <c r="B4856" t="s">
        <v>3529</v>
      </c>
      <c r="C4856" t="s">
        <v>3550</v>
      </c>
      <c r="D4856" s="1" t="s">
        <v>3551</v>
      </c>
      <c r="E4856" t="s">
        <v>3552</v>
      </c>
      <c r="F4856">
        <v>41.374699999999997</v>
      </c>
      <c r="G4856">
        <v>9.1783000000000001</v>
      </c>
      <c r="H4856">
        <v>1</v>
      </c>
      <c r="I4856">
        <v>116</v>
      </c>
      <c r="J4856" t="str">
        <f>HYPERLINK("https://climate.onebuilding.org/WMO_Region_6_Europe/FRA_France/CE_Corse/FRA_CE_Cap.Pertusato.077700_TMYx.2004-2018.zip")</f>
        <v>https://climate.onebuilding.org/WMO_Region_6_Europe/FRA_France/CE_Corse/FRA_CE_Cap.Pertusato.077700_TMYx.2004-2018.zip</v>
      </c>
    </row>
    <row r="4857" spans="1:10" x14ac:dyDescent="0.25">
      <c r="A4857" t="s">
        <v>2883</v>
      </c>
      <c r="B4857" t="s">
        <v>3529</v>
      </c>
      <c r="C4857" t="s">
        <v>3550</v>
      </c>
      <c r="D4857" s="1" t="s">
        <v>3551</v>
      </c>
      <c r="E4857" t="s">
        <v>14</v>
      </c>
      <c r="F4857">
        <v>41.374699999999997</v>
      </c>
      <c r="G4857">
        <v>9.1783000000000001</v>
      </c>
      <c r="H4857">
        <v>1</v>
      </c>
      <c r="I4857">
        <v>116</v>
      </c>
      <c r="J4857" t="str">
        <f>HYPERLINK("https://climate.onebuilding.org/WMO_Region_6_Europe/FRA_France/CE_Corse/FRA_CE_Cap.Pertusato.077700_TMYx.2007-2021.zip")</f>
        <v>https://climate.onebuilding.org/WMO_Region_6_Europe/FRA_France/CE_Corse/FRA_CE_Cap.Pertusato.077700_TMYx.2007-2021.zip</v>
      </c>
    </row>
    <row r="4858" spans="1:10" x14ac:dyDescent="0.25">
      <c r="A4858" t="s">
        <v>2883</v>
      </c>
      <c r="B4858" t="s">
        <v>3529</v>
      </c>
      <c r="C4858" t="s">
        <v>3550</v>
      </c>
      <c r="D4858" s="1" t="s">
        <v>3551</v>
      </c>
      <c r="E4858" t="s">
        <v>14</v>
      </c>
      <c r="F4858">
        <v>41.374699999999997</v>
      </c>
      <c r="G4858">
        <v>9.1783000000000001</v>
      </c>
      <c r="H4858">
        <v>1</v>
      </c>
      <c r="I4858">
        <v>116</v>
      </c>
      <c r="J4858" t="str">
        <f>HYPERLINK("https://climate.onebuilding.org/WMO_Region_6_Europe/FRA_France/CE_Corse/FRA_CE_Cap.Pertusato.077700_TMYx.2009-2023.zip")</f>
        <v>https://climate.onebuilding.org/WMO_Region_6_Europe/FRA_France/CE_Corse/FRA_CE_Cap.Pertusato.077700_TMYx.2009-2023.zip</v>
      </c>
    </row>
    <row r="4859" spans="1:10" x14ac:dyDescent="0.25">
      <c r="A4859" t="s">
        <v>2883</v>
      </c>
      <c r="B4859" t="s">
        <v>3529</v>
      </c>
      <c r="C4859" t="s">
        <v>3550</v>
      </c>
      <c r="D4859" s="1" t="s">
        <v>3551</v>
      </c>
      <c r="E4859" t="s">
        <v>14</v>
      </c>
      <c r="F4859">
        <v>41.374699999999997</v>
      </c>
      <c r="G4859">
        <v>9.1783000000000001</v>
      </c>
      <c r="H4859">
        <v>1</v>
      </c>
      <c r="I4859">
        <v>116</v>
      </c>
      <c r="J4859" t="str">
        <f>HYPERLINK("https://climate.onebuilding.org/WMO_Region_6_Europe/FRA_France/CE_Corse/FRA_CE_Cap.Pertusato.077700_TMYx.zip")</f>
        <v>https://climate.onebuilding.org/WMO_Region_6_Europe/FRA_France/CE_Corse/FRA_CE_Cap.Pertusato.077700_TMYx.zip</v>
      </c>
    </row>
    <row r="4860" spans="1:10" x14ac:dyDescent="0.25">
      <c r="A4860" t="s">
        <v>2883</v>
      </c>
      <c r="B4860" t="s">
        <v>3529</v>
      </c>
      <c r="C4860" t="s">
        <v>3553</v>
      </c>
      <c r="D4860" s="1" t="s">
        <v>3554</v>
      </c>
      <c r="E4860" t="s">
        <v>3555</v>
      </c>
      <c r="F4860">
        <v>42.259700000000002</v>
      </c>
      <c r="G4860">
        <v>9.5413999999999994</v>
      </c>
      <c r="H4860">
        <v>1</v>
      </c>
      <c r="I4860">
        <v>74</v>
      </c>
      <c r="J4860" t="str">
        <f>HYPERLINK("https://climate.onebuilding.org/WMO_Region_6_Europe/FRA_France/CE_Corse/FRA_CE_Alistro.077750_TMYx.2004-2018.zip")</f>
        <v>https://climate.onebuilding.org/WMO_Region_6_Europe/FRA_France/CE_Corse/FRA_CE_Alistro.077750_TMYx.2004-2018.zip</v>
      </c>
    </row>
    <row r="4861" spans="1:10" x14ac:dyDescent="0.25">
      <c r="A4861" t="s">
        <v>2883</v>
      </c>
      <c r="B4861" t="s">
        <v>3529</v>
      </c>
      <c r="C4861" t="s">
        <v>3553</v>
      </c>
      <c r="D4861" s="1" t="s">
        <v>3554</v>
      </c>
      <c r="E4861" t="s">
        <v>14</v>
      </c>
      <c r="F4861">
        <v>42.259700000000002</v>
      </c>
      <c r="G4861">
        <v>9.5413999999999994</v>
      </c>
      <c r="H4861">
        <v>1</v>
      </c>
      <c r="I4861">
        <v>74</v>
      </c>
      <c r="J4861" t="str">
        <f>HYPERLINK("https://climate.onebuilding.org/WMO_Region_6_Europe/FRA_France/CE_Corse/FRA_CE_Alistro.077750_TMYx.2007-2021.zip")</f>
        <v>https://climate.onebuilding.org/WMO_Region_6_Europe/FRA_France/CE_Corse/FRA_CE_Alistro.077750_TMYx.2007-2021.zip</v>
      </c>
    </row>
    <row r="4862" spans="1:10" x14ac:dyDescent="0.25">
      <c r="A4862" t="s">
        <v>2883</v>
      </c>
      <c r="B4862" t="s">
        <v>3529</v>
      </c>
      <c r="C4862" t="s">
        <v>3553</v>
      </c>
      <c r="D4862" s="1" t="s">
        <v>3554</v>
      </c>
      <c r="E4862" t="s">
        <v>14</v>
      </c>
      <c r="F4862">
        <v>42.259700000000002</v>
      </c>
      <c r="G4862">
        <v>9.5413999999999994</v>
      </c>
      <c r="H4862">
        <v>1</v>
      </c>
      <c r="I4862">
        <v>74</v>
      </c>
      <c r="J4862" t="str">
        <f>HYPERLINK("https://climate.onebuilding.org/WMO_Region_6_Europe/FRA_France/CE_Corse/FRA_CE_Alistro.077750_TMYx.2009-2023.zip")</f>
        <v>https://climate.onebuilding.org/WMO_Region_6_Europe/FRA_France/CE_Corse/FRA_CE_Alistro.077750_TMYx.2009-2023.zip</v>
      </c>
    </row>
    <row r="4863" spans="1:10" x14ac:dyDescent="0.25">
      <c r="A4863" t="s">
        <v>2883</v>
      </c>
      <c r="B4863" t="s">
        <v>3529</v>
      </c>
      <c r="C4863" t="s">
        <v>3553</v>
      </c>
      <c r="D4863" s="1" t="s">
        <v>3554</v>
      </c>
      <c r="E4863" t="s">
        <v>14</v>
      </c>
      <c r="F4863">
        <v>42.259700000000002</v>
      </c>
      <c r="G4863">
        <v>9.5413999999999994</v>
      </c>
      <c r="H4863">
        <v>1</v>
      </c>
      <c r="I4863">
        <v>74</v>
      </c>
      <c r="J4863" t="str">
        <f>HYPERLINK("https://climate.onebuilding.org/WMO_Region_6_Europe/FRA_France/CE_Corse/FRA_CE_Alistro.077750_TMYx.zip")</f>
        <v>https://climate.onebuilding.org/WMO_Region_6_Europe/FRA_France/CE_Corse/FRA_CE_Alistro.077750_TMYx.zip</v>
      </c>
    </row>
    <row r="4864" spans="1:10" x14ac:dyDescent="0.25">
      <c r="A4864" t="s">
        <v>2883</v>
      </c>
      <c r="B4864" t="s">
        <v>3529</v>
      </c>
      <c r="C4864" t="s">
        <v>3556</v>
      </c>
      <c r="D4864" s="1" t="s">
        <v>3557</v>
      </c>
      <c r="E4864" t="s">
        <v>3558</v>
      </c>
      <c r="F4864">
        <v>41.505299999999998</v>
      </c>
      <c r="G4864">
        <v>9.1036000000000001</v>
      </c>
      <c r="H4864">
        <v>1</v>
      </c>
      <c r="I4864">
        <v>23</v>
      </c>
      <c r="J4864" t="str">
        <f>HYPERLINK("https://climate.onebuilding.org/WMO_Region_6_Europe/FRA_France/CE_Corse/FRA_CE_Figari-Sud.Corse.AP.077800_TMYx.2004-2018.zip")</f>
        <v>https://climate.onebuilding.org/WMO_Region_6_Europe/FRA_France/CE_Corse/FRA_CE_Figari-Sud.Corse.AP.077800_TMYx.2004-2018.zip</v>
      </c>
    </row>
    <row r="4865" spans="1:10" x14ac:dyDescent="0.25">
      <c r="A4865" t="s">
        <v>2883</v>
      </c>
      <c r="B4865" t="s">
        <v>3529</v>
      </c>
      <c r="C4865" t="s">
        <v>3556</v>
      </c>
      <c r="D4865" s="1" t="s">
        <v>3557</v>
      </c>
      <c r="E4865" t="s">
        <v>14</v>
      </c>
      <c r="F4865">
        <v>41.505299999999998</v>
      </c>
      <c r="G4865">
        <v>9.1036000000000001</v>
      </c>
      <c r="H4865">
        <v>1</v>
      </c>
      <c r="I4865">
        <v>23</v>
      </c>
      <c r="J4865" t="str">
        <f>HYPERLINK("https://climate.onebuilding.org/WMO_Region_6_Europe/FRA_France/CE_Corse/FRA_CE_Figari-Sud.Corse.AP.077800_TMYx.2007-2021.zip")</f>
        <v>https://climate.onebuilding.org/WMO_Region_6_Europe/FRA_France/CE_Corse/FRA_CE_Figari-Sud.Corse.AP.077800_TMYx.2007-2021.zip</v>
      </c>
    </row>
    <row r="4866" spans="1:10" x14ac:dyDescent="0.25">
      <c r="A4866" t="s">
        <v>2883</v>
      </c>
      <c r="B4866" t="s">
        <v>3529</v>
      </c>
      <c r="C4866" t="s">
        <v>3556</v>
      </c>
      <c r="D4866" s="1" t="s">
        <v>3557</v>
      </c>
      <c r="E4866" t="s">
        <v>14</v>
      </c>
      <c r="F4866">
        <v>41.505299999999998</v>
      </c>
      <c r="G4866">
        <v>9.1036000000000001</v>
      </c>
      <c r="H4866">
        <v>1</v>
      </c>
      <c r="I4866">
        <v>23</v>
      </c>
      <c r="J4866" t="str">
        <f>HYPERLINK("https://climate.onebuilding.org/WMO_Region_6_Europe/FRA_France/CE_Corse/FRA_CE_Figari-Sud.Corse.AP.077800_TMYx.2009-2023.zip")</f>
        <v>https://climate.onebuilding.org/WMO_Region_6_Europe/FRA_France/CE_Corse/FRA_CE_Figari-Sud.Corse.AP.077800_TMYx.2009-2023.zip</v>
      </c>
    </row>
    <row r="4867" spans="1:10" x14ac:dyDescent="0.25">
      <c r="A4867" t="s">
        <v>2883</v>
      </c>
      <c r="B4867" t="s">
        <v>3529</v>
      </c>
      <c r="C4867" t="s">
        <v>3556</v>
      </c>
      <c r="D4867" s="1" t="s">
        <v>3557</v>
      </c>
      <c r="E4867" t="s">
        <v>14</v>
      </c>
      <c r="F4867">
        <v>41.505299999999998</v>
      </c>
      <c r="G4867">
        <v>9.1036000000000001</v>
      </c>
      <c r="H4867">
        <v>1</v>
      </c>
      <c r="I4867">
        <v>23</v>
      </c>
      <c r="J4867" t="str">
        <f>HYPERLINK("https://climate.onebuilding.org/WMO_Region_6_Europe/FRA_France/CE_Corse/FRA_CE_Figari-Sud.Corse.AP.077800_TMYx.zip")</f>
        <v>https://climate.onebuilding.org/WMO_Region_6_Europe/FRA_France/CE_Corse/FRA_CE_Figari-Sud.Corse.AP.077800_TMYx.zip</v>
      </c>
    </row>
    <row r="4868" spans="1:10" x14ac:dyDescent="0.25">
      <c r="A4868" t="s">
        <v>2883</v>
      </c>
      <c r="B4868" t="s">
        <v>3529</v>
      </c>
      <c r="C4868" t="s">
        <v>3559</v>
      </c>
      <c r="D4868" s="1" t="s">
        <v>3560</v>
      </c>
      <c r="E4868" t="s">
        <v>3561</v>
      </c>
      <c r="F4868">
        <v>43.003900000000002</v>
      </c>
      <c r="G4868">
        <v>9.3595000000000006</v>
      </c>
      <c r="H4868">
        <v>1</v>
      </c>
      <c r="I4868">
        <v>113</v>
      </c>
      <c r="J4868" t="str">
        <f>HYPERLINK("https://climate.onebuilding.org/WMO_Region_6_Europe/FRA_France/CE_Corse/FRA_CE_Cap.Corse.077850_TMYx.2004-2018.zip")</f>
        <v>https://climate.onebuilding.org/WMO_Region_6_Europe/FRA_France/CE_Corse/FRA_CE_Cap.Corse.077850_TMYx.2004-2018.zip</v>
      </c>
    </row>
    <row r="4869" spans="1:10" x14ac:dyDescent="0.25">
      <c r="A4869" t="s">
        <v>2883</v>
      </c>
      <c r="B4869" t="s">
        <v>3529</v>
      </c>
      <c r="C4869" t="s">
        <v>3559</v>
      </c>
      <c r="D4869" s="1" t="s">
        <v>3560</v>
      </c>
      <c r="E4869" t="s">
        <v>14</v>
      </c>
      <c r="F4869">
        <v>43.003900000000002</v>
      </c>
      <c r="G4869">
        <v>9.3595000000000006</v>
      </c>
      <c r="H4869">
        <v>1</v>
      </c>
      <c r="I4869">
        <v>113</v>
      </c>
      <c r="J4869" t="str">
        <f>HYPERLINK("https://climate.onebuilding.org/WMO_Region_6_Europe/FRA_France/CE_Corse/FRA_CE_Cap.Corse.077850_TMYx.2007-2021.zip")</f>
        <v>https://climate.onebuilding.org/WMO_Region_6_Europe/FRA_France/CE_Corse/FRA_CE_Cap.Corse.077850_TMYx.2007-2021.zip</v>
      </c>
    </row>
    <row r="4870" spans="1:10" x14ac:dyDescent="0.25">
      <c r="A4870" t="s">
        <v>2883</v>
      </c>
      <c r="B4870" t="s">
        <v>3529</v>
      </c>
      <c r="C4870" t="s">
        <v>3559</v>
      </c>
      <c r="D4870" s="1" t="s">
        <v>3560</v>
      </c>
      <c r="E4870" t="s">
        <v>14</v>
      </c>
      <c r="F4870">
        <v>43.003900000000002</v>
      </c>
      <c r="G4870">
        <v>9.3595000000000006</v>
      </c>
      <c r="H4870">
        <v>1</v>
      </c>
      <c r="I4870">
        <v>113</v>
      </c>
      <c r="J4870" t="str">
        <f>HYPERLINK("https://climate.onebuilding.org/WMO_Region_6_Europe/FRA_France/CE_Corse/FRA_CE_Cap.Corse.077850_TMYx.2009-2023.zip")</f>
        <v>https://climate.onebuilding.org/WMO_Region_6_Europe/FRA_France/CE_Corse/FRA_CE_Cap.Corse.077850_TMYx.2009-2023.zip</v>
      </c>
    </row>
    <row r="4871" spans="1:10" x14ac:dyDescent="0.25">
      <c r="A4871" t="s">
        <v>2883</v>
      </c>
      <c r="B4871" t="s">
        <v>3529</v>
      </c>
      <c r="C4871" t="s">
        <v>3559</v>
      </c>
      <c r="D4871" s="1" t="s">
        <v>3560</v>
      </c>
      <c r="E4871" t="s">
        <v>14</v>
      </c>
      <c r="F4871">
        <v>43.003900000000002</v>
      </c>
      <c r="G4871">
        <v>9.3595000000000006</v>
      </c>
      <c r="H4871">
        <v>1</v>
      </c>
      <c r="I4871">
        <v>113</v>
      </c>
      <c r="J4871" t="str">
        <f>HYPERLINK("https://climate.onebuilding.org/WMO_Region_6_Europe/FRA_France/CE_Corse/FRA_CE_Cap.Corse.077850_TMYx.zip")</f>
        <v>https://climate.onebuilding.org/WMO_Region_6_Europe/FRA_France/CE_Corse/FRA_CE_Cap.Corse.077850_TMYx.zip</v>
      </c>
    </row>
    <row r="4872" spans="1:10" x14ac:dyDescent="0.25">
      <c r="A4872" t="s">
        <v>2883</v>
      </c>
      <c r="B4872" t="s">
        <v>3529</v>
      </c>
      <c r="C4872" t="s">
        <v>3562</v>
      </c>
      <c r="D4872" s="1" t="s">
        <v>3563</v>
      </c>
      <c r="E4872" t="s">
        <v>3564</v>
      </c>
      <c r="F4872">
        <v>42.540599999999998</v>
      </c>
      <c r="G4872">
        <v>9.4853000000000005</v>
      </c>
      <c r="H4872">
        <v>1</v>
      </c>
      <c r="I4872">
        <v>12</v>
      </c>
      <c r="J4872" t="str">
        <f>HYPERLINK("https://climate.onebuilding.org/WMO_Region_6_Europe/FRA_France/CE_Corse/FRA_CE_Bastia-Poretta.AP.077900_TMYx.2004-2018.zip")</f>
        <v>https://climate.onebuilding.org/WMO_Region_6_Europe/FRA_France/CE_Corse/FRA_CE_Bastia-Poretta.AP.077900_TMYx.2004-2018.zip</v>
      </c>
    </row>
    <row r="4873" spans="1:10" x14ac:dyDescent="0.25">
      <c r="A4873" t="s">
        <v>2883</v>
      </c>
      <c r="B4873" t="s">
        <v>3529</v>
      </c>
      <c r="C4873" t="s">
        <v>3562</v>
      </c>
      <c r="D4873" s="1" t="s">
        <v>3563</v>
      </c>
      <c r="E4873" t="s">
        <v>14</v>
      </c>
      <c r="F4873">
        <v>42.540599999999998</v>
      </c>
      <c r="G4873">
        <v>9.4853000000000005</v>
      </c>
      <c r="H4873">
        <v>1</v>
      </c>
      <c r="I4873">
        <v>12</v>
      </c>
      <c r="J4873" t="str">
        <f>HYPERLINK("https://climate.onebuilding.org/WMO_Region_6_Europe/FRA_France/CE_Corse/FRA_CE_Bastia-Poretta.AP.077900_TMYx.2007-2021.zip")</f>
        <v>https://climate.onebuilding.org/WMO_Region_6_Europe/FRA_France/CE_Corse/FRA_CE_Bastia-Poretta.AP.077900_TMYx.2007-2021.zip</v>
      </c>
    </row>
    <row r="4874" spans="1:10" x14ac:dyDescent="0.25">
      <c r="A4874" t="s">
        <v>2883</v>
      </c>
      <c r="B4874" t="s">
        <v>3529</v>
      </c>
      <c r="C4874" t="s">
        <v>3562</v>
      </c>
      <c r="D4874" s="1" t="s">
        <v>3563</v>
      </c>
      <c r="E4874" t="s">
        <v>14</v>
      </c>
      <c r="F4874">
        <v>42.540599999999998</v>
      </c>
      <c r="G4874">
        <v>9.4853000000000005</v>
      </c>
      <c r="H4874">
        <v>1</v>
      </c>
      <c r="I4874">
        <v>12</v>
      </c>
      <c r="J4874" t="str">
        <f>HYPERLINK("https://climate.onebuilding.org/WMO_Region_6_Europe/FRA_France/CE_Corse/FRA_CE_Bastia-Poretta.AP.077900_TMYx.2009-2023.zip")</f>
        <v>https://climate.onebuilding.org/WMO_Region_6_Europe/FRA_France/CE_Corse/FRA_CE_Bastia-Poretta.AP.077900_TMYx.2009-2023.zip</v>
      </c>
    </row>
    <row r="4875" spans="1:10" x14ac:dyDescent="0.25">
      <c r="A4875" t="s">
        <v>2883</v>
      </c>
      <c r="B4875" t="s">
        <v>3529</v>
      </c>
      <c r="C4875" t="s">
        <v>3562</v>
      </c>
      <c r="D4875" s="1" t="s">
        <v>3563</v>
      </c>
      <c r="E4875" t="s">
        <v>14</v>
      </c>
      <c r="F4875">
        <v>42.540599999999998</v>
      </c>
      <c r="G4875">
        <v>9.4853000000000005</v>
      </c>
      <c r="H4875">
        <v>1</v>
      </c>
      <c r="I4875">
        <v>12</v>
      </c>
      <c r="J4875" t="str">
        <f>HYPERLINK("https://climate.onebuilding.org/WMO_Region_6_Europe/FRA_France/CE_Corse/FRA_CE_Bastia-Poretta.AP.077900_TMYx.zip")</f>
        <v>https://climate.onebuilding.org/WMO_Region_6_Europe/FRA_France/CE_Corse/FRA_CE_Bastia-Poretta.AP.077900_TMYx.zip</v>
      </c>
    </row>
    <row r="4876" spans="1:10" x14ac:dyDescent="0.25">
      <c r="A4876" t="s">
        <v>2883</v>
      </c>
      <c r="B4876" t="s">
        <v>3529</v>
      </c>
      <c r="C4876" t="s">
        <v>3565</v>
      </c>
      <c r="D4876" s="1" t="s">
        <v>3566</v>
      </c>
      <c r="E4876" t="s">
        <v>3567</v>
      </c>
      <c r="F4876">
        <v>42.797600000000003</v>
      </c>
      <c r="G4876">
        <v>9.4880999999999993</v>
      </c>
      <c r="H4876">
        <v>1</v>
      </c>
      <c r="I4876">
        <v>121</v>
      </c>
      <c r="J4876" t="str">
        <f>HYPERLINK("https://climate.onebuilding.org/WMO_Region_6_Europe/FRA_France/CE_Corse/FRA_CE_Cape.Sagro.077910_TMYx.2004-2018.zip")</f>
        <v>https://climate.onebuilding.org/WMO_Region_6_Europe/FRA_France/CE_Corse/FRA_CE_Cape.Sagro.077910_TMYx.2004-2018.zip</v>
      </c>
    </row>
    <row r="4877" spans="1:10" x14ac:dyDescent="0.25">
      <c r="A4877" t="s">
        <v>2883</v>
      </c>
      <c r="B4877" t="s">
        <v>3529</v>
      </c>
      <c r="C4877" t="s">
        <v>3565</v>
      </c>
      <c r="D4877" s="1" t="s">
        <v>3566</v>
      </c>
      <c r="E4877" t="s">
        <v>14</v>
      </c>
      <c r="F4877">
        <v>42.797600000000003</v>
      </c>
      <c r="G4877">
        <v>9.4880999999999993</v>
      </c>
      <c r="H4877">
        <v>1</v>
      </c>
      <c r="I4877">
        <v>121</v>
      </c>
      <c r="J4877" t="str">
        <f>HYPERLINK("https://climate.onebuilding.org/WMO_Region_6_Europe/FRA_France/CE_Corse/FRA_CE_Cape.Sagro.077910_TMYx.2007-2021.zip")</f>
        <v>https://climate.onebuilding.org/WMO_Region_6_Europe/FRA_France/CE_Corse/FRA_CE_Cape.Sagro.077910_TMYx.2007-2021.zip</v>
      </c>
    </row>
    <row r="4878" spans="1:10" x14ac:dyDescent="0.25">
      <c r="A4878" t="s">
        <v>2883</v>
      </c>
      <c r="B4878" t="s">
        <v>3529</v>
      </c>
      <c r="C4878" t="s">
        <v>3565</v>
      </c>
      <c r="D4878" s="1" t="s">
        <v>3566</v>
      </c>
      <c r="E4878" t="s">
        <v>14</v>
      </c>
      <c r="F4878">
        <v>42.797600000000003</v>
      </c>
      <c r="G4878">
        <v>9.4880999999999993</v>
      </c>
      <c r="H4878">
        <v>1</v>
      </c>
      <c r="I4878">
        <v>121</v>
      </c>
      <c r="J4878" t="str">
        <f>HYPERLINK("https://climate.onebuilding.org/WMO_Region_6_Europe/FRA_France/CE_Corse/FRA_CE_Cape.Sagro.077910_TMYx.2009-2023.zip")</f>
        <v>https://climate.onebuilding.org/WMO_Region_6_Europe/FRA_France/CE_Corse/FRA_CE_Cape.Sagro.077910_TMYx.2009-2023.zip</v>
      </c>
    </row>
    <row r="4879" spans="1:10" x14ac:dyDescent="0.25">
      <c r="A4879" t="s">
        <v>2883</v>
      </c>
      <c r="B4879" t="s">
        <v>3529</v>
      </c>
      <c r="C4879" t="s">
        <v>3565</v>
      </c>
      <c r="D4879" s="1" t="s">
        <v>3566</v>
      </c>
      <c r="E4879" t="s">
        <v>14</v>
      </c>
      <c r="F4879">
        <v>42.797600000000003</v>
      </c>
      <c r="G4879">
        <v>9.4880999999999993</v>
      </c>
      <c r="H4879">
        <v>1</v>
      </c>
      <c r="I4879">
        <v>121</v>
      </c>
      <c r="J4879" t="str">
        <f>HYPERLINK("https://climate.onebuilding.org/WMO_Region_6_Europe/FRA_France/CE_Corse/FRA_CE_Cape.Sagro.077910_TMYx.zip")</f>
        <v>https://climate.onebuilding.org/WMO_Region_6_Europe/FRA_France/CE_Corse/FRA_CE_Cape.Sagro.077910_TMYx.zip</v>
      </c>
    </row>
    <row r="4880" spans="1:10" x14ac:dyDescent="0.25">
      <c r="A4880" t="s">
        <v>2883</v>
      </c>
      <c r="B4880" t="s">
        <v>2038</v>
      </c>
      <c r="C4880" t="s">
        <v>3568</v>
      </c>
      <c r="D4880" s="1" t="s">
        <v>3569</v>
      </c>
      <c r="E4880" t="s">
        <v>14</v>
      </c>
      <c r="F4880">
        <v>45.941699999999997</v>
      </c>
      <c r="G4880">
        <v>6.4302999999999999</v>
      </c>
      <c r="H4880">
        <v>1</v>
      </c>
      <c r="I4880">
        <v>940</v>
      </c>
      <c r="J4880" t="str">
        <f>HYPERLINK("https://climate.onebuilding.org/WMO_Region_6_Europe/FRA_France/AR_Auvergne-Rhone-Alpes/FRA_AR_Grand.Bornand.078760_TMYx.2007-2021.zip")</f>
        <v>https://climate.onebuilding.org/WMO_Region_6_Europe/FRA_France/AR_Auvergne-Rhone-Alpes/FRA_AR_Grand.Bornand.078760_TMYx.2007-2021.zip</v>
      </c>
    </row>
    <row r="4881" spans="1:10" x14ac:dyDescent="0.25">
      <c r="A4881" t="s">
        <v>2883</v>
      </c>
      <c r="B4881" t="s">
        <v>2038</v>
      </c>
      <c r="C4881" t="s">
        <v>3568</v>
      </c>
      <c r="D4881" s="1" t="s">
        <v>3569</v>
      </c>
      <c r="E4881" t="s">
        <v>14</v>
      </c>
      <c r="F4881">
        <v>45.941699999999997</v>
      </c>
      <c r="G4881">
        <v>6.4302999999999999</v>
      </c>
      <c r="H4881">
        <v>1</v>
      </c>
      <c r="I4881">
        <v>940</v>
      </c>
      <c r="J4881" t="str">
        <f>HYPERLINK("https://climate.onebuilding.org/WMO_Region_6_Europe/FRA_France/AR_Auvergne-Rhone-Alpes/FRA_AR_Grand.Bornand.078760_TMYx.2009-2023.zip")</f>
        <v>https://climate.onebuilding.org/WMO_Region_6_Europe/FRA_France/AR_Auvergne-Rhone-Alpes/FRA_AR_Grand.Bornand.078760_TMYx.2009-2023.zip</v>
      </c>
    </row>
    <row r="4882" spans="1:10" x14ac:dyDescent="0.25">
      <c r="A4882" t="s">
        <v>2883</v>
      </c>
      <c r="B4882" t="s">
        <v>2038</v>
      </c>
      <c r="C4882" t="s">
        <v>3568</v>
      </c>
      <c r="D4882" s="1" t="s">
        <v>3569</v>
      </c>
      <c r="E4882" t="s">
        <v>14</v>
      </c>
      <c r="F4882">
        <v>45.941699999999997</v>
      </c>
      <c r="G4882">
        <v>6.4302999999999999</v>
      </c>
      <c r="H4882">
        <v>1</v>
      </c>
      <c r="I4882">
        <v>940</v>
      </c>
      <c r="J4882" t="str">
        <f>HYPERLINK("https://climate.onebuilding.org/WMO_Region_6_Europe/FRA_France/AR_Auvergne-Rhone-Alpes/FRA_AR_Grand.Bornand.078760_TMYx.zip")</f>
        <v>https://climate.onebuilding.org/WMO_Region_6_Europe/FRA_France/AR_Auvergne-Rhone-Alpes/FRA_AR_Grand.Bornand.078760_TMYx.zip</v>
      </c>
    </row>
    <row r="4883" spans="1:10" x14ac:dyDescent="0.25">
      <c r="A4883" t="s">
        <v>3570</v>
      </c>
      <c r="B4883" t="s">
        <v>2305</v>
      </c>
      <c r="C4883" t="s">
        <v>3571</v>
      </c>
      <c r="D4883" s="1" t="s">
        <v>3572</v>
      </c>
      <c r="E4883" t="s">
        <v>3573</v>
      </c>
      <c r="F4883">
        <v>62.097200000000001</v>
      </c>
      <c r="G4883">
        <v>-7.6797000000000004</v>
      </c>
      <c r="H4883">
        <v>0</v>
      </c>
      <c r="I4883">
        <v>100</v>
      </c>
      <c r="J4883" t="str">
        <f>HYPERLINK("https://climate.onebuilding.org/WMO_Region_6_Europe/FRO_Faroe_Islands/FRO_VG_Mykines.Lighthouse.060050_TMYx.2004-2018.zip")</f>
        <v>https://climate.onebuilding.org/WMO_Region_6_Europe/FRO_Faroe_Islands/FRO_VG_Mykines.Lighthouse.060050_TMYx.2004-2018.zip</v>
      </c>
    </row>
    <row r="4884" spans="1:10" x14ac:dyDescent="0.25">
      <c r="A4884" t="s">
        <v>3570</v>
      </c>
      <c r="B4884" t="s">
        <v>2305</v>
      </c>
      <c r="C4884" t="s">
        <v>3571</v>
      </c>
      <c r="D4884" s="1" t="s">
        <v>3572</v>
      </c>
      <c r="E4884" t="s">
        <v>14</v>
      </c>
      <c r="F4884">
        <v>62.097200000000001</v>
      </c>
      <c r="G4884">
        <v>-7.6797000000000004</v>
      </c>
      <c r="H4884">
        <v>0</v>
      </c>
      <c r="I4884">
        <v>100</v>
      </c>
      <c r="J4884" t="str">
        <f>HYPERLINK("https://climate.onebuilding.org/WMO_Region_6_Europe/FRO_Faroe_Islands/FRO_VG_Mykines.Lighthouse.060050_TMYx.2007-2021.zip")</f>
        <v>https://climate.onebuilding.org/WMO_Region_6_Europe/FRO_Faroe_Islands/FRO_VG_Mykines.Lighthouse.060050_TMYx.2007-2021.zip</v>
      </c>
    </row>
    <row r="4885" spans="1:10" x14ac:dyDescent="0.25">
      <c r="A4885" t="s">
        <v>3570</v>
      </c>
      <c r="B4885" t="s">
        <v>2305</v>
      </c>
      <c r="C4885" t="s">
        <v>3571</v>
      </c>
      <c r="D4885" s="1" t="s">
        <v>3572</v>
      </c>
      <c r="E4885" t="s">
        <v>14</v>
      </c>
      <c r="F4885">
        <v>62.097200000000001</v>
      </c>
      <c r="G4885">
        <v>-7.6797000000000004</v>
      </c>
      <c r="H4885">
        <v>0</v>
      </c>
      <c r="I4885">
        <v>100</v>
      </c>
      <c r="J4885" t="str">
        <f>HYPERLINK("https://climate.onebuilding.org/WMO_Region_6_Europe/FRO_Faroe_Islands/FRO_VG_Mykines.Lighthouse.060050_TMYx.2009-2023.zip")</f>
        <v>https://climate.onebuilding.org/WMO_Region_6_Europe/FRO_Faroe_Islands/FRO_VG_Mykines.Lighthouse.060050_TMYx.2009-2023.zip</v>
      </c>
    </row>
    <row r="4886" spans="1:10" x14ac:dyDescent="0.25">
      <c r="A4886" t="s">
        <v>3570</v>
      </c>
      <c r="B4886" t="s">
        <v>2305</v>
      </c>
      <c r="C4886" t="s">
        <v>3571</v>
      </c>
      <c r="D4886" s="1" t="s">
        <v>3572</v>
      </c>
      <c r="E4886" t="s">
        <v>14</v>
      </c>
      <c r="F4886">
        <v>62.097200000000001</v>
      </c>
      <c r="G4886">
        <v>-7.6797000000000004</v>
      </c>
      <c r="H4886">
        <v>0</v>
      </c>
      <c r="I4886">
        <v>100</v>
      </c>
      <c r="J4886" t="str">
        <f>HYPERLINK("https://climate.onebuilding.org/WMO_Region_6_Europe/FRO_Faroe_Islands/FRO_VG_Mykines.Lighthouse.060050_TMYx.zip")</f>
        <v>https://climate.onebuilding.org/WMO_Region_6_Europe/FRO_Faroe_Islands/FRO_VG_Mykines.Lighthouse.060050_TMYx.zip</v>
      </c>
    </row>
    <row r="4887" spans="1:10" x14ac:dyDescent="0.25">
      <c r="A4887" t="s">
        <v>3570</v>
      </c>
      <c r="B4887" t="s">
        <v>3574</v>
      </c>
      <c r="C4887" t="s">
        <v>3575</v>
      </c>
      <c r="D4887" s="1" t="s">
        <v>3576</v>
      </c>
      <c r="E4887" t="s">
        <v>3577</v>
      </c>
      <c r="F4887">
        <v>61.395600000000002</v>
      </c>
      <c r="G4887">
        <v>-6.6817000000000002</v>
      </c>
      <c r="H4887">
        <v>0</v>
      </c>
      <c r="I4887">
        <v>102</v>
      </c>
      <c r="J4887" t="str">
        <f>HYPERLINK("https://climate.onebuilding.org/WMO_Region_6_Europe/FRO_Faroe_Islands/FRO_SU_Akraberg.Lighthouse.060090_TMYx.2004-2018.zip")</f>
        <v>https://climate.onebuilding.org/WMO_Region_6_Europe/FRO_Faroe_Islands/FRO_SU_Akraberg.Lighthouse.060090_TMYx.2004-2018.zip</v>
      </c>
    </row>
    <row r="4888" spans="1:10" x14ac:dyDescent="0.25">
      <c r="A4888" t="s">
        <v>3570</v>
      </c>
      <c r="B4888" t="s">
        <v>3574</v>
      </c>
      <c r="C4888" t="s">
        <v>3575</v>
      </c>
      <c r="D4888" s="1" t="s">
        <v>3576</v>
      </c>
      <c r="E4888" t="s">
        <v>14</v>
      </c>
      <c r="F4888">
        <v>61.395600000000002</v>
      </c>
      <c r="G4888">
        <v>-6.6817000000000002</v>
      </c>
      <c r="H4888">
        <v>0</v>
      </c>
      <c r="I4888">
        <v>102</v>
      </c>
      <c r="J4888" t="str">
        <f>HYPERLINK("https://climate.onebuilding.org/WMO_Region_6_Europe/FRO_Faroe_Islands/FRO_SU_Akraberg.Lighthouse.060090_TMYx.2007-2021.zip")</f>
        <v>https://climate.onebuilding.org/WMO_Region_6_Europe/FRO_Faroe_Islands/FRO_SU_Akraberg.Lighthouse.060090_TMYx.2007-2021.zip</v>
      </c>
    </row>
    <row r="4889" spans="1:10" x14ac:dyDescent="0.25">
      <c r="A4889" t="s">
        <v>3570</v>
      </c>
      <c r="B4889" t="s">
        <v>3574</v>
      </c>
      <c r="C4889" t="s">
        <v>3575</v>
      </c>
      <c r="D4889" s="1" t="s">
        <v>3576</v>
      </c>
      <c r="E4889" t="s">
        <v>14</v>
      </c>
      <c r="F4889">
        <v>61.395600000000002</v>
      </c>
      <c r="G4889">
        <v>-6.6817000000000002</v>
      </c>
      <c r="H4889">
        <v>0</v>
      </c>
      <c r="I4889">
        <v>102</v>
      </c>
      <c r="J4889" t="str">
        <f>HYPERLINK("https://climate.onebuilding.org/WMO_Region_6_Europe/FRO_Faroe_Islands/FRO_SU_Akraberg.Lighthouse.060090_TMYx.2009-2023.zip")</f>
        <v>https://climate.onebuilding.org/WMO_Region_6_Europe/FRO_Faroe_Islands/FRO_SU_Akraberg.Lighthouse.060090_TMYx.2009-2023.zip</v>
      </c>
    </row>
    <row r="4890" spans="1:10" x14ac:dyDescent="0.25">
      <c r="A4890" t="s">
        <v>3570</v>
      </c>
      <c r="B4890" t="s">
        <v>3574</v>
      </c>
      <c r="C4890" t="s">
        <v>3575</v>
      </c>
      <c r="D4890" s="1" t="s">
        <v>3576</v>
      </c>
      <c r="E4890" t="s">
        <v>14</v>
      </c>
      <c r="F4890">
        <v>61.395600000000002</v>
      </c>
      <c r="G4890">
        <v>-6.6817000000000002</v>
      </c>
      <c r="H4890">
        <v>0</v>
      </c>
      <c r="I4890">
        <v>102</v>
      </c>
      <c r="J4890" t="str">
        <f>HYPERLINK("https://climate.onebuilding.org/WMO_Region_6_Europe/FRO_Faroe_Islands/FRO_SU_Akraberg.Lighthouse.060090_TMYx.zip")</f>
        <v>https://climate.onebuilding.org/WMO_Region_6_Europe/FRO_Faroe_Islands/FRO_SU_Akraberg.Lighthouse.060090_TMYx.zip</v>
      </c>
    </row>
    <row r="4891" spans="1:10" x14ac:dyDescent="0.25">
      <c r="A4891" t="s">
        <v>3570</v>
      </c>
      <c r="B4891" t="s">
        <v>2305</v>
      </c>
      <c r="C4891" t="s">
        <v>3578</v>
      </c>
      <c r="D4891" s="1" t="s">
        <v>3579</v>
      </c>
      <c r="E4891" t="s">
        <v>3580</v>
      </c>
      <c r="F4891">
        <v>62.066400000000002</v>
      </c>
      <c r="G4891">
        <v>-7.2847</v>
      </c>
      <c r="H4891">
        <v>0</v>
      </c>
      <c r="I4891">
        <v>88</v>
      </c>
      <c r="J4891" t="str">
        <f>HYPERLINK("https://climate.onebuilding.org/WMO_Region_6_Europe/FRO_Faroe_Islands/FRO_VG_Vagar.AP.060100_TMYx.2004-2018.zip")</f>
        <v>https://climate.onebuilding.org/WMO_Region_6_Europe/FRO_Faroe_Islands/FRO_VG_Vagar.AP.060100_TMYx.2004-2018.zip</v>
      </c>
    </row>
    <row r="4892" spans="1:10" x14ac:dyDescent="0.25">
      <c r="A4892" t="s">
        <v>3570</v>
      </c>
      <c r="B4892" t="s">
        <v>2305</v>
      </c>
      <c r="C4892" t="s">
        <v>3578</v>
      </c>
      <c r="D4892" s="1" t="s">
        <v>3579</v>
      </c>
      <c r="E4892" t="s">
        <v>14</v>
      </c>
      <c r="F4892">
        <v>62.066400000000002</v>
      </c>
      <c r="G4892">
        <v>-7.2847</v>
      </c>
      <c r="H4892">
        <v>0</v>
      </c>
      <c r="I4892">
        <v>88</v>
      </c>
      <c r="J4892" t="str">
        <f>HYPERLINK("https://climate.onebuilding.org/WMO_Region_6_Europe/FRO_Faroe_Islands/FRO_VG_Vagar.AP.060100_TMYx.2007-2021.zip")</f>
        <v>https://climate.onebuilding.org/WMO_Region_6_Europe/FRO_Faroe_Islands/FRO_VG_Vagar.AP.060100_TMYx.2007-2021.zip</v>
      </c>
    </row>
    <row r="4893" spans="1:10" x14ac:dyDescent="0.25">
      <c r="A4893" t="s">
        <v>3570</v>
      </c>
      <c r="B4893" t="s">
        <v>2305</v>
      </c>
      <c r="C4893" t="s">
        <v>3578</v>
      </c>
      <c r="D4893" s="1" t="s">
        <v>3579</v>
      </c>
      <c r="E4893" t="s">
        <v>14</v>
      </c>
      <c r="F4893">
        <v>62.066400000000002</v>
      </c>
      <c r="G4893">
        <v>-7.2847</v>
      </c>
      <c r="H4893">
        <v>0</v>
      </c>
      <c r="I4893">
        <v>88</v>
      </c>
      <c r="J4893" t="str">
        <f>HYPERLINK("https://climate.onebuilding.org/WMO_Region_6_Europe/FRO_Faroe_Islands/FRO_VG_Vagar.AP.060100_TMYx.2009-2023.zip")</f>
        <v>https://climate.onebuilding.org/WMO_Region_6_Europe/FRO_Faroe_Islands/FRO_VG_Vagar.AP.060100_TMYx.2009-2023.zip</v>
      </c>
    </row>
    <row r="4894" spans="1:10" x14ac:dyDescent="0.25">
      <c r="A4894" t="s">
        <v>3570</v>
      </c>
      <c r="B4894" t="s">
        <v>2305</v>
      </c>
      <c r="C4894" t="s">
        <v>3578</v>
      </c>
      <c r="D4894" s="1" t="s">
        <v>3579</v>
      </c>
      <c r="E4894" t="s">
        <v>14</v>
      </c>
      <c r="F4894">
        <v>62.066400000000002</v>
      </c>
      <c r="G4894">
        <v>-7.2847</v>
      </c>
      <c r="H4894">
        <v>0</v>
      </c>
      <c r="I4894">
        <v>88</v>
      </c>
      <c r="J4894" t="str">
        <f>HYPERLINK("https://climate.onebuilding.org/WMO_Region_6_Europe/FRO_Faroe_Islands/FRO_VG_Vagar.AP.060100_TMYx.zip")</f>
        <v>https://climate.onebuilding.org/WMO_Region_6_Europe/FRO_Faroe_Islands/FRO_VG_Vagar.AP.060100_TMYx.zip</v>
      </c>
    </row>
    <row r="4895" spans="1:10" x14ac:dyDescent="0.25">
      <c r="A4895" t="s">
        <v>3570</v>
      </c>
      <c r="B4895" t="s">
        <v>210</v>
      </c>
      <c r="C4895" t="s">
        <v>3581</v>
      </c>
      <c r="D4895" s="1" t="s">
        <v>3582</v>
      </c>
      <c r="E4895" t="s">
        <v>3583</v>
      </c>
      <c r="F4895">
        <v>62.023099999999999</v>
      </c>
      <c r="G4895">
        <v>-6.7647000000000004</v>
      </c>
      <c r="H4895">
        <v>0</v>
      </c>
      <c r="I4895">
        <v>61</v>
      </c>
      <c r="J4895" t="str">
        <f>HYPERLINK("https://climate.onebuilding.org/WMO_Region_6_Europe/FRO_Faroe_Islands/FRO_ST_Torshavn.060110_TMYx.2004-2018.zip")</f>
        <v>https://climate.onebuilding.org/WMO_Region_6_Europe/FRO_Faroe_Islands/FRO_ST_Torshavn.060110_TMYx.2004-2018.zip</v>
      </c>
    </row>
    <row r="4896" spans="1:10" x14ac:dyDescent="0.25">
      <c r="A4896" t="s">
        <v>3570</v>
      </c>
      <c r="B4896" t="s">
        <v>210</v>
      </c>
      <c r="C4896" t="s">
        <v>3581</v>
      </c>
      <c r="D4896" s="1" t="s">
        <v>3582</v>
      </c>
      <c r="E4896" t="s">
        <v>14</v>
      </c>
      <c r="F4896">
        <v>62.023099999999999</v>
      </c>
      <c r="G4896">
        <v>-6.7647000000000004</v>
      </c>
      <c r="H4896">
        <v>0</v>
      </c>
      <c r="I4896">
        <v>61</v>
      </c>
      <c r="J4896" t="str">
        <f>HYPERLINK("https://climate.onebuilding.org/WMO_Region_6_Europe/FRO_Faroe_Islands/FRO_ST_Torshavn.060110_TMYx.2007-2021.zip")</f>
        <v>https://climate.onebuilding.org/WMO_Region_6_Europe/FRO_Faroe_Islands/FRO_ST_Torshavn.060110_TMYx.2007-2021.zip</v>
      </c>
    </row>
    <row r="4897" spans="1:10" x14ac:dyDescent="0.25">
      <c r="A4897" t="s">
        <v>3570</v>
      </c>
      <c r="B4897" t="s">
        <v>210</v>
      </c>
      <c r="C4897" t="s">
        <v>3581</v>
      </c>
      <c r="D4897" s="1" t="s">
        <v>3582</v>
      </c>
      <c r="E4897" t="s">
        <v>14</v>
      </c>
      <c r="F4897">
        <v>62.023099999999999</v>
      </c>
      <c r="G4897">
        <v>-6.7647000000000004</v>
      </c>
      <c r="H4897">
        <v>0</v>
      </c>
      <c r="I4897">
        <v>61</v>
      </c>
      <c r="J4897" t="str">
        <f>HYPERLINK("https://climate.onebuilding.org/WMO_Region_6_Europe/FRO_Faroe_Islands/FRO_ST_Torshavn.060110_TMYx.2009-2023.zip")</f>
        <v>https://climate.onebuilding.org/WMO_Region_6_Europe/FRO_Faroe_Islands/FRO_ST_Torshavn.060110_TMYx.2009-2023.zip</v>
      </c>
    </row>
    <row r="4898" spans="1:10" x14ac:dyDescent="0.25">
      <c r="A4898" t="s">
        <v>3570</v>
      </c>
      <c r="B4898" t="s">
        <v>210</v>
      </c>
      <c r="C4898" t="s">
        <v>3581</v>
      </c>
      <c r="D4898" s="1" t="s">
        <v>3582</v>
      </c>
      <c r="E4898" t="s">
        <v>14</v>
      </c>
      <c r="F4898">
        <v>62.023099999999999</v>
      </c>
      <c r="G4898">
        <v>-6.7647000000000004</v>
      </c>
      <c r="H4898">
        <v>0</v>
      </c>
      <c r="I4898">
        <v>61</v>
      </c>
      <c r="J4898" t="str">
        <f>HYPERLINK("https://climate.onebuilding.org/WMO_Region_6_Europe/FRO_Faroe_Islands/FRO_ST_Torshavn.060110_TMYx.zip")</f>
        <v>https://climate.onebuilding.org/WMO_Region_6_Europe/FRO_Faroe_Islands/FRO_ST_Torshavn.060110_TMYx.zip</v>
      </c>
    </row>
    <row r="4899" spans="1:10" x14ac:dyDescent="0.25">
      <c r="A4899" t="s">
        <v>3570</v>
      </c>
      <c r="B4899" t="s">
        <v>93</v>
      </c>
      <c r="C4899" t="s">
        <v>3584</v>
      </c>
      <c r="D4899" s="1" t="s">
        <v>3585</v>
      </c>
      <c r="E4899" t="s">
        <v>3586</v>
      </c>
      <c r="F4899">
        <v>62.319400000000002</v>
      </c>
      <c r="G4899">
        <v>-6.3205999999999998</v>
      </c>
      <c r="H4899">
        <v>0</v>
      </c>
      <c r="I4899">
        <v>56</v>
      </c>
      <c r="J4899" t="str">
        <f>HYPERLINK("https://climate.onebuilding.org/WMO_Region_6_Europe/FRO_Faroe_Islands/FRO_NO_Kirkja.060120_TMYx.2004-2018.zip")</f>
        <v>https://climate.onebuilding.org/WMO_Region_6_Europe/FRO_Faroe_Islands/FRO_NO_Kirkja.060120_TMYx.2004-2018.zip</v>
      </c>
    </row>
    <row r="4900" spans="1:10" x14ac:dyDescent="0.25">
      <c r="A4900" t="s">
        <v>3570</v>
      </c>
      <c r="B4900" t="s">
        <v>93</v>
      </c>
      <c r="C4900" t="s">
        <v>3584</v>
      </c>
      <c r="D4900" s="1" t="s">
        <v>3585</v>
      </c>
      <c r="E4900" t="s">
        <v>14</v>
      </c>
      <c r="F4900">
        <v>62.319400000000002</v>
      </c>
      <c r="G4900">
        <v>-6.3205999999999998</v>
      </c>
      <c r="H4900">
        <v>0</v>
      </c>
      <c r="I4900">
        <v>56</v>
      </c>
      <c r="J4900" t="str">
        <f>HYPERLINK("https://climate.onebuilding.org/WMO_Region_6_Europe/FRO_Faroe_Islands/FRO_NO_Kirkja.060120_TMYx.2007-2021.zip")</f>
        <v>https://climate.onebuilding.org/WMO_Region_6_Europe/FRO_Faroe_Islands/FRO_NO_Kirkja.060120_TMYx.2007-2021.zip</v>
      </c>
    </row>
    <row r="4901" spans="1:10" x14ac:dyDescent="0.25">
      <c r="A4901" t="s">
        <v>3570</v>
      </c>
      <c r="B4901" t="s">
        <v>93</v>
      </c>
      <c r="C4901" t="s">
        <v>3584</v>
      </c>
      <c r="D4901" s="1" t="s">
        <v>3585</v>
      </c>
      <c r="E4901" t="s">
        <v>14</v>
      </c>
      <c r="F4901">
        <v>62.319400000000002</v>
      </c>
      <c r="G4901">
        <v>-6.3205999999999998</v>
      </c>
      <c r="H4901">
        <v>0</v>
      </c>
      <c r="I4901">
        <v>56</v>
      </c>
      <c r="J4901" t="str">
        <f>HYPERLINK("https://climate.onebuilding.org/WMO_Region_6_Europe/FRO_Faroe_Islands/FRO_NO_Kirkja.060120_TMYx.2009-2023.zip")</f>
        <v>https://climate.onebuilding.org/WMO_Region_6_Europe/FRO_Faroe_Islands/FRO_NO_Kirkja.060120_TMYx.2009-2023.zip</v>
      </c>
    </row>
    <row r="4902" spans="1:10" x14ac:dyDescent="0.25">
      <c r="A4902" t="s">
        <v>3570</v>
      </c>
      <c r="B4902" t="s">
        <v>93</v>
      </c>
      <c r="C4902" t="s">
        <v>3584</v>
      </c>
      <c r="D4902" s="1" t="s">
        <v>3585</v>
      </c>
      <c r="E4902" t="s">
        <v>14</v>
      </c>
      <c r="F4902">
        <v>62.319400000000002</v>
      </c>
      <c r="G4902">
        <v>-6.3205999999999998</v>
      </c>
      <c r="H4902">
        <v>0</v>
      </c>
      <c r="I4902">
        <v>56</v>
      </c>
      <c r="J4902" t="str">
        <f>HYPERLINK("https://climate.onebuilding.org/WMO_Region_6_Europe/FRO_Faroe_Islands/FRO_NO_Kirkja.060120_TMYx.zip")</f>
        <v>https://climate.onebuilding.org/WMO_Region_6_Europe/FRO_Faroe_Islands/FRO_NO_Kirkja.060120_TMYx.zip</v>
      </c>
    </row>
    <row r="4903" spans="1:10" x14ac:dyDescent="0.25">
      <c r="A4903" t="s">
        <v>3587</v>
      </c>
      <c r="B4903" t="s">
        <v>3588</v>
      </c>
      <c r="C4903" t="s">
        <v>3589</v>
      </c>
      <c r="D4903" s="1" t="s">
        <v>3590</v>
      </c>
      <c r="E4903" t="s">
        <v>14</v>
      </c>
      <c r="F4903">
        <v>60.855249999999998</v>
      </c>
      <c r="G4903">
        <v>-0.88536999999999999</v>
      </c>
      <c r="H4903">
        <v>0</v>
      </c>
      <c r="I4903">
        <v>53</v>
      </c>
      <c r="J4903" t="str">
        <f>HYPERLINK("https://climate.onebuilding.org/WMO_Region_6_Europe/GBR_United_Kingdom/SCT_Scotland/GBR_SCT_Muckle.Flugga-Shetland.Islands.030010_TMYx.zip")</f>
        <v>https://climate.onebuilding.org/WMO_Region_6_Europe/GBR_United_Kingdom/SCT_Scotland/GBR_SCT_Muckle.Flugga-Shetland.Islands.030010_TMYx.zip</v>
      </c>
    </row>
    <row r="4904" spans="1:10" x14ac:dyDescent="0.25">
      <c r="A4904" t="s">
        <v>3587</v>
      </c>
      <c r="B4904" t="s">
        <v>3588</v>
      </c>
      <c r="C4904" t="s">
        <v>3591</v>
      </c>
      <c r="D4904" s="1" t="s">
        <v>3592</v>
      </c>
      <c r="E4904" t="s">
        <v>3593</v>
      </c>
      <c r="F4904">
        <v>60.75</v>
      </c>
      <c r="G4904">
        <v>-0.85</v>
      </c>
      <c r="H4904">
        <v>0</v>
      </c>
      <c r="I4904">
        <v>15</v>
      </c>
      <c r="J4904" t="str">
        <f>HYPERLINK("https://climate.onebuilding.org/WMO_Region_6_Europe/GBR_United_Kingdom/SCT_Scotland/GBR_SCT_Baltasound.AP-Shetland.Islands.030020_TMYx.2004-2018.zip")</f>
        <v>https://climate.onebuilding.org/WMO_Region_6_Europe/GBR_United_Kingdom/SCT_Scotland/GBR_SCT_Baltasound.AP-Shetland.Islands.030020_TMYx.2004-2018.zip</v>
      </c>
    </row>
    <row r="4905" spans="1:10" x14ac:dyDescent="0.25">
      <c r="A4905" t="s">
        <v>3587</v>
      </c>
      <c r="B4905" t="s">
        <v>3588</v>
      </c>
      <c r="C4905" t="s">
        <v>3591</v>
      </c>
      <c r="D4905" s="1" t="s">
        <v>3592</v>
      </c>
      <c r="E4905" t="s">
        <v>14</v>
      </c>
      <c r="F4905">
        <v>60.75</v>
      </c>
      <c r="G4905">
        <v>-0.85</v>
      </c>
      <c r="H4905">
        <v>0</v>
      </c>
      <c r="I4905">
        <v>15</v>
      </c>
      <c r="J4905" t="str">
        <f>HYPERLINK("https://climate.onebuilding.org/WMO_Region_6_Europe/GBR_United_Kingdom/SCT_Scotland/GBR_SCT_Baltasound.AP-Shetland.Islands.030020_TMYx.2007-2021.zip")</f>
        <v>https://climate.onebuilding.org/WMO_Region_6_Europe/GBR_United_Kingdom/SCT_Scotland/GBR_SCT_Baltasound.AP-Shetland.Islands.030020_TMYx.2007-2021.zip</v>
      </c>
    </row>
    <row r="4906" spans="1:10" x14ac:dyDescent="0.25">
      <c r="A4906" t="s">
        <v>3587</v>
      </c>
      <c r="B4906" t="s">
        <v>3588</v>
      </c>
      <c r="C4906" t="s">
        <v>3591</v>
      </c>
      <c r="D4906" s="1" t="s">
        <v>3592</v>
      </c>
      <c r="E4906" t="s">
        <v>14</v>
      </c>
      <c r="F4906">
        <v>60.75</v>
      </c>
      <c r="G4906">
        <v>-0.85</v>
      </c>
      <c r="H4906">
        <v>0</v>
      </c>
      <c r="I4906">
        <v>15</v>
      </c>
      <c r="J4906" t="str">
        <f>HYPERLINK("https://climate.onebuilding.org/WMO_Region_6_Europe/GBR_United_Kingdom/SCT_Scotland/GBR_SCT_Baltasound.AP-Shetland.Islands.030020_TMYx.2009-2023.zip")</f>
        <v>https://climate.onebuilding.org/WMO_Region_6_Europe/GBR_United_Kingdom/SCT_Scotland/GBR_SCT_Baltasound.AP-Shetland.Islands.030020_TMYx.2009-2023.zip</v>
      </c>
    </row>
    <row r="4907" spans="1:10" x14ac:dyDescent="0.25">
      <c r="A4907" t="s">
        <v>3587</v>
      </c>
      <c r="B4907" t="s">
        <v>3588</v>
      </c>
      <c r="C4907" t="s">
        <v>3591</v>
      </c>
      <c r="D4907" s="1" t="s">
        <v>3592</v>
      </c>
      <c r="E4907" t="s">
        <v>14</v>
      </c>
      <c r="F4907">
        <v>60.75</v>
      </c>
      <c r="G4907">
        <v>-0.85</v>
      </c>
      <c r="H4907">
        <v>0</v>
      </c>
      <c r="I4907">
        <v>15</v>
      </c>
      <c r="J4907" t="str">
        <f>HYPERLINK("https://climate.onebuilding.org/WMO_Region_6_Europe/GBR_United_Kingdom/SCT_Scotland/GBR_SCT_Baltasound.AP-Shetland.Islands.030020_TMYx.zip")</f>
        <v>https://climate.onebuilding.org/WMO_Region_6_Europe/GBR_United_Kingdom/SCT_Scotland/GBR_SCT_Baltasound.AP-Shetland.Islands.030020_TMYx.zip</v>
      </c>
    </row>
    <row r="4908" spans="1:10" x14ac:dyDescent="0.25">
      <c r="A4908" t="s">
        <v>3587</v>
      </c>
      <c r="B4908" t="s">
        <v>3588</v>
      </c>
      <c r="C4908" t="s">
        <v>3594</v>
      </c>
      <c r="D4908" s="1" t="s">
        <v>3595</v>
      </c>
      <c r="E4908" t="s">
        <v>3596</v>
      </c>
      <c r="F4908">
        <v>59.878999999999998</v>
      </c>
      <c r="G4908">
        <v>-1.296</v>
      </c>
      <c r="H4908">
        <v>0</v>
      </c>
      <c r="I4908">
        <v>6.1</v>
      </c>
      <c r="J4908" t="str">
        <f>HYPERLINK("https://climate.onebuilding.org/WMO_Region_6_Europe/GBR_United_Kingdom/SCT_Scotland/GBR_SCT_Sumburgh.AP-Shetland.Islands.030030_TMYx.2004-2018.zip")</f>
        <v>https://climate.onebuilding.org/WMO_Region_6_Europe/GBR_United_Kingdom/SCT_Scotland/GBR_SCT_Sumburgh.AP-Shetland.Islands.030030_TMYx.2004-2018.zip</v>
      </c>
    </row>
    <row r="4909" spans="1:10" x14ac:dyDescent="0.25">
      <c r="A4909" t="s">
        <v>3587</v>
      </c>
      <c r="B4909" t="s">
        <v>3588</v>
      </c>
      <c r="C4909" t="s">
        <v>3594</v>
      </c>
      <c r="D4909" s="1" t="s">
        <v>3595</v>
      </c>
      <c r="E4909" t="s">
        <v>14</v>
      </c>
      <c r="F4909">
        <v>59.878999999999998</v>
      </c>
      <c r="G4909">
        <v>-1.296</v>
      </c>
      <c r="H4909">
        <v>0</v>
      </c>
      <c r="I4909">
        <v>6.1</v>
      </c>
      <c r="J4909" t="str">
        <f>HYPERLINK("https://climate.onebuilding.org/WMO_Region_6_Europe/GBR_United_Kingdom/SCT_Scotland/GBR_SCT_Sumburgh.AP-Shetland.Islands.030030_TMYx.2007-2021.zip")</f>
        <v>https://climate.onebuilding.org/WMO_Region_6_Europe/GBR_United_Kingdom/SCT_Scotland/GBR_SCT_Sumburgh.AP-Shetland.Islands.030030_TMYx.2007-2021.zip</v>
      </c>
    </row>
    <row r="4910" spans="1:10" x14ac:dyDescent="0.25">
      <c r="A4910" t="s">
        <v>3587</v>
      </c>
      <c r="B4910" t="s">
        <v>3588</v>
      </c>
      <c r="C4910" t="s">
        <v>3594</v>
      </c>
      <c r="D4910" s="1" t="s">
        <v>3595</v>
      </c>
      <c r="E4910" t="s">
        <v>14</v>
      </c>
      <c r="F4910">
        <v>59.878999999999998</v>
      </c>
      <c r="G4910">
        <v>-1.296</v>
      </c>
      <c r="H4910">
        <v>0</v>
      </c>
      <c r="I4910">
        <v>6.1</v>
      </c>
      <c r="J4910" t="str">
        <f>HYPERLINK("https://climate.onebuilding.org/WMO_Region_6_Europe/GBR_United_Kingdom/SCT_Scotland/GBR_SCT_Sumburgh.AP-Shetland.Islands.030030_TMYx.2009-2023.zip")</f>
        <v>https://climate.onebuilding.org/WMO_Region_6_Europe/GBR_United_Kingdom/SCT_Scotland/GBR_SCT_Sumburgh.AP-Shetland.Islands.030030_TMYx.2009-2023.zip</v>
      </c>
    </row>
    <row r="4911" spans="1:10" x14ac:dyDescent="0.25">
      <c r="A4911" t="s">
        <v>3587</v>
      </c>
      <c r="B4911" t="s">
        <v>3588</v>
      </c>
      <c r="C4911" t="s">
        <v>3594</v>
      </c>
      <c r="D4911" s="1" t="s">
        <v>3595</v>
      </c>
      <c r="E4911" t="s">
        <v>14</v>
      </c>
      <c r="F4911">
        <v>59.878999999999998</v>
      </c>
      <c r="G4911">
        <v>-1.296</v>
      </c>
      <c r="H4911">
        <v>0</v>
      </c>
      <c r="I4911">
        <v>6.1</v>
      </c>
      <c r="J4911" t="str">
        <f>HYPERLINK("https://climate.onebuilding.org/WMO_Region_6_Europe/GBR_United_Kingdom/SCT_Scotland/GBR_SCT_Sumburgh.AP-Shetland.Islands.030030_TMYx.zip")</f>
        <v>https://climate.onebuilding.org/WMO_Region_6_Europe/GBR_United_Kingdom/SCT_Scotland/GBR_SCT_Sumburgh.AP-Shetland.Islands.030030_TMYx.zip</v>
      </c>
    </row>
    <row r="4912" spans="1:10" x14ac:dyDescent="0.25">
      <c r="A4912" t="s">
        <v>3587</v>
      </c>
      <c r="B4912" t="s">
        <v>3588</v>
      </c>
      <c r="C4912" t="s">
        <v>3597</v>
      </c>
      <c r="D4912" s="1" t="s">
        <v>3598</v>
      </c>
      <c r="E4912" t="s">
        <v>14</v>
      </c>
      <c r="F4912">
        <v>60.533000000000001</v>
      </c>
      <c r="G4912">
        <v>-1.383</v>
      </c>
      <c r="H4912">
        <v>0</v>
      </c>
      <c r="I4912">
        <v>228</v>
      </c>
      <c r="J4912" t="str">
        <f>HYPERLINK("https://climate.onebuilding.org/WMO_Region_6_Europe/GBR_United_Kingdom/SCT_Scotland/GBR_SCT_Collafirth.Hill-Shetland.Islands.030040_TMYx.zip")</f>
        <v>https://climate.onebuilding.org/WMO_Region_6_Europe/GBR_United_Kingdom/SCT_Scotland/GBR_SCT_Collafirth.Hill-Shetland.Islands.030040_TMYx.zip</v>
      </c>
    </row>
    <row r="4913" spans="1:10" x14ac:dyDescent="0.25">
      <c r="A4913" t="s">
        <v>3587</v>
      </c>
      <c r="B4913" t="s">
        <v>3588</v>
      </c>
      <c r="C4913" t="s">
        <v>3599</v>
      </c>
      <c r="D4913" s="1" t="s">
        <v>3600</v>
      </c>
      <c r="E4913" t="s">
        <v>3601</v>
      </c>
      <c r="F4913">
        <v>60.133000000000003</v>
      </c>
      <c r="G4913">
        <v>-1.1830000000000001</v>
      </c>
      <c r="H4913">
        <v>0</v>
      </c>
      <c r="I4913">
        <v>84</v>
      </c>
      <c r="J4913" t="str">
        <f>HYPERLINK("https://climate.onebuilding.org/WMO_Region_6_Europe/GBR_United_Kingdom/SCT_Scotland/GBR_SCT_Lerwick-Shetland.Islands.030050_TMYx.2004-2018.zip")</f>
        <v>https://climate.onebuilding.org/WMO_Region_6_Europe/GBR_United_Kingdom/SCT_Scotland/GBR_SCT_Lerwick-Shetland.Islands.030050_TMYx.2004-2018.zip</v>
      </c>
    </row>
    <row r="4914" spans="1:10" x14ac:dyDescent="0.25">
      <c r="A4914" t="s">
        <v>3587</v>
      </c>
      <c r="B4914" t="s">
        <v>3588</v>
      </c>
      <c r="C4914" t="s">
        <v>3599</v>
      </c>
      <c r="D4914" s="1" t="s">
        <v>3600</v>
      </c>
      <c r="E4914" t="s">
        <v>14</v>
      </c>
      <c r="F4914">
        <v>60.133000000000003</v>
      </c>
      <c r="G4914">
        <v>-1.1830000000000001</v>
      </c>
      <c r="H4914">
        <v>0</v>
      </c>
      <c r="I4914">
        <v>84</v>
      </c>
      <c r="J4914" t="str">
        <f>HYPERLINK("https://climate.onebuilding.org/WMO_Region_6_Europe/GBR_United_Kingdom/SCT_Scotland/GBR_SCT_Lerwick-Shetland.Islands.030050_TMYx.2007-2021.zip")</f>
        <v>https://climate.onebuilding.org/WMO_Region_6_Europe/GBR_United_Kingdom/SCT_Scotland/GBR_SCT_Lerwick-Shetland.Islands.030050_TMYx.2007-2021.zip</v>
      </c>
    </row>
    <row r="4915" spans="1:10" x14ac:dyDescent="0.25">
      <c r="A4915" t="s">
        <v>3587</v>
      </c>
      <c r="B4915" t="s">
        <v>3588</v>
      </c>
      <c r="C4915" t="s">
        <v>3599</v>
      </c>
      <c r="D4915" s="1" t="s">
        <v>3600</v>
      </c>
      <c r="E4915" t="s">
        <v>14</v>
      </c>
      <c r="F4915">
        <v>60.133000000000003</v>
      </c>
      <c r="G4915">
        <v>-1.1830000000000001</v>
      </c>
      <c r="H4915">
        <v>0</v>
      </c>
      <c r="I4915">
        <v>84</v>
      </c>
      <c r="J4915" t="str">
        <f>HYPERLINK("https://climate.onebuilding.org/WMO_Region_6_Europe/GBR_United_Kingdom/SCT_Scotland/GBR_SCT_Lerwick-Shetland.Islands.030050_TMYx.2009-2023.zip")</f>
        <v>https://climate.onebuilding.org/WMO_Region_6_Europe/GBR_United_Kingdom/SCT_Scotland/GBR_SCT_Lerwick-Shetland.Islands.030050_TMYx.2009-2023.zip</v>
      </c>
    </row>
    <row r="4916" spans="1:10" x14ac:dyDescent="0.25">
      <c r="A4916" t="s">
        <v>3587</v>
      </c>
      <c r="B4916" t="s">
        <v>3588</v>
      </c>
      <c r="C4916" t="s">
        <v>3599</v>
      </c>
      <c r="D4916" s="1" t="s">
        <v>3600</v>
      </c>
      <c r="E4916" t="s">
        <v>14</v>
      </c>
      <c r="F4916">
        <v>60.133000000000003</v>
      </c>
      <c r="G4916">
        <v>-1.1830000000000001</v>
      </c>
      <c r="H4916">
        <v>0</v>
      </c>
      <c r="I4916">
        <v>84</v>
      </c>
      <c r="J4916" t="str">
        <f>HYPERLINK("https://climate.onebuilding.org/WMO_Region_6_Europe/GBR_United_Kingdom/SCT_Scotland/GBR_SCT_Lerwick-Shetland.Islands.030050_TMYx.zip")</f>
        <v>https://climate.onebuilding.org/WMO_Region_6_Europe/GBR_United_Kingdom/SCT_Scotland/GBR_SCT_Lerwick-Shetland.Islands.030050_TMYx.zip</v>
      </c>
    </row>
    <row r="4917" spans="1:10" x14ac:dyDescent="0.25">
      <c r="A4917" t="s">
        <v>3587</v>
      </c>
      <c r="B4917" t="s">
        <v>3588</v>
      </c>
      <c r="C4917" t="s">
        <v>3602</v>
      </c>
      <c r="D4917" s="1" t="s">
        <v>3603</v>
      </c>
      <c r="E4917" t="s">
        <v>14</v>
      </c>
      <c r="F4917">
        <v>60.45</v>
      </c>
      <c r="G4917">
        <v>-1.2669999999999999</v>
      </c>
      <c r="H4917">
        <v>0</v>
      </c>
      <c r="I4917">
        <v>7</v>
      </c>
      <c r="J4917" t="str">
        <f>HYPERLINK("https://climate.onebuilding.org/WMO_Region_6_Europe/GBR_United_Kingdom/SCT_Scotland/GBR_SCT_Sella.Ness-Shetland.Islands.030060_TMYx.zip")</f>
        <v>https://climate.onebuilding.org/WMO_Region_6_Europe/GBR_United_Kingdom/SCT_Scotland/GBR_SCT_Sella.Ness-Shetland.Islands.030060_TMYx.zip</v>
      </c>
    </row>
    <row r="4918" spans="1:10" x14ac:dyDescent="0.25">
      <c r="A4918" t="s">
        <v>3587</v>
      </c>
      <c r="B4918" t="s">
        <v>3588</v>
      </c>
      <c r="C4918" t="s">
        <v>3604</v>
      </c>
      <c r="D4918" s="1" t="s">
        <v>3605</v>
      </c>
      <c r="E4918" t="s">
        <v>3606</v>
      </c>
      <c r="F4918">
        <v>60.433</v>
      </c>
      <c r="G4918">
        <v>-1.296</v>
      </c>
      <c r="H4918">
        <v>0</v>
      </c>
      <c r="I4918">
        <v>24.7</v>
      </c>
      <c r="J4918" t="str">
        <f>HYPERLINK("https://climate.onebuilding.org/WMO_Region_6_Europe/GBR_United_Kingdom/SCT_Scotland/GBR_SCT_Scatsta.AP-Shetland.Islands.030064_TMYx.2004-2018.zip")</f>
        <v>https://climate.onebuilding.org/WMO_Region_6_Europe/GBR_United_Kingdom/SCT_Scotland/GBR_SCT_Scatsta.AP-Shetland.Islands.030064_TMYx.2004-2018.zip</v>
      </c>
    </row>
    <row r="4919" spans="1:10" x14ac:dyDescent="0.25">
      <c r="A4919" t="s">
        <v>3587</v>
      </c>
      <c r="B4919" t="s">
        <v>3588</v>
      </c>
      <c r="C4919" t="s">
        <v>3604</v>
      </c>
      <c r="D4919" s="1" t="s">
        <v>3605</v>
      </c>
      <c r="E4919" t="s">
        <v>14</v>
      </c>
      <c r="F4919">
        <v>60.433</v>
      </c>
      <c r="G4919">
        <v>-1.296</v>
      </c>
      <c r="H4919">
        <v>0</v>
      </c>
      <c r="I4919">
        <v>24.7</v>
      </c>
      <c r="J4919" t="str">
        <f>HYPERLINK("https://climate.onebuilding.org/WMO_Region_6_Europe/GBR_United_Kingdom/SCT_Scotland/GBR_SCT_Scatsta.AP-Shetland.Islands.030064_TMYx.2007-2021.zip")</f>
        <v>https://climate.onebuilding.org/WMO_Region_6_Europe/GBR_United_Kingdom/SCT_Scotland/GBR_SCT_Scatsta.AP-Shetland.Islands.030064_TMYx.2007-2021.zip</v>
      </c>
    </row>
    <row r="4920" spans="1:10" x14ac:dyDescent="0.25">
      <c r="A4920" t="s">
        <v>3587</v>
      </c>
      <c r="B4920" t="s">
        <v>3588</v>
      </c>
      <c r="C4920" t="s">
        <v>3604</v>
      </c>
      <c r="D4920" s="1" t="s">
        <v>3605</v>
      </c>
      <c r="E4920" t="s">
        <v>14</v>
      </c>
      <c r="F4920">
        <v>60.433</v>
      </c>
      <c r="G4920">
        <v>-1.296</v>
      </c>
      <c r="H4920">
        <v>0</v>
      </c>
      <c r="I4920">
        <v>24.7</v>
      </c>
      <c r="J4920" t="str">
        <f>HYPERLINK("https://climate.onebuilding.org/WMO_Region_6_Europe/GBR_United_Kingdom/SCT_Scotland/GBR_SCT_Scatsta.AP-Shetland.Islands.030064_TMYx.2009-2023.zip")</f>
        <v>https://climate.onebuilding.org/WMO_Region_6_Europe/GBR_United_Kingdom/SCT_Scotland/GBR_SCT_Scatsta.AP-Shetland.Islands.030064_TMYx.2009-2023.zip</v>
      </c>
    </row>
    <row r="4921" spans="1:10" x14ac:dyDescent="0.25">
      <c r="A4921" t="s">
        <v>3587</v>
      </c>
      <c r="B4921" t="s">
        <v>3588</v>
      </c>
      <c r="C4921" t="s">
        <v>3604</v>
      </c>
      <c r="D4921" s="1" t="s">
        <v>3605</v>
      </c>
      <c r="E4921" t="s">
        <v>14</v>
      </c>
      <c r="F4921">
        <v>60.433</v>
      </c>
      <c r="G4921">
        <v>-1.296</v>
      </c>
      <c r="H4921">
        <v>0</v>
      </c>
      <c r="I4921">
        <v>24.7</v>
      </c>
      <c r="J4921" t="str">
        <f>HYPERLINK("https://climate.onebuilding.org/WMO_Region_6_Europe/GBR_United_Kingdom/SCT_Scotland/GBR_SCT_Scatsta.AP-Shetland.Islands.030064_TMYx.zip")</f>
        <v>https://climate.onebuilding.org/WMO_Region_6_Europe/GBR_United_Kingdom/SCT_Scotland/GBR_SCT_Scatsta.AP-Shetland.Islands.030064_TMYx.zip</v>
      </c>
    </row>
    <row r="4922" spans="1:10" x14ac:dyDescent="0.25">
      <c r="A4922" t="s">
        <v>3587</v>
      </c>
      <c r="B4922" t="s">
        <v>3588</v>
      </c>
      <c r="C4922" t="s">
        <v>3607</v>
      </c>
      <c r="D4922" s="1" t="s">
        <v>3608</v>
      </c>
      <c r="E4922" t="s">
        <v>14</v>
      </c>
      <c r="F4922">
        <v>60.732999999999997</v>
      </c>
      <c r="G4922">
        <v>-0.81699999999999995</v>
      </c>
      <c r="H4922">
        <v>0</v>
      </c>
      <c r="I4922">
        <v>285</v>
      </c>
      <c r="J4922" t="str">
        <f>HYPERLINK("https://climate.onebuilding.org/WMO_Region_6_Europe/GBR_United_Kingdom/SCT_Scotland/GBR_SCT_Unst.Island-Shetland.Islands.030065_TMYx.zip")</f>
        <v>https://climate.onebuilding.org/WMO_Region_6_Europe/GBR_United_Kingdom/SCT_Scotland/GBR_SCT_Unst.Island-Shetland.Islands.030065_TMYx.zip</v>
      </c>
    </row>
    <row r="4923" spans="1:10" x14ac:dyDescent="0.25">
      <c r="A4923" t="s">
        <v>3587</v>
      </c>
      <c r="B4923" t="s">
        <v>3588</v>
      </c>
      <c r="C4923" t="s">
        <v>3609</v>
      </c>
      <c r="D4923" s="1" t="s">
        <v>3610</v>
      </c>
      <c r="E4923" t="s">
        <v>14</v>
      </c>
      <c r="F4923">
        <v>60.582999999999998</v>
      </c>
      <c r="G4923">
        <v>-1.2669999999999999</v>
      </c>
      <c r="H4923">
        <v>0</v>
      </c>
      <c r="I4923">
        <v>20</v>
      </c>
      <c r="J4923" t="str">
        <f>HYPERLINK("https://climate.onebuilding.org/WMO_Region_6_Europe/GBR_United_Kingdom/SCT_Scotland/GBR_SCT_Muckle.Holm-Shetland.Islands.030070_TMYx.zip")</f>
        <v>https://climate.onebuilding.org/WMO_Region_6_Europe/GBR_United_Kingdom/SCT_Scotland/GBR_SCT_Muckle.Holm-Shetland.Islands.030070_TMYx.zip</v>
      </c>
    </row>
    <row r="4924" spans="1:10" x14ac:dyDescent="0.25">
      <c r="A4924" t="s">
        <v>3587</v>
      </c>
      <c r="B4924" t="s">
        <v>3588</v>
      </c>
      <c r="C4924" t="s">
        <v>3611</v>
      </c>
      <c r="D4924" s="1" t="s">
        <v>3612</v>
      </c>
      <c r="E4924" t="s">
        <v>3613</v>
      </c>
      <c r="F4924">
        <v>59.533000000000001</v>
      </c>
      <c r="G4924">
        <v>-1.633</v>
      </c>
      <c r="H4924">
        <v>0</v>
      </c>
      <c r="I4924">
        <v>57</v>
      </c>
      <c r="J4924" t="str">
        <f>HYPERLINK("https://climate.onebuilding.org/WMO_Region_6_Europe/GBR_United_Kingdom/SCT_Scotland/GBR_SCT_Fair.Isle.AP.030080_TMYx.2004-2018.zip")</f>
        <v>https://climate.onebuilding.org/WMO_Region_6_Europe/GBR_United_Kingdom/SCT_Scotland/GBR_SCT_Fair.Isle.AP.030080_TMYx.2004-2018.zip</v>
      </c>
    </row>
    <row r="4925" spans="1:10" x14ac:dyDescent="0.25">
      <c r="A4925" t="s">
        <v>3587</v>
      </c>
      <c r="B4925" t="s">
        <v>3588</v>
      </c>
      <c r="C4925" t="s">
        <v>3611</v>
      </c>
      <c r="D4925" s="1" t="s">
        <v>3612</v>
      </c>
      <c r="E4925" t="s">
        <v>14</v>
      </c>
      <c r="F4925">
        <v>59.533000000000001</v>
      </c>
      <c r="G4925">
        <v>-1.633</v>
      </c>
      <c r="H4925">
        <v>0</v>
      </c>
      <c r="I4925">
        <v>57</v>
      </c>
      <c r="J4925" t="str">
        <f>HYPERLINK("https://climate.onebuilding.org/WMO_Region_6_Europe/GBR_United_Kingdom/SCT_Scotland/GBR_SCT_Fair.Isle.AP.030080_TMYx.2007-2021.zip")</f>
        <v>https://climate.onebuilding.org/WMO_Region_6_Europe/GBR_United_Kingdom/SCT_Scotland/GBR_SCT_Fair.Isle.AP.030080_TMYx.2007-2021.zip</v>
      </c>
    </row>
    <row r="4926" spans="1:10" x14ac:dyDescent="0.25">
      <c r="A4926" t="s">
        <v>3587</v>
      </c>
      <c r="B4926" t="s">
        <v>3588</v>
      </c>
      <c r="C4926" t="s">
        <v>3611</v>
      </c>
      <c r="D4926" s="1" t="s">
        <v>3612</v>
      </c>
      <c r="E4926" t="s">
        <v>14</v>
      </c>
      <c r="F4926">
        <v>59.533000000000001</v>
      </c>
      <c r="G4926">
        <v>-1.633</v>
      </c>
      <c r="H4926">
        <v>0</v>
      </c>
      <c r="I4926">
        <v>57</v>
      </c>
      <c r="J4926" t="str">
        <f>HYPERLINK("https://climate.onebuilding.org/WMO_Region_6_Europe/GBR_United_Kingdom/SCT_Scotland/GBR_SCT_Fair.Isle.AP.030080_TMYx.2009-2023.zip")</f>
        <v>https://climate.onebuilding.org/WMO_Region_6_Europe/GBR_United_Kingdom/SCT_Scotland/GBR_SCT_Fair.Isle.AP.030080_TMYx.2009-2023.zip</v>
      </c>
    </row>
    <row r="4927" spans="1:10" x14ac:dyDescent="0.25">
      <c r="A4927" t="s">
        <v>3587</v>
      </c>
      <c r="B4927" t="s">
        <v>3588</v>
      </c>
      <c r="C4927" t="s">
        <v>3611</v>
      </c>
      <c r="D4927" s="1" t="s">
        <v>3612</v>
      </c>
      <c r="E4927" t="s">
        <v>14</v>
      </c>
      <c r="F4927">
        <v>59.533000000000001</v>
      </c>
      <c r="G4927">
        <v>-1.633</v>
      </c>
      <c r="H4927">
        <v>0</v>
      </c>
      <c r="I4927">
        <v>57</v>
      </c>
      <c r="J4927" t="str">
        <f>HYPERLINK("https://climate.onebuilding.org/WMO_Region_6_Europe/GBR_United_Kingdom/SCT_Scotland/GBR_SCT_Fair.Isle.AP.030080_TMYx.zip")</f>
        <v>https://climate.onebuilding.org/WMO_Region_6_Europe/GBR_United_Kingdom/SCT_Scotland/GBR_SCT_Fair.Isle.AP.030080_TMYx.zip</v>
      </c>
    </row>
    <row r="4928" spans="1:10" x14ac:dyDescent="0.25">
      <c r="A4928" t="s">
        <v>3587</v>
      </c>
      <c r="B4928" t="s">
        <v>3588</v>
      </c>
      <c r="C4928" t="s">
        <v>3614</v>
      </c>
      <c r="D4928" s="1" t="s">
        <v>3615</v>
      </c>
      <c r="E4928" t="s">
        <v>14</v>
      </c>
      <c r="F4928">
        <v>59.366999999999997</v>
      </c>
      <c r="G4928">
        <v>-2.4169999999999998</v>
      </c>
      <c r="H4928">
        <v>0</v>
      </c>
      <c r="I4928">
        <v>11</v>
      </c>
      <c r="J4928" t="str">
        <f>HYPERLINK("https://climate.onebuilding.org/WMO_Region_6_Europe/GBR_United_Kingdom/SCT_Scotland/GBR_SCT_North.Ronaldsay.Island.AP-Orkney.Islands.030090_TMYx.zip")</f>
        <v>https://climate.onebuilding.org/WMO_Region_6_Europe/GBR_United_Kingdom/SCT_Scotland/GBR_SCT_North.Ronaldsay.Island.AP-Orkney.Islands.030090_TMYx.zip</v>
      </c>
    </row>
    <row r="4929" spans="1:10" x14ac:dyDescent="0.25">
      <c r="A4929" t="s">
        <v>3587</v>
      </c>
      <c r="B4929" t="s">
        <v>3588</v>
      </c>
      <c r="C4929" t="s">
        <v>3616</v>
      </c>
      <c r="D4929" s="1" t="s">
        <v>3617</v>
      </c>
      <c r="E4929" t="s">
        <v>3618</v>
      </c>
      <c r="F4929">
        <v>59.084600000000002</v>
      </c>
      <c r="G4929">
        <v>-4.4020000000000001</v>
      </c>
      <c r="H4929">
        <v>0</v>
      </c>
      <c r="I4929">
        <v>12</v>
      </c>
      <c r="J4929" t="str">
        <f>HYPERLINK("https://climate.onebuilding.org/WMO_Region_6_Europe/GBR_United_Kingdom/SCT_Scotland/GBR_SCT_Sule.Skerry.Lighthouse.030100_TMYx.2004-2018.zip")</f>
        <v>https://climate.onebuilding.org/WMO_Region_6_Europe/GBR_United_Kingdom/SCT_Scotland/GBR_SCT_Sule.Skerry.Lighthouse.030100_TMYx.2004-2018.zip</v>
      </c>
    </row>
    <row r="4930" spans="1:10" x14ac:dyDescent="0.25">
      <c r="A4930" t="s">
        <v>3587</v>
      </c>
      <c r="B4930" t="s">
        <v>3588</v>
      </c>
      <c r="C4930" t="s">
        <v>3616</v>
      </c>
      <c r="D4930" s="1" t="s">
        <v>3617</v>
      </c>
      <c r="E4930" t="s">
        <v>14</v>
      </c>
      <c r="F4930">
        <v>59.084600000000002</v>
      </c>
      <c r="G4930">
        <v>-4.4020000000000001</v>
      </c>
      <c r="H4930">
        <v>0</v>
      </c>
      <c r="I4930">
        <v>12</v>
      </c>
      <c r="J4930" t="str">
        <f>HYPERLINK("https://climate.onebuilding.org/WMO_Region_6_Europe/GBR_United_Kingdom/SCT_Scotland/GBR_SCT_Sule.Skerry.Lighthouse.030100_TMYx.2007-2021.zip")</f>
        <v>https://climate.onebuilding.org/WMO_Region_6_Europe/GBR_United_Kingdom/SCT_Scotland/GBR_SCT_Sule.Skerry.Lighthouse.030100_TMYx.2007-2021.zip</v>
      </c>
    </row>
    <row r="4931" spans="1:10" x14ac:dyDescent="0.25">
      <c r="A4931" t="s">
        <v>3587</v>
      </c>
      <c r="B4931" t="s">
        <v>3588</v>
      </c>
      <c r="C4931" t="s">
        <v>3616</v>
      </c>
      <c r="D4931" s="1" t="s">
        <v>3617</v>
      </c>
      <c r="E4931" t="s">
        <v>14</v>
      </c>
      <c r="F4931">
        <v>59.084600000000002</v>
      </c>
      <c r="G4931">
        <v>-4.4020000000000001</v>
      </c>
      <c r="H4931">
        <v>0</v>
      </c>
      <c r="I4931">
        <v>12</v>
      </c>
      <c r="J4931" t="str">
        <f>HYPERLINK("https://climate.onebuilding.org/WMO_Region_6_Europe/GBR_United_Kingdom/SCT_Scotland/GBR_SCT_Sule.Skerry.Lighthouse.030100_TMYx.2009-2023.zip")</f>
        <v>https://climate.onebuilding.org/WMO_Region_6_Europe/GBR_United_Kingdom/SCT_Scotland/GBR_SCT_Sule.Skerry.Lighthouse.030100_TMYx.2009-2023.zip</v>
      </c>
    </row>
    <row r="4932" spans="1:10" x14ac:dyDescent="0.25">
      <c r="A4932" t="s">
        <v>3587</v>
      </c>
      <c r="B4932" t="s">
        <v>3588</v>
      </c>
      <c r="C4932" t="s">
        <v>3616</v>
      </c>
      <c r="D4932" s="1" t="s">
        <v>3617</v>
      </c>
      <c r="E4932" t="s">
        <v>14</v>
      </c>
      <c r="F4932">
        <v>59.084600000000002</v>
      </c>
      <c r="G4932">
        <v>-4.4020000000000001</v>
      </c>
      <c r="H4932">
        <v>0</v>
      </c>
      <c r="I4932">
        <v>12</v>
      </c>
      <c r="J4932" t="str">
        <f>HYPERLINK("https://climate.onebuilding.org/WMO_Region_6_Europe/GBR_United_Kingdom/SCT_Scotland/GBR_SCT_Sule.Skerry.Lighthouse.030100_TMYx.zip")</f>
        <v>https://climate.onebuilding.org/WMO_Region_6_Europe/GBR_United_Kingdom/SCT_Scotland/GBR_SCT_Sule.Skerry.Lighthouse.030100_TMYx.zip</v>
      </c>
    </row>
    <row r="4933" spans="1:10" x14ac:dyDescent="0.25">
      <c r="A4933" t="s">
        <v>3587</v>
      </c>
      <c r="B4933" t="s">
        <v>3588</v>
      </c>
      <c r="C4933" t="s">
        <v>3619</v>
      </c>
      <c r="D4933" s="1" t="s">
        <v>3620</v>
      </c>
      <c r="E4933" t="s">
        <v>3621</v>
      </c>
      <c r="F4933">
        <v>59.116999999999997</v>
      </c>
      <c r="G4933">
        <v>-5.8170000000000002</v>
      </c>
      <c r="H4933">
        <v>0</v>
      </c>
      <c r="I4933">
        <v>103</v>
      </c>
      <c r="J4933" t="str">
        <f>HYPERLINK("https://climate.onebuilding.org/WMO_Region_6_Europe/GBR_United_Kingdom/SCT_Scotland/GBR_SCT_North.Rona.Island.030110_TMYx.2004-2018.zip")</f>
        <v>https://climate.onebuilding.org/WMO_Region_6_Europe/GBR_United_Kingdom/SCT_Scotland/GBR_SCT_North.Rona.Island.030110_TMYx.2004-2018.zip</v>
      </c>
    </row>
    <row r="4934" spans="1:10" x14ac:dyDescent="0.25">
      <c r="A4934" t="s">
        <v>3587</v>
      </c>
      <c r="B4934" t="s">
        <v>3588</v>
      </c>
      <c r="C4934" t="s">
        <v>3619</v>
      </c>
      <c r="D4934" s="1" t="s">
        <v>3620</v>
      </c>
      <c r="E4934" t="s">
        <v>14</v>
      </c>
      <c r="F4934">
        <v>59.116999999999997</v>
      </c>
      <c r="G4934">
        <v>-5.8170000000000002</v>
      </c>
      <c r="H4934">
        <v>0</v>
      </c>
      <c r="I4934">
        <v>103</v>
      </c>
      <c r="J4934" t="str">
        <f>HYPERLINK("https://climate.onebuilding.org/WMO_Region_6_Europe/GBR_United_Kingdom/SCT_Scotland/GBR_SCT_North.Rona.Island.030110_TMYx.zip")</f>
        <v>https://climate.onebuilding.org/WMO_Region_6_Europe/GBR_United_Kingdom/SCT_Scotland/GBR_SCT_North.Rona.Island.030110_TMYx.zip</v>
      </c>
    </row>
    <row r="4935" spans="1:10" x14ac:dyDescent="0.25">
      <c r="A4935" t="s">
        <v>3587</v>
      </c>
      <c r="B4935" t="s">
        <v>3588</v>
      </c>
      <c r="C4935" t="s">
        <v>3622</v>
      </c>
      <c r="D4935" s="1" t="s">
        <v>3623</v>
      </c>
      <c r="E4935" t="s">
        <v>14</v>
      </c>
      <c r="F4935">
        <v>60.15</v>
      </c>
      <c r="G4935">
        <v>-2.0670000000000002</v>
      </c>
      <c r="H4935">
        <v>0</v>
      </c>
      <c r="I4935">
        <v>22</v>
      </c>
      <c r="J4935" t="str">
        <f>HYPERLINK("https://climate.onebuilding.org/WMO_Region_6_Europe/GBR_United_Kingdom/SCT_Scotland/GBR_SCT_Foula-Shetland.Islands.030130_TMYx.zip")</f>
        <v>https://climate.onebuilding.org/WMO_Region_6_Europe/GBR_United_Kingdom/SCT_Scotland/GBR_SCT_Foula-Shetland.Islands.030130_TMYx.zip</v>
      </c>
    </row>
    <row r="4936" spans="1:10" x14ac:dyDescent="0.25">
      <c r="A4936" t="s">
        <v>3587</v>
      </c>
      <c r="B4936" t="s">
        <v>3588</v>
      </c>
      <c r="C4936" t="s">
        <v>3624</v>
      </c>
      <c r="D4936" s="1" t="s">
        <v>3625</v>
      </c>
      <c r="E4936" t="s">
        <v>3626</v>
      </c>
      <c r="F4936">
        <v>60.122999999999998</v>
      </c>
      <c r="G4936">
        <v>-2.0529999999999999</v>
      </c>
      <c r="H4936">
        <v>0</v>
      </c>
      <c r="I4936">
        <v>13</v>
      </c>
      <c r="J4936" t="str">
        <f>HYPERLINK("https://climate.onebuilding.org/WMO_Region_6_Europe/GBR_United_Kingdom/SCT_Scotland/GBR_SCT_Foula.AP-Shetland.Islands.030140_TMYx.2004-2018.zip")</f>
        <v>https://climate.onebuilding.org/WMO_Region_6_Europe/GBR_United_Kingdom/SCT_Scotland/GBR_SCT_Foula.AP-Shetland.Islands.030140_TMYx.2004-2018.zip</v>
      </c>
    </row>
    <row r="4937" spans="1:10" x14ac:dyDescent="0.25">
      <c r="A4937" t="s">
        <v>3587</v>
      </c>
      <c r="B4937" t="s">
        <v>3588</v>
      </c>
      <c r="C4937" t="s">
        <v>3624</v>
      </c>
      <c r="D4937" s="1" t="s">
        <v>3625</v>
      </c>
      <c r="E4937" t="s">
        <v>14</v>
      </c>
      <c r="F4937">
        <v>60.116999999999997</v>
      </c>
      <c r="G4937">
        <v>-2.0670000000000002</v>
      </c>
      <c r="H4937">
        <v>0</v>
      </c>
      <c r="I4937">
        <v>13</v>
      </c>
      <c r="J4937" t="str">
        <f>HYPERLINK("https://climate.onebuilding.org/WMO_Region_6_Europe/GBR_United_Kingdom/SCT_Scotland/GBR_SCT_Foula.AP-Shetland.Islands.030140_TMYx.2007-2021.zip")</f>
        <v>https://climate.onebuilding.org/WMO_Region_6_Europe/GBR_United_Kingdom/SCT_Scotland/GBR_SCT_Foula.AP-Shetland.Islands.030140_TMYx.2007-2021.zip</v>
      </c>
    </row>
    <row r="4938" spans="1:10" x14ac:dyDescent="0.25">
      <c r="A4938" t="s">
        <v>3587</v>
      </c>
      <c r="B4938" t="s">
        <v>3588</v>
      </c>
      <c r="C4938" t="s">
        <v>3624</v>
      </c>
      <c r="D4938" s="1" t="s">
        <v>3625</v>
      </c>
      <c r="E4938" t="s">
        <v>14</v>
      </c>
      <c r="F4938">
        <v>60.116999999999997</v>
      </c>
      <c r="G4938">
        <v>-2.0670000000000002</v>
      </c>
      <c r="H4938">
        <v>0</v>
      </c>
      <c r="I4938">
        <v>13</v>
      </c>
      <c r="J4938" t="str">
        <f>HYPERLINK("https://climate.onebuilding.org/WMO_Region_6_Europe/GBR_United_Kingdom/SCT_Scotland/GBR_SCT_Foula.AP-Shetland.Islands.030140_TMYx.2009-2023.zip")</f>
        <v>https://climate.onebuilding.org/WMO_Region_6_Europe/GBR_United_Kingdom/SCT_Scotland/GBR_SCT_Foula.AP-Shetland.Islands.030140_TMYx.2009-2023.zip</v>
      </c>
    </row>
    <row r="4939" spans="1:10" x14ac:dyDescent="0.25">
      <c r="A4939" t="s">
        <v>3587</v>
      </c>
      <c r="B4939" t="s">
        <v>3588</v>
      </c>
      <c r="C4939" t="s">
        <v>3624</v>
      </c>
      <c r="D4939" s="1" t="s">
        <v>3625</v>
      </c>
      <c r="E4939" t="s">
        <v>14</v>
      </c>
      <c r="F4939">
        <v>60.116999999999997</v>
      </c>
      <c r="G4939">
        <v>-2.0670000000000002</v>
      </c>
      <c r="H4939">
        <v>0</v>
      </c>
      <c r="I4939">
        <v>13</v>
      </c>
      <c r="J4939" t="str">
        <f>HYPERLINK("https://climate.onebuilding.org/WMO_Region_6_Europe/GBR_United_Kingdom/SCT_Scotland/GBR_SCT_Foula.AP-Shetland.Islands.030140_TMYx.zip")</f>
        <v>https://climate.onebuilding.org/WMO_Region_6_Europe/GBR_United_Kingdom/SCT_Scotland/GBR_SCT_Foula.AP-Shetland.Islands.030140_TMYx.zip</v>
      </c>
    </row>
    <row r="4940" spans="1:10" x14ac:dyDescent="0.25">
      <c r="A4940" t="s">
        <v>3587</v>
      </c>
      <c r="B4940" t="s">
        <v>3588</v>
      </c>
      <c r="C4940" t="s">
        <v>3627</v>
      </c>
      <c r="D4940" s="1" t="s">
        <v>3628</v>
      </c>
      <c r="E4940" t="s">
        <v>3629</v>
      </c>
      <c r="F4940">
        <v>58.957999999999998</v>
      </c>
      <c r="G4940">
        <v>-2.9049999999999998</v>
      </c>
      <c r="H4940">
        <v>0</v>
      </c>
      <c r="I4940">
        <v>15.5</v>
      </c>
      <c r="J4940" t="str">
        <f>HYPERLINK("https://climate.onebuilding.org/WMO_Region_6_Europe/GBR_United_Kingdom/SCT_Scotland/GBR_SCT_Kirkwall.AP-Orkney.Islands.030170_TMYx.2004-2018.zip")</f>
        <v>https://climate.onebuilding.org/WMO_Region_6_Europe/GBR_United_Kingdom/SCT_Scotland/GBR_SCT_Kirkwall.AP-Orkney.Islands.030170_TMYx.2004-2018.zip</v>
      </c>
    </row>
    <row r="4941" spans="1:10" x14ac:dyDescent="0.25">
      <c r="A4941" t="s">
        <v>3587</v>
      </c>
      <c r="B4941" t="s">
        <v>3588</v>
      </c>
      <c r="C4941" t="s">
        <v>3627</v>
      </c>
      <c r="D4941" s="1" t="s">
        <v>3628</v>
      </c>
      <c r="E4941" t="s">
        <v>14</v>
      </c>
      <c r="F4941">
        <v>58.957999999999998</v>
      </c>
      <c r="G4941">
        <v>-2.9049999999999998</v>
      </c>
      <c r="H4941">
        <v>0</v>
      </c>
      <c r="I4941">
        <v>15.5</v>
      </c>
      <c r="J4941" t="str">
        <f>HYPERLINK("https://climate.onebuilding.org/WMO_Region_6_Europe/GBR_United_Kingdom/SCT_Scotland/GBR_SCT_Kirkwall.AP-Orkney.Islands.030170_TMYx.2007-2021.zip")</f>
        <v>https://climate.onebuilding.org/WMO_Region_6_Europe/GBR_United_Kingdom/SCT_Scotland/GBR_SCT_Kirkwall.AP-Orkney.Islands.030170_TMYx.2007-2021.zip</v>
      </c>
    </row>
    <row r="4942" spans="1:10" x14ac:dyDescent="0.25">
      <c r="A4942" t="s">
        <v>3587</v>
      </c>
      <c r="B4942" t="s">
        <v>3588</v>
      </c>
      <c r="C4942" t="s">
        <v>3627</v>
      </c>
      <c r="D4942" s="1" t="s">
        <v>3628</v>
      </c>
      <c r="E4942" t="s">
        <v>14</v>
      </c>
      <c r="F4942">
        <v>58.957999999999998</v>
      </c>
      <c r="G4942">
        <v>-2.9049999999999998</v>
      </c>
      <c r="H4942">
        <v>0</v>
      </c>
      <c r="I4942">
        <v>15.5</v>
      </c>
      <c r="J4942" t="str">
        <f>HYPERLINK("https://climate.onebuilding.org/WMO_Region_6_Europe/GBR_United_Kingdom/SCT_Scotland/GBR_SCT_Kirkwall.AP-Orkney.Islands.030170_TMYx.2009-2023.zip")</f>
        <v>https://climate.onebuilding.org/WMO_Region_6_Europe/GBR_United_Kingdom/SCT_Scotland/GBR_SCT_Kirkwall.AP-Orkney.Islands.030170_TMYx.2009-2023.zip</v>
      </c>
    </row>
    <row r="4943" spans="1:10" x14ac:dyDescent="0.25">
      <c r="A4943" t="s">
        <v>3587</v>
      </c>
      <c r="B4943" t="s">
        <v>3588</v>
      </c>
      <c r="C4943" t="s">
        <v>3627</v>
      </c>
      <c r="D4943" s="1" t="s">
        <v>3628</v>
      </c>
      <c r="E4943" t="s">
        <v>14</v>
      </c>
      <c r="F4943">
        <v>58.957999999999998</v>
      </c>
      <c r="G4943">
        <v>-2.9049999999999998</v>
      </c>
      <c r="H4943">
        <v>0</v>
      </c>
      <c r="I4943">
        <v>15.5</v>
      </c>
      <c r="J4943" t="str">
        <f>HYPERLINK("https://climate.onebuilding.org/WMO_Region_6_Europe/GBR_United_Kingdom/SCT_Scotland/GBR_SCT_Kirkwall.AP-Orkney.Islands.030170_TMYx.zip")</f>
        <v>https://climate.onebuilding.org/WMO_Region_6_Europe/GBR_United_Kingdom/SCT_Scotland/GBR_SCT_Kirkwall.AP-Orkney.Islands.030170_TMYx.zip</v>
      </c>
    </row>
    <row r="4944" spans="1:10" x14ac:dyDescent="0.25">
      <c r="A4944" t="s">
        <v>3587</v>
      </c>
      <c r="B4944" t="s">
        <v>3630</v>
      </c>
      <c r="C4944" t="s">
        <v>3631</v>
      </c>
      <c r="D4944" s="1" t="s">
        <v>3632</v>
      </c>
      <c r="E4944" t="s">
        <v>14</v>
      </c>
      <c r="F4944">
        <v>53.582000000000001</v>
      </c>
      <c r="G4944">
        <v>-3.056</v>
      </c>
      <c r="H4944">
        <v>0</v>
      </c>
      <c r="I4944">
        <v>11.3</v>
      </c>
      <c r="J4944" t="str">
        <f>HYPERLINK("https://climate.onebuilding.org/WMO_Region_6_Europe/GBR_United_Kingdom/ENG_England/GBR_ENG_Woodvale.030180_TMYx.2007-2021.zip")</f>
        <v>https://climate.onebuilding.org/WMO_Region_6_Europe/GBR_United_Kingdom/ENG_England/GBR_ENG_Woodvale.030180_TMYx.2007-2021.zip</v>
      </c>
    </row>
    <row r="4945" spans="1:10" x14ac:dyDescent="0.25">
      <c r="A4945" t="s">
        <v>3587</v>
      </c>
      <c r="B4945" t="s">
        <v>3630</v>
      </c>
      <c r="C4945" t="s">
        <v>3631</v>
      </c>
      <c r="D4945" s="1" t="s">
        <v>3632</v>
      </c>
      <c r="E4945" t="s">
        <v>14</v>
      </c>
      <c r="F4945">
        <v>53.582000000000001</v>
      </c>
      <c r="G4945">
        <v>-3.056</v>
      </c>
      <c r="H4945">
        <v>0</v>
      </c>
      <c r="I4945">
        <v>11.3</v>
      </c>
      <c r="J4945" t="str">
        <f>HYPERLINK("https://climate.onebuilding.org/WMO_Region_6_Europe/GBR_United_Kingdom/ENG_England/GBR_ENG_Woodvale.030180_TMYx.2009-2023.zip")</f>
        <v>https://climate.onebuilding.org/WMO_Region_6_Europe/GBR_United_Kingdom/ENG_England/GBR_ENG_Woodvale.030180_TMYx.2009-2023.zip</v>
      </c>
    </row>
    <row r="4946" spans="1:10" x14ac:dyDescent="0.25">
      <c r="A4946" t="s">
        <v>3587</v>
      </c>
      <c r="B4946" t="s">
        <v>3630</v>
      </c>
      <c r="C4946" t="s">
        <v>3631</v>
      </c>
      <c r="D4946" s="1" t="s">
        <v>3632</v>
      </c>
      <c r="E4946" t="s">
        <v>14</v>
      </c>
      <c r="F4946">
        <v>53.582000000000001</v>
      </c>
      <c r="G4946">
        <v>-3.056</v>
      </c>
      <c r="H4946">
        <v>0</v>
      </c>
      <c r="I4946">
        <v>11.3</v>
      </c>
      <c r="J4946" t="str">
        <f>HYPERLINK("https://climate.onebuilding.org/WMO_Region_6_Europe/GBR_United_Kingdom/ENG_England/GBR_ENG_Woodvale.030180_TMYx.zip")</f>
        <v>https://climate.onebuilding.org/WMO_Region_6_Europe/GBR_United_Kingdom/ENG_England/GBR_ENG_Woodvale.030180_TMYx.zip</v>
      </c>
    </row>
    <row r="4947" spans="1:10" x14ac:dyDescent="0.25">
      <c r="A4947" t="s">
        <v>3587</v>
      </c>
      <c r="B4947" t="s">
        <v>3588</v>
      </c>
      <c r="C4947" t="s">
        <v>3633</v>
      </c>
      <c r="D4947" s="1" t="s">
        <v>3634</v>
      </c>
      <c r="E4947" t="s">
        <v>14</v>
      </c>
      <c r="F4947">
        <v>57.817</v>
      </c>
      <c r="G4947">
        <v>-8.5670000000000002</v>
      </c>
      <c r="H4947">
        <v>-1</v>
      </c>
      <c r="I4947">
        <v>8</v>
      </c>
      <c r="J4947" t="str">
        <f>HYPERLINK("https://climate.onebuilding.org/WMO_Region_6_Europe/GBR_United_Kingdom/SCT_Scotland/GBR_SCT_Saint.Kilda.Island-Outer.Hebrides.030200_TMYx.zip")</f>
        <v>https://climate.onebuilding.org/WMO_Region_6_Europe/GBR_United_Kingdom/SCT_Scotland/GBR_SCT_Saint.Kilda.Island-Outer.Hebrides.030200_TMYx.zip</v>
      </c>
    </row>
    <row r="4948" spans="1:10" x14ac:dyDescent="0.25">
      <c r="A4948" t="s">
        <v>3587</v>
      </c>
      <c r="B4948" t="s">
        <v>3588</v>
      </c>
      <c r="C4948" t="s">
        <v>3635</v>
      </c>
      <c r="D4948" s="1" t="s">
        <v>3636</v>
      </c>
      <c r="E4948" t="s">
        <v>14</v>
      </c>
      <c r="F4948">
        <v>57.15</v>
      </c>
      <c r="G4948">
        <v>-7.3170000000000002</v>
      </c>
      <c r="H4948">
        <v>0</v>
      </c>
      <c r="I4948">
        <v>6</v>
      </c>
      <c r="J4948" t="str">
        <f>HYPERLINK("https://climate.onebuilding.org/WMO_Region_6_Europe/GBR_United_Kingdom/SCT_Scotland/GBR_SCT_Lochboisdale-Outer.Hebrides.030210_TMYx.zip")</f>
        <v>https://climate.onebuilding.org/WMO_Region_6_Europe/GBR_United_Kingdom/SCT_Scotland/GBR_SCT_Lochboisdale-Outer.Hebrides.030210_TMYx.zip</v>
      </c>
    </row>
    <row r="4949" spans="1:10" x14ac:dyDescent="0.25">
      <c r="A4949" t="s">
        <v>3587</v>
      </c>
      <c r="B4949" t="s">
        <v>3588</v>
      </c>
      <c r="C4949" t="s">
        <v>3637</v>
      </c>
      <c r="D4949" s="1" t="s">
        <v>3638</v>
      </c>
      <c r="E4949" t="s">
        <v>3639</v>
      </c>
      <c r="F4949">
        <v>57.481000000000002</v>
      </c>
      <c r="G4949">
        <v>-7.3630000000000004</v>
      </c>
      <c r="H4949">
        <v>0</v>
      </c>
      <c r="I4949">
        <v>5.8</v>
      </c>
      <c r="J4949" t="str">
        <f>HYPERLINK("https://climate.onebuilding.org/WMO_Region_6_Europe/GBR_United_Kingdom/SCT_Scotland/GBR_SCT_Benbecula.AP-Outer.Hebrides.030220_TMYx.2004-2018.zip")</f>
        <v>https://climate.onebuilding.org/WMO_Region_6_Europe/GBR_United_Kingdom/SCT_Scotland/GBR_SCT_Benbecula.AP-Outer.Hebrides.030220_TMYx.2004-2018.zip</v>
      </c>
    </row>
    <row r="4950" spans="1:10" x14ac:dyDescent="0.25">
      <c r="A4950" t="s">
        <v>3587</v>
      </c>
      <c r="B4950" t="s">
        <v>3588</v>
      </c>
      <c r="C4950" t="s">
        <v>3637</v>
      </c>
      <c r="D4950" s="1" t="s">
        <v>3638</v>
      </c>
      <c r="E4950" t="s">
        <v>14</v>
      </c>
      <c r="F4950">
        <v>57.481000000000002</v>
      </c>
      <c r="G4950">
        <v>-7.3630000000000004</v>
      </c>
      <c r="H4950">
        <v>0</v>
      </c>
      <c r="I4950">
        <v>5.8</v>
      </c>
      <c r="J4950" t="str">
        <f>HYPERLINK("https://climate.onebuilding.org/WMO_Region_6_Europe/GBR_United_Kingdom/SCT_Scotland/GBR_SCT_Benbecula.AP-Outer.Hebrides.030220_TMYx.2007-2021.zip")</f>
        <v>https://climate.onebuilding.org/WMO_Region_6_Europe/GBR_United_Kingdom/SCT_Scotland/GBR_SCT_Benbecula.AP-Outer.Hebrides.030220_TMYx.2007-2021.zip</v>
      </c>
    </row>
    <row r="4951" spans="1:10" x14ac:dyDescent="0.25">
      <c r="A4951" t="s">
        <v>3587</v>
      </c>
      <c r="B4951" t="s">
        <v>3588</v>
      </c>
      <c r="C4951" t="s">
        <v>3637</v>
      </c>
      <c r="D4951" s="1" t="s">
        <v>3638</v>
      </c>
      <c r="E4951" t="s">
        <v>14</v>
      </c>
      <c r="F4951">
        <v>57.481000000000002</v>
      </c>
      <c r="G4951">
        <v>-7.3630000000000004</v>
      </c>
      <c r="H4951">
        <v>0</v>
      </c>
      <c r="I4951">
        <v>5.8</v>
      </c>
      <c r="J4951" t="str">
        <f>HYPERLINK("https://climate.onebuilding.org/WMO_Region_6_Europe/GBR_United_Kingdom/SCT_Scotland/GBR_SCT_Benbecula.AP-Outer.Hebrides.030220_TMYx.2009-2023.zip")</f>
        <v>https://climate.onebuilding.org/WMO_Region_6_Europe/GBR_United_Kingdom/SCT_Scotland/GBR_SCT_Benbecula.AP-Outer.Hebrides.030220_TMYx.2009-2023.zip</v>
      </c>
    </row>
    <row r="4952" spans="1:10" x14ac:dyDescent="0.25">
      <c r="A4952" t="s">
        <v>3587</v>
      </c>
      <c r="B4952" t="s">
        <v>3588</v>
      </c>
      <c r="C4952" t="s">
        <v>3637</v>
      </c>
      <c r="D4952" s="1" t="s">
        <v>3638</v>
      </c>
      <c r="E4952" t="s">
        <v>14</v>
      </c>
      <c r="F4952">
        <v>57.481000000000002</v>
      </c>
      <c r="G4952">
        <v>-7.3630000000000004</v>
      </c>
      <c r="H4952">
        <v>0</v>
      </c>
      <c r="I4952">
        <v>5.8</v>
      </c>
      <c r="J4952" t="str">
        <f>HYPERLINK("https://climate.onebuilding.org/WMO_Region_6_Europe/GBR_United_Kingdom/SCT_Scotland/GBR_SCT_Benbecula.AP-Outer.Hebrides.030220_TMYx.zip")</f>
        <v>https://climate.onebuilding.org/WMO_Region_6_Europe/GBR_United_Kingdom/SCT_Scotland/GBR_SCT_Benbecula.AP-Outer.Hebrides.030220_TMYx.zip</v>
      </c>
    </row>
    <row r="4953" spans="1:10" x14ac:dyDescent="0.25">
      <c r="A4953" t="s">
        <v>3587</v>
      </c>
      <c r="B4953" t="s">
        <v>3588</v>
      </c>
      <c r="C4953" t="s">
        <v>3640</v>
      </c>
      <c r="D4953" s="1" t="s">
        <v>3641</v>
      </c>
      <c r="E4953" t="s">
        <v>3642</v>
      </c>
      <c r="F4953">
        <v>57.332999999999998</v>
      </c>
      <c r="G4953">
        <v>-7.367</v>
      </c>
      <c r="H4953">
        <v>0</v>
      </c>
      <c r="I4953">
        <v>4</v>
      </c>
      <c r="J4953" t="str">
        <f>HYPERLINK("https://climate.onebuilding.org/WMO_Region_6_Europe/GBR_United_Kingdom/SCT_Scotland/GBR_SCT_South.Uist.Range-Outer.Hebrides.030230_TMYx.2004-2018.zip")</f>
        <v>https://climate.onebuilding.org/WMO_Region_6_Europe/GBR_United_Kingdom/SCT_Scotland/GBR_SCT_South.Uist.Range-Outer.Hebrides.030230_TMYx.2004-2018.zip</v>
      </c>
    </row>
    <row r="4954" spans="1:10" x14ac:dyDescent="0.25">
      <c r="A4954" t="s">
        <v>3587</v>
      </c>
      <c r="B4954" t="s">
        <v>3588</v>
      </c>
      <c r="C4954" t="s">
        <v>3640</v>
      </c>
      <c r="D4954" s="1" t="s">
        <v>3641</v>
      </c>
      <c r="E4954" t="s">
        <v>14</v>
      </c>
      <c r="F4954">
        <v>57.357500000000002</v>
      </c>
      <c r="G4954">
        <v>-7.3849999999999998</v>
      </c>
      <c r="H4954">
        <v>0</v>
      </c>
      <c r="I4954">
        <v>4</v>
      </c>
      <c r="J4954" t="str">
        <f>HYPERLINK("https://climate.onebuilding.org/WMO_Region_6_Europe/GBR_United_Kingdom/SCT_Scotland/GBR_SCT_South.Uist.Range-Outer.Hebrides.030230_TMYx.2007-2021.zip")</f>
        <v>https://climate.onebuilding.org/WMO_Region_6_Europe/GBR_United_Kingdom/SCT_Scotland/GBR_SCT_South.Uist.Range-Outer.Hebrides.030230_TMYx.2007-2021.zip</v>
      </c>
    </row>
    <row r="4955" spans="1:10" x14ac:dyDescent="0.25">
      <c r="A4955" t="s">
        <v>3587</v>
      </c>
      <c r="B4955" t="s">
        <v>3588</v>
      </c>
      <c r="C4955" t="s">
        <v>3640</v>
      </c>
      <c r="D4955" s="1" t="s">
        <v>3641</v>
      </c>
      <c r="E4955" t="s">
        <v>14</v>
      </c>
      <c r="F4955">
        <v>57.357500000000002</v>
      </c>
      <c r="G4955">
        <v>-7.3849999999999998</v>
      </c>
      <c r="H4955">
        <v>0</v>
      </c>
      <c r="I4955">
        <v>4</v>
      </c>
      <c r="J4955" t="str">
        <f>HYPERLINK("https://climate.onebuilding.org/WMO_Region_6_Europe/GBR_United_Kingdom/SCT_Scotland/GBR_SCT_South.Uist.Range-Outer.Hebrides.030230_TMYx.2009-2023.zip")</f>
        <v>https://climate.onebuilding.org/WMO_Region_6_Europe/GBR_United_Kingdom/SCT_Scotland/GBR_SCT_South.Uist.Range-Outer.Hebrides.030230_TMYx.2009-2023.zip</v>
      </c>
    </row>
    <row r="4956" spans="1:10" x14ac:dyDescent="0.25">
      <c r="A4956" t="s">
        <v>3587</v>
      </c>
      <c r="B4956" t="s">
        <v>3588</v>
      </c>
      <c r="C4956" t="s">
        <v>3640</v>
      </c>
      <c r="D4956" s="1" t="s">
        <v>3641</v>
      </c>
      <c r="E4956" t="s">
        <v>14</v>
      </c>
      <c r="F4956">
        <v>57.357500000000002</v>
      </c>
      <c r="G4956">
        <v>-7.3849999999999998</v>
      </c>
      <c r="H4956">
        <v>0</v>
      </c>
      <c r="I4956">
        <v>4</v>
      </c>
      <c r="J4956" t="str">
        <f>HYPERLINK("https://climate.onebuilding.org/WMO_Region_6_Europe/GBR_United_Kingdom/SCT_Scotland/GBR_SCT_South.Uist.Range-Outer.Hebrides.030230_TMYx.zip")</f>
        <v>https://climate.onebuilding.org/WMO_Region_6_Europe/GBR_United_Kingdom/SCT_Scotland/GBR_SCT_South.Uist.Range-Outer.Hebrides.030230_TMYx.zip</v>
      </c>
    </row>
    <row r="4957" spans="1:10" x14ac:dyDescent="0.25">
      <c r="A4957" t="s">
        <v>3587</v>
      </c>
      <c r="B4957" t="s">
        <v>3588</v>
      </c>
      <c r="C4957" t="s">
        <v>3643</v>
      </c>
      <c r="D4957" s="1" t="s">
        <v>3644</v>
      </c>
      <c r="E4957" t="s">
        <v>14</v>
      </c>
      <c r="F4957">
        <v>56.966999999999999</v>
      </c>
      <c r="G4957">
        <v>-6.6829999999999998</v>
      </c>
      <c r="H4957">
        <v>0</v>
      </c>
      <c r="I4957">
        <v>10</v>
      </c>
      <c r="J4957" t="str">
        <f>HYPERLINK("https://climate.onebuilding.org/WMO_Region_6_Europe/GBR_United_Kingdom/SCT_Scotland/GBR_SCT_Hyskeir.Lighthouse.030240_TMYx.zip")</f>
        <v>https://climate.onebuilding.org/WMO_Region_6_Europe/GBR_United_Kingdom/SCT_Scotland/GBR_SCT_Hyskeir.Lighthouse.030240_TMYx.zip</v>
      </c>
    </row>
    <row r="4958" spans="1:10" x14ac:dyDescent="0.25">
      <c r="A4958" t="s">
        <v>3587</v>
      </c>
      <c r="B4958" t="s">
        <v>3588</v>
      </c>
      <c r="C4958" t="s">
        <v>3645</v>
      </c>
      <c r="D4958" s="1" t="s">
        <v>3646</v>
      </c>
      <c r="E4958" t="s">
        <v>14</v>
      </c>
      <c r="F4958">
        <v>58.517000000000003</v>
      </c>
      <c r="G4958">
        <v>-6.2670000000000003</v>
      </c>
      <c r="H4958">
        <v>0</v>
      </c>
      <c r="I4958">
        <v>23</v>
      </c>
      <c r="J4958" t="str">
        <f>HYPERLINK("https://climate.onebuilding.org/WMO_Region_6_Europe/GBR_United_Kingdom/SCT_Scotland/GBR_SCT_Butt.of.Lewis.Lighthouse-Outer.Hebrides.030250_TMYx.zip")</f>
        <v>https://climate.onebuilding.org/WMO_Region_6_Europe/GBR_United_Kingdom/SCT_Scotland/GBR_SCT_Butt.of.Lewis.Lighthouse-Outer.Hebrides.030250_TMYx.zip</v>
      </c>
    </row>
    <row r="4959" spans="1:10" x14ac:dyDescent="0.25">
      <c r="A4959" t="s">
        <v>3587</v>
      </c>
      <c r="B4959" t="s">
        <v>3588</v>
      </c>
      <c r="C4959" t="s">
        <v>3647</v>
      </c>
      <c r="D4959" s="1" t="s">
        <v>3648</v>
      </c>
      <c r="E4959" t="s">
        <v>3649</v>
      </c>
      <c r="F4959">
        <v>58.216000000000001</v>
      </c>
      <c r="G4959">
        <v>-6.3310000000000004</v>
      </c>
      <c r="H4959">
        <v>0</v>
      </c>
      <c r="I4959">
        <v>7.9</v>
      </c>
      <c r="J4959" t="str">
        <f>HYPERLINK("https://climate.onebuilding.org/WMO_Region_6_Europe/GBR_United_Kingdom/SCT_Scotland/GBR_SCT_Stornoway.AP-Outer.Hebrides.030260_TMYx.2004-2018.zip")</f>
        <v>https://climate.onebuilding.org/WMO_Region_6_Europe/GBR_United_Kingdom/SCT_Scotland/GBR_SCT_Stornoway.AP-Outer.Hebrides.030260_TMYx.2004-2018.zip</v>
      </c>
    </row>
    <row r="4960" spans="1:10" x14ac:dyDescent="0.25">
      <c r="A4960" t="s">
        <v>3587</v>
      </c>
      <c r="B4960" t="s">
        <v>3588</v>
      </c>
      <c r="C4960" t="s">
        <v>3647</v>
      </c>
      <c r="D4960" s="1" t="s">
        <v>3648</v>
      </c>
      <c r="E4960" t="s">
        <v>14</v>
      </c>
      <c r="F4960">
        <v>58.2136</v>
      </c>
      <c r="G4960">
        <v>-6.3189000000000002</v>
      </c>
      <c r="H4960">
        <v>0</v>
      </c>
      <c r="I4960">
        <v>7.9</v>
      </c>
      <c r="J4960" t="str">
        <f>HYPERLINK("https://climate.onebuilding.org/WMO_Region_6_Europe/GBR_United_Kingdom/SCT_Scotland/GBR_SCT_Stornoway.AP-Outer.Hebrides.030260_TMYx.2007-2021.zip")</f>
        <v>https://climate.onebuilding.org/WMO_Region_6_Europe/GBR_United_Kingdom/SCT_Scotland/GBR_SCT_Stornoway.AP-Outer.Hebrides.030260_TMYx.2007-2021.zip</v>
      </c>
    </row>
    <row r="4961" spans="1:10" x14ac:dyDescent="0.25">
      <c r="A4961" t="s">
        <v>3587</v>
      </c>
      <c r="B4961" t="s">
        <v>3588</v>
      </c>
      <c r="C4961" t="s">
        <v>3647</v>
      </c>
      <c r="D4961" s="1" t="s">
        <v>3648</v>
      </c>
      <c r="E4961" t="s">
        <v>14</v>
      </c>
      <c r="F4961">
        <v>58.2136</v>
      </c>
      <c r="G4961">
        <v>-6.3189000000000002</v>
      </c>
      <c r="H4961">
        <v>0</v>
      </c>
      <c r="I4961">
        <v>7.9</v>
      </c>
      <c r="J4961" t="str">
        <f>HYPERLINK("https://climate.onebuilding.org/WMO_Region_6_Europe/GBR_United_Kingdom/SCT_Scotland/GBR_SCT_Stornoway.AP-Outer.Hebrides.030260_TMYx.2009-2023.zip")</f>
        <v>https://climate.onebuilding.org/WMO_Region_6_Europe/GBR_United_Kingdom/SCT_Scotland/GBR_SCT_Stornoway.AP-Outer.Hebrides.030260_TMYx.2009-2023.zip</v>
      </c>
    </row>
    <row r="4962" spans="1:10" x14ac:dyDescent="0.25">
      <c r="A4962" t="s">
        <v>3587</v>
      </c>
      <c r="B4962" t="s">
        <v>3588</v>
      </c>
      <c r="C4962" t="s">
        <v>3647</v>
      </c>
      <c r="D4962" s="1" t="s">
        <v>3648</v>
      </c>
      <c r="E4962" t="s">
        <v>14</v>
      </c>
      <c r="F4962">
        <v>58.2136</v>
      </c>
      <c r="G4962">
        <v>-6.3189000000000002</v>
      </c>
      <c r="H4962">
        <v>0</v>
      </c>
      <c r="I4962">
        <v>7.9</v>
      </c>
      <c r="J4962" t="str">
        <f>HYPERLINK("https://climate.onebuilding.org/WMO_Region_6_Europe/GBR_United_Kingdom/SCT_Scotland/GBR_SCT_Stornoway.AP-Outer.Hebrides.030260_TMYx.zip")</f>
        <v>https://climate.onebuilding.org/WMO_Region_6_Europe/GBR_United_Kingdom/SCT_Scotland/GBR_SCT_Stornoway.AP-Outer.Hebrides.030260_TMYx.zip</v>
      </c>
    </row>
    <row r="4963" spans="1:10" x14ac:dyDescent="0.25">
      <c r="A4963" t="s">
        <v>3587</v>
      </c>
      <c r="B4963" t="s">
        <v>3588</v>
      </c>
      <c r="C4963" t="s">
        <v>3650</v>
      </c>
      <c r="D4963" s="1" t="s">
        <v>3651</v>
      </c>
      <c r="E4963" t="s">
        <v>14</v>
      </c>
      <c r="F4963">
        <v>57.433</v>
      </c>
      <c r="G4963">
        <v>-6.7670000000000003</v>
      </c>
      <c r="H4963">
        <v>0</v>
      </c>
      <c r="I4963">
        <v>83</v>
      </c>
      <c r="J4963" t="str">
        <f>HYPERLINK("https://climate.onebuilding.org/WMO_Region_6_Europe/GBR_United_Kingdom/SCT_Scotland/GBR_SCT_Waterstein.030270_TMYx.zip")</f>
        <v>https://climate.onebuilding.org/WMO_Region_6_Europe/GBR_United_Kingdom/SCT_Scotland/GBR_SCT_Waterstein.030270_TMYx.zip</v>
      </c>
    </row>
    <row r="4964" spans="1:10" x14ac:dyDescent="0.25">
      <c r="A4964" t="s">
        <v>3587</v>
      </c>
      <c r="B4964" t="s">
        <v>3588</v>
      </c>
      <c r="C4964" t="s">
        <v>3652</v>
      </c>
      <c r="D4964" s="1" t="s">
        <v>3653</v>
      </c>
      <c r="E4964" t="s">
        <v>14</v>
      </c>
      <c r="F4964">
        <v>57.423000000000002</v>
      </c>
      <c r="G4964">
        <v>-6.7880000000000003</v>
      </c>
      <c r="H4964">
        <v>0</v>
      </c>
      <c r="I4964">
        <v>21</v>
      </c>
      <c r="J4964" t="str">
        <f>HYPERLINK("https://climate.onebuilding.org/WMO_Region_6_Europe/GBR_United_Kingdom/SCT_Scotland/GBR_SCT_Neist.Point.Lighthouse.030280_TMYx.zip")</f>
        <v>https://climate.onebuilding.org/WMO_Region_6_Europe/GBR_United_Kingdom/SCT_Scotland/GBR_SCT_Neist.Point.Lighthouse.030280_TMYx.zip</v>
      </c>
    </row>
    <row r="4965" spans="1:10" x14ac:dyDescent="0.25">
      <c r="A4965" t="s">
        <v>3587</v>
      </c>
      <c r="B4965" t="s">
        <v>3588</v>
      </c>
      <c r="C4965" t="s">
        <v>3654</v>
      </c>
      <c r="D4965" s="1" t="s">
        <v>3655</v>
      </c>
      <c r="E4965" t="s">
        <v>14</v>
      </c>
      <c r="F4965">
        <v>56.732999999999997</v>
      </c>
      <c r="G4965">
        <v>-6.2169999999999996</v>
      </c>
      <c r="H4965">
        <v>0</v>
      </c>
      <c r="I4965">
        <v>12</v>
      </c>
      <c r="J4965" t="str">
        <f>HYPERLINK("https://climate.onebuilding.org/WMO_Region_6_Europe/GBR_United_Kingdom/SCT_Scotland/GBR_SCT_Ardnamurchan.Lighthouse.030290_TMYx.zip")</f>
        <v>https://climate.onebuilding.org/WMO_Region_6_Europe/GBR_United_Kingdom/SCT_Scotland/GBR_SCT_Ardnamurchan.Lighthouse.030290_TMYx.zip</v>
      </c>
    </row>
    <row r="4966" spans="1:10" x14ac:dyDescent="0.25">
      <c r="A4966" t="s">
        <v>3587</v>
      </c>
      <c r="B4966" t="s">
        <v>3588</v>
      </c>
      <c r="C4966" t="s">
        <v>3656</v>
      </c>
      <c r="D4966" s="1" t="s">
        <v>3657</v>
      </c>
      <c r="E4966" t="s">
        <v>3658</v>
      </c>
      <c r="F4966">
        <v>57.716999999999999</v>
      </c>
      <c r="G4966">
        <v>-4.883</v>
      </c>
      <c r="H4966">
        <v>0</v>
      </c>
      <c r="I4966">
        <v>264</v>
      </c>
      <c r="J4966" t="str">
        <f>HYPERLINK("https://climate.onebuilding.org/WMO_Region_6_Europe/GBR_United_Kingdom/SCT_Scotland/GBR_SCT_Loch.Glascarnoch.030310_TMYx.2004-2018.zip")</f>
        <v>https://climate.onebuilding.org/WMO_Region_6_Europe/GBR_United_Kingdom/SCT_Scotland/GBR_SCT_Loch.Glascarnoch.030310_TMYx.2004-2018.zip</v>
      </c>
    </row>
    <row r="4967" spans="1:10" x14ac:dyDescent="0.25">
      <c r="A4967" t="s">
        <v>3587</v>
      </c>
      <c r="B4967" t="s">
        <v>3588</v>
      </c>
      <c r="C4967" t="s">
        <v>3656</v>
      </c>
      <c r="D4967" s="1" t="s">
        <v>3657</v>
      </c>
      <c r="E4967" t="s">
        <v>14</v>
      </c>
      <c r="F4967">
        <v>57.725000000000001</v>
      </c>
      <c r="G4967">
        <v>-4.8956</v>
      </c>
      <c r="H4967">
        <v>0</v>
      </c>
      <c r="I4967">
        <v>264</v>
      </c>
      <c r="J4967" t="str">
        <f>HYPERLINK("https://climate.onebuilding.org/WMO_Region_6_Europe/GBR_United_Kingdom/SCT_Scotland/GBR_SCT_Loch.Glascarnoch.030310_TMYx.2007-2021.zip")</f>
        <v>https://climate.onebuilding.org/WMO_Region_6_Europe/GBR_United_Kingdom/SCT_Scotland/GBR_SCT_Loch.Glascarnoch.030310_TMYx.2007-2021.zip</v>
      </c>
    </row>
    <row r="4968" spans="1:10" x14ac:dyDescent="0.25">
      <c r="A4968" t="s">
        <v>3587</v>
      </c>
      <c r="B4968" t="s">
        <v>3588</v>
      </c>
      <c r="C4968" t="s">
        <v>3656</v>
      </c>
      <c r="D4968" s="1" t="s">
        <v>3657</v>
      </c>
      <c r="E4968" t="s">
        <v>14</v>
      </c>
      <c r="F4968">
        <v>57.725000000000001</v>
      </c>
      <c r="G4968">
        <v>-4.8956</v>
      </c>
      <c r="H4968">
        <v>0</v>
      </c>
      <c r="I4968">
        <v>264</v>
      </c>
      <c r="J4968" t="str">
        <f>HYPERLINK("https://climate.onebuilding.org/WMO_Region_6_Europe/GBR_United_Kingdom/SCT_Scotland/GBR_SCT_Loch.Glascarnoch.030310_TMYx.2009-2023.zip")</f>
        <v>https://climate.onebuilding.org/WMO_Region_6_Europe/GBR_United_Kingdom/SCT_Scotland/GBR_SCT_Loch.Glascarnoch.030310_TMYx.2009-2023.zip</v>
      </c>
    </row>
    <row r="4969" spans="1:10" x14ac:dyDescent="0.25">
      <c r="A4969" t="s">
        <v>3587</v>
      </c>
      <c r="B4969" t="s">
        <v>3588</v>
      </c>
      <c r="C4969" t="s">
        <v>3656</v>
      </c>
      <c r="D4969" s="1" t="s">
        <v>3657</v>
      </c>
      <c r="E4969" t="s">
        <v>14</v>
      </c>
      <c r="F4969">
        <v>57.725000000000001</v>
      </c>
      <c r="G4969">
        <v>-4.8956</v>
      </c>
      <c r="H4969">
        <v>0</v>
      </c>
      <c r="I4969">
        <v>264</v>
      </c>
      <c r="J4969" t="str">
        <f>HYPERLINK("https://climate.onebuilding.org/WMO_Region_6_Europe/GBR_United_Kingdom/SCT_Scotland/GBR_SCT_Loch.Glascarnoch.030310_TMYx.zip")</f>
        <v>https://climate.onebuilding.org/WMO_Region_6_Europe/GBR_United_Kingdom/SCT_Scotland/GBR_SCT_Loch.Glascarnoch.030310_TMYx.zip</v>
      </c>
    </row>
    <row r="4970" spans="1:10" x14ac:dyDescent="0.25">
      <c r="A4970" t="s">
        <v>3587</v>
      </c>
      <c r="B4970" t="s">
        <v>3588</v>
      </c>
      <c r="C4970" t="s">
        <v>3659</v>
      </c>
      <c r="D4970" s="1" t="s">
        <v>3660</v>
      </c>
      <c r="E4970" t="s">
        <v>14</v>
      </c>
      <c r="F4970">
        <v>57.582999999999998</v>
      </c>
      <c r="G4970">
        <v>-5.7</v>
      </c>
      <c r="H4970">
        <v>0</v>
      </c>
      <c r="I4970">
        <v>60</v>
      </c>
      <c r="J4970" t="str">
        <f>HYPERLINK("https://climate.onebuilding.org/WMO_Region_6_Europe/GBR_United_Kingdom/SCT_Scotland/GBR_SCT_Diabaig.030330_TMYx.zip")</f>
        <v>https://climate.onebuilding.org/WMO_Region_6_Europe/GBR_United_Kingdom/SCT_Scotland/GBR_SCT_Diabaig.030330_TMYx.zip</v>
      </c>
    </row>
    <row r="4971" spans="1:10" x14ac:dyDescent="0.25">
      <c r="A4971" t="s">
        <v>3587</v>
      </c>
      <c r="B4971" t="s">
        <v>3588</v>
      </c>
      <c r="C4971" t="s">
        <v>3661</v>
      </c>
      <c r="D4971" s="1" t="s">
        <v>3662</v>
      </c>
      <c r="E4971" t="s">
        <v>3663</v>
      </c>
      <c r="F4971">
        <v>57.866999999999997</v>
      </c>
      <c r="G4971">
        <v>-5.633</v>
      </c>
      <c r="H4971">
        <v>0</v>
      </c>
      <c r="I4971">
        <v>10</v>
      </c>
      <c r="J4971" t="str">
        <f>HYPERLINK("https://climate.onebuilding.org/WMO_Region_6_Europe/GBR_United_Kingdom/SCT_Scotland/GBR_SCT_Aultbea.030340_TMYx.2004-2018.zip")</f>
        <v>https://climate.onebuilding.org/WMO_Region_6_Europe/GBR_United_Kingdom/SCT_Scotland/GBR_SCT_Aultbea.030340_TMYx.2004-2018.zip</v>
      </c>
    </row>
    <row r="4972" spans="1:10" x14ac:dyDescent="0.25">
      <c r="A4972" t="s">
        <v>3587</v>
      </c>
      <c r="B4972" t="s">
        <v>3588</v>
      </c>
      <c r="C4972" t="s">
        <v>3661</v>
      </c>
      <c r="D4972" s="1" t="s">
        <v>3662</v>
      </c>
      <c r="E4972" t="s">
        <v>14</v>
      </c>
      <c r="F4972">
        <v>57.858899999999998</v>
      </c>
      <c r="G4972">
        <v>-5.6327999999999996</v>
      </c>
      <c r="H4972">
        <v>0</v>
      </c>
      <c r="I4972">
        <v>10</v>
      </c>
      <c r="J4972" t="str">
        <f>HYPERLINK("https://climate.onebuilding.org/WMO_Region_6_Europe/GBR_United_Kingdom/SCT_Scotland/GBR_SCT_Aultbea.030340_TMYx.2007-2021.zip")</f>
        <v>https://climate.onebuilding.org/WMO_Region_6_Europe/GBR_United_Kingdom/SCT_Scotland/GBR_SCT_Aultbea.030340_TMYx.2007-2021.zip</v>
      </c>
    </row>
    <row r="4973" spans="1:10" x14ac:dyDescent="0.25">
      <c r="A4973" t="s">
        <v>3587</v>
      </c>
      <c r="B4973" t="s">
        <v>3588</v>
      </c>
      <c r="C4973" t="s">
        <v>3661</v>
      </c>
      <c r="D4973" s="1" t="s">
        <v>3662</v>
      </c>
      <c r="E4973" t="s">
        <v>14</v>
      </c>
      <c r="F4973">
        <v>57.858899999999998</v>
      </c>
      <c r="G4973">
        <v>-5.6327999999999996</v>
      </c>
      <c r="H4973">
        <v>0</v>
      </c>
      <c r="I4973">
        <v>10</v>
      </c>
      <c r="J4973" t="str">
        <f>HYPERLINK("https://climate.onebuilding.org/WMO_Region_6_Europe/GBR_United_Kingdom/SCT_Scotland/GBR_SCT_Aultbea.030340_TMYx.2009-2023.zip")</f>
        <v>https://climate.onebuilding.org/WMO_Region_6_Europe/GBR_United_Kingdom/SCT_Scotland/GBR_SCT_Aultbea.030340_TMYx.2009-2023.zip</v>
      </c>
    </row>
    <row r="4974" spans="1:10" x14ac:dyDescent="0.25">
      <c r="A4974" t="s">
        <v>3587</v>
      </c>
      <c r="B4974" t="s">
        <v>3588</v>
      </c>
      <c r="C4974" t="s">
        <v>3661</v>
      </c>
      <c r="D4974" s="1" t="s">
        <v>3662</v>
      </c>
      <c r="E4974" t="s">
        <v>14</v>
      </c>
      <c r="F4974">
        <v>57.858899999999998</v>
      </c>
      <c r="G4974">
        <v>-5.6327999999999996</v>
      </c>
      <c r="H4974">
        <v>0</v>
      </c>
      <c r="I4974">
        <v>10</v>
      </c>
      <c r="J4974" t="str">
        <f>HYPERLINK("https://climate.onebuilding.org/WMO_Region_6_Europe/GBR_United_Kingdom/SCT_Scotland/GBR_SCT_Aultbea.030340_TMYx.zip")</f>
        <v>https://climate.onebuilding.org/WMO_Region_6_Europe/GBR_United_Kingdom/SCT_Scotland/GBR_SCT_Aultbea.030340_TMYx.zip</v>
      </c>
    </row>
    <row r="4975" spans="1:10" x14ac:dyDescent="0.25">
      <c r="A4975" t="s">
        <v>3587</v>
      </c>
      <c r="B4975" t="s">
        <v>3588</v>
      </c>
      <c r="C4975" t="s">
        <v>3664</v>
      </c>
      <c r="D4975" s="1" t="s">
        <v>3665</v>
      </c>
      <c r="E4975" t="s">
        <v>14</v>
      </c>
      <c r="F4975">
        <v>57.033000000000001</v>
      </c>
      <c r="G4975">
        <v>-7.45</v>
      </c>
      <c r="H4975">
        <v>0</v>
      </c>
      <c r="I4975">
        <v>3</v>
      </c>
      <c r="J4975" t="str">
        <f>HYPERLINK("https://climate.onebuilding.org/WMO_Region_6_Europe/GBR_United_Kingdom/SCT_Scotland/GBR_SCT_Barra.Island.AP-Outer.Hebrides.030350_TMYx.zip")</f>
        <v>https://climate.onebuilding.org/WMO_Region_6_Europe/GBR_United_Kingdom/SCT_Scotland/GBR_SCT_Barra.Island.AP-Outer.Hebrides.030350_TMYx.zip</v>
      </c>
    </row>
    <row r="4976" spans="1:10" x14ac:dyDescent="0.25">
      <c r="A4976" t="s">
        <v>3587</v>
      </c>
      <c r="B4976" t="s">
        <v>3588</v>
      </c>
      <c r="C4976" t="s">
        <v>3666</v>
      </c>
      <c r="D4976" s="1" t="s">
        <v>3667</v>
      </c>
      <c r="E4976" t="s">
        <v>3668</v>
      </c>
      <c r="F4976">
        <v>57.25</v>
      </c>
      <c r="G4976">
        <v>-5.8</v>
      </c>
      <c r="H4976">
        <v>0</v>
      </c>
      <c r="I4976">
        <v>18</v>
      </c>
      <c r="J4976" t="str">
        <f>HYPERLINK("https://climate.onebuilding.org/WMO_Region_6_Europe/GBR_United_Kingdom/SCT_Scotland/GBR_SCT_Lusa-Skye.030370_TMYx.2004-2018.zip")</f>
        <v>https://climate.onebuilding.org/WMO_Region_6_Europe/GBR_United_Kingdom/SCT_Scotland/GBR_SCT_Lusa-Skye.030370_TMYx.2004-2018.zip</v>
      </c>
    </row>
    <row r="4977" spans="1:10" x14ac:dyDescent="0.25">
      <c r="A4977" t="s">
        <v>3587</v>
      </c>
      <c r="B4977" t="s">
        <v>3588</v>
      </c>
      <c r="C4977" t="s">
        <v>3666</v>
      </c>
      <c r="D4977" s="1" t="s">
        <v>3667</v>
      </c>
      <c r="E4977" t="s">
        <v>14</v>
      </c>
      <c r="F4977">
        <v>57.25</v>
      </c>
      <c r="G4977">
        <v>-5.8</v>
      </c>
      <c r="H4977">
        <v>0</v>
      </c>
      <c r="I4977">
        <v>18</v>
      </c>
      <c r="J4977" t="str">
        <f>HYPERLINK("https://climate.onebuilding.org/WMO_Region_6_Europe/GBR_United_Kingdom/SCT_Scotland/GBR_SCT_Lusa-Skye.030370_TMYx.2007-2021.zip")</f>
        <v>https://climate.onebuilding.org/WMO_Region_6_Europe/GBR_United_Kingdom/SCT_Scotland/GBR_SCT_Lusa-Skye.030370_TMYx.2007-2021.zip</v>
      </c>
    </row>
    <row r="4978" spans="1:10" x14ac:dyDescent="0.25">
      <c r="A4978" t="s">
        <v>3587</v>
      </c>
      <c r="B4978" t="s">
        <v>3588</v>
      </c>
      <c r="C4978" t="s">
        <v>3666</v>
      </c>
      <c r="D4978" s="1" t="s">
        <v>3667</v>
      </c>
      <c r="E4978" t="s">
        <v>14</v>
      </c>
      <c r="F4978">
        <v>57.25</v>
      </c>
      <c r="G4978">
        <v>-5.8</v>
      </c>
      <c r="H4978">
        <v>0</v>
      </c>
      <c r="I4978">
        <v>18</v>
      </c>
      <c r="J4978" t="str">
        <f>HYPERLINK("https://climate.onebuilding.org/WMO_Region_6_Europe/GBR_United_Kingdom/SCT_Scotland/GBR_SCT_Lusa-Skye.030370_TMYx.2009-2023.zip")</f>
        <v>https://climate.onebuilding.org/WMO_Region_6_Europe/GBR_United_Kingdom/SCT_Scotland/GBR_SCT_Lusa-Skye.030370_TMYx.2009-2023.zip</v>
      </c>
    </row>
    <row r="4979" spans="1:10" x14ac:dyDescent="0.25">
      <c r="A4979" t="s">
        <v>3587</v>
      </c>
      <c r="B4979" t="s">
        <v>3588</v>
      </c>
      <c r="C4979" t="s">
        <v>3666</v>
      </c>
      <c r="D4979" s="1" t="s">
        <v>3667</v>
      </c>
      <c r="E4979" t="s">
        <v>14</v>
      </c>
      <c r="F4979">
        <v>57.25</v>
      </c>
      <c r="G4979">
        <v>-5.8</v>
      </c>
      <c r="H4979">
        <v>0</v>
      </c>
      <c r="I4979">
        <v>18</v>
      </c>
      <c r="J4979" t="str">
        <f>HYPERLINK("https://climate.onebuilding.org/WMO_Region_6_Europe/GBR_United_Kingdom/SCT_Scotland/GBR_SCT_Lusa-Skye.030370_TMYx.zip")</f>
        <v>https://climate.onebuilding.org/WMO_Region_6_Europe/GBR_United_Kingdom/SCT_Scotland/GBR_SCT_Lusa-Skye.030370_TMYx.zip</v>
      </c>
    </row>
    <row r="4980" spans="1:10" x14ac:dyDescent="0.25">
      <c r="A4980" t="s">
        <v>3587</v>
      </c>
      <c r="B4980" t="s">
        <v>3588</v>
      </c>
      <c r="C4980" t="s">
        <v>3669</v>
      </c>
      <c r="D4980" s="1" t="s">
        <v>3670</v>
      </c>
      <c r="E4980" t="s">
        <v>14</v>
      </c>
      <c r="F4980">
        <v>56.832999999999998</v>
      </c>
      <c r="G4980">
        <v>-5.0999999999999996</v>
      </c>
      <c r="H4980">
        <v>0</v>
      </c>
      <c r="I4980">
        <v>20</v>
      </c>
      <c r="J4980" t="str">
        <f>HYPERLINK("https://climate.onebuilding.org/WMO_Region_6_Europe/GBR_United_Kingdom/SCT_Scotland/GBR_SCT_Fort.William.030380_TMYx.zip")</f>
        <v>https://climate.onebuilding.org/WMO_Region_6_Europe/GBR_United_Kingdom/SCT_Scotland/GBR_SCT_Fort.William.030380_TMYx.zip</v>
      </c>
    </row>
    <row r="4981" spans="1:10" x14ac:dyDescent="0.25">
      <c r="A4981" t="s">
        <v>3587</v>
      </c>
      <c r="B4981" t="s">
        <v>3588</v>
      </c>
      <c r="C4981" t="s">
        <v>3671</v>
      </c>
      <c r="D4981" s="1" t="s">
        <v>3672</v>
      </c>
      <c r="E4981" t="s">
        <v>3673</v>
      </c>
      <c r="F4981">
        <v>57.417000000000002</v>
      </c>
      <c r="G4981">
        <v>-5.6829999999999998</v>
      </c>
      <c r="H4981">
        <v>0</v>
      </c>
      <c r="I4981">
        <v>773</v>
      </c>
      <c r="J4981" t="str">
        <f>HYPERLINK("https://climate.onebuilding.org/WMO_Region_6_Europe/GBR_United_Kingdom/SCT_Scotland/GBR_SCT_Bealach.Na.Ba.030390_TMYx.2004-2018.zip")</f>
        <v>https://climate.onebuilding.org/WMO_Region_6_Europe/GBR_United_Kingdom/SCT_Scotland/GBR_SCT_Bealach.Na.Ba.030390_TMYx.2004-2018.zip</v>
      </c>
    </row>
    <row r="4982" spans="1:10" x14ac:dyDescent="0.25">
      <c r="A4982" t="s">
        <v>3587</v>
      </c>
      <c r="B4982" t="s">
        <v>3588</v>
      </c>
      <c r="C4982" t="s">
        <v>3671</v>
      </c>
      <c r="D4982" s="1" t="s">
        <v>3672</v>
      </c>
      <c r="E4982" t="s">
        <v>14</v>
      </c>
      <c r="F4982">
        <v>57.418100000000003</v>
      </c>
      <c r="G4982">
        <v>-5.6886000000000001</v>
      </c>
      <c r="H4982">
        <v>0</v>
      </c>
      <c r="I4982">
        <v>773</v>
      </c>
      <c r="J4982" t="str">
        <f>HYPERLINK("https://climate.onebuilding.org/WMO_Region_6_Europe/GBR_United_Kingdom/SCT_Scotland/GBR_SCT_Bealach.Na.Ba.030390_TMYx.2007-2021.zip")</f>
        <v>https://climate.onebuilding.org/WMO_Region_6_Europe/GBR_United_Kingdom/SCT_Scotland/GBR_SCT_Bealach.Na.Ba.030390_TMYx.2007-2021.zip</v>
      </c>
    </row>
    <row r="4983" spans="1:10" x14ac:dyDescent="0.25">
      <c r="A4983" t="s">
        <v>3587</v>
      </c>
      <c r="B4983" t="s">
        <v>3588</v>
      </c>
      <c r="C4983" t="s">
        <v>3671</v>
      </c>
      <c r="D4983" s="1" t="s">
        <v>3672</v>
      </c>
      <c r="E4983" t="s">
        <v>14</v>
      </c>
      <c r="F4983">
        <v>57.418100000000003</v>
      </c>
      <c r="G4983">
        <v>-5.6886000000000001</v>
      </c>
      <c r="H4983">
        <v>0</v>
      </c>
      <c r="I4983">
        <v>773</v>
      </c>
      <c r="J4983" t="str">
        <f>HYPERLINK("https://climate.onebuilding.org/WMO_Region_6_Europe/GBR_United_Kingdom/SCT_Scotland/GBR_SCT_Bealach.Na.Ba.030390_TMYx.2009-2023.zip")</f>
        <v>https://climate.onebuilding.org/WMO_Region_6_Europe/GBR_United_Kingdom/SCT_Scotland/GBR_SCT_Bealach.Na.Ba.030390_TMYx.2009-2023.zip</v>
      </c>
    </row>
    <row r="4984" spans="1:10" x14ac:dyDescent="0.25">
      <c r="A4984" t="s">
        <v>3587</v>
      </c>
      <c r="B4984" t="s">
        <v>3588</v>
      </c>
      <c r="C4984" t="s">
        <v>3671</v>
      </c>
      <c r="D4984" s="1" t="s">
        <v>3672</v>
      </c>
      <c r="E4984" t="s">
        <v>14</v>
      </c>
      <c r="F4984">
        <v>57.418100000000003</v>
      </c>
      <c r="G4984">
        <v>-5.6886000000000001</v>
      </c>
      <c r="H4984">
        <v>0</v>
      </c>
      <c r="I4984">
        <v>773</v>
      </c>
      <c r="J4984" t="str">
        <f>HYPERLINK("https://climate.onebuilding.org/WMO_Region_6_Europe/GBR_United_Kingdom/SCT_Scotland/GBR_SCT_Bealach.Na.Ba.030390_TMYx.zip")</f>
        <v>https://climate.onebuilding.org/WMO_Region_6_Europe/GBR_United_Kingdom/SCT_Scotland/GBR_SCT_Bealach.Na.Ba.030390_TMYx.zip</v>
      </c>
    </row>
    <row r="4985" spans="1:10" x14ac:dyDescent="0.25">
      <c r="A4985" t="s">
        <v>3587</v>
      </c>
      <c r="B4985" t="s">
        <v>3588</v>
      </c>
      <c r="C4985" t="s">
        <v>3674</v>
      </c>
      <c r="D4985" s="1" t="s">
        <v>3675</v>
      </c>
      <c r="E4985" t="s">
        <v>14</v>
      </c>
      <c r="F4985">
        <v>56.767000000000003</v>
      </c>
      <c r="G4985">
        <v>-6.05</v>
      </c>
      <c r="H4985">
        <v>0</v>
      </c>
      <c r="I4985">
        <v>45</v>
      </c>
      <c r="J4985" t="str">
        <f>HYPERLINK("https://climate.onebuilding.org/WMO_Region_6_Europe/GBR_United_Kingdom/SCT_Scotland/GBR_SCT_Kilmory.030400_TMYx.zip")</f>
        <v>https://climate.onebuilding.org/WMO_Region_6_Europe/GBR_United_Kingdom/SCT_Scotland/GBR_SCT_Kilmory.030400_TMYx.zip</v>
      </c>
    </row>
    <row r="4986" spans="1:10" x14ac:dyDescent="0.25">
      <c r="A4986" t="s">
        <v>3587</v>
      </c>
      <c r="B4986" t="s">
        <v>3588</v>
      </c>
      <c r="C4986" t="s">
        <v>3676</v>
      </c>
      <c r="D4986" s="1" t="s">
        <v>3677</v>
      </c>
      <c r="E4986" t="s">
        <v>3678</v>
      </c>
      <c r="F4986">
        <v>56.817</v>
      </c>
      <c r="G4986">
        <v>-4.9669999999999996</v>
      </c>
      <c r="H4986">
        <v>0</v>
      </c>
      <c r="I4986">
        <v>1130</v>
      </c>
      <c r="J4986" t="str">
        <f>HYPERLINK("https://climate.onebuilding.org/WMO_Region_6_Europe/GBR_United_Kingdom/SCT_Scotland/GBR_SCT_Aonach.Mor.030410_TMYx.2004-2018.zip")</f>
        <v>https://climate.onebuilding.org/WMO_Region_6_Europe/GBR_United_Kingdom/SCT_Scotland/GBR_SCT_Aonach.Mor.030410_TMYx.2004-2018.zip</v>
      </c>
    </row>
    <row r="4987" spans="1:10" x14ac:dyDescent="0.25">
      <c r="A4987" t="s">
        <v>3587</v>
      </c>
      <c r="B4987" t="s">
        <v>3588</v>
      </c>
      <c r="C4987" t="s">
        <v>3676</v>
      </c>
      <c r="D4987" s="1" t="s">
        <v>3677</v>
      </c>
      <c r="E4987" t="s">
        <v>14</v>
      </c>
      <c r="F4987">
        <v>56.822000000000003</v>
      </c>
      <c r="G4987">
        <v>-4.9690000000000003</v>
      </c>
      <c r="H4987">
        <v>0</v>
      </c>
      <c r="I4987">
        <v>1130</v>
      </c>
      <c r="J4987" t="str">
        <f>HYPERLINK("https://climate.onebuilding.org/WMO_Region_6_Europe/GBR_United_Kingdom/SCT_Scotland/GBR_SCT_Aonach.Mor.030410_TMYx.2007-2021.zip")</f>
        <v>https://climate.onebuilding.org/WMO_Region_6_Europe/GBR_United_Kingdom/SCT_Scotland/GBR_SCT_Aonach.Mor.030410_TMYx.2007-2021.zip</v>
      </c>
    </row>
    <row r="4988" spans="1:10" x14ac:dyDescent="0.25">
      <c r="A4988" t="s">
        <v>3587</v>
      </c>
      <c r="B4988" t="s">
        <v>3588</v>
      </c>
      <c r="C4988" t="s">
        <v>3676</v>
      </c>
      <c r="D4988" s="1" t="s">
        <v>3677</v>
      </c>
      <c r="E4988" t="s">
        <v>14</v>
      </c>
      <c r="F4988">
        <v>56.822000000000003</v>
      </c>
      <c r="G4988">
        <v>-4.9690000000000003</v>
      </c>
      <c r="H4988">
        <v>0</v>
      </c>
      <c r="I4988">
        <v>1130</v>
      </c>
      <c r="J4988" t="str">
        <f>HYPERLINK("https://climate.onebuilding.org/WMO_Region_6_Europe/GBR_United_Kingdom/SCT_Scotland/GBR_SCT_Aonach.Mor.030410_TMYx.2009-2023.zip")</f>
        <v>https://climate.onebuilding.org/WMO_Region_6_Europe/GBR_United_Kingdom/SCT_Scotland/GBR_SCT_Aonach.Mor.030410_TMYx.2009-2023.zip</v>
      </c>
    </row>
    <row r="4989" spans="1:10" x14ac:dyDescent="0.25">
      <c r="A4989" t="s">
        <v>3587</v>
      </c>
      <c r="B4989" t="s">
        <v>3588</v>
      </c>
      <c r="C4989" t="s">
        <v>3676</v>
      </c>
      <c r="D4989" s="1" t="s">
        <v>3677</v>
      </c>
      <c r="E4989" t="s">
        <v>14</v>
      </c>
      <c r="F4989">
        <v>56.822000000000003</v>
      </c>
      <c r="G4989">
        <v>-4.9690000000000003</v>
      </c>
      <c r="H4989">
        <v>0</v>
      </c>
      <c r="I4989">
        <v>1130</v>
      </c>
      <c r="J4989" t="str">
        <f>HYPERLINK("https://climate.onebuilding.org/WMO_Region_6_Europe/GBR_United_Kingdom/SCT_Scotland/GBR_SCT_Aonach.Mor.030410_TMYx.zip")</f>
        <v>https://climate.onebuilding.org/WMO_Region_6_Europe/GBR_United_Kingdom/SCT_Scotland/GBR_SCT_Aonach.Mor.030410_TMYx.zip</v>
      </c>
    </row>
    <row r="4990" spans="1:10" x14ac:dyDescent="0.25">
      <c r="A4990" t="s">
        <v>3587</v>
      </c>
      <c r="B4990" t="s">
        <v>3588</v>
      </c>
      <c r="C4990" t="s">
        <v>3679</v>
      </c>
      <c r="D4990" s="1" t="s">
        <v>3680</v>
      </c>
      <c r="E4990" t="s">
        <v>3681</v>
      </c>
      <c r="F4990">
        <v>58.283000000000001</v>
      </c>
      <c r="G4990">
        <v>-4.4329999999999998</v>
      </c>
      <c r="H4990">
        <v>0</v>
      </c>
      <c r="I4990">
        <v>80</v>
      </c>
      <c r="J4990" t="str">
        <f>HYPERLINK("https://climate.onebuilding.org/WMO_Region_6_Europe/GBR_United_Kingdom/SCT_Scotland/GBR_SCT_Altnaharra.030440_TMYx.2004-2018.zip")</f>
        <v>https://climate.onebuilding.org/WMO_Region_6_Europe/GBR_United_Kingdom/SCT_Scotland/GBR_SCT_Altnaharra.030440_TMYx.2004-2018.zip</v>
      </c>
    </row>
    <row r="4991" spans="1:10" x14ac:dyDescent="0.25">
      <c r="A4991" t="s">
        <v>3587</v>
      </c>
      <c r="B4991" t="s">
        <v>3588</v>
      </c>
      <c r="C4991" t="s">
        <v>3679</v>
      </c>
      <c r="D4991" s="1" t="s">
        <v>3680</v>
      </c>
      <c r="E4991" t="s">
        <v>14</v>
      </c>
      <c r="F4991">
        <v>58.287799999999997</v>
      </c>
      <c r="G4991">
        <v>-4.4424999999999999</v>
      </c>
      <c r="H4991">
        <v>0</v>
      </c>
      <c r="I4991">
        <v>80</v>
      </c>
      <c r="J4991" t="str">
        <f>HYPERLINK("https://climate.onebuilding.org/WMO_Region_6_Europe/GBR_United_Kingdom/SCT_Scotland/GBR_SCT_Altnaharra.030440_TMYx.2007-2021.zip")</f>
        <v>https://climate.onebuilding.org/WMO_Region_6_Europe/GBR_United_Kingdom/SCT_Scotland/GBR_SCT_Altnaharra.030440_TMYx.2007-2021.zip</v>
      </c>
    </row>
    <row r="4992" spans="1:10" x14ac:dyDescent="0.25">
      <c r="A4992" t="s">
        <v>3587</v>
      </c>
      <c r="B4992" t="s">
        <v>3588</v>
      </c>
      <c r="C4992" t="s">
        <v>3679</v>
      </c>
      <c r="D4992" s="1" t="s">
        <v>3680</v>
      </c>
      <c r="E4992" t="s">
        <v>14</v>
      </c>
      <c r="F4992">
        <v>58.287799999999997</v>
      </c>
      <c r="G4992">
        <v>-4.4424999999999999</v>
      </c>
      <c r="H4992">
        <v>0</v>
      </c>
      <c r="I4992">
        <v>80</v>
      </c>
      <c r="J4992" t="str">
        <f>HYPERLINK("https://climate.onebuilding.org/WMO_Region_6_Europe/GBR_United_Kingdom/SCT_Scotland/GBR_SCT_Altnaharra.030440_TMYx.2009-2023.zip")</f>
        <v>https://climate.onebuilding.org/WMO_Region_6_Europe/GBR_United_Kingdom/SCT_Scotland/GBR_SCT_Altnaharra.030440_TMYx.2009-2023.zip</v>
      </c>
    </row>
    <row r="4993" spans="1:10" x14ac:dyDescent="0.25">
      <c r="A4993" t="s">
        <v>3587</v>
      </c>
      <c r="B4993" t="s">
        <v>3588</v>
      </c>
      <c r="C4993" t="s">
        <v>3679</v>
      </c>
      <c r="D4993" s="1" t="s">
        <v>3680</v>
      </c>
      <c r="E4993" t="s">
        <v>14</v>
      </c>
      <c r="F4993">
        <v>58.287799999999997</v>
      </c>
      <c r="G4993">
        <v>-4.4424999999999999</v>
      </c>
      <c r="H4993">
        <v>0</v>
      </c>
      <c r="I4993">
        <v>80</v>
      </c>
      <c r="J4993" t="str">
        <f>HYPERLINK("https://climate.onebuilding.org/WMO_Region_6_Europe/GBR_United_Kingdom/SCT_Scotland/GBR_SCT_Altnaharra.030440_TMYx.zip")</f>
        <v>https://climate.onebuilding.org/WMO_Region_6_Europe/GBR_United_Kingdom/SCT_Scotland/GBR_SCT_Altnaharra.030440_TMYx.zip</v>
      </c>
    </row>
    <row r="4994" spans="1:10" x14ac:dyDescent="0.25">
      <c r="A4994" t="s">
        <v>3587</v>
      </c>
      <c r="B4994" t="s">
        <v>3588</v>
      </c>
      <c r="C4994" t="s">
        <v>3682</v>
      </c>
      <c r="D4994" s="1" t="s">
        <v>3683</v>
      </c>
      <c r="E4994" t="s">
        <v>3684</v>
      </c>
      <c r="F4994">
        <v>56.866999999999997</v>
      </c>
      <c r="G4994">
        <v>-4.7</v>
      </c>
      <c r="H4994">
        <v>0</v>
      </c>
      <c r="I4994">
        <v>249</v>
      </c>
      <c r="J4994" t="str">
        <f>HYPERLINK("https://climate.onebuilding.org/WMO_Region_6_Europe/GBR_United_Kingdom/SCT_Scotland/GBR_SCT_Tulloch.Bridge.030470_TMYx.2004-2018.zip")</f>
        <v>https://climate.onebuilding.org/WMO_Region_6_Europe/GBR_United_Kingdom/SCT_Scotland/GBR_SCT_Tulloch.Bridge.030470_TMYx.2004-2018.zip</v>
      </c>
    </row>
    <row r="4995" spans="1:10" x14ac:dyDescent="0.25">
      <c r="A4995" t="s">
        <v>3587</v>
      </c>
      <c r="B4995" t="s">
        <v>3588</v>
      </c>
      <c r="C4995" t="s">
        <v>3682</v>
      </c>
      <c r="D4995" s="1" t="s">
        <v>3683</v>
      </c>
      <c r="E4995" t="s">
        <v>14</v>
      </c>
      <c r="F4995">
        <v>56.866900000000001</v>
      </c>
      <c r="G4995">
        <v>-4.7081</v>
      </c>
      <c r="H4995">
        <v>0</v>
      </c>
      <c r="I4995">
        <v>249</v>
      </c>
      <c r="J4995" t="str">
        <f>HYPERLINK("https://climate.onebuilding.org/WMO_Region_6_Europe/GBR_United_Kingdom/SCT_Scotland/GBR_SCT_Tulloch.Bridge.030470_TMYx.2007-2021.zip")</f>
        <v>https://climate.onebuilding.org/WMO_Region_6_Europe/GBR_United_Kingdom/SCT_Scotland/GBR_SCT_Tulloch.Bridge.030470_TMYx.2007-2021.zip</v>
      </c>
    </row>
    <row r="4996" spans="1:10" x14ac:dyDescent="0.25">
      <c r="A4996" t="s">
        <v>3587</v>
      </c>
      <c r="B4996" t="s">
        <v>3588</v>
      </c>
      <c r="C4996" t="s">
        <v>3682</v>
      </c>
      <c r="D4996" s="1" t="s">
        <v>3683</v>
      </c>
      <c r="E4996" t="s">
        <v>14</v>
      </c>
      <c r="F4996">
        <v>56.866900000000001</v>
      </c>
      <c r="G4996">
        <v>-4.7081</v>
      </c>
      <c r="H4996">
        <v>0</v>
      </c>
      <c r="I4996">
        <v>249</v>
      </c>
      <c r="J4996" t="str">
        <f>HYPERLINK("https://climate.onebuilding.org/WMO_Region_6_Europe/GBR_United_Kingdom/SCT_Scotland/GBR_SCT_Tulloch.Bridge.030470_TMYx.2009-2023.zip")</f>
        <v>https://climate.onebuilding.org/WMO_Region_6_Europe/GBR_United_Kingdom/SCT_Scotland/GBR_SCT_Tulloch.Bridge.030470_TMYx.2009-2023.zip</v>
      </c>
    </row>
    <row r="4997" spans="1:10" x14ac:dyDescent="0.25">
      <c r="A4997" t="s">
        <v>3587</v>
      </c>
      <c r="B4997" t="s">
        <v>3588</v>
      </c>
      <c r="C4997" t="s">
        <v>3682</v>
      </c>
      <c r="D4997" s="1" t="s">
        <v>3683</v>
      </c>
      <c r="E4997" t="s">
        <v>14</v>
      </c>
      <c r="F4997">
        <v>56.866900000000001</v>
      </c>
      <c r="G4997">
        <v>-4.7081</v>
      </c>
      <c r="H4997">
        <v>0</v>
      </c>
      <c r="I4997">
        <v>249</v>
      </c>
      <c r="J4997" t="str">
        <f>HYPERLINK("https://climate.onebuilding.org/WMO_Region_6_Europe/GBR_United_Kingdom/SCT_Scotland/GBR_SCT_Tulloch.Bridge.030470_TMYx.zip")</f>
        <v>https://climate.onebuilding.org/WMO_Region_6_Europe/GBR_United_Kingdom/SCT_Scotland/GBR_SCT_Tulloch.Bridge.030470_TMYx.zip</v>
      </c>
    </row>
    <row r="4998" spans="1:10" x14ac:dyDescent="0.25">
      <c r="A4998" t="s">
        <v>3587</v>
      </c>
      <c r="B4998" t="s">
        <v>3588</v>
      </c>
      <c r="C4998" t="s">
        <v>3685</v>
      </c>
      <c r="D4998" s="1" t="s">
        <v>3686</v>
      </c>
      <c r="E4998" t="s">
        <v>14</v>
      </c>
      <c r="F4998">
        <v>58.625</v>
      </c>
      <c r="G4998">
        <v>-5</v>
      </c>
      <c r="H4998">
        <v>0</v>
      </c>
      <c r="I4998">
        <v>112</v>
      </c>
      <c r="J4998" t="str">
        <f>HYPERLINK("https://climate.onebuilding.org/WMO_Region_6_Europe/GBR_United_Kingdom/SCT_Scotland/GBR_SCT_Cape.Wrath.Lighthouse.030490_TMYx.zip")</f>
        <v>https://climate.onebuilding.org/WMO_Region_6_Europe/GBR_United_Kingdom/SCT_Scotland/GBR_SCT_Cape.Wrath.Lighthouse.030490_TMYx.zip</v>
      </c>
    </row>
    <row r="4999" spans="1:10" x14ac:dyDescent="0.25">
      <c r="A4999" t="s">
        <v>3587</v>
      </c>
      <c r="B4999" t="s">
        <v>3588</v>
      </c>
      <c r="C4999" t="s">
        <v>3687</v>
      </c>
      <c r="D4999" s="1" t="s">
        <v>3688</v>
      </c>
      <c r="E4999" t="s">
        <v>14</v>
      </c>
      <c r="F4999">
        <v>57.133000000000003</v>
      </c>
      <c r="G4999">
        <v>-4.7169999999999996</v>
      </c>
      <c r="H4999">
        <v>0</v>
      </c>
      <c r="I4999">
        <v>41</v>
      </c>
      <c r="J4999" t="str">
        <f>HYPERLINK("https://climate.onebuilding.org/WMO_Region_6_Europe/GBR_United_Kingdom/SCT_Scotland/GBR_SCT_Fort.Augustus.030500_TMYx.zip")</f>
        <v>https://climate.onebuilding.org/WMO_Region_6_Europe/GBR_United_Kingdom/SCT_Scotland/GBR_SCT_Fort.Augustus.030500_TMYx.zip</v>
      </c>
    </row>
    <row r="5000" spans="1:10" x14ac:dyDescent="0.25">
      <c r="A5000" t="s">
        <v>3587</v>
      </c>
      <c r="B5000" t="s">
        <v>3588</v>
      </c>
      <c r="C5000" t="s">
        <v>3689</v>
      </c>
      <c r="D5000" s="1" t="s">
        <v>3690</v>
      </c>
      <c r="E5000" t="s">
        <v>14</v>
      </c>
      <c r="F5000">
        <v>58.6</v>
      </c>
      <c r="G5000">
        <v>-4.0170000000000003</v>
      </c>
      <c r="H5000">
        <v>0</v>
      </c>
      <c r="I5000">
        <v>32</v>
      </c>
      <c r="J5000" t="str">
        <f>HYPERLINK("https://climate.onebuilding.org/WMO_Region_6_Europe/GBR_United_Kingdom/SCT_Scotland/GBR_SCT_Strathy.Pt.Lighthouse.030540_TMYx.zip")</f>
        <v>https://climate.onebuilding.org/WMO_Region_6_Europe/GBR_United_Kingdom/SCT_Scotland/GBR_SCT_Strathy.Pt.Lighthouse.030540_TMYx.zip</v>
      </c>
    </row>
    <row r="5001" spans="1:10" x14ac:dyDescent="0.25">
      <c r="A5001" t="s">
        <v>3587</v>
      </c>
      <c r="B5001" t="s">
        <v>3588</v>
      </c>
      <c r="C5001" t="s">
        <v>3691</v>
      </c>
      <c r="D5001" s="1" t="s">
        <v>3692</v>
      </c>
      <c r="E5001" t="s">
        <v>14</v>
      </c>
      <c r="F5001">
        <v>58.866999999999997</v>
      </c>
      <c r="G5001">
        <v>-3.383</v>
      </c>
      <c r="H5001">
        <v>0</v>
      </c>
      <c r="I5001">
        <v>18</v>
      </c>
      <c r="J5001" t="str">
        <f>HYPERLINK("https://climate.onebuilding.org/WMO_Region_6_Europe/GBR_United_Kingdom/SCT_Scotland/GBR_SCT_Rackwick-Orkney.Islands.030550_TMYx.zip")</f>
        <v>https://climate.onebuilding.org/WMO_Region_6_Europe/GBR_United_Kingdom/SCT_Scotland/GBR_SCT_Rackwick-Orkney.Islands.030550_TMYx.zip</v>
      </c>
    </row>
    <row r="5002" spans="1:10" x14ac:dyDescent="0.25">
      <c r="A5002" t="s">
        <v>3587</v>
      </c>
      <c r="B5002" t="s">
        <v>3588</v>
      </c>
      <c r="C5002" t="s">
        <v>3693</v>
      </c>
      <c r="D5002" s="1" t="s">
        <v>3694</v>
      </c>
      <c r="E5002" t="s">
        <v>14</v>
      </c>
      <c r="F5002">
        <v>57.267000000000003</v>
      </c>
      <c r="G5002">
        <v>-4.4829999999999997</v>
      </c>
      <c r="H5002">
        <v>0</v>
      </c>
      <c r="I5002">
        <v>21</v>
      </c>
      <c r="J5002" t="str">
        <f>HYPERLINK("https://climate.onebuilding.org/WMO_Region_6_Europe/GBR_United_Kingdom/SCT_Scotland/GBR_SCT_Foyers.030570_TMYx.zip")</f>
        <v>https://climate.onebuilding.org/WMO_Region_6_Europe/GBR_United_Kingdom/SCT_Scotland/GBR_SCT_Foyers.030570_TMYx.zip</v>
      </c>
    </row>
    <row r="5003" spans="1:10" x14ac:dyDescent="0.25">
      <c r="A5003" t="s">
        <v>3587</v>
      </c>
      <c r="B5003" t="s">
        <v>3588</v>
      </c>
      <c r="C5003" t="s">
        <v>3695</v>
      </c>
      <c r="D5003" s="1" t="s">
        <v>3696</v>
      </c>
      <c r="E5003" t="s">
        <v>14</v>
      </c>
      <c r="F5003">
        <v>57.683</v>
      </c>
      <c r="G5003">
        <v>-4.1669999999999998</v>
      </c>
      <c r="H5003">
        <v>0</v>
      </c>
      <c r="I5003">
        <v>3</v>
      </c>
      <c r="J5003" t="str">
        <f>HYPERLINK("https://climate.onebuilding.org/WMO_Region_6_Europe/GBR_United_Kingdom/SCT_Scotland/GBR_SCT_Invergordon.Harbour.030580_TMYx.zip")</f>
        <v>https://climate.onebuilding.org/WMO_Region_6_Europe/GBR_United_Kingdom/SCT_Scotland/GBR_SCT_Invergordon.Harbour.030580_TMYx.zip</v>
      </c>
    </row>
    <row r="5004" spans="1:10" x14ac:dyDescent="0.25">
      <c r="A5004" t="s">
        <v>3587</v>
      </c>
      <c r="B5004" t="s">
        <v>3588</v>
      </c>
      <c r="C5004" t="s">
        <v>3697</v>
      </c>
      <c r="D5004" s="1" t="s">
        <v>3698</v>
      </c>
      <c r="E5004" t="s">
        <v>3699</v>
      </c>
      <c r="F5004">
        <v>57.542999999999999</v>
      </c>
      <c r="G5004">
        <v>-4.048</v>
      </c>
      <c r="H5004">
        <v>0</v>
      </c>
      <c r="I5004">
        <v>9.4</v>
      </c>
      <c r="J5004" t="str">
        <f>HYPERLINK("https://climate.onebuilding.org/WMO_Region_6_Europe/GBR_United_Kingdom/SCT_Scotland/GBR_SCT_Inverness.AP.030590_TMYx.2004-2018.zip")</f>
        <v>https://climate.onebuilding.org/WMO_Region_6_Europe/GBR_United_Kingdom/SCT_Scotland/GBR_SCT_Inverness.AP.030590_TMYx.2004-2018.zip</v>
      </c>
    </row>
    <row r="5005" spans="1:10" x14ac:dyDescent="0.25">
      <c r="A5005" t="s">
        <v>3587</v>
      </c>
      <c r="B5005" t="s">
        <v>3588</v>
      </c>
      <c r="C5005" t="s">
        <v>3697</v>
      </c>
      <c r="D5005" s="1" t="s">
        <v>3698</v>
      </c>
      <c r="E5005" t="s">
        <v>14</v>
      </c>
      <c r="F5005">
        <v>57.542999999999999</v>
      </c>
      <c r="G5005">
        <v>-4.048</v>
      </c>
      <c r="H5005">
        <v>0</v>
      </c>
      <c r="I5005">
        <v>9.4</v>
      </c>
      <c r="J5005" t="str">
        <f>HYPERLINK("https://climate.onebuilding.org/WMO_Region_6_Europe/GBR_United_Kingdom/SCT_Scotland/GBR_SCT_Inverness.AP.030590_TMYx.2007-2021.zip")</f>
        <v>https://climate.onebuilding.org/WMO_Region_6_Europe/GBR_United_Kingdom/SCT_Scotland/GBR_SCT_Inverness.AP.030590_TMYx.2007-2021.zip</v>
      </c>
    </row>
    <row r="5006" spans="1:10" x14ac:dyDescent="0.25">
      <c r="A5006" t="s">
        <v>3587</v>
      </c>
      <c r="B5006" t="s">
        <v>3588</v>
      </c>
      <c r="C5006" t="s">
        <v>3697</v>
      </c>
      <c r="D5006" s="1" t="s">
        <v>3698</v>
      </c>
      <c r="E5006" t="s">
        <v>14</v>
      </c>
      <c r="F5006">
        <v>57.542999999999999</v>
      </c>
      <c r="G5006">
        <v>-4.048</v>
      </c>
      <c r="H5006">
        <v>0</v>
      </c>
      <c r="I5006">
        <v>9.4</v>
      </c>
      <c r="J5006" t="str">
        <f>HYPERLINK("https://climate.onebuilding.org/WMO_Region_6_Europe/GBR_United_Kingdom/SCT_Scotland/GBR_SCT_Inverness.AP.030590_TMYx.2009-2023.zip")</f>
        <v>https://climate.onebuilding.org/WMO_Region_6_Europe/GBR_United_Kingdom/SCT_Scotland/GBR_SCT_Inverness.AP.030590_TMYx.2009-2023.zip</v>
      </c>
    </row>
    <row r="5007" spans="1:10" x14ac:dyDescent="0.25">
      <c r="A5007" t="s">
        <v>3587</v>
      </c>
      <c r="B5007" t="s">
        <v>3588</v>
      </c>
      <c r="C5007" t="s">
        <v>3697</v>
      </c>
      <c r="D5007" s="1" t="s">
        <v>3698</v>
      </c>
      <c r="E5007" t="s">
        <v>14</v>
      </c>
      <c r="F5007">
        <v>57.542999999999999</v>
      </c>
      <c r="G5007">
        <v>-4.048</v>
      </c>
      <c r="H5007">
        <v>0</v>
      </c>
      <c r="I5007">
        <v>9.4</v>
      </c>
      <c r="J5007" t="str">
        <f>HYPERLINK("https://climate.onebuilding.org/WMO_Region_6_Europe/GBR_United_Kingdom/SCT_Scotland/GBR_SCT_Inverness.AP.030590_TMYx.zip")</f>
        <v>https://climate.onebuilding.org/WMO_Region_6_Europe/GBR_United_Kingdom/SCT_Scotland/GBR_SCT_Inverness.AP.030590_TMYx.zip</v>
      </c>
    </row>
    <row r="5008" spans="1:10" x14ac:dyDescent="0.25">
      <c r="A5008" t="s">
        <v>3587</v>
      </c>
      <c r="B5008" t="s">
        <v>3588</v>
      </c>
      <c r="C5008" t="s">
        <v>3700</v>
      </c>
      <c r="D5008" s="1" t="s">
        <v>3701</v>
      </c>
      <c r="E5008" t="s">
        <v>14</v>
      </c>
      <c r="F5008">
        <v>56.7</v>
      </c>
      <c r="G5008">
        <v>-4.0170000000000003</v>
      </c>
      <c r="H5008">
        <v>0</v>
      </c>
      <c r="I5008">
        <v>145</v>
      </c>
      <c r="J5008" t="str">
        <f>HYPERLINK("https://climate.onebuilding.org/WMO_Region_6_Europe/GBR_United_Kingdom/SCT_Scotland/GBR_SCT_Tummel.Bridge.030600_TMYx.zip")</f>
        <v>https://climate.onebuilding.org/WMO_Region_6_Europe/GBR_United_Kingdom/SCT_Scotland/GBR_SCT_Tummel.Bridge.030600_TMYx.zip</v>
      </c>
    </row>
    <row r="5009" spans="1:10" x14ac:dyDescent="0.25">
      <c r="A5009" t="s">
        <v>3587</v>
      </c>
      <c r="B5009" t="s">
        <v>3588</v>
      </c>
      <c r="C5009" t="s">
        <v>3702</v>
      </c>
      <c r="D5009" s="1" t="s">
        <v>3703</v>
      </c>
      <c r="E5009" t="s">
        <v>14</v>
      </c>
      <c r="F5009">
        <v>57.865000000000002</v>
      </c>
      <c r="G5009">
        <v>-3.7770000000000001</v>
      </c>
      <c r="H5009">
        <v>0</v>
      </c>
      <c r="I5009">
        <v>18</v>
      </c>
      <c r="J5009" t="str">
        <f>HYPERLINK("https://climate.onebuilding.org/WMO_Region_6_Europe/GBR_United_Kingdom/SCT_Scotland/GBR_SCT_Tarbat.Ness.Cape.030610_TMYx.zip")</f>
        <v>https://climate.onebuilding.org/WMO_Region_6_Europe/GBR_United_Kingdom/SCT_Scotland/GBR_SCT_Tarbat.Ness.Cape.030610_TMYx.zip</v>
      </c>
    </row>
    <row r="5010" spans="1:10" x14ac:dyDescent="0.25">
      <c r="A5010" t="s">
        <v>3587</v>
      </c>
      <c r="B5010" t="s">
        <v>3588</v>
      </c>
      <c r="C5010" t="s">
        <v>3704</v>
      </c>
      <c r="D5010" s="1" t="s">
        <v>3705</v>
      </c>
      <c r="E5010" t="s">
        <v>3706</v>
      </c>
      <c r="F5010">
        <v>57.817</v>
      </c>
      <c r="G5010">
        <v>-3.9670000000000001</v>
      </c>
      <c r="H5010">
        <v>0</v>
      </c>
      <c r="I5010">
        <v>4</v>
      </c>
      <c r="J5010" t="str">
        <f>HYPERLINK("https://climate.onebuilding.org/WMO_Region_6_Europe/GBR_United_Kingdom/SCT_Scotland/GBR_SCT_Tain.Range.SAWS.Met.Stn.030620_TMYx.2004-2018.zip")</f>
        <v>https://climate.onebuilding.org/WMO_Region_6_Europe/GBR_United_Kingdom/SCT_Scotland/GBR_SCT_Tain.Range.SAWS.Met.Stn.030620_TMYx.2004-2018.zip</v>
      </c>
    </row>
    <row r="5011" spans="1:10" x14ac:dyDescent="0.25">
      <c r="A5011" t="s">
        <v>3587</v>
      </c>
      <c r="B5011" t="s">
        <v>3588</v>
      </c>
      <c r="C5011" t="s">
        <v>3704</v>
      </c>
      <c r="D5011" s="1" t="s">
        <v>3705</v>
      </c>
      <c r="E5011" t="s">
        <v>14</v>
      </c>
      <c r="F5011">
        <v>57.818899999999999</v>
      </c>
      <c r="G5011">
        <v>-3.9666999999999999</v>
      </c>
      <c r="H5011">
        <v>0</v>
      </c>
      <c r="I5011">
        <v>4</v>
      </c>
      <c r="J5011" t="str">
        <f>HYPERLINK("https://climate.onebuilding.org/WMO_Region_6_Europe/GBR_United_Kingdom/SCT_Scotland/GBR_SCT_Tain.Range.SAWS.Met.Stn.030620_TMYx.2007-2021.zip")</f>
        <v>https://climate.onebuilding.org/WMO_Region_6_Europe/GBR_United_Kingdom/SCT_Scotland/GBR_SCT_Tain.Range.SAWS.Met.Stn.030620_TMYx.2007-2021.zip</v>
      </c>
    </row>
    <row r="5012" spans="1:10" x14ac:dyDescent="0.25">
      <c r="A5012" t="s">
        <v>3587</v>
      </c>
      <c r="B5012" t="s">
        <v>3588</v>
      </c>
      <c r="C5012" t="s">
        <v>3704</v>
      </c>
      <c r="D5012" s="1" t="s">
        <v>3705</v>
      </c>
      <c r="E5012" t="s">
        <v>14</v>
      </c>
      <c r="F5012">
        <v>57.818899999999999</v>
      </c>
      <c r="G5012">
        <v>-3.9666999999999999</v>
      </c>
      <c r="H5012">
        <v>0</v>
      </c>
      <c r="I5012">
        <v>4</v>
      </c>
      <c r="J5012" t="str">
        <f>HYPERLINK("https://climate.onebuilding.org/WMO_Region_6_Europe/GBR_United_Kingdom/SCT_Scotland/GBR_SCT_Tain.Range.SAWS.Met.Stn.030620_TMYx.2009-2023.zip")</f>
        <v>https://climate.onebuilding.org/WMO_Region_6_Europe/GBR_United_Kingdom/SCT_Scotland/GBR_SCT_Tain.Range.SAWS.Met.Stn.030620_TMYx.2009-2023.zip</v>
      </c>
    </row>
    <row r="5013" spans="1:10" x14ac:dyDescent="0.25">
      <c r="A5013" t="s">
        <v>3587</v>
      </c>
      <c r="B5013" t="s">
        <v>3588</v>
      </c>
      <c r="C5013" t="s">
        <v>3704</v>
      </c>
      <c r="D5013" s="1" t="s">
        <v>3705</v>
      </c>
      <c r="E5013" t="s">
        <v>14</v>
      </c>
      <c r="F5013">
        <v>57.818899999999999</v>
      </c>
      <c r="G5013">
        <v>-3.9666999999999999</v>
      </c>
      <c r="H5013">
        <v>0</v>
      </c>
      <c r="I5013">
        <v>4</v>
      </c>
      <c r="J5013" t="str">
        <f>HYPERLINK("https://climate.onebuilding.org/WMO_Region_6_Europe/GBR_United_Kingdom/SCT_Scotland/GBR_SCT_Tain.Range.SAWS.Met.Stn.030620_TMYx.zip")</f>
        <v>https://climate.onebuilding.org/WMO_Region_6_Europe/GBR_United_Kingdom/SCT_Scotland/GBR_SCT_Tain.Range.SAWS.Met.Stn.030620_TMYx.zip</v>
      </c>
    </row>
    <row r="5014" spans="1:10" x14ac:dyDescent="0.25">
      <c r="A5014" t="s">
        <v>3587</v>
      </c>
      <c r="B5014" t="s">
        <v>3588</v>
      </c>
      <c r="C5014" t="s">
        <v>3707</v>
      </c>
      <c r="D5014" s="1" t="s">
        <v>3708</v>
      </c>
      <c r="E5014" t="s">
        <v>3709</v>
      </c>
      <c r="F5014">
        <v>57.2</v>
      </c>
      <c r="G5014">
        <v>-3.8330000000000002</v>
      </c>
      <c r="H5014">
        <v>0</v>
      </c>
      <c r="I5014">
        <v>228</v>
      </c>
      <c r="J5014" t="str">
        <f>HYPERLINK("https://climate.onebuilding.org/WMO_Region_6_Europe/GBR_United_Kingdom/SCT_Scotland/GBR_SCT_Aviemore.030630_TMYx.2004-2018.zip")</f>
        <v>https://climate.onebuilding.org/WMO_Region_6_Europe/GBR_United_Kingdom/SCT_Scotland/GBR_SCT_Aviemore.030630_TMYx.2004-2018.zip</v>
      </c>
    </row>
    <row r="5015" spans="1:10" x14ac:dyDescent="0.25">
      <c r="A5015" t="s">
        <v>3587</v>
      </c>
      <c r="B5015" t="s">
        <v>3588</v>
      </c>
      <c r="C5015" t="s">
        <v>3707</v>
      </c>
      <c r="D5015" s="1" t="s">
        <v>3708</v>
      </c>
      <c r="E5015" t="s">
        <v>14</v>
      </c>
      <c r="F5015">
        <v>57.206400000000002</v>
      </c>
      <c r="G5015">
        <v>-3.8283</v>
      </c>
      <c r="H5015">
        <v>0</v>
      </c>
      <c r="I5015">
        <v>228</v>
      </c>
      <c r="J5015" t="str">
        <f>HYPERLINK("https://climate.onebuilding.org/WMO_Region_6_Europe/GBR_United_Kingdom/SCT_Scotland/GBR_SCT_Aviemore.030630_TMYx.2007-2021.zip")</f>
        <v>https://climate.onebuilding.org/WMO_Region_6_Europe/GBR_United_Kingdom/SCT_Scotland/GBR_SCT_Aviemore.030630_TMYx.2007-2021.zip</v>
      </c>
    </row>
    <row r="5016" spans="1:10" x14ac:dyDescent="0.25">
      <c r="A5016" t="s">
        <v>3587</v>
      </c>
      <c r="B5016" t="s">
        <v>3588</v>
      </c>
      <c r="C5016" t="s">
        <v>3707</v>
      </c>
      <c r="D5016" s="1" t="s">
        <v>3708</v>
      </c>
      <c r="E5016" t="s">
        <v>14</v>
      </c>
      <c r="F5016">
        <v>57.206400000000002</v>
      </c>
      <c r="G5016">
        <v>-3.8283</v>
      </c>
      <c r="H5016">
        <v>0</v>
      </c>
      <c r="I5016">
        <v>228</v>
      </c>
      <c r="J5016" t="str">
        <f>HYPERLINK("https://climate.onebuilding.org/WMO_Region_6_Europe/GBR_United_Kingdom/SCT_Scotland/GBR_SCT_Aviemore.030630_TMYx.2009-2023.zip")</f>
        <v>https://climate.onebuilding.org/WMO_Region_6_Europe/GBR_United_Kingdom/SCT_Scotland/GBR_SCT_Aviemore.030630_TMYx.2009-2023.zip</v>
      </c>
    </row>
    <row r="5017" spans="1:10" x14ac:dyDescent="0.25">
      <c r="A5017" t="s">
        <v>3587</v>
      </c>
      <c r="B5017" t="s">
        <v>3588</v>
      </c>
      <c r="C5017" t="s">
        <v>3707</v>
      </c>
      <c r="D5017" s="1" t="s">
        <v>3708</v>
      </c>
      <c r="E5017" t="s">
        <v>14</v>
      </c>
      <c r="F5017">
        <v>57.206400000000002</v>
      </c>
      <c r="G5017">
        <v>-3.8283</v>
      </c>
      <c r="H5017">
        <v>0</v>
      </c>
      <c r="I5017">
        <v>228</v>
      </c>
      <c r="J5017" t="str">
        <f>HYPERLINK("https://climate.onebuilding.org/WMO_Region_6_Europe/GBR_United_Kingdom/SCT_Scotland/GBR_SCT_Aviemore.030630_TMYx.zip")</f>
        <v>https://climate.onebuilding.org/WMO_Region_6_Europe/GBR_United_Kingdom/SCT_Scotland/GBR_SCT_Aviemore.030630_TMYx.zip</v>
      </c>
    </row>
    <row r="5018" spans="1:10" x14ac:dyDescent="0.25">
      <c r="A5018" t="s">
        <v>3587</v>
      </c>
      <c r="B5018" t="s">
        <v>3588</v>
      </c>
      <c r="C5018" t="s">
        <v>3710</v>
      </c>
      <c r="D5018" s="1" t="s">
        <v>3711</v>
      </c>
      <c r="E5018" t="s">
        <v>14</v>
      </c>
      <c r="F5018">
        <v>57.167000000000002</v>
      </c>
      <c r="G5018">
        <v>-3.7</v>
      </c>
      <c r="H5018">
        <v>0</v>
      </c>
      <c r="I5018">
        <v>341</v>
      </c>
      <c r="J5018" t="str">
        <f>HYPERLINK("https://climate.onebuilding.org/WMO_Region_6_Europe/GBR_United_Kingdom/SCT_Scotland/GBR_SCT_Glenmore.Lodge.030640_TMYx.zip")</f>
        <v>https://climate.onebuilding.org/WMO_Region_6_Europe/GBR_United_Kingdom/SCT_Scotland/GBR_SCT_Glenmore.Lodge.030640_TMYx.zip</v>
      </c>
    </row>
    <row r="5019" spans="1:10" x14ac:dyDescent="0.25">
      <c r="A5019" t="s">
        <v>3587</v>
      </c>
      <c r="B5019" t="s">
        <v>3588</v>
      </c>
      <c r="C5019" t="s">
        <v>3712</v>
      </c>
      <c r="D5019" s="1" t="s">
        <v>3713</v>
      </c>
      <c r="E5019" t="s">
        <v>3714</v>
      </c>
      <c r="F5019">
        <v>57.116999999999997</v>
      </c>
      <c r="G5019">
        <v>-3.633</v>
      </c>
      <c r="H5019">
        <v>0</v>
      </c>
      <c r="I5019">
        <v>1245</v>
      </c>
      <c r="J5019" t="str">
        <f>HYPERLINK("https://climate.onebuilding.org/WMO_Region_6_Europe/GBR_United_Kingdom/SCT_Scotland/GBR_SCT_Cairngorm.Summit.030650_TMYx.2004-2018.zip")</f>
        <v>https://climate.onebuilding.org/WMO_Region_6_Europe/GBR_United_Kingdom/SCT_Scotland/GBR_SCT_Cairngorm.Summit.030650_TMYx.2004-2018.zip</v>
      </c>
    </row>
    <row r="5020" spans="1:10" x14ac:dyDescent="0.25">
      <c r="A5020" t="s">
        <v>3587</v>
      </c>
      <c r="B5020" t="s">
        <v>3588</v>
      </c>
      <c r="C5020" t="s">
        <v>3712</v>
      </c>
      <c r="D5020" s="1" t="s">
        <v>3713</v>
      </c>
      <c r="E5020" t="s">
        <v>14</v>
      </c>
      <c r="F5020">
        <v>57.116300000000003</v>
      </c>
      <c r="G5020">
        <v>-3.6438999999999999</v>
      </c>
      <c r="H5020">
        <v>0</v>
      </c>
      <c r="I5020">
        <v>1245</v>
      </c>
      <c r="J5020" t="str">
        <f>HYPERLINK("https://climate.onebuilding.org/WMO_Region_6_Europe/GBR_United_Kingdom/SCT_Scotland/GBR_SCT_Cairngorm.Summit.030650_TMYx.2007-2021.zip")</f>
        <v>https://climate.onebuilding.org/WMO_Region_6_Europe/GBR_United_Kingdom/SCT_Scotland/GBR_SCT_Cairngorm.Summit.030650_TMYx.2007-2021.zip</v>
      </c>
    </row>
    <row r="5021" spans="1:10" x14ac:dyDescent="0.25">
      <c r="A5021" t="s">
        <v>3587</v>
      </c>
      <c r="B5021" t="s">
        <v>3588</v>
      </c>
      <c r="C5021" t="s">
        <v>3712</v>
      </c>
      <c r="D5021" s="1" t="s">
        <v>3713</v>
      </c>
      <c r="E5021" t="s">
        <v>14</v>
      </c>
      <c r="F5021">
        <v>57.116300000000003</v>
      </c>
      <c r="G5021">
        <v>-3.6438999999999999</v>
      </c>
      <c r="H5021">
        <v>0</v>
      </c>
      <c r="I5021">
        <v>1245</v>
      </c>
      <c r="J5021" t="str">
        <f>HYPERLINK("https://climate.onebuilding.org/WMO_Region_6_Europe/GBR_United_Kingdom/SCT_Scotland/GBR_SCT_Cairngorm.Summit.030650_TMYx.2009-2023.zip")</f>
        <v>https://climate.onebuilding.org/WMO_Region_6_Europe/GBR_United_Kingdom/SCT_Scotland/GBR_SCT_Cairngorm.Summit.030650_TMYx.2009-2023.zip</v>
      </c>
    </row>
    <row r="5022" spans="1:10" x14ac:dyDescent="0.25">
      <c r="A5022" t="s">
        <v>3587</v>
      </c>
      <c r="B5022" t="s">
        <v>3588</v>
      </c>
      <c r="C5022" t="s">
        <v>3712</v>
      </c>
      <c r="D5022" s="1" t="s">
        <v>3713</v>
      </c>
      <c r="E5022" t="s">
        <v>14</v>
      </c>
      <c r="F5022">
        <v>57.116300000000003</v>
      </c>
      <c r="G5022">
        <v>-3.6438999999999999</v>
      </c>
      <c r="H5022">
        <v>0</v>
      </c>
      <c r="I5022">
        <v>1245</v>
      </c>
      <c r="J5022" t="str">
        <f>HYPERLINK("https://climate.onebuilding.org/WMO_Region_6_Europe/GBR_United_Kingdom/SCT_Scotland/GBR_SCT_Cairngorm.Summit.030650_TMYx.zip")</f>
        <v>https://climate.onebuilding.org/WMO_Region_6_Europe/GBR_United_Kingdom/SCT_Scotland/GBR_SCT_Cairngorm.Summit.030650_TMYx.zip</v>
      </c>
    </row>
    <row r="5023" spans="1:10" x14ac:dyDescent="0.25">
      <c r="A5023" t="s">
        <v>3587</v>
      </c>
      <c r="B5023" t="s">
        <v>3588</v>
      </c>
      <c r="C5023" t="s">
        <v>3715</v>
      </c>
      <c r="D5023" s="1" t="s">
        <v>3716</v>
      </c>
      <c r="E5023" t="s">
        <v>3717</v>
      </c>
      <c r="F5023">
        <v>57.649000000000001</v>
      </c>
      <c r="G5023">
        <v>-3.5609999999999999</v>
      </c>
      <c r="H5023">
        <v>0</v>
      </c>
      <c r="I5023">
        <v>6.7</v>
      </c>
      <c r="J5023" t="str">
        <f>HYPERLINK("https://climate.onebuilding.org/WMO_Region_6_Europe/GBR_United_Kingdom/SCT_Scotland/GBR_SCT_RAF.Kinloss.030660_TMYx.2004-2018.zip")</f>
        <v>https://climate.onebuilding.org/WMO_Region_6_Europe/GBR_United_Kingdom/SCT_Scotland/GBR_SCT_RAF.Kinloss.030660_TMYx.2004-2018.zip</v>
      </c>
    </row>
    <row r="5024" spans="1:10" x14ac:dyDescent="0.25">
      <c r="A5024" t="s">
        <v>3587</v>
      </c>
      <c r="B5024" t="s">
        <v>3588</v>
      </c>
      <c r="C5024" t="s">
        <v>3715</v>
      </c>
      <c r="D5024" s="1" t="s">
        <v>3716</v>
      </c>
      <c r="E5024" t="s">
        <v>14</v>
      </c>
      <c r="F5024">
        <v>57.645600000000002</v>
      </c>
      <c r="G5024">
        <v>-3.5636000000000001</v>
      </c>
      <c r="H5024">
        <v>0</v>
      </c>
      <c r="I5024">
        <v>6.7</v>
      </c>
      <c r="J5024" t="str">
        <f>HYPERLINK("https://climate.onebuilding.org/WMO_Region_6_Europe/GBR_United_Kingdom/SCT_Scotland/GBR_SCT_RAF.Kinloss.030660_TMYx.2007-2021.zip")</f>
        <v>https://climate.onebuilding.org/WMO_Region_6_Europe/GBR_United_Kingdom/SCT_Scotland/GBR_SCT_RAF.Kinloss.030660_TMYx.2007-2021.zip</v>
      </c>
    </row>
    <row r="5025" spans="1:10" x14ac:dyDescent="0.25">
      <c r="A5025" t="s">
        <v>3587</v>
      </c>
      <c r="B5025" t="s">
        <v>3588</v>
      </c>
      <c r="C5025" t="s">
        <v>3715</v>
      </c>
      <c r="D5025" s="1" t="s">
        <v>3716</v>
      </c>
      <c r="E5025" t="s">
        <v>14</v>
      </c>
      <c r="F5025">
        <v>57.645600000000002</v>
      </c>
      <c r="G5025">
        <v>-3.5636000000000001</v>
      </c>
      <c r="H5025">
        <v>0</v>
      </c>
      <c r="I5025">
        <v>6.7</v>
      </c>
      <c r="J5025" t="str">
        <f>HYPERLINK("https://climate.onebuilding.org/WMO_Region_6_Europe/GBR_United_Kingdom/SCT_Scotland/GBR_SCT_RAF.Kinloss.030660_TMYx.2009-2023.zip")</f>
        <v>https://climate.onebuilding.org/WMO_Region_6_Europe/GBR_United_Kingdom/SCT_Scotland/GBR_SCT_RAF.Kinloss.030660_TMYx.2009-2023.zip</v>
      </c>
    </row>
    <row r="5026" spans="1:10" x14ac:dyDescent="0.25">
      <c r="A5026" t="s">
        <v>3587</v>
      </c>
      <c r="B5026" t="s">
        <v>3588</v>
      </c>
      <c r="C5026" t="s">
        <v>3715</v>
      </c>
      <c r="D5026" s="1" t="s">
        <v>3716</v>
      </c>
      <c r="E5026" t="s">
        <v>14</v>
      </c>
      <c r="F5026">
        <v>57.645600000000002</v>
      </c>
      <c r="G5026">
        <v>-3.5636000000000001</v>
      </c>
      <c r="H5026">
        <v>0</v>
      </c>
      <c r="I5026">
        <v>6.7</v>
      </c>
      <c r="J5026" t="str">
        <f>HYPERLINK("https://climate.onebuilding.org/WMO_Region_6_Europe/GBR_United_Kingdom/SCT_Scotland/GBR_SCT_RAF.Kinloss.030660_TMYx.zip")</f>
        <v>https://climate.onebuilding.org/WMO_Region_6_Europe/GBR_United_Kingdom/SCT_Scotland/GBR_SCT_RAF.Kinloss.030660_TMYx.zip</v>
      </c>
    </row>
    <row r="5027" spans="1:10" x14ac:dyDescent="0.25">
      <c r="A5027" t="s">
        <v>3587</v>
      </c>
      <c r="B5027" t="s">
        <v>3588</v>
      </c>
      <c r="C5027" t="s">
        <v>3718</v>
      </c>
      <c r="D5027" s="1" t="s">
        <v>3719</v>
      </c>
      <c r="E5027" t="s">
        <v>14</v>
      </c>
      <c r="F5027">
        <v>56.9</v>
      </c>
      <c r="G5027">
        <v>-3.633</v>
      </c>
      <c r="H5027">
        <v>0</v>
      </c>
      <c r="I5027">
        <v>560</v>
      </c>
      <c r="J5027" t="str">
        <f>HYPERLINK("https://climate.onebuilding.org/WMO_Region_6_Europe/GBR_United_Kingdom/SCT_Scotland/GBR_SCT_Fealar.Lodge.030670_TMYx.zip")</f>
        <v>https://climate.onebuilding.org/WMO_Region_6_Europe/GBR_United_Kingdom/SCT_Scotland/GBR_SCT_Fealar.Lodge.030670_TMYx.zip</v>
      </c>
    </row>
    <row r="5028" spans="1:10" x14ac:dyDescent="0.25">
      <c r="A5028" t="s">
        <v>3587</v>
      </c>
      <c r="B5028" t="s">
        <v>3588</v>
      </c>
      <c r="C5028" t="s">
        <v>3720</v>
      </c>
      <c r="D5028" s="1" t="s">
        <v>3721</v>
      </c>
      <c r="E5028" t="s">
        <v>3722</v>
      </c>
      <c r="F5028">
        <v>57.704999999999998</v>
      </c>
      <c r="G5028">
        <v>-3.339</v>
      </c>
      <c r="H5028">
        <v>0</v>
      </c>
      <c r="I5028">
        <v>12.8</v>
      </c>
      <c r="J5028" t="str">
        <f>HYPERLINK("https://climate.onebuilding.org/WMO_Region_6_Europe/GBR_United_Kingdom/SCT_Scotland/GBR_SCT_Lossiemouth.AP.030680_TMYx.2004-2018.zip")</f>
        <v>https://climate.onebuilding.org/WMO_Region_6_Europe/GBR_United_Kingdom/SCT_Scotland/GBR_SCT_Lossiemouth.AP.030680_TMYx.2004-2018.zip</v>
      </c>
    </row>
    <row r="5029" spans="1:10" x14ac:dyDescent="0.25">
      <c r="A5029" t="s">
        <v>3587</v>
      </c>
      <c r="B5029" t="s">
        <v>3588</v>
      </c>
      <c r="C5029" t="s">
        <v>3720</v>
      </c>
      <c r="D5029" s="1" t="s">
        <v>3721</v>
      </c>
      <c r="E5029" t="s">
        <v>14</v>
      </c>
      <c r="F5029">
        <v>57.711399999999998</v>
      </c>
      <c r="G5029">
        <v>-3.3233000000000001</v>
      </c>
      <c r="H5029">
        <v>0</v>
      </c>
      <c r="I5029">
        <v>12.8</v>
      </c>
      <c r="J5029" t="str">
        <f>HYPERLINK("https://climate.onebuilding.org/WMO_Region_6_Europe/GBR_United_Kingdom/SCT_Scotland/GBR_SCT_Lossiemouth.AP.030680_TMYx.2007-2021.zip")</f>
        <v>https://climate.onebuilding.org/WMO_Region_6_Europe/GBR_United_Kingdom/SCT_Scotland/GBR_SCT_Lossiemouth.AP.030680_TMYx.2007-2021.zip</v>
      </c>
    </row>
    <row r="5030" spans="1:10" x14ac:dyDescent="0.25">
      <c r="A5030" t="s">
        <v>3587</v>
      </c>
      <c r="B5030" t="s">
        <v>3588</v>
      </c>
      <c r="C5030" t="s">
        <v>3720</v>
      </c>
      <c r="D5030" s="1" t="s">
        <v>3721</v>
      </c>
      <c r="E5030" t="s">
        <v>14</v>
      </c>
      <c r="F5030">
        <v>57.711399999999998</v>
      </c>
      <c r="G5030">
        <v>-3.3233000000000001</v>
      </c>
      <c r="H5030">
        <v>0</v>
      </c>
      <c r="I5030">
        <v>12.8</v>
      </c>
      <c r="J5030" t="str">
        <f>HYPERLINK("https://climate.onebuilding.org/WMO_Region_6_Europe/GBR_United_Kingdom/SCT_Scotland/GBR_SCT_Lossiemouth.AP.030680_TMYx.2009-2023.zip")</f>
        <v>https://climate.onebuilding.org/WMO_Region_6_Europe/GBR_United_Kingdom/SCT_Scotland/GBR_SCT_Lossiemouth.AP.030680_TMYx.2009-2023.zip</v>
      </c>
    </row>
    <row r="5031" spans="1:10" x14ac:dyDescent="0.25">
      <c r="A5031" t="s">
        <v>3587</v>
      </c>
      <c r="B5031" t="s">
        <v>3588</v>
      </c>
      <c r="C5031" t="s">
        <v>3720</v>
      </c>
      <c r="D5031" s="1" t="s">
        <v>3721</v>
      </c>
      <c r="E5031" t="s">
        <v>14</v>
      </c>
      <c r="F5031">
        <v>57.711399999999998</v>
      </c>
      <c r="G5031">
        <v>-3.3233000000000001</v>
      </c>
      <c r="H5031">
        <v>0</v>
      </c>
      <c r="I5031">
        <v>12.8</v>
      </c>
      <c r="J5031" t="str">
        <f>HYPERLINK("https://climate.onebuilding.org/WMO_Region_6_Europe/GBR_United_Kingdom/SCT_Scotland/GBR_SCT_Lossiemouth.AP.030680_TMYx.zip")</f>
        <v>https://climate.onebuilding.org/WMO_Region_6_Europe/GBR_United_Kingdom/SCT_Scotland/GBR_SCT_Lossiemouth.AP.030680_TMYx.zip</v>
      </c>
    </row>
    <row r="5032" spans="1:10" x14ac:dyDescent="0.25">
      <c r="A5032" t="s">
        <v>3587</v>
      </c>
      <c r="B5032" t="s">
        <v>3588</v>
      </c>
      <c r="C5032" t="s">
        <v>3723</v>
      </c>
      <c r="D5032" s="1" t="s">
        <v>3724</v>
      </c>
      <c r="E5032" t="s">
        <v>14</v>
      </c>
      <c r="F5032">
        <v>57.35</v>
      </c>
      <c r="G5032">
        <v>-3.35</v>
      </c>
      <c r="H5032">
        <v>0</v>
      </c>
      <c r="I5032">
        <v>213</v>
      </c>
      <c r="J5032" t="str">
        <f>HYPERLINK("https://climate.onebuilding.org/WMO_Region_6_Europe/GBR_United_Kingdom/SCT_Scotland/GBR_SCT_Glenlivet.030700_TMYx.zip")</f>
        <v>https://climate.onebuilding.org/WMO_Region_6_Europe/GBR_United_Kingdom/SCT_Scotland/GBR_SCT_Glenlivet.030700_TMYx.zip</v>
      </c>
    </row>
    <row r="5033" spans="1:10" x14ac:dyDescent="0.25">
      <c r="A5033" t="s">
        <v>3587</v>
      </c>
      <c r="B5033" t="s">
        <v>3588</v>
      </c>
      <c r="C5033" t="s">
        <v>3725</v>
      </c>
      <c r="D5033" s="1" t="s">
        <v>3726</v>
      </c>
      <c r="E5033" t="s">
        <v>14</v>
      </c>
      <c r="F5033">
        <v>57.332999999999998</v>
      </c>
      <c r="G5033">
        <v>-3.633</v>
      </c>
      <c r="H5033">
        <v>0</v>
      </c>
      <c r="I5033">
        <v>335</v>
      </c>
      <c r="J5033" t="str">
        <f>HYPERLINK("https://climate.onebuilding.org/WMO_Region_6_Europe/GBR_United_Kingdom/SCT_Scotland/GBR_SCT_Grantown.on.Spey.030710_TMYx.zip")</f>
        <v>https://climate.onebuilding.org/WMO_Region_6_Europe/GBR_United_Kingdom/SCT_Scotland/GBR_SCT_Grantown.on.Spey.030710_TMYx.zip</v>
      </c>
    </row>
    <row r="5034" spans="1:10" x14ac:dyDescent="0.25">
      <c r="A5034" t="s">
        <v>3587</v>
      </c>
      <c r="B5034" t="s">
        <v>3588</v>
      </c>
      <c r="C5034" t="s">
        <v>3727</v>
      </c>
      <c r="D5034" s="1" t="s">
        <v>3728</v>
      </c>
      <c r="E5034" t="s">
        <v>3729</v>
      </c>
      <c r="F5034">
        <v>56.883000000000003</v>
      </c>
      <c r="G5034">
        <v>-3.4169999999999998</v>
      </c>
      <c r="H5034">
        <v>0</v>
      </c>
      <c r="I5034">
        <v>933</v>
      </c>
      <c r="J5034" t="str">
        <f>HYPERLINK("https://climate.onebuilding.org/WMO_Region_6_Europe/GBR_United_Kingdom/SCT_Scotland/GBR_SCT_Cairnwell.030720_TMYx.2004-2018.zip")</f>
        <v>https://climate.onebuilding.org/WMO_Region_6_Europe/GBR_United_Kingdom/SCT_Scotland/GBR_SCT_Cairnwell.030720_TMYx.2004-2018.zip</v>
      </c>
    </row>
    <row r="5035" spans="1:10" x14ac:dyDescent="0.25">
      <c r="A5035" t="s">
        <v>3587</v>
      </c>
      <c r="B5035" t="s">
        <v>3588</v>
      </c>
      <c r="C5035" t="s">
        <v>3727</v>
      </c>
      <c r="D5035" s="1" t="s">
        <v>3728</v>
      </c>
      <c r="E5035" t="s">
        <v>14</v>
      </c>
      <c r="F5035">
        <v>56.8795</v>
      </c>
      <c r="G5035">
        <v>-3.4213</v>
      </c>
      <c r="H5035">
        <v>0</v>
      </c>
      <c r="I5035">
        <v>933</v>
      </c>
      <c r="J5035" t="str">
        <f>HYPERLINK("https://climate.onebuilding.org/WMO_Region_6_Europe/GBR_United_Kingdom/SCT_Scotland/GBR_SCT_Cairnwell.030720_TMYx.2007-2021.zip")</f>
        <v>https://climate.onebuilding.org/WMO_Region_6_Europe/GBR_United_Kingdom/SCT_Scotland/GBR_SCT_Cairnwell.030720_TMYx.2007-2021.zip</v>
      </c>
    </row>
    <row r="5036" spans="1:10" x14ac:dyDescent="0.25">
      <c r="A5036" t="s">
        <v>3587</v>
      </c>
      <c r="B5036" t="s">
        <v>3588</v>
      </c>
      <c r="C5036" t="s">
        <v>3727</v>
      </c>
      <c r="D5036" s="1" t="s">
        <v>3728</v>
      </c>
      <c r="E5036" t="s">
        <v>14</v>
      </c>
      <c r="F5036">
        <v>56.8795</v>
      </c>
      <c r="G5036">
        <v>-3.4213</v>
      </c>
      <c r="H5036">
        <v>0</v>
      </c>
      <c r="I5036">
        <v>933</v>
      </c>
      <c r="J5036" t="str">
        <f>HYPERLINK("https://climate.onebuilding.org/WMO_Region_6_Europe/GBR_United_Kingdom/SCT_Scotland/GBR_SCT_Cairnwell.030720_TMYx.2009-2023.zip")</f>
        <v>https://climate.onebuilding.org/WMO_Region_6_Europe/GBR_United_Kingdom/SCT_Scotland/GBR_SCT_Cairnwell.030720_TMYx.2009-2023.zip</v>
      </c>
    </row>
    <row r="5037" spans="1:10" x14ac:dyDescent="0.25">
      <c r="A5037" t="s">
        <v>3587</v>
      </c>
      <c r="B5037" t="s">
        <v>3588</v>
      </c>
      <c r="C5037" t="s">
        <v>3727</v>
      </c>
      <c r="D5037" s="1" t="s">
        <v>3728</v>
      </c>
      <c r="E5037" t="s">
        <v>14</v>
      </c>
      <c r="F5037">
        <v>56.8795</v>
      </c>
      <c r="G5037">
        <v>-3.4213</v>
      </c>
      <c r="H5037">
        <v>0</v>
      </c>
      <c r="I5037">
        <v>933</v>
      </c>
      <c r="J5037" t="str">
        <f>HYPERLINK("https://climate.onebuilding.org/WMO_Region_6_Europe/GBR_United_Kingdom/SCT_Scotland/GBR_SCT_Cairnwell.030720_TMYx.zip")</f>
        <v>https://climate.onebuilding.org/WMO_Region_6_Europe/GBR_United_Kingdom/SCT_Scotland/GBR_SCT_Cairnwell.030720_TMYx.zip</v>
      </c>
    </row>
    <row r="5038" spans="1:10" x14ac:dyDescent="0.25">
      <c r="A5038" t="s">
        <v>3587</v>
      </c>
      <c r="B5038" t="s">
        <v>3588</v>
      </c>
      <c r="C5038" t="s">
        <v>3730</v>
      </c>
      <c r="D5038" s="1" t="s">
        <v>3731</v>
      </c>
      <c r="E5038" t="s">
        <v>14</v>
      </c>
      <c r="F5038">
        <v>58.616999999999997</v>
      </c>
      <c r="G5038">
        <v>-3.55</v>
      </c>
      <c r="H5038">
        <v>0</v>
      </c>
      <c r="I5038">
        <v>10</v>
      </c>
      <c r="J5038" t="str">
        <f>HYPERLINK("https://climate.onebuilding.org/WMO_Region_6_Europe/GBR_United_Kingdom/SCT_Scotland/GBR_SCT_Scrabster.Harbour.030740_TMYx.zip")</f>
        <v>https://climate.onebuilding.org/WMO_Region_6_Europe/GBR_United_Kingdom/SCT_Scotland/GBR_SCT_Scrabster.Harbour.030740_TMYx.zip</v>
      </c>
    </row>
    <row r="5039" spans="1:10" x14ac:dyDescent="0.25">
      <c r="A5039" t="s">
        <v>3587</v>
      </c>
      <c r="B5039" t="s">
        <v>3588</v>
      </c>
      <c r="C5039" t="s">
        <v>3732</v>
      </c>
      <c r="D5039" s="1" t="s">
        <v>3733</v>
      </c>
      <c r="E5039" t="s">
        <v>3734</v>
      </c>
      <c r="F5039">
        <v>58.459000000000003</v>
      </c>
      <c r="G5039">
        <v>-3.093</v>
      </c>
      <c r="H5039">
        <v>0</v>
      </c>
      <c r="I5039">
        <v>38.4</v>
      </c>
      <c r="J5039" t="str">
        <f>HYPERLINK("https://climate.onebuilding.org/WMO_Region_6_Europe/GBR_United_Kingdom/SCT_Scotland/GBR_SCT_Wick.AP.030750_TMYx.2004-2018.zip")</f>
        <v>https://climate.onebuilding.org/WMO_Region_6_Europe/GBR_United_Kingdom/SCT_Scotland/GBR_SCT_Wick.AP.030750_TMYx.2004-2018.zip</v>
      </c>
    </row>
    <row r="5040" spans="1:10" x14ac:dyDescent="0.25">
      <c r="A5040" t="s">
        <v>3587</v>
      </c>
      <c r="B5040" t="s">
        <v>3588</v>
      </c>
      <c r="C5040" t="s">
        <v>3732</v>
      </c>
      <c r="D5040" s="1" t="s">
        <v>3733</v>
      </c>
      <c r="E5040" t="s">
        <v>14</v>
      </c>
      <c r="F5040">
        <v>58.453899999999997</v>
      </c>
      <c r="G5040">
        <v>-3.09</v>
      </c>
      <c r="H5040">
        <v>0</v>
      </c>
      <c r="I5040">
        <v>38.4</v>
      </c>
      <c r="J5040" t="str">
        <f>HYPERLINK("https://climate.onebuilding.org/WMO_Region_6_Europe/GBR_United_Kingdom/SCT_Scotland/GBR_SCT_Wick.AP.030750_TMYx.2007-2021.zip")</f>
        <v>https://climate.onebuilding.org/WMO_Region_6_Europe/GBR_United_Kingdom/SCT_Scotland/GBR_SCT_Wick.AP.030750_TMYx.2007-2021.zip</v>
      </c>
    </row>
    <row r="5041" spans="1:10" x14ac:dyDescent="0.25">
      <c r="A5041" t="s">
        <v>3587</v>
      </c>
      <c r="B5041" t="s">
        <v>3588</v>
      </c>
      <c r="C5041" t="s">
        <v>3732</v>
      </c>
      <c r="D5041" s="1" t="s">
        <v>3733</v>
      </c>
      <c r="E5041" t="s">
        <v>14</v>
      </c>
      <c r="F5041">
        <v>58.453899999999997</v>
      </c>
      <c r="G5041">
        <v>-3.09</v>
      </c>
      <c r="H5041">
        <v>0</v>
      </c>
      <c r="I5041">
        <v>38.4</v>
      </c>
      <c r="J5041" t="str">
        <f>HYPERLINK("https://climate.onebuilding.org/WMO_Region_6_Europe/GBR_United_Kingdom/SCT_Scotland/GBR_SCT_Wick.AP.030750_TMYx.2009-2023.zip")</f>
        <v>https://climate.onebuilding.org/WMO_Region_6_Europe/GBR_United_Kingdom/SCT_Scotland/GBR_SCT_Wick.AP.030750_TMYx.2009-2023.zip</v>
      </c>
    </row>
    <row r="5042" spans="1:10" x14ac:dyDescent="0.25">
      <c r="A5042" t="s">
        <v>3587</v>
      </c>
      <c r="B5042" t="s">
        <v>3588</v>
      </c>
      <c r="C5042" t="s">
        <v>3732</v>
      </c>
      <c r="D5042" s="1" t="s">
        <v>3733</v>
      </c>
      <c r="E5042" t="s">
        <v>14</v>
      </c>
      <c r="F5042">
        <v>58.453899999999997</v>
      </c>
      <c r="G5042">
        <v>-3.09</v>
      </c>
      <c r="H5042">
        <v>0</v>
      </c>
      <c r="I5042">
        <v>38.4</v>
      </c>
      <c r="J5042" t="str">
        <f>HYPERLINK("https://climate.onebuilding.org/WMO_Region_6_Europe/GBR_United_Kingdom/SCT_Scotland/GBR_SCT_Wick.AP.030750_TMYx.zip")</f>
        <v>https://climate.onebuilding.org/WMO_Region_6_Europe/GBR_United_Kingdom/SCT_Scotland/GBR_SCT_Wick.AP.030750_TMYx.zip</v>
      </c>
    </row>
    <row r="5043" spans="1:10" x14ac:dyDescent="0.25">
      <c r="A5043" t="s">
        <v>3587</v>
      </c>
      <c r="B5043" t="s">
        <v>3588</v>
      </c>
      <c r="C5043" t="s">
        <v>3735</v>
      </c>
      <c r="D5043" s="1" t="s">
        <v>3736</v>
      </c>
      <c r="E5043" t="s">
        <v>14</v>
      </c>
      <c r="F5043">
        <v>58.317</v>
      </c>
      <c r="G5043">
        <v>-3.2829999999999999</v>
      </c>
      <c r="H5043">
        <v>0</v>
      </c>
      <c r="I5043">
        <v>85</v>
      </c>
      <c r="J5043" t="str">
        <f>HYPERLINK("https://climate.onebuilding.org/WMO_Region_6_Europe/GBR_United_Kingdom/SCT_Scotland/GBR_SCT_Lybster.030770_TMYx.zip")</f>
        <v>https://climate.onebuilding.org/WMO_Region_6_Europe/GBR_United_Kingdom/SCT_Scotland/GBR_SCT_Lybster.030770_TMYx.zip</v>
      </c>
    </row>
    <row r="5044" spans="1:10" x14ac:dyDescent="0.25">
      <c r="A5044" t="s">
        <v>3587</v>
      </c>
      <c r="B5044" t="s">
        <v>3588</v>
      </c>
      <c r="C5044" t="s">
        <v>3737</v>
      </c>
      <c r="D5044" s="1" t="s">
        <v>3738</v>
      </c>
      <c r="E5044" t="s">
        <v>3739</v>
      </c>
      <c r="F5044">
        <v>57.082999999999998</v>
      </c>
      <c r="G5044">
        <v>-2.8330000000000002</v>
      </c>
      <c r="H5044">
        <v>0</v>
      </c>
      <c r="I5044">
        <v>140</v>
      </c>
      <c r="J5044" t="str">
        <f>HYPERLINK("https://climate.onebuilding.org/WMO_Region_6_Europe/GBR_United_Kingdom/SCT_Scotland/GBR_SCT_Aboyne.030800_TMYx.2004-2018.zip")</f>
        <v>https://climate.onebuilding.org/WMO_Region_6_Europe/GBR_United_Kingdom/SCT_Scotland/GBR_SCT_Aboyne.030800_TMYx.2004-2018.zip</v>
      </c>
    </row>
    <row r="5045" spans="1:10" x14ac:dyDescent="0.25">
      <c r="A5045" t="s">
        <v>3587</v>
      </c>
      <c r="B5045" t="s">
        <v>3588</v>
      </c>
      <c r="C5045" t="s">
        <v>3737</v>
      </c>
      <c r="D5045" s="1" t="s">
        <v>3738</v>
      </c>
      <c r="E5045" t="s">
        <v>14</v>
      </c>
      <c r="F5045">
        <v>57.075800000000001</v>
      </c>
      <c r="G5045">
        <v>-2.8411</v>
      </c>
      <c r="H5045">
        <v>0</v>
      </c>
      <c r="I5045">
        <v>140</v>
      </c>
      <c r="J5045" t="str">
        <f>HYPERLINK("https://climate.onebuilding.org/WMO_Region_6_Europe/GBR_United_Kingdom/SCT_Scotland/GBR_SCT_Aboyne.030800_TMYx.2007-2021.zip")</f>
        <v>https://climate.onebuilding.org/WMO_Region_6_Europe/GBR_United_Kingdom/SCT_Scotland/GBR_SCT_Aboyne.030800_TMYx.2007-2021.zip</v>
      </c>
    </row>
    <row r="5046" spans="1:10" x14ac:dyDescent="0.25">
      <c r="A5046" t="s">
        <v>3587</v>
      </c>
      <c r="B5046" t="s">
        <v>3588</v>
      </c>
      <c r="C5046" t="s">
        <v>3737</v>
      </c>
      <c r="D5046" s="1" t="s">
        <v>3738</v>
      </c>
      <c r="E5046" t="s">
        <v>14</v>
      </c>
      <c r="F5046">
        <v>57.075800000000001</v>
      </c>
      <c r="G5046">
        <v>-2.8411</v>
      </c>
      <c r="H5046">
        <v>0</v>
      </c>
      <c r="I5046">
        <v>140</v>
      </c>
      <c r="J5046" t="str">
        <f>HYPERLINK("https://climate.onebuilding.org/WMO_Region_6_Europe/GBR_United_Kingdom/SCT_Scotland/GBR_SCT_Aboyne.030800_TMYx.2009-2023.zip")</f>
        <v>https://climate.onebuilding.org/WMO_Region_6_Europe/GBR_United_Kingdom/SCT_Scotland/GBR_SCT_Aboyne.030800_TMYx.2009-2023.zip</v>
      </c>
    </row>
    <row r="5047" spans="1:10" x14ac:dyDescent="0.25">
      <c r="A5047" t="s">
        <v>3587</v>
      </c>
      <c r="B5047" t="s">
        <v>3588</v>
      </c>
      <c r="C5047" t="s">
        <v>3737</v>
      </c>
      <c r="D5047" s="1" t="s">
        <v>3738</v>
      </c>
      <c r="E5047" t="s">
        <v>14</v>
      </c>
      <c r="F5047">
        <v>57.075800000000001</v>
      </c>
      <c r="G5047">
        <v>-2.8411</v>
      </c>
      <c r="H5047">
        <v>0</v>
      </c>
      <c r="I5047">
        <v>140</v>
      </c>
      <c r="J5047" t="str">
        <f>HYPERLINK("https://climate.onebuilding.org/WMO_Region_6_Europe/GBR_United_Kingdom/SCT_Scotland/GBR_SCT_Aboyne.030800_TMYx.zip")</f>
        <v>https://climate.onebuilding.org/WMO_Region_6_Europe/GBR_United_Kingdom/SCT_Scotland/GBR_SCT_Aboyne.030800_TMYx.zip</v>
      </c>
    </row>
    <row r="5048" spans="1:10" x14ac:dyDescent="0.25">
      <c r="A5048" t="s">
        <v>3587</v>
      </c>
      <c r="B5048" t="s">
        <v>3588</v>
      </c>
      <c r="C5048" t="s">
        <v>3740</v>
      </c>
      <c r="D5048" s="1" t="s">
        <v>3741</v>
      </c>
      <c r="E5048" t="s">
        <v>14</v>
      </c>
      <c r="F5048">
        <v>57.067</v>
      </c>
      <c r="G5048">
        <v>-2.5329999999999999</v>
      </c>
      <c r="H5048">
        <v>0</v>
      </c>
      <c r="I5048">
        <v>80</v>
      </c>
      <c r="J5048" t="str">
        <f>HYPERLINK("https://climate.onebuilding.org/WMO_Region_6_Europe/GBR_United_Kingdom/SCT_Scotland/GBR_SCT_Inchmarlo.030850_TMYx.zip")</f>
        <v>https://climate.onebuilding.org/WMO_Region_6_Europe/GBR_United_Kingdom/SCT_Scotland/GBR_SCT_Inchmarlo.030850_TMYx.zip</v>
      </c>
    </row>
    <row r="5049" spans="1:10" x14ac:dyDescent="0.25">
      <c r="A5049" t="s">
        <v>3587</v>
      </c>
      <c r="B5049" t="s">
        <v>3588</v>
      </c>
      <c r="C5049" t="s">
        <v>3742</v>
      </c>
      <c r="D5049" s="1" t="s">
        <v>3743</v>
      </c>
      <c r="E5049" t="s">
        <v>3744</v>
      </c>
      <c r="F5049">
        <v>56.85</v>
      </c>
      <c r="G5049">
        <v>-2.2669999999999999</v>
      </c>
      <c r="H5049">
        <v>0</v>
      </c>
      <c r="I5049">
        <v>134</v>
      </c>
      <c r="J5049" t="str">
        <f>HYPERLINK("https://climate.onebuilding.org/WMO_Region_6_Europe/GBR_United_Kingdom/SCT_Scotland/GBR_SCT_Inverbervie.030880_TMYx.2004-2018.zip")</f>
        <v>https://climate.onebuilding.org/WMO_Region_6_Europe/GBR_United_Kingdom/SCT_Scotland/GBR_SCT_Inverbervie.030880_TMYx.2004-2018.zip</v>
      </c>
    </row>
    <row r="5050" spans="1:10" x14ac:dyDescent="0.25">
      <c r="A5050" t="s">
        <v>3587</v>
      </c>
      <c r="B5050" t="s">
        <v>3588</v>
      </c>
      <c r="C5050" t="s">
        <v>3742</v>
      </c>
      <c r="D5050" s="1" t="s">
        <v>3743</v>
      </c>
      <c r="E5050" t="s">
        <v>14</v>
      </c>
      <c r="F5050">
        <v>56.851900000000001</v>
      </c>
      <c r="G5050">
        <v>-2.2658</v>
      </c>
      <c r="H5050">
        <v>0</v>
      </c>
      <c r="I5050">
        <v>134</v>
      </c>
      <c r="J5050" t="str">
        <f>HYPERLINK("https://climate.onebuilding.org/WMO_Region_6_Europe/GBR_United_Kingdom/SCT_Scotland/GBR_SCT_Inverbervie.030880_TMYx.2007-2021.zip")</f>
        <v>https://climate.onebuilding.org/WMO_Region_6_Europe/GBR_United_Kingdom/SCT_Scotland/GBR_SCT_Inverbervie.030880_TMYx.2007-2021.zip</v>
      </c>
    </row>
    <row r="5051" spans="1:10" x14ac:dyDescent="0.25">
      <c r="A5051" t="s">
        <v>3587</v>
      </c>
      <c r="B5051" t="s">
        <v>3588</v>
      </c>
      <c r="C5051" t="s">
        <v>3742</v>
      </c>
      <c r="D5051" s="1" t="s">
        <v>3743</v>
      </c>
      <c r="E5051" t="s">
        <v>14</v>
      </c>
      <c r="F5051">
        <v>56.851900000000001</v>
      </c>
      <c r="G5051">
        <v>-2.2658</v>
      </c>
      <c r="H5051">
        <v>0</v>
      </c>
      <c r="I5051">
        <v>134</v>
      </c>
      <c r="J5051" t="str">
        <f>HYPERLINK("https://climate.onebuilding.org/WMO_Region_6_Europe/GBR_United_Kingdom/SCT_Scotland/GBR_SCT_Inverbervie.030880_TMYx.2009-2023.zip")</f>
        <v>https://climate.onebuilding.org/WMO_Region_6_Europe/GBR_United_Kingdom/SCT_Scotland/GBR_SCT_Inverbervie.030880_TMYx.2009-2023.zip</v>
      </c>
    </row>
    <row r="5052" spans="1:10" x14ac:dyDescent="0.25">
      <c r="A5052" t="s">
        <v>3587</v>
      </c>
      <c r="B5052" t="s">
        <v>3588</v>
      </c>
      <c r="C5052" t="s">
        <v>3742</v>
      </c>
      <c r="D5052" s="1" t="s">
        <v>3743</v>
      </c>
      <c r="E5052" t="s">
        <v>14</v>
      </c>
      <c r="F5052">
        <v>56.851900000000001</v>
      </c>
      <c r="G5052">
        <v>-2.2658</v>
      </c>
      <c r="H5052">
        <v>0</v>
      </c>
      <c r="I5052">
        <v>134</v>
      </c>
      <c r="J5052" t="str">
        <f>HYPERLINK("https://climate.onebuilding.org/WMO_Region_6_Europe/GBR_United_Kingdom/SCT_Scotland/GBR_SCT_Inverbervie.030880_TMYx.zip")</f>
        <v>https://climate.onebuilding.org/WMO_Region_6_Europe/GBR_United_Kingdom/SCT_Scotland/GBR_SCT_Inverbervie.030880_TMYx.zip</v>
      </c>
    </row>
    <row r="5053" spans="1:10" x14ac:dyDescent="0.25">
      <c r="A5053" t="s">
        <v>3587</v>
      </c>
      <c r="B5053" t="s">
        <v>3588</v>
      </c>
      <c r="C5053" t="s">
        <v>3745</v>
      </c>
      <c r="D5053" s="1" t="s">
        <v>3746</v>
      </c>
      <c r="E5053" t="s">
        <v>14</v>
      </c>
      <c r="F5053">
        <v>57.633000000000003</v>
      </c>
      <c r="G5053">
        <v>-2.2330000000000001</v>
      </c>
      <c r="H5053">
        <v>0</v>
      </c>
      <c r="I5053">
        <v>231</v>
      </c>
      <c r="J5053" t="str">
        <f>HYPERLINK("https://climate.onebuilding.org/WMO_Region_6_Europe/GBR_United_Kingdom/SCT_Scotland/GBR_SCT_Windy.Head.030900_TMYx.zip")</f>
        <v>https://climate.onebuilding.org/WMO_Region_6_Europe/GBR_United_Kingdom/SCT_Scotland/GBR_SCT_Windy.Head.030900_TMYx.zip</v>
      </c>
    </row>
    <row r="5054" spans="1:10" x14ac:dyDescent="0.25">
      <c r="A5054" t="s">
        <v>3587</v>
      </c>
      <c r="B5054" t="s">
        <v>3588</v>
      </c>
      <c r="C5054" t="s">
        <v>3747</v>
      </c>
      <c r="D5054" s="1" t="s">
        <v>3748</v>
      </c>
      <c r="E5054" t="s">
        <v>3749</v>
      </c>
      <c r="F5054">
        <v>57.201999999999998</v>
      </c>
      <c r="G5054">
        <v>-2.198</v>
      </c>
      <c r="H5054">
        <v>0</v>
      </c>
      <c r="I5054">
        <v>65.5</v>
      </c>
      <c r="J5054" t="str">
        <f>HYPERLINK("https://climate.onebuilding.org/WMO_Region_6_Europe/GBR_United_Kingdom/SCT_Scotland/GBR_SCT_Aberdeen.AP-Dyce.030910_TMYx.2004-2018.zip")</f>
        <v>https://climate.onebuilding.org/WMO_Region_6_Europe/GBR_United_Kingdom/SCT_Scotland/GBR_SCT_Aberdeen.AP-Dyce.030910_TMYx.2004-2018.zip</v>
      </c>
    </row>
    <row r="5055" spans="1:10" x14ac:dyDescent="0.25">
      <c r="A5055" t="s">
        <v>3587</v>
      </c>
      <c r="B5055" t="s">
        <v>3588</v>
      </c>
      <c r="C5055" t="s">
        <v>3747</v>
      </c>
      <c r="D5055" s="1" t="s">
        <v>3748</v>
      </c>
      <c r="E5055" t="s">
        <v>14</v>
      </c>
      <c r="F5055">
        <v>57.204999999999998</v>
      </c>
      <c r="G5055">
        <v>-2.2052999999999998</v>
      </c>
      <c r="H5055">
        <v>0</v>
      </c>
      <c r="I5055">
        <v>65.5</v>
      </c>
      <c r="J5055" t="str">
        <f>HYPERLINK("https://climate.onebuilding.org/WMO_Region_6_Europe/GBR_United_Kingdom/SCT_Scotland/GBR_SCT_Aberdeen.AP-Dyce.030910_TMYx.2007-2021.zip")</f>
        <v>https://climate.onebuilding.org/WMO_Region_6_Europe/GBR_United_Kingdom/SCT_Scotland/GBR_SCT_Aberdeen.AP-Dyce.030910_TMYx.2007-2021.zip</v>
      </c>
    </row>
    <row r="5056" spans="1:10" x14ac:dyDescent="0.25">
      <c r="A5056" t="s">
        <v>3587</v>
      </c>
      <c r="B5056" t="s">
        <v>3588</v>
      </c>
      <c r="C5056" t="s">
        <v>3747</v>
      </c>
      <c r="D5056" s="1" t="s">
        <v>3748</v>
      </c>
      <c r="E5056" t="s">
        <v>14</v>
      </c>
      <c r="F5056">
        <v>57.204999999999998</v>
      </c>
      <c r="G5056">
        <v>-2.2052999999999998</v>
      </c>
      <c r="H5056">
        <v>0</v>
      </c>
      <c r="I5056">
        <v>65.5</v>
      </c>
      <c r="J5056" t="str">
        <f>HYPERLINK("https://climate.onebuilding.org/WMO_Region_6_Europe/GBR_United_Kingdom/SCT_Scotland/GBR_SCT_Aberdeen.AP-Dyce.030910_TMYx.2009-2023.zip")</f>
        <v>https://climate.onebuilding.org/WMO_Region_6_Europe/GBR_United_Kingdom/SCT_Scotland/GBR_SCT_Aberdeen.AP-Dyce.030910_TMYx.2009-2023.zip</v>
      </c>
    </row>
    <row r="5057" spans="1:10" x14ac:dyDescent="0.25">
      <c r="A5057" t="s">
        <v>3587</v>
      </c>
      <c r="B5057" t="s">
        <v>3588</v>
      </c>
      <c r="C5057" t="s">
        <v>3747</v>
      </c>
      <c r="D5057" s="1" t="s">
        <v>3748</v>
      </c>
      <c r="E5057" t="s">
        <v>14</v>
      </c>
      <c r="F5057">
        <v>57.204999999999998</v>
      </c>
      <c r="G5057">
        <v>-2.2052999999999998</v>
      </c>
      <c r="H5057">
        <v>0</v>
      </c>
      <c r="I5057">
        <v>65.5</v>
      </c>
      <c r="J5057" t="str">
        <f>HYPERLINK("https://climate.onebuilding.org/WMO_Region_6_Europe/GBR_United_Kingdom/SCT_Scotland/GBR_SCT_Aberdeen.AP-Dyce.030910_TMYx.zip")</f>
        <v>https://climate.onebuilding.org/WMO_Region_6_Europe/GBR_United_Kingdom/SCT_Scotland/GBR_SCT_Aberdeen.AP-Dyce.030910_TMYx.zip</v>
      </c>
    </row>
    <row r="5058" spans="1:10" x14ac:dyDescent="0.25">
      <c r="A5058" t="s">
        <v>3587</v>
      </c>
      <c r="B5058" t="s">
        <v>3588</v>
      </c>
      <c r="C5058" t="s">
        <v>3750</v>
      </c>
      <c r="D5058" s="1" t="s">
        <v>3751</v>
      </c>
      <c r="E5058" t="s">
        <v>3752</v>
      </c>
      <c r="F5058">
        <v>57.5</v>
      </c>
      <c r="G5058">
        <v>-1.7669999999999999</v>
      </c>
      <c r="H5058">
        <v>0</v>
      </c>
      <c r="I5058">
        <v>15</v>
      </c>
      <c r="J5058" t="str">
        <f>HYPERLINK("https://climate.onebuilding.org/WMO_Region_6_Europe/GBR_United_Kingdom/SCT_Scotland/GBR_SCT_Peterhead.Harbour.030920_TMYx.2004-2018.zip")</f>
        <v>https://climate.onebuilding.org/WMO_Region_6_Europe/GBR_United_Kingdom/SCT_Scotland/GBR_SCT_Peterhead.Harbour.030920_TMYx.2004-2018.zip</v>
      </c>
    </row>
    <row r="5059" spans="1:10" x14ac:dyDescent="0.25">
      <c r="A5059" t="s">
        <v>3587</v>
      </c>
      <c r="B5059" t="s">
        <v>3588</v>
      </c>
      <c r="C5059" t="s">
        <v>3750</v>
      </c>
      <c r="D5059" s="1" t="s">
        <v>3751</v>
      </c>
      <c r="E5059" t="s">
        <v>14</v>
      </c>
      <c r="F5059">
        <v>57.502470000000002</v>
      </c>
      <c r="G5059">
        <v>-1.7743100000000001</v>
      </c>
      <c r="H5059">
        <v>0</v>
      </c>
      <c r="I5059">
        <v>15</v>
      </c>
      <c r="J5059" t="str">
        <f>HYPERLINK("https://climate.onebuilding.org/WMO_Region_6_Europe/GBR_United_Kingdom/SCT_Scotland/GBR_SCT_Peterhead.Harbour.030920_TMYx.zip")</f>
        <v>https://climate.onebuilding.org/WMO_Region_6_Europe/GBR_United_Kingdom/SCT_Scotland/GBR_SCT_Peterhead.Harbour.030920_TMYx.zip</v>
      </c>
    </row>
    <row r="5060" spans="1:10" x14ac:dyDescent="0.25">
      <c r="A5060" t="s">
        <v>3587</v>
      </c>
      <c r="B5060" t="s">
        <v>3588</v>
      </c>
      <c r="C5060" t="s">
        <v>3753</v>
      </c>
      <c r="D5060" s="1" t="s">
        <v>3754</v>
      </c>
      <c r="E5060" t="s">
        <v>14</v>
      </c>
      <c r="F5060">
        <v>57.698</v>
      </c>
      <c r="G5060">
        <v>-2.0030000000000001</v>
      </c>
      <c r="H5060">
        <v>0</v>
      </c>
      <c r="I5060">
        <v>19</v>
      </c>
      <c r="J5060" t="str">
        <f>HYPERLINK("https://climate.onebuilding.org/WMO_Region_6_Europe/GBR_United_Kingdom/SCT_Scotland/GBR_SCT_Fraserburgh.Lighthouse.030930_TMYx.zip")</f>
        <v>https://climate.onebuilding.org/WMO_Region_6_Europe/GBR_United_Kingdom/SCT_Scotland/GBR_SCT_Fraserburgh.Lighthouse.030930_TMYx.zip</v>
      </c>
    </row>
    <row r="5061" spans="1:10" x14ac:dyDescent="0.25">
      <c r="A5061" t="s">
        <v>3587</v>
      </c>
      <c r="B5061" t="s">
        <v>3588</v>
      </c>
      <c r="C5061" t="s">
        <v>3755</v>
      </c>
      <c r="D5061" s="1" t="s">
        <v>3756</v>
      </c>
      <c r="E5061" t="s">
        <v>3757</v>
      </c>
      <c r="F5061">
        <v>57.7</v>
      </c>
      <c r="G5061">
        <v>-2.117</v>
      </c>
      <c r="H5061">
        <v>0</v>
      </c>
      <c r="I5061">
        <v>7</v>
      </c>
      <c r="J5061" t="str">
        <f>HYPERLINK("https://climate.onebuilding.org/WMO_Region_6_Europe/GBR_United_Kingdom/SCT_Scotland/GBR_SCT_Rosehearty.030940_TMYx.2004-2018.zip")</f>
        <v>https://climate.onebuilding.org/WMO_Region_6_Europe/GBR_United_Kingdom/SCT_Scotland/GBR_SCT_Rosehearty.030940_TMYx.2004-2018.zip</v>
      </c>
    </row>
    <row r="5062" spans="1:10" x14ac:dyDescent="0.25">
      <c r="A5062" t="s">
        <v>3587</v>
      </c>
      <c r="B5062" t="s">
        <v>3588</v>
      </c>
      <c r="C5062" t="s">
        <v>3755</v>
      </c>
      <c r="D5062" s="1" t="s">
        <v>3756</v>
      </c>
      <c r="E5062" t="s">
        <v>14</v>
      </c>
      <c r="F5062">
        <v>57.7</v>
      </c>
      <c r="G5062">
        <v>-2.117</v>
      </c>
      <c r="H5062">
        <v>0</v>
      </c>
      <c r="I5062">
        <v>7</v>
      </c>
      <c r="J5062" t="str">
        <f>HYPERLINK("https://climate.onebuilding.org/WMO_Region_6_Europe/GBR_United_Kingdom/SCT_Scotland/GBR_SCT_Rosehearty.030940_TMYx.2007-2021.zip")</f>
        <v>https://climate.onebuilding.org/WMO_Region_6_Europe/GBR_United_Kingdom/SCT_Scotland/GBR_SCT_Rosehearty.030940_TMYx.2007-2021.zip</v>
      </c>
    </row>
    <row r="5063" spans="1:10" x14ac:dyDescent="0.25">
      <c r="A5063" t="s">
        <v>3587</v>
      </c>
      <c r="B5063" t="s">
        <v>3588</v>
      </c>
      <c r="C5063" t="s">
        <v>3755</v>
      </c>
      <c r="D5063" s="1" t="s">
        <v>3756</v>
      </c>
      <c r="E5063" t="s">
        <v>14</v>
      </c>
      <c r="F5063">
        <v>57.7</v>
      </c>
      <c r="G5063">
        <v>-2.117</v>
      </c>
      <c r="H5063">
        <v>0</v>
      </c>
      <c r="I5063">
        <v>7</v>
      </c>
      <c r="J5063" t="str">
        <f>HYPERLINK("https://climate.onebuilding.org/WMO_Region_6_Europe/GBR_United_Kingdom/SCT_Scotland/GBR_SCT_Rosehearty.030940_TMYx.zip")</f>
        <v>https://climate.onebuilding.org/WMO_Region_6_Europe/GBR_United_Kingdom/SCT_Scotland/GBR_SCT_Rosehearty.030940_TMYx.zip</v>
      </c>
    </row>
    <row r="5064" spans="1:10" x14ac:dyDescent="0.25">
      <c r="A5064" t="s">
        <v>3587</v>
      </c>
      <c r="B5064" t="s">
        <v>3588</v>
      </c>
      <c r="C5064" t="s">
        <v>3758</v>
      </c>
      <c r="D5064" s="1" t="s">
        <v>3759</v>
      </c>
      <c r="E5064" t="s">
        <v>3760</v>
      </c>
      <c r="F5064">
        <v>56.499000000000002</v>
      </c>
      <c r="G5064">
        <v>-6.8689999999999998</v>
      </c>
      <c r="H5064">
        <v>0</v>
      </c>
      <c r="I5064">
        <v>11.6</v>
      </c>
      <c r="J5064" t="str">
        <f>HYPERLINK("https://climate.onebuilding.org/WMO_Region_6_Europe/GBR_United_Kingdom/SCT_Scotland/GBR_SCT_Tiree.AP.031000_TMYx.2004-2018.zip")</f>
        <v>https://climate.onebuilding.org/WMO_Region_6_Europe/GBR_United_Kingdom/SCT_Scotland/GBR_SCT_Tiree.AP.031000_TMYx.2004-2018.zip</v>
      </c>
    </row>
    <row r="5065" spans="1:10" x14ac:dyDescent="0.25">
      <c r="A5065" t="s">
        <v>3587</v>
      </c>
      <c r="B5065" t="s">
        <v>3588</v>
      </c>
      <c r="C5065" t="s">
        <v>3758</v>
      </c>
      <c r="D5065" s="1" t="s">
        <v>3759</v>
      </c>
      <c r="E5065" t="s">
        <v>14</v>
      </c>
      <c r="F5065">
        <v>56.499899999999997</v>
      </c>
      <c r="G5065">
        <v>-6.8807</v>
      </c>
      <c r="H5065">
        <v>0</v>
      </c>
      <c r="I5065">
        <v>11.6</v>
      </c>
      <c r="J5065" t="str">
        <f>HYPERLINK("https://climate.onebuilding.org/WMO_Region_6_Europe/GBR_United_Kingdom/SCT_Scotland/GBR_SCT_Tiree.AP.031000_TMYx.2007-2021.zip")</f>
        <v>https://climate.onebuilding.org/WMO_Region_6_Europe/GBR_United_Kingdom/SCT_Scotland/GBR_SCT_Tiree.AP.031000_TMYx.2007-2021.zip</v>
      </c>
    </row>
    <row r="5066" spans="1:10" x14ac:dyDescent="0.25">
      <c r="A5066" t="s">
        <v>3587</v>
      </c>
      <c r="B5066" t="s">
        <v>3588</v>
      </c>
      <c r="C5066" t="s">
        <v>3758</v>
      </c>
      <c r="D5066" s="1" t="s">
        <v>3759</v>
      </c>
      <c r="E5066" t="s">
        <v>14</v>
      </c>
      <c r="F5066">
        <v>56.499899999999997</v>
      </c>
      <c r="G5066">
        <v>-6.8807</v>
      </c>
      <c r="H5066">
        <v>0</v>
      </c>
      <c r="I5066">
        <v>11.6</v>
      </c>
      <c r="J5066" t="str">
        <f>HYPERLINK("https://climate.onebuilding.org/WMO_Region_6_Europe/GBR_United_Kingdom/SCT_Scotland/GBR_SCT_Tiree.AP.031000_TMYx.2009-2023.zip")</f>
        <v>https://climate.onebuilding.org/WMO_Region_6_Europe/GBR_United_Kingdom/SCT_Scotland/GBR_SCT_Tiree.AP.031000_TMYx.2009-2023.zip</v>
      </c>
    </row>
    <row r="5067" spans="1:10" x14ac:dyDescent="0.25">
      <c r="A5067" t="s">
        <v>3587</v>
      </c>
      <c r="B5067" t="s">
        <v>3588</v>
      </c>
      <c r="C5067" t="s">
        <v>3758</v>
      </c>
      <c r="D5067" s="1" t="s">
        <v>3759</v>
      </c>
      <c r="E5067" t="s">
        <v>14</v>
      </c>
      <c r="F5067">
        <v>56.499899999999997</v>
      </c>
      <c r="G5067">
        <v>-6.8807</v>
      </c>
      <c r="H5067">
        <v>0</v>
      </c>
      <c r="I5067">
        <v>11.6</v>
      </c>
      <c r="J5067" t="str">
        <f>HYPERLINK("https://climate.onebuilding.org/WMO_Region_6_Europe/GBR_United_Kingdom/SCT_Scotland/GBR_SCT_Tiree.AP.031000_TMYx.zip")</f>
        <v>https://climate.onebuilding.org/WMO_Region_6_Europe/GBR_United_Kingdom/SCT_Scotland/GBR_SCT_Tiree.AP.031000_TMYx.zip</v>
      </c>
    </row>
    <row r="5068" spans="1:10" x14ac:dyDescent="0.25">
      <c r="A5068" t="s">
        <v>3587</v>
      </c>
      <c r="B5068" t="s">
        <v>3588</v>
      </c>
      <c r="C5068" t="s">
        <v>3761</v>
      </c>
      <c r="D5068" s="1" t="s">
        <v>3762</v>
      </c>
      <c r="E5068" t="s">
        <v>14</v>
      </c>
      <c r="F5068">
        <v>55.673000000000002</v>
      </c>
      <c r="G5068">
        <v>-6.5129999999999999</v>
      </c>
      <c r="H5068">
        <v>0</v>
      </c>
      <c r="I5068">
        <v>23</v>
      </c>
      <c r="J5068" t="str">
        <f>HYPERLINK("https://climate.onebuilding.org/WMO_Region_6_Europe/GBR_United_Kingdom/SCT_Scotland/GBR_SCT_Rhins.of.Islay.Lighthouse.031020_TMYx.zip")</f>
        <v>https://climate.onebuilding.org/WMO_Region_6_Europe/GBR_United_Kingdom/SCT_Scotland/GBR_SCT_Rhins.of.Islay.Lighthouse.031020_TMYx.zip</v>
      </c>
    </row>
    <row r="5069" spans="1:10" x14ac:dyDescent="0.25">
      <c r="A5069" t="s">
        <v>3587</v>
      </c>
      <c r="B5069" t="s">
        <v>3588</v>
      </c>
      <c r="C5069" t="s">
        <v>3763</v>
      </c>
      <c r="D5069" s="1" t="s">
        <v>3764</v>
      </c>
      <c r="E5069" t="s">
        <v>3765</v>
      </c>
      <c r="F5069">
        <v>55.631</v>
      </c>
      <c r="G5069">
        <v>-6.1840000000000002</v>
      </c>
      <c r="H5069">
        <v>0</v>
      </c>
      <c r="I5069">
        <v>17</v>
      </c>
      <c r="J5069" t="str">
        <f>HYPERLINK("https://climate.onebuilding.org/WMO_Region_6_Europe/GBR_United_Kingdom/SCT_Scotland/GBR_SCT_Islay.Port.Ellen.031050_TMYx.2004-2018.zip")</f>
        <v>https://climate.onebuilding.org/WMO_Region_6_Europe/GBR_United_Kingdom/SCT_Scotland/GBR_SCT_Islay.Port.Ellen.031050_TMYx.2004-2018.zip</v>
      </c>
    </row>
    <row r="5070" spans="1:10" x14ac:dyDescent="0.25">
      <c r="A5070" t="s">
        <v>3587</v>
      </c>
      <c r="B5070" t="s">
        <v>3588</v>
      </c>
      <c r="C5070" t="s">
        <v>3763</v>
      </c>
      <c r="D5070" s="1" t="s">
        <v>3764</v>
      </c>
      <c r="E5070" t="s">
        <v>14</v>
      </c>
      <c r="F5070">
        <v>55.631</v>
      </c>
      <c r="G5070">
        <v>-6.1840000000000002</v>
      </c>
      <c r="H5070">
        <v>0</v>
      </c>
      <c r="I5070">
        <v>17</v>
      </c>
      <c r="J5070" t="str">
        <f>HYPERLINK("https://climate.onebuilding.org/WMO_Region_6_Europe/GBR_United_Kingdom/SCT_Scotland/GBR_SCT_Islay.Port.Ellen.031050_TMYx.2007-2021.zip")</f>
        <v>https://climate.onebuilding.org/WMO_Region_6_Europe/GBR_United_Kingdom/SCT_Scotland/GBR_SCT_Islay.Port.Ellen.031050_TMYx.2007-2021.zip</v>
      </c>
    </row>
    <row r="5071" spans="1:10" x14ac:dyDescent="0.25">
      <c r="A5071" t="s">
        <v>3587</v>
      </c>
      <c r="B5071" t="s">
        <v>3588</v>
      </c>
      <c r="C5071" t="s">
        <v>3763</v>
      </c>
      <c r="D5071" s="1" t="s">
        <v>3764</v>
      </c>
      <c r="E5071" t="s">
        <v>14</v>
      </c>
      <c r="F5071">
        <v>55.631</v>
      </c>
      <c r="G5071">
        <v>-6.1840000000000002</v>
      </c>
      <c r="H5071">
        <v>0</v>
      </c>
      <c r="I5071">
        <v>17</v>
      </c>
      <c r="J5071" t="str">
        <f>HYPERLINK("https://climate.onebuilding.org/WMO_Region_6_Europe/GBR_United_Kingdom/SCT_Scotland/GBR_SCT_Islay.Port.Ellen.031050_TMYx.2009-2023.zip")</f>
        <v>https://climate.onebuilding.org/WMO_Region_6_Europe/GBR_United_Kingdom/SCT_Scotland/GBR_SCT_Islay.Port.Ellen.031050_TMYx.2009-2023.zip</v>
      </c>
    </row>
    <row r="5072" spans="1:10" x14ac:dyDescent="0.25">
      <c r="A5072" t="s">
        <v>3587</v>
      </c>
      <c r="B5072" t="s">
        <v>3588</v>
      </c>
      <c r="C5072" t="s">
        <v>3763</v>
      </c>
      <c r="D5072" s="1" t="s">
        <v>3764</v>
      </c>
      <c r="E5072" t="s">
        <v>14</v>
      </c>
      <c r="F5072">
        <v>55.631</v>
      </c>
      <c r="G5072">
        <v>-6.1840000000000002</v>
      </c>
      <c r="H5072">
        <v>0</v>
      </c>
      <c r="I5072">
        <v>17</v>
      </c>
      <c r="J5072" t="str">
        <f>HYPERLINK("https://climate.onebuilding.org/WMO_Region_6_Europe/GBR_United_Kingdom/SCT_Scotland/GBR_SCT_Islay.Port.Ellen.031050_TMYx.zip")</f>
        <v>https://climate.onebuilding.org/WMO_Region_6_Europe/GBR_United_Kingdom/SCT_Scotland/GBR_SCT_Islay.Port.Ellen.031050_TMYx.zip</v>
      </c>
    </row>
    <row r="5073" spans="1:10" x14ac:dyDescent="0.25">
      <c r="A5073" t="s">
        <v>3587</v>
      </c>
      <c r="B5073" t="s">
        <v>3588</v>
      </c>
      <c r="C5073" t="s">
        <v>3766</v>
      </c>
      <c r="D5073" s="1" t="s">
        <v>3767</v>
      </c>
      <c r="E5073" t="s">
        <v>14</v>
      </c>
      <c r="F5073">
        <v>55.917000000000002</v>
      </c>
      <c r="G5073">
        <v>-6.133</v>
      </c>
      <c r="H5073">
        <v>0</v>
      </c>
      <c r="I5073">
        <v>20</v>
      </c>
      <c r="J5073" t="str">
        <f>HYPERLINK("https://climate.onebuilding.org/WMO_Region_6_Europe/GBR_United_Kingdom/SCT_Scotland/GBR_SCT_Rhuvaal-Islay.031060_TMYx.zip")</f>
        <v>https://climate.onebuilding.org/WMO_Region_6_Europe/GBR_United_Kingdom/SCT_Scotland/GBR_SCT_Rhuvaal-Islay.031060_TMYx.zip</v>
      </c>
    </row>
    <row r="5074" spans="1:10" x14ac:dyDescent="0.25">
      <c r="A5074" t="s">
        <v>3587</v>
      </c>
      <c r="B5074" t="s">
        <v>3588</v>
      </c>
      <c r="C5074" t="s">
        <v>3768</v>
      </c>
      <c r="D5074" s="1" t="s">
        <v>3769</v>
      </c>
      <c r="E5074" t="s">
        <v>14</v>
      </c>
      <c r="F5074">
        <v>55.817</v>
      </c>
      <c r="G5074">
        <v>-5.0999999999999996</v>
      </c>
      <c r="H5074">
        <v>0</v>
      </c>
      <c r="I5074">
        <v>83</v>
      </c>
      <c r="J5074" t="str">
        <f>HYPERLINK("https://climate.onebuilding.org/WMO_Region_6_Europe/GBR_United_Kingdom/SCT_Scotland/GBR_SCT_Dhu.Loch.031070_TMYx.zip")</f>
        <v>https://climate.onebuilding.org/WMO_Region_6_Europe/GBR_United_Kingdom/SCT_Scotland/GBR_SCT_Dhu.Loch.031070_TMYx.zip</v>
      </c>
    </row>
    <row r="5075" spans="1:10" x14ac:dyDescent="0.25">
      <c r="A5075" t="s">
        <v>3587</v>
      </c>
      <c r="B5075" t="s">
        <v>3588</v>
      </c>
      <c r="C5075" t="s">
        <v>3770</v>
      </c>
      <c r="D5075" s="1" t="s">
        <v>3771</v>
      </c>
      <c r="E5075" t="s">
        <v>3772</v>
      </c>
      <c r="F5075">
        <v>55.436999999999998</v>
      </c>
      <c r="G5075">
        <v>-5.6859999999999999</v>
      </c>
      <c r="H5075">
        <v>0</v>
      </c>
      <c r="I5075">
        <v>10</v>
      </c>
      <c r="J5075" t="str">
        <f>HYPERLINK("https://climate.onebuilding.org/WMO_Region_6_Europe/GBR_United_Kingdom/SCT_Scotland/GBR_SCT_Machrihanish-Campbeltown.AP.031110_TMYx.2004-2018.zip")</f>
        <v>https://climate.onebuilding.org/WMO_Region_6_Europe/GBR_United_Kingdom/SCT_Scotland/GBR_SCT_Machrihanish-Campbeltown.AP.031110_TMYx.2004-2018.zip</v>
      </c>
    </row>
    <row r="5076" spans="1:10" x14ac:dyDescent="0.25">
      <c r="A5076" t="s">
        <v>3587</v>
      </c>
      <c r="B5076" t="s">
        <v>3588</v>
      </c>
      <c r="C5076" t="s">
        <v>3770</v>
      </c>
      <c r="D5076" s="1" t="s">
        <v>3771</v>
      </c>
      <c r="E5076" t="s">
        <v>14</v>
      </c>
      <c r="F5076">
        <v>55.440800000000003</v>
      </c>
      <c r="G5076">
        <v>-5.6969000000000003</v>
      </c>
      <c r="H5076">
        <v>0</v>
      </c>
      <c r="I5076">
        <v>10</v>
      </c>
      <c r="J5076" t="str">
        <f>HYPERLINK("https://climate.onebuilding.org/WMO_Region_6_Europe/GBR_United_Kingdom/SCT_Scotland/GBR_SCT_Machrihanish-Campbeltown.AP.031110_TMYx.2007-2021.zip")</f>
        <v>https://climate.onebuilding.org/WMO_Region_6_Europe/GBR_United_Kingdom/SCT_Scotland/GBR_SCT_Machrihanish-Campbeltown.AP.031110_TMYx.2007-2021.zip</v>
      </c>
    </row>
    <row r="5077" spans="1:10" x14ac:dyDescent="0.25">
      <c r="A5077" t="s">
        <v>3587</v>
      </c>
      <c r="B5077" t="s">
        <v>3588</v>
      </c>
      <c r="C5077" t="s">
        <v>3770</v>
      </c>
      <c r="D5077" s="1" t="s">
        <v>3771</v>
      </c>
      <c r="E5077" t="s">
        <v>14</v>
      </c>
      <c r="F5077">
        <v>55.440800000000003</v>
      </c>
      <c r="G5077">
        <v>-5.6969000000000003</v>
      </c>
      <c r="H5077">
        <v>0</v>
      </c>
      <c r="I5077">
        <v>10</v>
      </c>
      <c r="J5077" t="str">
        <f>HYPERLINK("https://climate.onebuilding.org/WMO_Region_6_Europe/GBR_United_Kingdom/SCT_Scotland/GBR_SCT_Machrihanish-Campbeltown.AP.031110_TMYx.2009-2023.zip")</f>
        <v>https://climate.onebuilding.org/WMO_Region_6_Europe/GBR_United_Kingdom/SCT_Scotland/GBR_SCT_Machrihanish-Campbeltown.AP.031110_TMYx.2009-2023.zip</v>
      </c>
    </row>
    <row r="5078" spans="1:10" x14ac:dyDescent="0.25">
      <c r="A5078" t="s">
        <v>3587</v>
      </c>
      <c r="B5078" t="s">
        <v>3588</v>
      </c>
      <c r="C5078" t="s">
        <v>3770</v>
      </c>
      <c r="D5078" s="1" t="s">
        <v>3771</v>
      </c>
      <c r="E5078" t="s">
        <v>14</v>
      </c>
      <c r="F5078">
        <v>55.440800000000003</v>
      </c>
      <c r="G5078">
        <v>-5.6969000000000003</v>
      </c>
      <c r="H5078">
        <v>0</v>
      </c>
      <c r="I5078">
        <v>10</v>
      </c>
      <c r="J5078" t="str">
        <f>HYPERLINK("https://climate.onebuilding.org/WMO_Region_6_Europe/GBR_United_Kingdom/SCT_Scotland/GBR_SCT_Machrihanish-Campbeltown.AP.031110_TMYx.zip")</f>
        <v>https://climate.onebuilding.org/WMO_Region_6_Europe/GBR_United_Kingdom/SCT_Scotland/GBR_SCT_Machrihanish-Campbeltown.AP.031110_TMYx.zip</v>
      </c>
    </row>
    <row r="5079" spans="1:10" x14ac:dyDescent="0.25">
      <c r="A5079" t="s">
        <v>3587</v>
      </c>
      <c r="B5079" t="s">
        <v>3588</v>
      </c>
      <c r="C5079" t="s">
        <v>3773</v>
      </c>
      <c r="D5079" s="1" t="s">
        <v>3774</v>
      </c>
      <c r="E5079" t="s">
        <v>3775</v>
      </c>
      <c r="F5079">
        <v>56.417000000000002</v>
      </c>
      <c r="G5079">
        <v>-5.4669999999999996</v>
      </c>
      <c r="H5079">
        <v>0</v>
      </c>
      <c r="I5079">
        <v>4</v>
      </c>
      <c r="J5079" t="str">
        <f>HYPERLINK("https://climate.onebuilding.org/WMO_Region_6_Europe/GBR_United_Kingdom/SCT_Scotland/GBR_SCT_Oban.031140_TMYx.2004-2018.zip")</f>
        <v>https://climate.onebuilding.org/WMO_Region_6_Europe/GBR_United_Kingdom/SCT_Scotland/GBR_SCT_Oban.031140_TMYx.2004-2018.zip</v>
      </c>
    </row>
    <row r="5080" spans="1:10" x14ac:dyDescent="0.25">
      <c r="A5080" t="s">
        <v>3587</v>
      </c>
      <c r="B5080" t="s">
        <v>3588</v>
      </c>
      <c r="C5080" t="s">
        <v>3773</v>
      </c>
      <c r="D5080" s="1" t="s">
        <v>3774</v>
      </c>
      <c r="E5080" t="s">
        <v>14</v>
      </c>
      <c r="F5080">
        <v>56.417000000000002</v>
      </c>
      <c r="G5080">
        <v>-5.4669999999999996</v>
      </c>
      <c r="H5080">
        <v>0</v>
      </c>
      <c r="I5080">
        <v>4</v>
      </c>
      <c r="J5080" t="str">
        <f>HYPERLINK("https://climate.onebuilding.org/WMO_Region_6_Europe/GBR_United_Kingdom/SCT_Scotland/GBR_SCT_Oban.031140_TMYx.2007-2021.zip")</f>
        <v>https://climate.onebuilding.org/WMO_Region_6_Europe/GBR_United_Kingdom/SCT_Scotland/GBR_SCT_Oban.031140_TMYx.2007-2021.zip</v>
      </c>
    </row>
    <row r="5081" spans="1:10" x14ac:dyDescent="0.25">
      <c r="A5081" t="s">
        <v>3587</v>
      </c>
      <c r="B5081" t="s">
        <v>3588</v>
      </c>
      <c r="C5081" t="s">
        <v>3773</v>
      </c>
      <c r="D5081" s="1" t="s">
        <v>3774</v>
      </c>
      <c r="E5081" t="s">
        <v>14</v>
      </c>
      <c r="F5081">
        <v>56.417000000000002</v>
      </c>
      <c r="G5081">
        <v>-5.4669999999999996</v>
      </c>
      <c r="H5081">
        <v>0</v>
      </c>
      <c r="I5081">
        <v>4</v>
      </c>
      <c r="J5081" t="str">
        <f>HYPERLINK("https://climate.onebuilding.org/WMO_Region_6_Europe/GBR_United_Kingdom/SCT_Scotland/GBR_SCT_Oban.031140_TMYx.2009-2023.zip")</f>
        <v>https://climate.onebuilding.org/WMO_Region_6_Europe/GBR_United_Kingdom/SCT_Scotland/GBR_SCT_Oban.031140_TMYx.2009-2023.zip</v>
      </c>
    </row>
    <row r="5082" spans="1:10" x14ac:dyDescent="0.25">
      <c r="A5082" t="s">
        <v>3587</v>
      </c>
      <c r="B5082" t="s">
        <v>3588</v>
      </c>
      <c r="C5082" t="s">
        <v>3773</v>
      </c>
      <c r="D5082" s="1" t="s">
        <v>3774</v>
      </c>
      <c r="E5082" t="s">
        <v>14</v>
      </c>
      <c r="F5082">
        <v>56.417000000000002</v>
      </c>
      <c r="G5082">
        <v>-5.4669999999999996</v>
      </c>
      <c r="H5082">
        <v>0</v>
      </c>
      <c r="I5082">
        <v>4</v>
      </c>
      <c r="J5082" t="str">
        <f>HYPERLINK("https://climate.onebuilding.org/WMO_Region_6_Europe/GBR_United_Kingdom/SCT_Scotland/GBR_SCT_Oban.031140_TMYx.zip")</f>
        <v>https://climate.onebuilding.org/WMO_Region_6_Europe/GBR_United_Kingdom/SCT_Scotland/GBR_SCT_Oban.031140_TMYx.zip</v>
      </c>
    </row>
    <row r="5083" spans="1:10" x14ac:dyDescent="0.25">
      <c r="A5083" t="s">
        <v>3587</v>
      </c>
      <c r="B5083" t="s">
        <v>3588</v>
      </c>
      <c r="C5083" t="s">
        <v>3776</v>
      </c>
      <c r="D5083" s="1" t="s">
        <v>3777</v>
      </c>
      <c r="E5083" t="s">
        <v>3778</v>
      </c>
      <c r="F5083">
        <v>56.4</v>
      </c>
      <c r="G5083">
        <v>-5</v>
      </c>
      <c r="H5083">
        <v>0</v>
      </c>
      <c r="I5083">
        <v>40</v>
      </c>
      <c r="J5083" t="str">
        <f>HYPERLINK("https://climate.onebuilding.org/WMO_Region_6_Europe/GBR_United_Kingdom/SCT_Scotland/GBR_SCT_Dalmally.Stronmilchan.031160_TMYx.2004-2018.zip")</f>
        <v>https://climate.onebuilding.org/WMO_Region_6_Europe/GBR_United_Kingdom/SCT_Scotland/GBR_SCT_Dalmally.Stronmilchan.031160_TMYx.2004-2018.zip</v>
      </c>
    </row>
    <row r="5084" spans="1:10" x14ac:dyDescent="0.25">
      <c r="A5084" t="s">
        <v>3587</v>
      </c>
      <c r="B5084" t="s">
        <v>3588</v>
      </c>
      <c r="C5084" t="s">
        <v>3776</v>
      </c>
      <c r="D5084" s="1" t="s">
        <v>3777</v>
      </c>
      <c r="E5084" t="s">
        <v>14</v>
      </c>
      <c r="F5084">
        <v>56.4</v>
      </c>
      <c r="G5084">
        <v>-5</v>
      </c>
      <c r="H5084">
        <v>0</v>
      </c>
      <c r="I5084">
        <v>40</v>
      </c>
      <c r="J5084" t="str">
        <f>HYPERLINK("https://climate.onebuilding.org/WMO_Region_6_Europe/GBR_United_Kingdom/SCT_Scotland/GBR_SCT_Dalmally.Stronmilchan.031160_TMYx.zip")</f>
        <v>https://climate.onebuilding.org/WMO_Region_6_Europe/GBR_United_Kingdom/SCT_Scotland/GBR_SCT_Dalmally.Stronmilchan.031160_TMYx.zip</v>
      </c>
    </row>
    <row r="5085" spans="1:10" x14ac:dyDescent="0.25">
      <c r="A5085" t="s">
        <v>3587</v>
      </c>
      <c r="B5085" t="s">
        <v>3588</v>
      </c>
      <c r="C5085" t="s">
        <v>3779</v>
      </c>
      <c r="D5085" s="1" t="s">
        <v>3780</v>
      </c>
      <c r="E5085" t="s">
        <v>14</v>
      </c>
      <c r="F5085">
        <v>55.006999999999998</v>
      </c>
      <c r="G5085">
        <v>-5.1589999999999998</v>
      </c>
      <c r="H5085">
        <v>0</v>
      </c>
      <c r="I5085">
        <v>15</v>
      </c>
      <c r="J5085" t="str">
        <f>HYPERLINK("https://climate.onebuilding.org/WMO_Region_6_Europe/GBR_United_Kingdom/SCT_Scotland/GBR_SCT_Corsewall.Point.Lighthouse.031180_TMYx.zip")</f>
        <v>https://climate.onebuilding.org/WMO_Region_6_Europe/GBR_United_Kingdom/SCT_Scotland/GBR_SCT_Corsewall.Point.Lighthouse.031180_TMYx.zip</v>
      </c>
    </row>
    <row r="5086" spans="1:10" x14ac:dyDescent="0.25">
      <c r="A5086" t="s">
        <v>3587</v>
      </c>
      <c r="B5086" t="s">
        <v>3588</v>
      </c>
      <c r="C5086" t="s">
        <v>3781</v>
      </c>
      <c r="D5086" s="1" t="s">
        <v>3782</v>
      </c>
      <c r="E5086" t="s">
        <v>3783</v>
      </c>
      <c r="F5086">
        <v>55.7</v>
      </c>
      <c r="G5086">
        <v>-5.3</v>
      </c>
      <c r="H5086">
        <v>0</v>
      </c>
      <c r="I5086">
        <v>46</v>
      </c>
      <c r="J5086" t="str">
        <f>HYPERLINK("https://climate.onebuilding.org/WMO_Region_6_Europe/GBR_United_Kingdom/SCT_Scotland/GBR_SCT_Lochranza.031200_TMYx.2004-2018.zip")</f>
        <v>https://climate.onebuilding.org/WMO_Region_6_Europe/GBR_United_Kingdom/SCT_Scotland/GBR_SCT_Lochranza.031200_TMYx.2004-2018.zip</v>
      </c>
    </row>
    <row r="5087" spans="1:10" x14ac:dyDescent="0.25">
      <c r="A5087" t="s">
        <v>3587</v>
      </c>
      <c r="B5087" t="s">
        <v>3588</v>
      </c>
      <c r="C5087" t="s">
        <v>3781</v>
      </c>
      <c r="D5087" s="1" t="s">
        <v>3782</v>
      </c>
      <c r="E5087" t="s">
        <v>14</v>
      </c>
      <c r="F5087">
        <v>55.7</v>
      </c>
      <c r="G5087">
        <v>-5.3</v>
      </c>
      <c r="H5087">
        <v>0</v>
      </c>
      <c r="I5087">
        <v>46</v>
      </c>
      <c r="J5087" t="str">
        <f>HYPERLINK("https://climate.onebuilding.org/WMO_Region_6_Europe/GBR_United_Kingdom/SCT_Scotland/GBR_SCT_Lochranza.031200_TMYx.zip")</f>
        <v>https://climate.onebuilding.org/WMO_Region_6_Europe/GBR_United_Kingdom/SCT_Scotland/GBR_SCT_Lochranza.031200_TMYx.zip</v>
      </c>
    </row>
    <row r="5088" spans="1:10" x14ac:dyDescent="0.25">
      <c r="A5088" t="s">
        <v>3587</v>
      </c>
      <c r="B5088" t="s">
        <v>3588</v>
      </c>
      <c r="C5088" t="s">
        <v>3784</v>
      </c>
      <c r="D5088" s="1" t="s">
        <v>3785</v>
      </c>
      <c r="E5088" t="s">
        <v>14</v>
      </c>
      <c r="F5088">
        <v>55.442</v>
      </c>
      <c r="G5088">
        <v>-5.1079999999999997</v>
      </c>
      <c r="H5088">
        <v>0</v>
      </c>
      <c r="I5088">
        <v>18</v>
      </c>
      <c r="J5088" t="str">
        <f>HYPERLINK("https://climate.onebuilding.org/WMO_Region_6_Europe/GBR_United_Kingdom/SCT_Scotland/GBR_SCT_Kildonan.031210_TMYx.zip")</f>
        <v>https://climate.onebuilding.org/WMO_Region_6_Europe/GBR_United_Kingdom/SCT_Scotland/GBR_SCT_Kildonan.031210_TMYx.zip</v>
      </c>
    </row>
    <row r="5089" spans="1:10" x14ac:dyDescent="0.25">
      <c r="A5089" t="s">
        <v>3587</v>
      </c>
      <c r="B5089" t="s">
        <v>3588</v>
      </c>
      <c r="C5089" t="s">
        <v>3786</v>
      </c>
      <c r="D5089" s="1" t="s">
        <v>3787</v>
      </c>
      <c r="E5089" t="s">
        <v>14</v>
      </c>
      <c r="F5089">
        <v>55.65</v>
      </c>
      <c r="G5089">
        <v>-4.8170000000000002</v>
      </c>
      <c r="H5089">
        <v>0</v>
      </c>
      <c r="I5089">
        <v>9</v>
      </c>
      <c r="J5089" t="str">
        <f>HYPERLINK("https://climate.onebuilding.org/WMO_Region_6_Europe/GBR_United_Kingdom/SCT_Scotland/GBR_SCT_Ardrossan.031290_TMYx.zip")</f>
        <v>https://climate.onebuilding.org/WMO_Region_6_Europe/GBR_United_Kingdom/SCT_Scotland/GBR_SCT_Ardrossan.031290_TMYx.zip</v>
      </c>
    </row>
    <row r="5090" spans="1:10" x14ac:dyDescent="0.25">
      <c r="A5090" t="s">
        <v>3587</v>
      </c>
      <c r="B5090" t="s">
        <v>3588</v>
      </c>
      <c r="C5090" t="s">
        <v>3788</v>
      </c>
      <c r="D5090" s="1" t="s">
        <v>3789</v>
      </c>
      <c r="E5090" t="s">
        <v>14</v>
      </c>
      <c r="F5090">
        <v>54.634999999999998</v>
      </c>
      <c r="G5090">
        <v>-4.8570000000000002</v>
      </c>
      <c r="H5090">
        <v>0</v>
      </c>
      <c r="I5090">
        <v>78</v>
      </c>
      <c r="J5090" t="str">
        <f>HYPERLINK("https://climate.onebuilding.org/WMO_Region_6_Europe/GBR_United_Kingdom/SCT_Scotland/GBR_SCT_Mull.of.Galloway.Lighthouse.031310_TMYx.zip")</f>
        <v>https://climate.onebuilding.org/WMO_Region_6_Europe/GBR_United_Kingdom/SCT_Scotland/GBR_SCT_Mull.of.Galloway.Lighthouse.031310_TMYx.zip</v>
      </c>
    </row>
    <row r="5091" spans="1:10" x14ac:dyDescent="0.25">
      <c r="A5091" t="s">
        <v>3587</v>
      </c>
      <c r="B5091" t="s">
        <v>3588</v>
      </c>
      <c r="C5091" t="s">
        <v>3790</v>
      </c>
      <c r="D5091" s="1" t="s">
        <v>3791</v>
      </c>
      <c r="E5091" t="s">
        <v>3792</v>
      </c>
      <c r="F5091">
        <v>54.85</v>
      </c>
      <c r="G5091">
        <v>-4.95</v>
      </c>
      <c r="H5091">
        <v>0</v>
      </c>
      <c r="I5091">
        <v>12</v>
      </c>
      <c r="J5091" t="str">
        <f>HYPERLINK("https://climate.onebuilding.org/WMO_Region_6_Europe/GBR_United_Kingdom/SCT_Scotland/GBR_SCT_West.Freugh.AP.031320_TMYx.2004-2018.zip")</f>
        <v>https://climate.onebuilding.org/WMO_Region_6_Europe/GBR_United_Kingdom/SCT_Scotland/GBR_SCT_West.Freugh.AP.031320_TMYx.2004-2018.zip</v>
      </c>
    </row>
    <row r="5092" spans="1:10" x14ac:dyDescent="0.25">
      <c r="A5092" t="s">
        <v>3587</v>
      </c>
      <c r="B5092" t="s">
        <v>3588</v>
      </c>
      <c r="C5092" t="s">
        <v>3790</v>
      </c>
      <c r="D5092" s="1" t="s">
        <v>3791</v>
      </c>
      <c r="E5092" t="s">
        <v>14</v>
      </c>
      <c r="F5092">
        <v>54.859200000000001</v>
      </c>
      <c r="G5092">
        <v>-4.9352999999999998</v>
      </c>
      <c r="H5092">
        <v>0</v>
      </c>
      <c r="I5092">
        <v>12</v>
      </c>
      <c r="J5092" t="str">
        <f>HYPERLINK("https://climate.onebuilding.org/WMO_Region_6_Europe/GBR_United_Kingdom/SCT_Scotland/GBR_SCT_West.Freugh.AP.031320_TMYx.2007-2021.zip")</f>
        <v>https://climate.onebuilding.org/WMO_Region_6_Europe/GBR_United_Kingdom/SCT_Scotland/GBR_SCT_West.Freugh.AP.031320_TMYx.2007-2021.zip</v>
      </c>
    </row>
    <row r="5093" spans="1:10" x14ac:dyDescent="0.25">
      <c r="A5093" t="s">
        <v>3587</v>
      </c>
      <c r="B5093" t="s">
        <v>3588</v>
      </c>
      <c r="C5093" t="s">
        <v>3790</v>
      </c>
      <c r="D5093" s="1" t="s">
        <v>3791</v>
      </c>
      <c r="E5093" t="s">
        <v>14</v>
      </c>
      <c r="F5093">
        <v>54.859200000000001</v>
      </c>
      <c r="G5093">
        <v>-4.9352999999999998</v>
      </c>
      <c r="H5093">
        <v>0</v>
      </c>
      <c r="I5093">
        <v>12</v>
      </c>
      <c r="J5093" t="str">
        <f>HYPERLINK("https://climate.onebuilding.org/WMO_Region_6_Europe/GBR_United_Kingdom/SCT_Scotland/GBR_SCT_West.Freugh.AP.031320_TMYx.2009-2023.zip")</f>
        <v>https://climate.onebuilding.org/WMO_Region_6_Europe/GBR_United_Kingdom/SCT_Scotland/GBR_SCT_West.Freugh.AP.031320_TMYx.2009-2023.zip</v>
      </c>
    </row>
    <row r="5094" spans="1:10" x14ac:dyDescent="0.25">
      <c r="A5094" t="s">
        <v>3587</v>
      </c>
      <c r="B5094" t="s">
        <v>3588</v>
      </c>
      <c r="C5094" t="s">
        <v>3790</v>
      </c>
      <c r="D5094" s="1" t="s">
        <v>3791</v>
      </c>
      <c r="E5094" t="s">
        <v>14</v>
      </c>
      <c r="F5094">
        <v>54.859200000000001</v>
      </c>
      <c r="G5094">
        <v>-4.9352999999999998</v>
      </c>
      <c r="H5094">
        <v>0</v>
      </c>
      <c r="I5094">
        <v>12</v>
      </c>
      <c r="J5094" t="str">
        <f>HYPERLINK("https://climate.onebuilding.org/WMO_Region_6_Europe/GBR_United_Kingdom/SCT_Scotland/GBR_SCT_West.Freugh.AP.031320_TMYx.zip")</f>
        <v>https://climate.onebuilding.org/WMO_Region_6_Europe/GBR_United_Kingdom/SCT_Scotland/GBR_SCT_West.Freugh.AP.031320_TMYx.zip</v>
      </c>
    </row>
    <row r="5095" spans="1:10" x14ac:dyDescent="0.25">
      <c r="A5095" t="s">
        <v>3587</v>
      </c>
      <c r="B5095" t="s">
        <v>3588</v>
      </c>
      <c r="C5095" t="s">
        <v>3793</v>
      </c>
      <c r="D5095" s="1" t="s">
        <v>3794</v>
      </c>
      <c r="E5095" t="s">
        <v>14</v>
      </c>
      <c r="F5095">
        <v>56.25</v>
      </c>
      <c r="G5095">
        <v>-4.7169999999999996</v>
      </c>
      <c r="H5095">
        <v>0</v>
      </c>
      <c r="I5095">
        <v>6</v>
      </c>
      <c r="J5095" t="str">
        <f>HYPERLINK("https://climate.onebuilding.org/WMO_Region_6_Europe/GBR_United_Kingdom/SCT_Scotland/GBR_SCT_Sloy.031330_TMYx.zip")</f>
        <v>https://climate.onebuilding.org/WMO_Region_6_Europe/GBR_United_Kingdom/SCT_Scotland/GBR_SCT_Sloy.031330_TMYx.zip</v>
      </c>
    </row>
    <row r="5096" spans="1:10" x14ac:dyDescent="0.25">
      <c r="A5096" t="s">
        <v>3587</v>
      </c>
      <c r="B5096" t="s">
        <v>3588</v>
      </c>
      <c r="C5096" t="s">
        <v>3795</v>
      </c>
      <c r="D5096" s="1" t="s">
        <v>3796</v>
      </c>
      <c r="E5096" t="s">
        <v>3797</v>
      </c>
      <c r="F5096">
        <v>55.9</v>
      </c>
      <c r="G5096">
        <v>-4.5330000000000004</v>
      </c>
      <c r="H5096">
        <v>0</v>
      </c>
      <c r="I5096">
        <v>59</v>
      </c>
      <c r="J5096" t="str">
        <f>HYPERLINK("https://climate.onebuilding.org/WMO_Region_6_Europe/GBR_United_Kingdom/SCT_Scotland/GBR_SCT_Glasgow.Bishopton.031340_TMYx.2004-2018.zip")</f>
        <v>https://climate.onebuilding.org/WMO_Region_6_Europe/GBR_United_Kingdom/SCT_Scotland/GBR_SCT_Glasgow.Bishopton.031340_TMYx.2004-2018.zip</v>
      </c>
    </row>
    <row r="5097" spans="1:10" x14ac:dyDescent="0.25">
      <c r="A5097" t="s">
        <v>3587</v>
      </c>
      <c r="B5097" t="s">
        <v>3588</v>
      </c>
      <c r="C5097" t="s">
        <v>3795</v>
      </c>
      <c r="D5097" s="1" t="s">
        <v>3796</v>
      </c>
      <c r="E5097" t="s">
        <v>14</v>
      </c>
      <c r="F5097">
        <v>55.906700000000001</v>
      </c>
      <c r="G5097">
        <v>-4.5324999999999998</v>
      </c>
      <c r="H5097">
        <v>0</v>
      </c>
      <c r="I5097">
        <v>59</v>
      </c>
      <c r="J5097" t="str">
        <f>HYPERLINK("https://climate.onebuilding.org/WMO_Region_6_Europe/GBR_United_Kingdom/SCT_Scotland/GBR_SCT_Glasgow.Bishopton.031340_TMYx.2007-2021.zip")</f>
        <v>https://climate.onebuilding.org/WMO_Region_6_Europe/GBR_United_Kingdom/SCT_Scotland/GBR_SCT_Glasgow.Bishopton.031340_TMYx.2007-2021.zip</v>
      </c>
    </row>
    <row r="5098" spans="1:10" x14ac:dyDescent="0.25">
      <c r="A5098" t="s">
        <v>3587</v>
      </c>
      <c r="B5098" t="s">
        <v>3588</v>
      </c>
      <c r="C5098" t="s">
        <v>3795</v>
      </c>
      <c r="D5098" s="1" t="s">
        <v>3796</v>
      </c>
      <c r="E5098" t="s">
        <v>14</v>
      </c>
      <c r="F5098">
        <v>55.906700000000001</v>
      </c>
      <c r="G5098">
        <v>-4.5324999999999998</v>
      </c>
      <c r="H5098">
        <v>0</v>
      </c>
      <c r="I5098">
        <v>59</v>
      </c>
      <c r="J5098" t="str">
        <f>HYPERLINK("https://climate.onebuilding.org/WMO_Region_6_Europe/GBR_United_Kingdom/SCT_Scotland/GBR_SCT_Glasgow.Bishopton.031340_TMYx.2009-2023.zip")</f>
        <v>https://climate.onebuilding.org/WMO_Region_6_Europe/GBR_United_Kingdom/SCT_Scotland/GBR_SCT_Glasgow.Bishopton.031340_TMYx.2009-2023.zip</v>
      </c>
    </row>
    <row r="5099" spans="1:10" x14ac:dyDescent="0.25">
      <c r="A5099" t="s">
        <v>3587</v>
      </c>
      <c r="B5099" t="s">
        <v>3588</v>
      </c>
      <c r="C5099" t="s">
        <v>3795</v>
      </c>
      <c r="D5099" s="1" t="s">
        <v>3796</v>
      </c>
      <c r="E5099" t="s">
        <v>14</v>
      </c>
      <c r="F5099">
        <v>55.906700000000001</v>
      </c>
      <c r="G5099">
        <v>-4.5324999999999998</v>
      </c>
      <c r="H5099">
        <v>0</v>
      </c>
      <c r="I5099">
        <v>59</v>
      </c>
      <c r="J5099" t="str">
        <f>HYPERLINK("https://climate.onebuilding.org/WMO_Region_6_Europe/GBR_United_Kingdom/SCT_Scotland/GBR_SCT_Glasgow.Bishopton.031340_TMYx.zip")</f>
        <v>https://climate.onebuilding.org/WMO_Region_6_Europe/GBR_United_Kingdom/SCT_Scotland/GBR_SCT_Glasgow.Bishopton.031340_TMYx.zip</v>
      </c>
    </row>
    <row r="5100" spans="1:10" x14ac:dyDescent="0.25">
      <c r="A5100" t="s">
        <v>3587</v>
      </c>
      <c r="B5100" t="s">
        <v>3588</v>
      </c>
      <c r="C5100" t="s">
        <v>3798</v>
      </c>
      <c r="D5100" s="1" t="s">
        <v>3799</v>
      </c>
      <c r="E5100" t="s">
        <v>3800</v>
      </c>
      <c r="F5100">
        <v>55.509</v>
      </c>
      <c r="G5100">
        <v>-4.5869999999999997</v>
      </c>
      <c r="H5100">
        <v>0</v>
      </c>
      <c r="I5100">
        <v>19.8</v>
      </c>
      <c r="J5100" t="str">
        <f>HYPERLINK("https://climate.onebuilding.org/WMO_Region_6_Europe/GBR_United_Kingdom/SCT_Scotland/GBR_SCT_Glasgow-Prestwick.Intl.AP.031350_TMYx.2004-2018.zip")</f>
        <v>https://climate.onebuilding.org/WMO_Region_6_Europe/GBR_United_Kingdom/SCT_Scotland/GBR_SCT_Glasgow-Prestwick.Intl.AP.031350_TMYx.2004-2018.zip</v>
      </c>
    </row>
    <row r="5101" spans="1:10" x14ac:dyDescent="0.25">
      <c r="A5101" t="s">
        <v>3587</v>
      </c>
      <c r="B5101" t="s">
        <v>3588</v>
      </c>
      <c r="C5101" t="s">
        <v>3798</v>
      </c>
      <c r="D5101" s="1" t="s">
        <v>3799</v>
      </c>
      <c r="E5101" t="s">
        <v>14</v>
      </c>
      <c r="F5101">
        <v>55.509</v>
      </c>
      <c r="G5101">
        <v>-4.5869999999999997</v>
      </c>
      <c r="H5101">
        <v>0</v>
      </c>
      <c r="I5101">
        <v>19.8</v>
      </c>
      <c r="J5101" t="str">
        <f>HYPERLINK("https://climate.onebuilding.org/WMO_Region_6_Europe/GBR_United_Kingdom/SCT_Scotland/GBR_SCT_Glasgow-Prestwick.Intl.AP.031350_TMYx.2007-2021.zip")</f>
        <v>https://climate.onebuilding.org/WMO_Region_6_Europe/GBR_United_Kingdom/SCT_Scotland/GBR_SCT_Glasgow-Prestwick.Intl.AP.031350_TMYx.2007-2021.zip</v>
      </c>
    </row>
    <row r="5102" spans="1:10" x14ac:dyDescent="0.25">
      <c r="A5102" t="s">
        <v>3587</v>
      </c>
      <c r="B5102" t="s">
        <v>3588</v>
      </c>
      <c r="C5102" t="s">
        <v>3798</v>
      </c>
      <c r="D5102" s="1" t="s">
        <v>3799</v>
      </c>
      <c r="E5102" t="s">
        <v>14</v>
      </c>
      <c r="F5102">
        <v>55.509</v>
      </c>
      <c r="G5102">
        <v>-4.5869999999999997</v>
      </c>
      <c r="H5102">
        <v>0</v>
      </c>
      <c r="I5102">
        <v>19.8</v>
      </c>
      <c r="J5102" t="str">
        <f>HYPERLINK("https://climate.onebuilding.org/WMO_Region_6_Europe/GBR_United_Kingdom/SCT_Scotland/GBR_SCT_Glasgow-Prestwick.Intl.AP.031350_TMYx.2009-2023.zip")</f>
        <v>https://climate.onebuilding.org/WMO_Region_6_Europe/GBR_United_Kingdom/SCT_Scotland/GBR_SCT_Glasgow-Prestwick.Intl.AP.031350_TMYx.2009-2023.zip</v>
      </c>
    </row>
    <row r="5103" spans="1:10" x14ac:dyDescent="0.25">
      <c r="A5103" t="s">
        <v>3587</v>
      </c>
      <c r="B5103" t="s">
        <v>3588</v>
      </c>
      <c r="C5103" t="s">
        <v>3798</v>
      </c>
      <c r="D5103" s="1" t="s">
        <v>3799</v>
      </c>
      <c r="E5103" t="s">
        <v>14</v>
      </c>
      <c r="F5103">
        <v>55.509</v>
      </c>
      <c r="G5103">
        <v>-4.5869999999999997</v>
      </c>
      <c r="H5103">
        <v>0</v>
      </c>
      <c r="I5103">
        <v>19.8</v>
      </c>
      <c r="J5103" t="str">
        <f>HYPERLINK("https://climate.onebuilding.org/WMO_Region_6_Europe/GBR_United_Kingdom/SCT_Scotland/GBR_SCT_Glasgow-Prestwick.Intl.AP.031350_TMYx.zip")</f>
        <v>https://climate.onebuilding.org/WMO_Region_6_Europe/GBR_United_Kingdom/SCT_Scotland/GBR_SCT_Glasgow-Prestwick.Intl.AP.031350_TMYx.zip</v>
      </c>
    </row>
    <row r="5104" spans="1:10" x14ac:dyDescent="0.25">
      <c r="A5104" t="s">
        <v>3587</v>
      </c>
      <c r="B5104" t="s">
        <v>3588</v>
      </c>
      <c r="C5104" t="s">
        <v>3801</v>
      </c>
      <c r="D5104" s="1" t="s">
        <v>3802</v>
      </c>
      <c r="E5104" t="s">
        <v>3803</v>
      </c>
      <c r="F5104">
        <v>55.517000000000003</v>
      </c>
      <c r="G5104">
        <v>-4.5830000000000002</v>
      </c>
      <c r="H5104">
        <v>0</v>
      </c>
      <c r="I5104">
        <v>27</v>
      </c>
      <c r="J5104" t="str">
        <f>HYPERLINK("https://climate.onebuilding.org/WMO_Region_6_Europe/GBR_United_Kingdom/SCT_Scotland/GBR_SCT_Glasgow-Prestwick.RNAS.031360_TMYx.2004-2018.zip")</f>
        <v>https://climate.onebuilding.org/WMO_Region_6_Europe/GBR_United_Kingdom/SCT_Scotland/GBR_SCT_Glasgow-Prestwick.RNAS.031360_TMYx.2004-2018.zip</v>
      </c>
    </row>
    <row r="5105" spans="1:10" x14ac:dyDescent="0.25">
      <c r="A5105" t="s">
        <v>3587</v>
      </c>
      <c r="B5105" t="s">
        <v>3588</v>
      </c>
      <c r="C5105" t="s">
        <v>3801</v>
      </c>
      <c r="D5105" s="1" t="s">
        <v>3802</v>
      </c>
      <c r="E5105" t="s">
        <v>14</v>
      </c>
      <c r="F5105">
        <v>55.517000000000003</v>
      </c>
      <c r="G5105">
        <v>-4.5830000000000002</v>
      </c>
      <c r="H5105">
        <v>0</v>
      </c>
      <c r="I5105">
        <v>27</v>
      </c>
      <c r="J5105" t="str">
        <f>HYPERLINK("https://climate.onebuilding.org/WMO_Region_6_Europe/GBR_United_Kingdom/SCT_Scotland/GBR_SCT_Glasgow-Prestwick.RNAS.031360_TMYx.2007-2021.zip")</f>
        <v>https://climate.onebuilding.org/WMO_Region_6_Europe/GBR_United_Kingdom/SCT_Scotland/GBR_SCT_Glasgow-Prestwick.RNAS.031360_TMYx.2007-2021.zip</v>
      </c>
    </row>
    <row r="5106" spans="1:10" x14ac:dyDescent="0.25">
      <c r="A5106" t="s">
        <v>3587</v>
      </c>
      <c r="B5106" t="s">
        <v>3588</v>
      </c>
      <c r="C5106" t="s">
        <v>3801</v>
      </c>
      <c r="D5106" s="1" t="s">
        <v>3802</v>
      </c>
      <c r="E5106" t="s">
        <v>14</v>
      </c>
      <c r="F5106">
        <v>55.517000000000003</v>
      </c>
      <c r="G5106">
        <v>-4.5830000000000002</v>
      </c>
      <c r="H5106">
        <v>0</v>
      </c>
      <c r="I5106">
        <v>27</v>
      </c>
      <c r="J5106" t="str">
        <f>HYPERLINK("https://climate.onebuilding.org/WMO_Region_6_Europe/GBR_United_Kingdom/SCT_Scotland/GBR_SCT_Glasgow-Prestwick.RNAS.031360_TMYx.2009-2023.zip")</f>
        <v>https://climate.onebuilding.org/WMO_Region_6_Europe/GBR_United_Kingdom/SCT_Scotland/GBR_SCT_Glasgow-Prestwick.RNAS.031360_TMYx.2009-2023.zip</v>
      </c>
    </row>
    <row r="5107" spans="1:10" x14ac:dyDescent="0.25">
      <c r="A5107" t="s">
        <v>3587</v>
      </c>
      <c r="B5107" t="s">
        <v>3588</v>
      </c>
      <c r="C5107" t="s">
        <v>3801</v>
      </c>
      <c r="D5107" s="1" t="s">
        <v>3802</v>
      </c>
      <c r="E5107" t="s">
        <v>14</v>
      </c>
      <c r="F5107">
        <v>55.517000000000003</v>
      </c>
      <c r="G5107">
        <v>-4.5830000000000002</v>
      </c>
      <c r="H5107">
        <v>0</v>
      </c>
      <c r="I5107">
        <v>27</v>
      </c>
      <c r="J5107" t="str">
        <f>HYPERLINK("https://climate.onebuilding.org/WMO_Region_6_Europe/GBR_United_Kingdom/SCT_Scotland/GBR_SCT_Glasgow-Prestwick.RNAS.031360_TMYx.zip")</f>
        <v>https://climate.onebuilding.org/WMO_Region_6_Europe/GBR_United_Kingdom/SCT_Scotland/GBR_SCT_Glasgow-Prestwick.RNAS.031360_TMYx.zip</v>
      </c>
    </row>
    <row r="5108" spans="1:10" x14ac:dyDescent="0.25">
      <c r="A5108" t="s">
        <v>3587</v>
      </c>
      <c r="B5108" t="s">
        <v>3588</v>
      </c>
      <c r="C5108" t="s">
        <v>3804</v>
      </c>
      <c r="D5108" s="1" t="s">
        <v>3805</v>
      </c>
      <c r="E5108" t="s">
        <v>14</v>
      </c>
      <c r="F5108">
        <v>54.7</v>
      </c>
      <c r="G5108">
        <v>-4.4169999999999998</v>
      </c>
      <c r="H5108">
        <v>0</v>
      </c>
      <c r="I5108">
        <v>40</v>
      </c>
      <c r="J5108" t="str">
        <f>HYPERLINK("https://climate.onebuilding.org/WMO_Region_6_Europe/GBR_United_Kingdom/SCT_Scotland/GBR_SCT_Whithorn.031370_TMYx.zip")</f>
        <v>https://climate.onebuilding.org/WMO_Region_6_Europe/GBR_United_Kingdom/SCT_Scotland/GBR_SCT_Whithorn.031370_TMYx.zip</v>
      </c>
    </row>
    <row r="5109" spans="1:10" x14ac:dyDescent="0.25">
      <c r="A5109" t="s">
        <v>3587</v>
      </c>
      <c r="B5109" t="s">
        <v>3588</v>
      </c>
      <c r="C5109" t="s">
        <v>3806</v>
      </c>
      <c r="D5109" s="1" t="s">
        <v>3807</v>
      </c>
      <c r="E5109" t="s">
        <v>14</v>
      </c>
      <c r="F5109">
        <v>55.966999999999999</v>
      </c>
      <c r="G5109">
        <v>-4.8</v>
      </c>
      <c r="H5109">
        <v>0</v>
      </c>
      <c r="I5109">
        <v>5</v>
      </c>
      <c r="J5109" t="str">
        <f>HYPERLINK("https://climate.onebuilding.org/WMO_Region_6_Europe/GBR_United_Kingdom/SCT_Scotland/GBR_SCT_Greenock.MRCC.031380_TMYx.zip")</f>
        <v>https://climate.onebuilding.org/WMO_Region_6_Europe/GBR_United_Kingdom/SCT_Scotland/GBR_SCT_Greenock.MRCC.031380_TMYx.zip</v>
      </c>
    </row>
    <row r="5110" spans="1:10" x14ac:dyDescent="0.25">
      <c r="A5110" t="s">
        <v>3587</v>
      </c>
      <c r="B5110" t="s">
        <v>3588</v>
      </c>
      <c r="C5110" t="s">
        <v>3808</v>
      </c>
      <c r="D5110" s="1" t="s">
        <v>3809</v>
      </c>
      <c r="E5110" t="s">
        <v>14</v>
      </c>
      <c r="F5110">
        <v>55.6</v>
      </c>
      <c r="G5110">
        <v>-4.2169999999999996</v>
      </c>
      <c r="H5110">
        <v>0</v>
      </c>
      <c r="I5110">
        <v>223</v>
      </c>
      <c r="J5110" t="str">
        <f>HYPERLINK("https://climate.onebuilding.org/WMO_Region_6_Europe/GBR_United_Kingdom/SCT_Scotland/GBR_SCT_Saughall.031390_TMYx.zip")</f>
        <v>https://climate.onebuilding.org/WMO_Region_6_Europe/GBR_United_Kingdom/SCT_Scotland/GBR_SCT_Saughall.031390_TMYx.zip</v>
      </c>
    </row>
    <row r="5111" spans="1:10" x14ac:dyDescent="0.25">
      <c r="A5111" t="s">
        <v>3587</v>
      </c>
      <c r="B5111" t="s">
        <v>3588</v>
      </c>
      <c r="C5111" t="s">
        <v>3810</v>
      </c>
      <c r="D5111" s="1" t="s">
        <v>3811</v>
      </c>
      <c r="E5111" t="s">
        <v>3812</v>
      </c>
      <c r="F5111">
        <v>55.872</v>
      </c>
      <c r="G5111">
        <v>-4.4329999999999998</v>
      </c>
      <c r="H5111">
        <v>0</v>
      </c>
      <c r="I5111">
        <v>7.9</v>
      </c>
      <c r="J5111" t="str">
        <f>HYPERLINK("https://climate.onebuilding.org/WMO_Region_6_Europe/GBR_United_Kingdom/SCT_Scotland/GBR_SCT_Glasgow.AP.031400_TMYx.2004-2018.zip")</f>
        <v>https://climate.onebuilding.org/WMO_Region_6_Europe/GBR_United_Kingdom/SCT_Scotland/GBR_SCT_Glasgow.AP.031400_TMYx.2004-2018.zip</v>
      </c>
    </row>
    <row r="5112" spans="1:10" x14ac:dyDescent="0.25">
      <c r="A5112" t="s">
        <v>3587</v>
      </c>
      <c r="B5112" t="s">
        <v>3588</v>
      </c>
      <c r="C5112" t="s">
        <v>3810</v>
      </c>
      <c r="D5112" s="1" t="s">
        <v>3811</v>
      </c>
      <c r="E5112" t="s">
        <v>14</v>
      </c>
      <c r="F5112">
        <v>55.872</v>
      </c>
      <c r="G5112">
        <v>-4.4329999999999998</v>
      </c>
      <c r="H5112">
        <v>0</v>
      </c>
      <c r="I5112">
        <v>7.9</v>
      </c>
      <c r="J5112" t="str">
        <f>HYPERLINK("https://climate.onebuilding.org/WMO_Region_6_Europe/GBR_United_Kingdom/SCT_Scotland/GBR_SCT_Glasgow.AP.031400_TMYx.2007-2021.zip")</f>
        <v>https://climate.onebuilding.org/WMO_Region_6_Europe/GBR_United_Kingdom/SCT_Scotland/GBR_SCT_Glasgow.AP.031400_TMYx.2007-2021.zip</v>
      </c>
    </row>
    <row r="5113" spans="1:10" x14ac:dyDescent="0.25">
      <c r="A5113" t="s">
        <v>3587</v>
      </c>
      <c r="B5113" t="s">
        <v>3588</v>
      </c>
      <c r="C5113" t="s">
        <v>3810</v>
      </c>
      <c r="D5113" s="1" t="s">
        <v>3811</v>
      </c>
      <c r="E5113" t="s">
        <v>14</v>
      </c>
      <c r="F5113">
        <v>55.872</v>
      </c>
      <c r="G5113">
        <v>-4.4329999999999998</v>
      </c>
      <c r="H5113">
        <v>0</v>
      </c>
      <c r="I5113">
        <v>7.9</v>
      </c>
      <c r="J5113" t="str">
        <f>HYPERLINK("https://climate.onebuilding.org/WMO_Region_6_Europe/GBR_United_Kingdom/SCT_Scotland/GBR_SCT_Glasgow.AP.031400_TMYx.2009-2023.zip")</f>
        <v>https://climate.onebuilding.org/WMO_Region_6_Europe/GBR_United_Kingdom/SCT_Scotland/GBR_SCT_Glasgow.AP.031400_TMYx.2009-2023.zip</v>
      </c>
    </row>
    <row r="5114" spans="1:10" x14ac:dyDescent="0.25">
      <c r="A5114" t="s">
        <v>3587</v>
      </c>
      <c r="B5114" t="s">
        <v>3588</v>
      </c>
      <c r="C5114" t="s">
        <v>3810</v>
      </c>
      <c r="D5114" s="1" t="s">
        <v>3811</v>
      </c>
      <c r="E5114" t="s">
        <v>14</v>
      </c>
      <c r="F5114">
        <v>55.872</v>
      </c>
      <c r="G5114">
        <v>-4.4329999999999998</v>
      </c>
      <c r="H5114">
        <v>0</v>
      </c>
      <c r="I5114">
        <v>7.9</v>
      </c>
      <c r="J5114" t="str">
        <f>HYPERLINK("https://climate.onebuilding.org/WMO_Region_6_Europe/GBR_United_Kingdom/SCT_Scotland/GBR_SCT_Glasgow.AP.031400_TMYx.zip")</f>
        <v>https://climate.onebuilding.org/WMO_Region_6_Europe/GBR_United_Kingdom/SCT_Scotland/GBR_SCT_Glasgow.AP.031400_TMYx.zip</v>
      </c>
    </row>
    <row r="5115" spans="1:10" x14ac:dyDescent="0.25">
      <c r="A5115" t="s">
        <v>3587</v>
      </c>
      <c r="B5115" t="s">
        <v>3588</v>
      </c>
      <c r="C5115" t="s">
        <v>3813</v>
      </c>
      <c r="D5115" s="1" t="s">
        <v>3814</v>
      </c>
      <c r="E5115" t="s">
        <v>14</v>
      </c>
      <c r="F5115">
        <v>56.482999999999997</v>
      </c>
      <c r="G5115">
        <v>-4.3499999999999996</v>
      </c>
      <c r="H5115">
        <v>0</v>
      </c>
      <c r="I5115">
        <v>114</v>
      </c>
      <c r="J5115" t="str">
        <f>HYPERLINK("https://climate.onebuilding.org/WMO_Region_6_Europe/GBR_United_Kingdom/SCT_Scotland/GBR_SCT_Killin.031430_TMYx.zip")</f>
        <v>https://climate.onebuilding.org/WMO_Region_6_Europe/GBR_United_Kingdom/SCT_Scotland/GBR_SCT_Killin.031430_TMYx.zip</v>
      </c>
    </row>
    <row r="5116" spans="1:10" x14ac:dyDescent="0.25">
      <c r="A5116" t="s">
        <v>3587</v>
      </c>
      <c r="B5116" t="s">
        <v>3588</v>
      </c>
      <c r="C5116" t="s">
        <v>3815</v>
      </c>
      <c r="D5116" s="1" t="s">
        <v>3816</v>
      </c>
      <c r="E5116" t="s">
        <v>3817</v>
      </c>
      <c r="F5116">
        <v>56.317</v>
      </c>
      <c r="G5116">
        <v>-3.7330000000000001</v>
      </c>
      <c r="H5116">
        <v>0</v>
      </c>
      <c r="I5116">
        <v>35</v>
      </c>
      <c r="J5116" t="str">
        <f>HYPERLINK("https://climate.onebuilding.org/WMO_Region_6_Europe/GBR_United_Kingdom/SCT_Scotland/GBR_SCT_Strathallen.AF.031440_TMYx.2004-2018.zip")</f>
        <v>https://climate.onebuilding.org/WMO_Region_6_Europe/GBR_United_Kingdom/SCT_Scotland/GBR_SCT_Strathallen.AF.031440_TMYx.2004-2018.zip</v>
      </c>
    </row>
    <row r="5117" spans="1:10" x14ac:dyDescent="0.25">
      <c r="A5117" t="s">
        <v>3587</v>
      </c>
      <c r="B5117" t="s">
        <v>3588</v>
      </c>
      <c r="C5117" t="s">
        <v>3815</v>
      </c>
      <c r="D5117" s="1" t="s">
        <v>3816</v>
      </c>
      <c r="E5117" t="s">
        <v>14</v>
      </c>
      <c r="F5117">
        <v>56.3264</v>
      </c>
      <c r="G5117">
        <v>-3.7286000000000001</v>
      </c>
      <c r="H5117">
        <v>0</v>
      </c>
      <c r="I5117">
        <v>35</v>
      </c>
      <c r="J5117" t="str">
        <f>HYPERLINK("https://climate.onebuilding.org/WMO_Region_6_Europe/GBR_United_Kingdom/SCT_Scotland/GBR_SCT_Strathallen.AF.031440_TMYx.2007-2021.zip")</f>
        <v>https://climate.onebuilding.org/WMO_Region_6_Europe/GBR_United_Kingdom/SCT_Scotland/GBR_SCT_Strathallen.AF.031440_TMYx.2007-2021.zip</v>
      </c>
    </row>
    <row r="5118" spans="1:10" x14ac:dyDescent="0.25">
      <c r="A5118" t="s">
        <v>3587</v>
      </c>
      <c r="B5118" t="s">
        <v>3588</v>
      </c>
      <c r="C5118" t="s">
        <v>3815</v>
      </c>
      <c r="D5118" s="1" t="s">
        <v>3816</v>
      </c>
      <c r="E5118" t="s">
        <v>14</v>
      </c>
      <c r="F5118">
        <v>56.3264</v>
      </c>
      <c r="G5118">
        <v>-3.7286000000000001</v>
      </c>
      <c r="H5118">
        <v>0</v>
      </c>
      <c r="I5118">
        <v>35</v>
      </c>
      <c r="J5118" t="str">
        <f>HYPERLINK("https://climate.onebuilding.org/WMO_Region_6_Europe/GBR_United_Kingdom/SCT_Scotland/GBR_SCT_Strathallen.AF.031440_TMYx.2009-2023.zip")</f>
        <v>https://climate.onebuilding.org/WMO_Region_6_Europe/GBR_United_Kingdom/SCT_Scotland/GBR_SCT_Strathallen.AF.031440_TMYx.2009-2023.zip</v>
      </c>
    </row>
    <row r="5119" spans="1:10" x14ac:dyDescent="0.25">
      <c r="A5119" t="s">
        <v>3587</v>
      </c>
      <c r="B5119" t="s">
        <v>3588</v>
      </c>
      <c r="C5119" t="s">
        <v>3815</v>
      </c>
      <c r="D5119" s="1" t="s">
        <v>3816</v>
      </c>
      <c r="E5119" t="s">
        <v>14</v>
      </c>
      <c r="F5119">
        <v>56.3264</v>
      </c>
      <c r="G5119">
        <v>-3.7286000000000001</v>
      </c>
      <c r="H5119">
        <v>0</v>
      </c>
      <c r="I5119">
        <v>35</v>
      </c>
      <c r="J5119" t="str">
        <f>HYPERLINK("https://climate.onebuilding.org/WMO_Region_6_Europe/GBR_United_Kingdom/SCT_Scotland/GBR_SCT_Strathallen.AF.031440_TMYx.zip")</f>
        <v>https://climate.onebuilding.org/WMO_Region_6_Europe/GBR_United_Kingdom/SCT_Scotland/GBR_SCT_Strathallen.AF.031440_TMYx.zip</v>
      </c>
    </row>
    <row r="5120" spans="1:10" x14ac:dyDescent="0.25">
      <c r="A5120" t="s">
        <v>3587</v>
      </c>
      <c r="B5120" t="s">
        <v>3588</v>
      </c>
      <c r="C5120" t="s">
        <v>3818</v>
      </c>
      <c r="D5120" s="1" t="s">
        <v>3819</v>
      </c>
      <c r="E5120" t="s">
        <v>14</v>
      </c>
      <c r="F5120">
        <v>55.866999999999997</v>
      </c>
      <c r="G5120">
        <v>-4.2670000000000003</v>
      </c>
      <c r="H5120">
        <v>0</v>
      </c>
      <c r="I5120">
        <v>17</v>
      </c>
      <c r="J5120" t="str">
        <f>HYPERLINK("https://climate.onebuilding.org/WMO_Region_6_Europe/GBR_United_Kingdom/SCT_Scotland/GBR_SCT_Glasgow.Wea.Center.031450_TMYx.zip")</f>
        <v>https://climate.onebuilding.org/WMO_Region_6_Europe/GBR_United_Kingdom/SCT_Scotland/GBR_SCT_Glasgow.Wea.Center.031450_TMYx.zip</v>
      </c>
    </row>
    <row r="5121" spans="1:10" x14ac:dyDescent="0.25">
      <c r="A5121" t="s">
        <v>3587</v>
      </c>
      <c r="B5121" t="s">
        <v>3588</v>
      </c>
      <c r="C5121" t="s">
        <v>3820</v>
      </c>
      <c r="D5121" s="1" t="s">
        <v>3821</v>
      </c>
      <c r="E5121" t="s">
        <v>14</v>
      </c>
      <c r="F5121">
        <v>55.1</v>
      </c>
      <c r="G5121">
        <v>-4.1829999999999998</v>
      </c>
      <c r="H5121">
        <v>0</v>
      </c>
      <c r="I5121">
        <v>55</v>
      </c>
      <c r="J5121" t="str">
        <f>HYPERLINK("https://climate.onebuilding.org/WMO_Region_6_Europe/GBR_United_Kingdom/SCT_Scotland/GBR_SCT_Glenlee.031470_TMYx.zip")</f>
        <v>https://climate.onebuilding.org/WMO_Region_6_Europe/GBR_United_Kingdom/SCT_Scotland/GBR_SCT_Glenlee.031470_TMYx.zip</v>
      </c>
    </row>
    <row r="5122" spans="1:10" x14ac:dyDescent="0.25">
      <c r="A5122" t="s">
        <v>3587</v>
      </c>
      <c r="B5122" t="s">
        <v>3588</v>
      </c>
      <c r="C5122" t="s">
        <v>3822</v>
      </c>
      <c r="D5122" s="1" t="s">
        <v>3823</v>
      </c>
      <c r="E5122" t="s">
        <v>3824</v>
      </c>
      <c r="F5122">
        <v>56.417000000000002</v>
      </c>
      <c r="G5122">
        <v>-4.3170000000000002</v>
      </c>
      <c r="H5122">
        <v>0</v>
      </c>
      <c r="I5122">
        <v>564</v>
      </c>
      <c r="J5122" t="str">
        <f>HYPERLINK("https://climate.onebuilding.org/WMO_Region_6_Europe/GBR_United_Kingdom/SCT_Scotland/GBR_SCT_Glenogle.031480_TMYx.2004-2018.zip")</f>
        <v>https://climate.onebuilding.org/WMO_Region_6_Europe/GBR_United_Kingdom/SCT_Scotland/GBR_SCT_Glenogle.031480_TMYx.2004-2018.zip</v>
      </c>
    </row>
    <row r="5123" spans="1:10" x14ac:dyDescent="0.25">
      <c r="A5123" t="s">
        <v>3587</v>
      </c>
      <c r="B5123" t="s">
        <v>3588</v>
      </c>
      <c r="C5123" t="s">
        <v>3822</v>
      </c>
      <c r="D5123" s="1" t="s">
        <v>3823</v>
      </c>
      <c r="E5123" t="s">
        <v>14</v>
      </c>
      <c r="F5123">
        <v>56.424900000000001</v>
      </c>
      <c r="G5123">
        <v>-4.3231999999999999</v>
      </c>
      <c r="H5123">
        <v>0</v>
      </c>
      <c r="I5123">
        <v>564</v>
      </c>
      <c r="J5123" t="str">
        <f>HYPERLINK("https://climate.onebuilding.org/WMO_Region_6_Europe/GBR_United_Kingdom/SCT_Scotland/GBR_SCT_Glenogle.031480_TMYx.2007-2021.zip")</f>
        <v>https://climate.onebuilding.org/WMO_Region_6_Europe/GBR_United_Kingdom/SCT_Scotland/GBR_SCT_Glenogle.031480_TMYx.2007-2021.zip</v>
      </c>
    </row>
    <row r="5124" spans="1:10" x14ac:dyDescent="0.25">
      <c r="A5124" t="s">
        <v>3587</v>
      </c>
      <c r="B5124" t="s">
        <v>3588</v>
      </c>
      <c r="C5124" t="s">
        <v>3822</v>
      </c>
      <c r="D5124" s="1" t="s">
        <v>3823</v>
      </c>
      <c r="E5124" t="s">
        <v>14</v>
      </c>
      <c r="F5124">
        <v>56.424900000000001</v>
      </c>
      <c r="G5124">
        <v>-4.3231999999999999</v>
      </c>
      <c r="H5124">
        <v>0</v>
      </c>
      <c r="I5124">
        <v>564</v>
      </c>
      <c r="J5124" t="str">
        <f>HYPERLINK("https://climate.onebuilding.org/WMO_Region_6_Europe/GBR_United_Kingdom/SCT_Scotland/GBR_SCT_Glenogle.031480_TMYx.2009-2023.zip")</f>
        <v>https://climate.onebuilding.org/WMO_Region_6_Europe/GBR_United_Kingdom/SCT_Scotland/GBR_SCT_Glenogle.031480_TMYx.2009-2023.zip</v>
      </c>
    </row>
    <row r="5125" spans="1:10" x14ac:dyDescent="0.25">
      <c r="A5125" t="s">
        <v>3587</v>
      </c>
      <c r="B5125" t="s">
        <v>3588</v>
      </c>
      <c r="C5125" t="s">
        <v>3822</v>
      </c>
      <c r="D5125" s="1" t="s">
        <v>3823</v>
      </c>
      <c r="E5125" t="s">
        <v>14</v>
      </c>
      <c r="F5125">
        <v>56.424900000000001</v>
      </c>
      <c r="G5125">
        <v>-4.3231999999999999</v>
      </c>
      <c r="H5125">
        <v>0</v>
      </c>
      <c r="I5125">
        <v>564</v>
      </c>
      <c r="J5125" t="str">
        <f>HYPERLINK("https://climate.onebuilding.org/WMO_Region_6_Europe/GBR_United_Kingdom/SCT_Scotland/GBR_SCT_Glenogle.031480_TMYx.zip")</f>
        <v>https://climate.onebuilding.org/WMO_Region_6_Europe/GBR_United_Kingdom/SCT_Scotland/GBR_SCT_Glenogle.031480_TMYx.zip</v>
      </c>
    </row>
    <row r="5126" spans="1:10" x14ac:dyDescent="0.25">
      <c r="A5126" t="s">
        <v>3587</v>
      </c>
      <c r="B5126" t="s">
        <v>3588</v>
      </c>
      <c r="C5126" t="s">
        <v>3825</v>
      </c>
      <c r="D5126" s="1" t="s">
        <v>3826</v>
      </c>
      <c r="E5126" t="s">
        <v>14</v>
      </c>
      <c r="F5126">
        <v>56.067</v>
      </c>
      <c r="G5126">
        <v>-4.05</v>
      </c>
      <c r="H5126">
        <v>0</v>
      </c>
      <c r="I5126">
        <v>335</v>
      </c>
      <c r="J5126" t="str">
        <f>HYPERLINK("https://climate.onebuilding.org/WMO_Region_6_Europe/GBR_United_Kingdom/SCT_Scotland/GBR_SCT_Duncarron.Medieval.Village.031490_TMYx.zip")</f>
        <v>https://climate.onebuilding.org/WMO_Region_6_Europe/GBR_United_Kingdom/SCT_Scotland/GBR_SCT_Duncarron.Medieval.Village.031490_TMYx.zip</v>
      </c>
    </row>
    <row r="5127" spans="1:10" x14ac:dyDescent="0.25">
      <c r="A5127" t="s">
        <v>3587</v>
      </c>
      <c r="B5127" t="s">
        <v>3588</v>
      </c>
      <c r="C5127" t="s">
        <v>3827</v>
      </c>
      <c r="D5127" s="1" t="s">
        <v>3828</v>
      </c>
      <c r="E5127" t="s">
        <v>14</v>
      </c>
      <c r="F5127">
        <v>55.5</v>
      </c>
      <c r="G5127">
        <v>-3.7669999999999999</v>
      </c>
      <c r="H5127">
        <v>0</v>
      </c>
      <c r="I5127">
        <v>274</v>
      </c>
      <c r="J5127" t="str">
        <f>HYPERLINK("https://climate.onebuilding.org/WMO_Region_6_Europe/GBR_United_Kingdom/SCT_Scotland/GBR_SCT_Crawfordjohn.031500_TMYx.zip")</f>
        <v>https://climate.onebuilding.org/WMO_Region_6_Europe/GBR_United_Kingdom/SCT_Scotland/GBR_SCT_Crawfordjohn.031500_TMYx.zip</v>
      </c>
    </row>
    <row r="5128" spans="1:10" x14ac:dyDescent="0.25">
      <c r="A5128" t="s">
        <v>3587</v>
      </c>
      <c r="B5128" t="s">
        <v>3588</v>
      </c>
      <c r="C5128" t="s">
        <v>3829</v>
      </c>
      <c r="D5128" s="1" t="s">
        <v>3830</v>
      </c>
      <c r="E5128" t="s">
        <v>14</v>
      </c>
      <c r="F5128">
        <v>55.866999999999997</v>
      </c>
      <c r="G5128">
        <v>-3.867</v>
      </c>
      <c r="H5128">
        <v>0</v>
      </c>
      <c r="I5128">
        <v>275</v>
      </c>
      <c r="J5128" t="str">
        <f>HYPERLINK("https://climate.onebuilding.org/WMO_Region_6_Europe/GBR_United_Kingdom/SCT_Scotland/GBR_SCT_Salsburgh.031520_TMYx.zip")</f>
        <v>https://climate.onebuilding.org/WMO_Region_6_Europe/GBR_United_Kingdom/SCT_Scotland/GBR_SCT_Salsburgh.031520_TMYx.zip</v>
      </c>
    </row>
    <row r="5129" spans="1:10" x14ac:dyDescent="0.25">
      <c r="A5129" t="s">
        <v>3587</v>
      </c>
      <c r="B5129" t="s">
        <v>3588</v>
      </c>
      <c r="C5129" t="s">
        <v>3831</v>
      </c>
      <c r="D5129" s="1" t="s">
        <v>3832</v>
      </c>
      <c r="E5129" t="s">
        <v>3833</v>
      </c>
      <c r="F5129">
        <v>54.8</v>
      </c>
      <c r="G5129">
        <v>-4</v>
      </c>
      <c r="H5129">
        <v>0</v>
      </c>
      <c r="I5129">
        <v>113</v>
      </c>
      <c r="J5129" t="str">
        <f>HYPERLINK("https://climate.onebuilding.org/WMO_Region_6_Europe/GBR_United_Kingdom/SCT_Scotland/GBR_SCT_Dundrennan.031530_TMYx.2004-2018.zip")</f>
        <v>https://climate.onebuilding.org/WMO_Region_6_Europe/GBR_United_Kingdom/SCT_Scotland/GBR_SCT_Dundrennan.031530_TMYx.2004-2018.zip</v>
      </c>
    </row>
    <row r="5130" spans="1:10" x14ac:dyDescent="0.25">
      <c r="A5130" t="s">
        <v>3587</v>
      </c>
      <c r="B5130" t="s">
        <v>3588</v>
      </c>
      <c r="C5130" t="s">
        <v>3831</v>
      </c>
      <c r="D5130" s="1" t="s">
        <v>3832</v>
      </c>
      <c r="E5130" t="s">
        <v>14</v>
      </c>
      <c r="F5130">
        <v>54.8033</v>
      </c>
      <c r="G5130">
        <v>-4.0080999999999998</v>
      </c>
      <c r="H5130">
        <v>0</v>
      </c>
      <c r="I5130">
        <v>113</v>
      </c>
      <c r="J5130" t="str">
        <f>HYPERLINK("https://climate.onebuilding.org/WMO_Region_6_Europe/GBR_United_Kingdom/SCT_Scotland/GBR_SCT_Dundrennan.031530_TMYx.2007-2021.zip")</f>
        <v>https://climate.onebuilding.org/WMO_Region_6_Europe/GBR_United_Kingdom/SCT_Scotland/GBR_SCT_Dundrennan.031530_TMYx.2007-2021.zip</v>
      </c>
    </row>
    <row r="5131" spans="1:10" x14ac:dyDescent="0.25">
      <c r="A5131" t="s">
        <v>3587</v>
      </c>
      <c r="B5131" t="s">
        <v>3588</v>
      </c>
      <c r="C5131" t="s">
        <v>3831</v>
      </c>
      <c r="D5131" s="1" t="s">
        <v>3832</v>
      </c>
      <c r="E5131" t="s">
        <v>14</v>
      </c>
      <c r="F5131">
        <v>54.8033</v>
      </c>
      <c r="G5131">
        <v>-4.0080999999999998</v>
      </c>
      <c r="H5131">
        <v>0</v>
      </c>
      <c r="I5131">
        <v>113</v>
      </c>
      <c r="J5131" t="str">
        <f>HYPERLINK("https://climate.onebuilding.org/WMO_Region_6_Europe/GBR_United_Kingdom/SCT_Scotland/GBR_SCT_Dundrennan.031530_TMYx.2009-2023.zip")</f>
        <v>https://climate.onebuilding.org/WMO_Region_6_Europe/GBR_United_Kingdom/SCT_Scotland/GBR_SCT_Dundrennan.031530_TMYx.2009-2023.zip</v>
      </c>
    </row>
    <row r="5132" spans="1:10" x14ac:dyDescent="0.25">
      <c r="A5132" t="s">
        <v>3587</v>
      </c>
      <c r="B5132" t="s">
        <v>3588</v>
      </c>
      <c r="C5132" t="s">
        <v>3831</v>
      </c>
      <c r="D5132" s="1" t="s">
        <v>3832</v>
      </c>
      <c r="E5132" t="s">
        <v>14</v>
      </c>
      <c r="F5132">
        <v>54.8033</v>
      </c>
      <c r="G5132">
        <v>-4.0080999999999998</v>
      </c>
      <c r="H5132">
        <v>0</v>
      </c>
      <c r="I5132">
        <v>113</v>
      </c>
      <c r="J5132" t="str">
        <f>HYPERLINK("https://climate.onebuilding.org/WMO_Region_6_Europe/GBR_United_Kingdom/SCT_Scotland/GBR_SCT_Dundrennan.031530_TMYx.zip")</f>
        <v>https://climate.onebuilding.org/WMO_Region_6_Europe/GBR_United_Kingdom/SCT_Scotland/GBR_SCT_Dundrennan.031530_TMYx.zip</v>
      </c>
    </row>
    <row r="5133" spans="1:10" x14ac:dyDescent="0.25">
      <c r="A5133" t="s">
        <v>3587</v>
      </c>
      <c r="B5133" t="s">
        <v>3588</v>
      </c>
      <c r="C5133" t="s">
        <v>3834</v>
      </c>
      <c r="D5133" s="1" t="s">
        <v>3835</v>
      </c>
      <c r="E5133" t="s">
        <v>14</v>
      </c>
      <c r="F5133">
        <v>55.05</v>
      </c>
      <c r="G5133">
        <v>-3.65</v>
      </c>
      <c r="H5133">
        <v>0</v>
      </c>
      <c r="I5133">
        <v>16</v>
      </c>
      <c r="J5133" t="str">
        <f>HYPERLINK("https://climate.onebuilding.org/WMO_Region_6_Europe/GBR_United_Kingdom/SCT_Scotland/GBR_SCT_Dumfries.Drungans.031540_TMYx.zip")</f>
        <v>https://climate.onebuilding.org/WMO_Region_6_Europe/GBR_United_Kingdom/SCT_Scotland/GBR_SCT_Dumfries.Drungans.031540_TMYx.zip</v>
      </c>
    </row>
    <row r="5134" spans="1:10" x14ac:dyDescent="0.25">
      <c r="A5134" t="s">
        <v>3587</v>
      </c>
      <c r="B5134" t="s">
        <v>3588</v>
      </c>
      <c r="C5134" t="s">
        <v>3836</v>
      </c>
      <c r="D5134" s="1" t="s">
        <v>3837</v>
      </c>
      <c r="E5134" t="s">
        <v>3838</v>
      </c>
      <c r="F5134">
        <v>55.616999999999997</v>
      </c>
      <c r="G5134">
        <v>-3.7330000000000001</v>
      </c>
      <c r="H5134">
        <v>0</v>
      </c>
      <c r="I5134">
        <v>245</v>
      </c>
      <c r="J5134" t="str">
        <f>HYPERLINK("https://climate.onebuilding.org/WMO_Region_6_Europe/GBR_United_Kingdom/SCT_Scotland/GBR_SCT_Drumalbin.031550_TMYx.2004-2018.zip")</f>
        <v>https://climate.onebuilding.org/WMO_Region_6_Europe/GBR_United_Kingdom/SCT_Scotland/GBR_SCT_Drumalbin.031550_TMYx.2004-2018.zip</v>
      </c>
    </row>
    <row r="5135" spans="1:10" x14ac:dyDescent="0.25">
      <c r="A5135" t="s">
        <v>3587</v>
      </c>
      <c r="B5135" t="s">
        <v>3588</v>
      </c>
      <c r="C5135" t="s">
        <v>3836</v>
      </c>
      <c r="D5135" s="1" t="s">
        <v>3837</v>
      </c>
      <c r="E5135" t="s">
        <v>14</v>
      </c>
      <c r="F5135">
        <v>55.627200000000002</v>
      </c>
      <c r="G5135">
        <v>-3.7361</v>
      </c>
      <c r="H5135">
        <v>0</v>
      </c>
      <c r="I5135">
        <v>245</v>
      </c>
      <c r="J5135" t="str">
        <f>HYPERLINK("https://climate.onebuilding.org/WMO_Region_6_Europe/GBR_United_Kingdom/SCT_Scotland/GBR_SCT_Drumalbin.031550_TMYx.2007-2021.zip")</f>
        <v>https://climate.onebuilding.org/WMO_Region_6_Europe/GBR_United_Kingdom/SCT_Scotland/GBR_SCT_Drumalbin.031550_TMYx.2007-2021.zip</v>
      </c>
    </row>
    <row r="5136" spans="1:10" x14ac:dyDescent="0.25">
      <c r="A5136" t="s">
        <v>3587</v>
      </c>
      <c r="B5136" t="s">
        <v>3588</v>
      </c>
      <c r="C5136" t="s">
        <v>3836</v>
      </c>
      <c r="D5136" s="1" t="s">
        <v>3837</v>
      </c>
      <c r="E5136" t="s">
        <v>14</v>
      </c>
      <c r="F5136">
        <v>55.627200000000002</v>
      </c>
      <c r="G5136">
        <v>-3.7361</v>
      </c>
      <c r="H5136">
        <v>0</v>
      </c>
      <c r="I5136">
        <v>245</v>
      </c>
      <c r="J5136" t="str">
        <f>HYPERLINK("https://climate.onebuilding.org/WMO_Region_6_Europe/GBR_United_Kingdom/SCT_Scotland/GBR_SCT_Drumalbin.031550_TMYx.2009-2023.zip")</f>
        <v>https://climate.onebuilding.org/WMO_Region_6_Europe/GBR_United_Kingdom/SCT_Scotland/GBR_SCT_Drumalbin.031550_TMYx.2009-2023.zip</v>
      </c>
    </row>
    <row r="5137" spans="1:10" x14ac:dyDescent="0.25">
      <c r="A5137" t="s">
        <v>3587</v>
      </c>
      <c r="B5137" t="s">
        <v>3588</v>
      </c>
      <c r="C5137" t="s">
        <v>3836</v>
      </c>
      <c r="D5137" s="1" t="s">
        <v>3837</v>
      </c>
      <c r="E5137" t="s">
        <v>14</v>
      </c>
      <c r="F5137">
        <v>55.627200000000002</v>
      </c>
      <c r="G5137">
        <v>-3.7361</v>
      </c>
      <c r="H5137">
        <v>0</v>
      </c>
      <c r="I5137">
        <v>245</v>
      </c>
      <c r="J5137" t="str">
        <f>HYPERLINK("https://climate.onebuilding.org/WMO_Region_6_Europe/GBR_United_Kingdom/SCT_Scotland/GBR_SCT_Drumalbin.031550_TMYx.zip")</f>
        <v>https://climate.onebuilding.org/WMO_Region_6_Europe/GBR_United_Kingdom/SCT_Scotland/GBR_SCT_Drumalbin.031550_TMYx.zip</v>
      </c>
    </row>
    <row r="5138" spans="1:10" x14ac:dyDescent="0.25">
      <c r="A5138" t="s">
        <v>3587</v>
      </c>
      <c r="B5138" t="s">
        <v>3588</v>
      </c>
      <c r="C5138" t="s">
        <v>3839</v>
      </c>
      <c r="D5138" s="1" t="s">
        <v>3840</v>
      </c>
      <c r="E5138" t="s">
        <v>14</v>
      </c>
      <c r="F5138">
        <v>56.433</v>
      </c>
      <c r="G5138">
        <v>-3.367</v>
      </c>
      <c r="H5138">
        <v>0</v>
      </c>
      <c r="I5138">
        <v>121</v>
      </c>
      <c r="J5138" t="str">
        <f>HYPERLINK("https://climate.onebuilding.org/WMO_Region_6_Europe/GBR_United_Kingdom/SCT_Scotland/GBR_SCT_Perth.Scone.031570_TMYx.zip")</f>
        <v>https://climate.onebuilding.org/WMO_Region_6_Europe/GBR_United_Kingdom/SCT_Scotland/GBR_SCT_Perth.Scone.031570_TMYx.zip</v>
      </c>
    </row>
    <row r="5139" spans="1:10" x14ac:dyDescent="0.25">
      <c r="A5139" t="s">
        <v>3587</v>
      </c>
      <c r="B5139" t="s">
        <v>3588</v>
      </c>
      <c r="C5139" t="s">
        <v>3841</v>
      </c>
      <c r="D5139" s="1" t="s">
        <v>3842</v>
      </c>
      <c r="E5139" t="s">
        <v>3843</v>
      </c>
      <c r="F5139">
        <v>55.7</v>
      </c>
      <c r="G5139">
        <v>-2.383</v>
      </c>
      <c r="H5139">
        <v>0</v>
      </c>
      <c r="I5139">
        <v>111</v>
      </c>
      <c r="J5139" t="str">
        <f>HYPERLINK("https://climate.onebuilding.org/WMO_Region_6_Europe/GBR_United_Kingdom/SCT_Scotland/GBR_SCT_RAF.Charterhall.031580_TMYx.2004-2018.zip")</f>
        <v>https://climate.onebuilding.org/WMO_Region_6_Europe/GBR_United_Kingdom/SCT_Scotland/GBR_SCT_RAF.Charterhall.031580_TMYx.2004-2018.zip</v>
      </c>
    </row>
    <row r="5140" spans="1:10" x14ac:dyDescent="0.25">
      <c r="A5140" t="s">
        <v>3587</v>
      </c>
      <c r="B5140" t="s">
        <v>3588</v>
      </c>
      <c r="C5140" t="s">
        <v>3841</v>
      </c>
      <c r="D5140" s="1" t="s">
        <v>3842</v>
      </c>
      <c r="E5140" t="s">
        <v>14</v>
      </c>
      <c r="F5140">
        <v>55.708599999999997</v>
      </c>
      <c r="G5140">
        <v>-2.3847</v>
      </c>
      <c r="H5140">
        <v>0</v>
      </c>
      <c r="I5140">
        <v>111</v>
      </c>
      <c r="J5140" t="str">
        <f>HYPERLINK("https://climate.onebuilding.org/WMO_Region_6_Europe/GBR_United_Kingdom/SCT_Scotland/GBR_SCT_RAF.Charterhall.031580_TMYx.2007-2021.zip")</f>
        <v>https://climate.onebuilding.org/WMO_Region_6_Europe/GBR_United_Kingdom/SCT_Scotland/GBR_SCT_RAF.Charterhall.031580_TMYx.2007-2021.zip</v>
      </c>
    </row>
    <row r="5141" spans="1:10" x14ac:dyDescent="0.25">
      <c r="A5141" t="s">
        <v>3587</v>
      </c>
      <c r="B5141" t="s">
        <v>3588</v>
      </c>
      <c r="C5141" t="s">
        <v>3841</v>
      </c>
      <c r="D5141" s="1" t="s">
        <v>3842</v>
      </c>
      <c r="E5141" t="s">
        <v>14</v>
      </c>
      <c r="F5141">
        <v>55.708599999999997</v>
      </c>
      <c r="G5141">
        <v>-2.3847</v>
      </c>
      <c r="H5141">
        <v>0</v>
      </c>
      <c r="I5141">
        <v>111</v>
      </c>
      <c r="J5141" t="str">
        <f>HYPERLINK("https://climate.onebuilding.org/WMO_Region_6_Europe/GBR_United_Kingdom/SCT_Scotland/GBR_SCT_RAF.Charterhall.031580_TMYx.2009-2023.zip")</f>
        <v>https://climate.onebuilding.org/WMO_Region_6_Europe/GBR_United_Kingdom/SCT_Scotland/GBR_SCT_RAF.Charterhall.031580_TMYx.2009-2023.zip</v>
      </c>
    </row>
    <row r="5142" spans="1:10" x14ac:dyDescent="0.25">
      <c r="A5142" t="s">
        <v>3587</v>
      </c>
      <c r="B5142" t="s">
        <v>3588</v>
      </c>
      <c r="C5142" t="s">
        <v>3841</v>
      </c>
      <c r="D5142" s="1" t="s">
        <v>3842</v>
      </c>
      <c r="E5142" t="s">
        <v>14</v>
      </c>
      <c r="F5142">
        <v>55.708599999999997</v>
      </c>
      <c r="G5142">
        <v>-2.3847</v>
      </c>
      <c r="H5142">
        <v>0</v>
      </c>
      <c r="I5142">
        <v>111</v>
      </c>
      <c r="J5142" t="str">
        <f>HYPERLINK("https://climate.onebuilding.org/WMO_Region_6_Europe/GBR_United_Kingdom/SCT_Scotland/GBR_SCT_RAF.Charterhall.031580_TMYx.zip")</f>
        <v>https://climate.onebuilding.org/WMO_Region_6_Europe/GBR_United_Kingdom/SCT_Scotland/GBR_SCT_RAF.Charterhall.031580_TMYx.zip</v>
      </c>
    </row>
    <row r="5143" spans="1:10" x14ac:dyDescent="0.25">
      <c r="A5143" t="s">
        <v>3587</v>
      </c>
      <c r="B5143" t="s">
        <v>3588</v>
      </c>
      <c r="C5143" t="s">
        <v>3844</v>
      </c>
      <c r="D5143" s="1" t="s">
        <v>3845</v>
      </c>
      <c r="E5143" t="s">
        <v>3846</v>
      </c>
      <c r="F5143">
        <v>55.95</v>
      </c>
      <c r="G5143">
        <v>-3.3730000000000002</v>
      </c>
      <c r="H5143">
        <v>0</v>
      </c>
      <c r="I5143">
        <v>41.1</v>
      </c>
      <c r="J5143" t="str">
        <f>HYPERLINK("https://climate.onebuilding.org/WMO_Region_6_Europe/GBR_United_Kingdom/SCT_Scotland/GBR_SCT_Edinburgh.AP.031600_TMYx.2004-2018.zip")</f>
        <v>https://climate.onebuilding.org/WMO_Region_6_Europe/GBR_United_Kingdom/SCT_Scotland/GBR_SCT_Edinburgh.AP.031600_TMYx.2004-2018.zip</v>
      </c>
    </row>
    <row r="5144" spans="1:10" x14ac:dyDescent="0.25">
      <c r="A5144" t="s">
        <v>3587</v>
      </c>
      <c r="B5144" t="s">
        <v>3588</v>
      </c>
      <c r="C5144" t="s">
        <v>3844</v>
      </c>
      <c r="D5144" s="1" t="s">
        <v>3845</v>
      </c>
      <c r="E5144" t="s">
        <v>14</v>
      </c>
      <c r="F5144">
        <v>55.95</v>
      </c>
      <c r="G5144">
        <v>-3.3730000000000002</v>
      </c>
      <c r="H5144">
        <v>0</v>
      </c>
      <c r="I5144">
        <v>41.1</v>
      </c>
      <c r="J5144" t="str">
        <f>HYPERLINK("https://climate.onebuilding.org/WMO_Region_6_Europe/GBR_United_Kingdom/SCT_Scotland/GBR_SCT_Edinburgh.AP.031600_TMYx.2007-2021.zip")</f>
        <v>https://climate.onebuilding.org/WMO_Region_6_Europe/GBR_United_Kingdom/SCT_Scotland/GBR_SCT_Edinburgh.AP.031600_TMYx.2007-2021.zip</v>
      </c>
    </row>
    <row r="5145" spans="1:10" x14ac:dyDescent="0.25">
      <c r="A5145" t="s">
        <v>3587</v>
      </c>
      <c r="B5145" t="s">
        <v>3588</v>
      </c>
      <c r="C5145" t="s">
        <v>3844</v>
      </c>
      <c r="D5145" s="1" t="s">
        <v>3845</v>
      </c>
      <c r="E5145" t="s">
        <v>14</v>
      </c>
      <c r="F5145">
        <v>55.95</v>
      </c>
      <c r="G5145">
        <v>-3.3730000000000002</v>
      </c>
      <c r="H5145">
        <v>0</v>
      </c>
      <c r="I5145">
        <v>41.1</v>
      </c>
      <c r="J5145" t="str">
        <f>HYPERLINK("https://climate.onebuilding.org/WMO_Region_6_Europe/GBR_United_Kingdom/SCT_Scotland/GBR_SCT_Edinburgh.AP.031600_TMYx.2009-2023.zip")</f>
        <v>https://climate.onebuilding.org/WMO_Region_6_Europe/GBR_United_Kingdom/SCT_Scotland/GBR_SCT_Edinburgh.AP.031600_TMYx.2009-2023.zip</v>
      </c>
    </row>
    <row r="5146" spans="1:10" x14ac:dyDescent="0.25">
      <c r="A5146" t="s">
        <v>3587</v>
      </c>
      <c r="B5146" t="s">
        <v>3588</v>
      </c>
      <c r="C5146" t="s">
        <v>3844</v>
      </c>
      <c r="D5146" s="1" t="s">
        <v>3845</v>
      </c>
      <c r="E5146" t="s">
        <v>14</v>
      </c>
      <c r="F5146">
        <v>55.95</v>
      </c>
      <c r="G5146">
        <v>-3.3730000000000002</v>
      </c>
      <c r="H5146">
        <v>0</v>
      </c>
      <c r="I5146">
        <v>41.1</v>
      </c>
      <c r="J5146" t="str">
        <f>HYPERLINK("https://climate.onebuilding.org/WMO_Region_6_Europe/GBR_United_Kingdom/SCT_Scotland/GBR_SCT_Edinburgh.AP.031600_TMYx.zip")</f>
        <v>https://climate.onebuilding.org/WMO_Region_6_Europe/GBR_United_Kingdom/SCT_Scotland/GBR_SCT_Edinburgh.AP.031600_TMYx.zip</v>
      </c>
    </row>
    <row r="5147" spans="1:10" x14ac:dyDescent="0.25">
      <c r="A5147" t="s">
        <v>3587</v>
      </c>
      <c r="B5147" t="s">
        <v>3588</v>
      </c>
      <c r="C5147" t="s">
        <v>3847</v>
      </c>
      <c r="D5147" s="1" t="s">
        <v>3848</v>
      </c>
      <c r="E5147" t="s">
        <v>14</v>
      </c>
      <c r="F5147">
        <v>55.7</v>
      </c>
      <c r="G5147">
        <v>-3.2170000000000001</v>
      </c>
      <c r="H5147">
        <v>0</v>
      </c>
      <c r="I5147">
        <v>195</v>
      </c>
      <c r="J5147" t="str">
        <f>HYPERLINK("https://climate.onebuilding.org/WMO_Region_6_Europe/GBR_United_Kingdom/SCT_Scotland/GBR_SCT_Eddleston.031610_TMYx.zip")</f>
        <v>https://climate.onebuilding.org/WMO_Region_6_Europe/GBR_United_Kingdom/SCT_Scotland/GBR_SCT_Eddleston.031610_TMYx.zip</v>
      </c>
    </row>
    <row r="5148" spans="1:10" x14ac:dyDescent="0.25">
      <c r="A5148" t="s">
        <v>3587</v>
      </c>
      <c r="B5148" t="s">
        <v>3588</v>
      </c>
      <c r="C5148" t="s">
        <v>3849</v>
      </c>
      <c r="D5148" s="1" t="s">
        <v>3850</v>
      </c>
      <c r="E5148" t="s">
        <v>3851</v>
      </c>
      <c r="F5148">
        <v>55.317</v>
      </c>
      <c r="G5148">
        <v>-3.2</v>
      </c>
      <c r="H5148">
        <v>0</v>
      </c>
      <c r="I5148">
        <v>242</v>
      </c>
      <c r="J5148" t="str">
        <f>HYPERLINK("https://climate.onebuilding.org/WMO_Region_6_Europe/GBR_United_Kingdom/SCT_Scotland/GBR_SCT_Eskdalemuir.031620_TMYx.2004-2018.zip")</f>
        <v>https://climate.onebuilding.org/WMO_Region_6_Europe/GBR_United_Kingdom/SCT_Scotland/GBR_SCT_Eskdalemuir.031620_TMYx.2004-2018.zip</v>
      </c>
    </row>
    <row r="5149" spans="1:10" x14ac:dyDescent="0.25">
      <c r="A5149" t="s">
        <v>3587</v>
      </c>
      <c r="B5149" t="s">
        <v>3588</v>
      </c>
      <c r="C5149" t="s">
        <v>3849</v>
      </c>
      <c r="D5149" s="1" t="s">
        <v>3850</v>
      </c>
      <c r="E5149" t="s">
        <v>14</v>
      </c>
      <c r="F5149">
        <v>55.311999999999998</v>
      </c>
      <c r="G5149">
        <v>-3.2069999999999999</v>
      </c>
      <c r="H5149">
        <v>0</v>
      </c>
      <c r="I5149">
        <v>242</v>
      </c>
      <c r="J5149" t="str">
        <f>HYPERLINK("https://climate.onebuilding.org/WMO_Region_6_Europe/GBR_United_Kingdom/SCT_Scotland/GBR_SCT_Eskdalemuir.031620_TMYx.2007-2021.zip")</f>
        <v>https://climate.onebuilding.org/WMO_Region_6_Europe/GBR_United_Kingdom/SCT_Scotland/GBR_SCT_Eskdalemuir.031620_TMYx.2007-2021.zip</v>
      </c>
    </row>
    <row r="5150" spans="1:10" x14ac:dyDescent="0.25">
      <c r="A5150" t="s">
        <v>3587</v>
      </c>
      <c r="B5150" t="s">
        <v>3588</v>
      </c>
      <c r="C5150" t="s">
        <v>3849</v>
      </c>
      <c r="D5150" s="1" t="s">
        <v>3850</v>
      </c>
      <c r="E5150" t="s">
        <v>14</v>
      </c>
      <c r="F5150">
        <v>55.311999999999998</v>
      </c>
      <c r="G5150">
        <v>-3.2069999999999999</v>
      </c>
      <c r="H5150">
        <v>0</v>
      </c>
      <c r="I5150">
        <v>242</v>
      </c>
      <c r="J5150" t="str">
        <f>HYPERLINK("https://climate.onebuilding.org/WMO_Region_6_Europe/GBR_United_Kingdom/SCT_Scotland/GBR_SCT_Eskdalemuir.031620_TMYx.2009-2023.zip")</f>
        <v>https://climate.onebuilding.org/WMO_Region_6_Europe/GBR_United_Kingdom/SCT_Scotland/GBR_SCT_Eskdalemuir.031620_TMYx.2009-2023.zip</v>
      </c>
    </row>
    <row r="5151" spans="1:10" x14ac:dyDescent="0.25">
      <c r="A5151" t="s">
        <v>3587</v>
      </c>
      <c r="B5151" t="s">
        <v>3588</v>
      </c>
      <c r="C5151" t="s">
        <v>3849</v>
      </c>
      <c r="D5151" s="1" t="s">
        <v>3850</v>
      </c>
      <c r="E5151" t="s">
        <v>14</v>
      </c>
      <c r="F5151">
        <v>55.311999999999998</v>
      </c>
      <c r="G5151">
        <v>-3.2069999999999999</v>
      </c>
      <c r="H5151">
        <v>0</v>
      </c>
      <c r="I5151">
        <v>242</v>
      </c>
      <c r="J5151" t="str">
        <f>HYPERLINK("https://climate.onebuilding.org/WMO_Region_6_Europe/GBR_United_Kingdom/SCT_Scotland/GBR_SCT_Eskdalemuir.031620_TMYx.zip")</f>
        <v>https://climate.onebuilding.org/WMO_Region_6_Europe/GBR_United_Kingdom/SCT_Scotland/GBR_SCT_Eskdalemuir.031620_TMYx.zip</v>
      </c>
    </row>
    <row r="5152" spans="1:10" x14ac:dyDescent="0.25">
      <c r="A5152" t="s">
        <v>3587</v>
      </c>
      <c r="B5152" t="s">
        <v>3588</v>
      </c>
      <c r="C5152" t="s">
        <v>3852</v>
      </c>
      <c r="D5152" s="1" t="s">
        <v>3853</v>
      </c>
      <c r="E5152" t="s">
        <v>3854</v>
      </c>
      <c r="F5152">
        <v>56.451999999999998</v>
      </c>
      <c r="G5152">
        <v>-3.0259999999999998</v>
      </c>
      <c r="H5152">
        <v>0</v>
      </c>
      <c r="I5152">
        <v>5.2</v>
      </c>
      <c r="J5152" t="str">
        <f>HYPERLINK("https://climate.onebuilding.org/WMO_Region_6_Europe/GBR_United_Kingdom/SCT_Scotland/GBR_SCT_Dundee.AP.031634_TMYx.2004-2018.zip")</f>
        <v>https://climate.onebuilding.org/WMO_Region_6_Europe/GBR_United_Kingdom/SCT_Scotland/GBR_SCT_Dundee.AP.031634_TMYx.2004-2018.zip</v>
      </c>
    </row>
    <row r="5153" spans="1:10" x14ac:dyDescent="0.25">
      <c r="A5153" t="s">
        <v>3587</v>
      </c>
      <c r="B5153" t="s">
        <v>3588</v>
      </c>
      <c r="C5153" t="s">
        <v>3852</v>
      </c>
      <c r="D5153" s="1" t="s">
        <v>3853</v>
      </c>
      <c r="E5153" t="s">
        <v>14</v>
      </c>
      <c r="F5153">
        <v>56.451999999999998</v>
      </c>
      <c r="G5153">
        <v>-3.0259999999999998</v>
      </c>
      <c r="H5153">
        <v>0</v>
      </c>
      <c r="I5153">
        <v>5.2</v>
      </c>
      <c r="J5153" t="str">
        <f>HYPERLINK("https://climate.onebuilding.org/WMO_Region_6_Europe/GBR_United_Kingdom/SCT_Scotland/GBR_SCT_Dundee.AP.031634_TMYx.2007-2021.zip")</f>
        <v>https://climate.onebuilding.org/WMO_Region_6_Europe/GBR_United_Kingdom/SCT_Scotland/GBR_SCT_Dundee.AP.031634_TMYx.2007-2021.zip</v>
      </c>
    </row>
    <row r="5154" spans="1:10" x14ac:dyDescent="0.25">
      <c r="A5154" t="s">
        <v>3587</v>
      </c>
      <c r="B5154" t="s">
        <v>3588</v>
      </c>
      <c r="C5154" t="s">
        <v>3852</v>
      </c>
      <c r="D5154" s="1" t="s">
        <v>3853</v>
      </c>
      <c r="E5154" t="s">
        <v>14</v>
      </c>
      <c r="F5154">
        <v>56.451999999999998</v>
      </c>
      <c r="G5154">
        <v>-3.0259999999999998</v>
      </c>
      <c r="H5154">
        <v>0</v>
      </c>
      <c r="I5154">
        <v>5.2</v>
      </c>
      <c r="J5154" t="str">
        <f>HYPERLINK("https://climate.onebuilding.org/WMO_Region_6_Europe/GBR_United_Kingdom/SCT_Scotland/GBR_SCT_Dundee.AP.031634_TMYx.2009-2023.zip")</f>
        <v>https://climate.onebuilding.org/WMO_Region_6_Europe/GBR_United_Kingdom/SCT_Scotland/GBR_SCT_Dundee.AP.031634_TMYx.2009-2023.zip</v>
      </c>
    </row>
    <row r="5155" spans="1:10" x14ac:dyDescent="0.25">
      <c r="A5155" t="s">
        <v>3587</v>
      </c>
      <c r="B5155" t="s">
        <v>3588</v>
      </c>
      <c r="C5155" t="s">
        <v>3852</v>
      </c>
      <c r="D5155" s="1" t="s">
        <v>3853</v>
      </c>
      <c r="E5155" t="s">
        <v>14</v>
      </c>
      <c r="F5155">
        <v>56.451999999999998</v>
      </c>
      <c r="G5155">
        <v>-3.0259999999999998</v>
      </c>
      <c r="H5155">
        <v>0</v>
      </c>
      <c r="I5155">
        <v>5.2</v>
      </c>
      <c r="J5155" t="str">
        <f>HYPERLINK("https://climate.onebuilding.org/WMO_Region_6_Europe/GBR_United_Kingdom/SCT_Scotland/GBR_SCT_Dundee.AP.031634_TMYx.zip")</f>
        <v>https://climate.onebuilding.org/WMO_Region_6_Europe/GBR_United_Kingdom/SCT_Scotland/GBR_SCT_Dundee.AP.031634_TMYx.zip</v>
      </c>
    </row>
    <row r="5156" spans="1:10" x14ac:dyDescent="0.25">
      <c r="A5156" t="s">
        <v>3587</v>
      </c>
      <c r="B5156" t="s">
        <v>3588</v>
      </c>
      <c r="C5156" t="s">
        <v>3855</v>
      </c>
      <c r="D5156" s="1" t="s">
        <v>3856</v>
      </c>
      <c r="E5156" t="s">
        <v>3857</v>
      </c>
      <c r="F5156">
        <v>55.933</v>
      </c>
      <c r="G5156">
        <v>-3.35</v>
      </c>
      <c r="H5156">
        <v>0</v>
      </c>
      <c r="I5156">
        <v>57</v>
      </c>
      <c r="J5156" t="str">
        <f>HYPERLINK("https://climate.onebuilding.org/WMO_Region_6_Europe/GBR_United_Kingdom/SCT_Scotland/GBR_SCT_Edinburgh.Gogarbank.031660_TMYx.2004-2018.zip")</f>
        <v>https://climate.onebuilding.org/WMO_Region_6_Europe/GBR_United_Kingdom/SCT_Scotland/GBR_SCT_Edinburgh.Gogarbank.031660_TMYx.2004-2018.zip</v>
      </c>
    </row>
    <row r="5157" spans="1:10" x14ac:dyDescent="0.25">
      <c r="A5157" t="s">
        <v>3587</v>
      </c>
      <c r="B5157" t="s">
        <v>3588</v>
      </c>
      <c r="C5157" t="s">
        <v>3855</v>
      </c>
      <c r="D5157" s="1" t="s">
        <v>3856</v>
      </c>
      <c r="E5157" t="s">
        <v>14</v>
      </c>
      <c r="F5157">
        <v>55.9283</v>
      </c>
      <c r="G5157">
        <v>-3.3443999999999998</v>
      </c>
      <c r="H5157">
        <v>0</v>
      </c>
      <c r="I5157">
        <v>57</v>
      </c>
      <c r="J5157" t="str">
        <f>HYPERLINK("https://climate.onebuilding.org/WMO_Region_6_Europe/GBR_United_Kingdom/SCT_Scotland/GBR_SCT_Edinburgh.Gogarbank.031660_TMYx.2007-2021.zip")</f>
        <v>https://climate.onebuilding.org/WMO_Region_6_Europe/GBR_United_Kingdom/SCT_Scotland/GBR_SCT_Edinburgh.Gogarbank.031660_TMYx.2007-2021.zip</v>
      </c>
    </row>
    <row r="5158" spans="1:10" x14ac:dyDescent="0.25">
      <c r="A5158" t="s">
        <v>3587</v>
      </c>
      <c r="B5158" t="s">
        <v>3588</v>
      </c>
      <c r="C5158" t="s">
        <v>3855</v>
      </c>
      <c r="D5158" s="1" t="s">
        <v>3856</v>
      </c>
      <c r="E5158" t="s">
        <v>14</v>
      </c>
      <c r="F5158">
        <v>55.9283</v>
      </c>
      <c r="G5158">
        <v>-3.3443999999999998</v>
      </c>
      <c r="H5158">
        <v>0</v>
      </c>
      <c r="I5158">
        <v>57</v>
      </c>
      <c r="J5158" t="str">
        <f>HYPERLINK("https://climate.onebuilding.org/WMO_Region_6_Europe/GBR_United_Kingdom/SCT_Scotland/GBR_SCT_Edinburgh.Gogarbank.031660_TMYx.2009-2023.zip")</f>
        <v>https://climate.onebuilding.org/WMO_Region_6_Europe/GBR_United_Kingdom/SCT_Scotland/GBR_SCT_Edinburgh.Gogarbank.031660_TMYx.2009-2023.zip</v>
      </c>
    </row>
    <row r="5159" spans="1:10" x14ac:dyDescent="0.25">
      <c r="A5159" t="s">
        <v>3587</v>
      </c>
      <c r="B5159" t="s">
        <v>3588</v>
      </c>
      <c r="C5159" t="s">
        <v>3855</v>
      </c>
      <c r="D5159" s="1" t="s">
        <v>3856</v>
      </c>
      <c r="E5159" t="s">
        <v>14</v>
      </c>
      <c r="F5159">
        <v>55.9283</v>
      </c>
      <c r="G5159">
        <v>-3.3443999999999998</v>
      </c>
      <c r="H5159">
        <v>0</v>
      </c>
      <c r="I5159">
        <v>57</v>
      </c>
      <c r="J5159" t="str">
        <f>HYPERLINK("https://climate.onebuilding.org/WMO_Region_6_Europe/GBR_United_Kingdom/SCT_Scotland/GBR_SCT_Edinburgh.Gogarbank.031660_TMYx.zip")</f>
        <v>https://climate.onebuilding.org/WMO_Region_6_Europe/GBR_United_Kingdom/SCT_Scotland/GBR_SCT_Edinburgh.Gogarbank.031660_TMYx.zip</v>
      </c>
    </row>
    <row r="5160" spans="1:10" x14ac:dyDescent="0.25">
      <c r="A5160" t="s">
        <v>3587</v>
      </c>
      <c r="B5160" t="s">
        <v>3588</v>
      </c>
      <c r="C5160" t="s">
        <v>3858</v>
      </c>
      <c r="D5160" s="1" t="s">
        <v>3859</v>
      </c>
      <c r="E5160" t="s">
        <v>14</v>
      </c>
      <c r="F5160">
        <v>56.082999999999998</v>
      </c>
      <c r="G5160">
        <v>-2.633</v>
      </c>
      <c r="H5160">
        <v>0</v>
      </c>
      <c r="I5160">
        <v>38</v>
      </c>
      <c r="J5160" t="str">
        <f>HYPERLINK("https://climate.onebuilding.org/WMO_Region_6_Europe/GBR_United_Kingdom/SCT_Scotland/GBR_SCT_Bass.Rock.Lighthouse.031670_TMYx.zip")</f>
        <v>https://climate.onebuilding.org/WMO_Region_6_Europe/GBR_United_Kingdom/SCT_Scotland/GBR_SCT_Bass.Rock.Lighthouse.031670_TMYx.zip</v>
      </c>
    </row>
    <row r="5161" spans="1:10" x14ac:dyDescent="0.25">
      <c r="A5161" t="s">
        <v>3587</v>
      </c>
      <c r="B5161" t="s">
        <v>3588</v>
      </c>
      <c r="C5161" t="s">
        <v>3860</v>
      </c>
      <c r="D5161" s="1" t="s">
        <v>3861</v>
      </c>
      <c r="E5161" t="s">
        <v>14</v>
      </c>
      <c r="F5161">
        <v>55.6</v>
      </c>
      <c r="G5161">
        <v>-2.9</v>
      </c>
      <c r="H5161">
        <v>0</v>
      </c>
      <c r="I5161">
        <v>146</v>
      </c>
      <c r="J5161" t="str">
        <f>HYPERLINK("https://climate.onebuilding.org/WMO_Region_6_Europe/GBR_United_Kingdom/SCT_Scotland/GBR_SCT_Galashiels.031680_TMYx.zip")</f>
        <v>https://climate.onebuilding.org/WMO_Region_6_Europe/GBR_United_Kingdom/SCT_Scotland/GBR_SCT_Galashiels.031680_TMYx.zip</v>
      </c>
    </row>
    <row r="5162" spans="1:10" x14ac:dyDescent="0.25">
      <c r="A5162" t="s">
        <v>3587</v>
      </c>
      <c r="B5162" t="s">
        <v>3588</v>
      </c>
      <c r="C5162" t="s">
        <v>3862</v>
      </c>
      <c r="D5162" s="1" t="s">
        <v>3863</v>
      </c>
      <c r="E5162" t="s">
        <v>14</v>
      </c>
      <c r="F5162">
        <v>56.433</v>
      </c>
      <c r="G5162">
        <v>-2.867</v>
      </c>
      <c r="H5162">
        <v>0</v>
      </c>
      <c r="I5162">
        <v>5</v>
      </c>
      <c r="J5162" t="str">
        <f>HYPERLINK("https://climate.onebuilding.org/WMO_Region_6_Europe/GBR_United_Kingdom/SCT_Scotland/GBR_SCT_Shanwell.031700_TMYx.zip")</f>
        <v>https://climate.onebuilding.org/WMO_Region_6_Europe/GBR_United_Kingdom/SCT_Scotland/GBR_SCT_Shanwell.031700_TMYx.zip</v>
      </c>
    </row>
    <row r="5163" spans="1:10" x14ac:dyDescent="0.25">
      <c r="A5163" t="s">
        <v>3587</v>
      </c>
      <c r="B5163" t="s">
        <v>3588</v>
      </c>
      <c r="C5163" t="s">
        <v>3864</v>
      </c>
      <c r="D5163" s="1" t="s">
        <v>3865</v>
      </c>
      <c r="E5163" t="s">
        <v>3866</v>
      </c>
      <c r="F5163">
        <v>56.372999999999998</v>
      </c>
      <c r="G5163">
        <v>-2.8679999999999999</v>
      </c>
      <c r="H5163">
        <v>0</v>
      </c>
      <c r="I5163">
        <v>11.6</v>
      </c>
      <c r="J5163" t="str">
        <f>HYPERLINK("https://climate.onebuilding.org/WMO_Region_6_Europe/GBR_United_Kingdom/SCT_Scotland/GBR_SCT_RAF.Leuchars.031710_TMYx.2004-2018.zip")</f>
        <v>https://climate.onebuilding.org/WMO_Region_6_Europe/GBR_United_Kingdom/SCT_Scotland/GBR_SCT_RAF.Leuchars.031710_TMYx.2004-2018.zip</v>
      </c>
    </row>
    <row r="5164" spans="1:10" x14ac:dyDescent="0.25">
      <c r="A5164" t="s">
        <v>3587</v>
      </c>
      <c r="B5164" t="s">
        <v>3588</v>
      </c>
      <c r="C5164" t="s">
        <v>3864</v>
      </c>
      <c r="D5164" s="1" t="s">
        <v>3865</v>
      </c>
      <c r="E5164" t="s">
        <v>14</v>
      </c>
      <c r="F5164">
        <v>56.377000000000002</v>
      </c>
      <c r="G5164">
        <v>-2.863</v>
      </c>
      <c r="H5164">
        <v>0</v>
      </c>
      <c r="I5164">
        <v>11.6</v>
      </c>
      <c r="J5164" t="str">
        <f>HYPERLINK("https://climate.onebuilding.org/WMO_Region_6_Europe/GBR_United_Kingdom/SCT_Scotland/GBR_SCT_RAF.Leuchars.031710_TMYx.2007-2021.zip")</f>
        <v>https://climate.onebuilding.org/WMO_Region_6_Europe/GBR_United_Kingdom/SCT_Scotland/GBR_SCT_RAF.Leuchars.031710_TMYx.2007-2021.zip</v>
      </c>
    </row>
    <row r="5165" spans="1:10" x14ac:dyDescent="0.25">
      <c r="A5165" t="s">
        <v>3587</v>
      </c>
      <c r="B5165" t="s">
        <v>3588</v>
      </c>
      <c r="C5165" t="s">
        <v>3864</v>
      </c>
      <c r="D5165" s="1" t="s">
        <v>3865</v>
      </c>
      <c r="E5165" t="s">
        <v>14</v>
      </c>
      <c r="F5165">
        <v>56.377000000000002</v>
      </c>
      <c r="G5165">
        <v>-2.863</v>
      </c>
      <c r="H5165">
        <v>0</v>
      </c>
      <c r="I5165">
        <v>11.6</v>
      </c>
      <c r="J5165" t="str">
        <f>HYPERLINK("https://climate.onebuilding.org/WMO_Region_6_Europe/GBR_United_Kingdom/SCT_Scotland/GBR_SCT_RAF.Leuchars.031710_TMYx.2009-2023.zip")</f>
        <v>https://climate.onebuilding.org/WMO_Region_6_Europe/GBR_United_Kingdom/SCT_Scotland/GBR_SCT_RAF.Leuchars.031710_TMYx.2009-2023.zip</v>
      </c>
    </row>
    <row r="5166" spans="1:10" x14ac:dyDescent="0.25">
      <c r="A5166" t="s">
        <v>3587</v>
      </c>
      <c r="B5166" t="s">
        <v>3588</v>
      </c>
      <c r="C5166" t="s">
        <v>3864</v>
      </c>
      <c r="D5166" s="1" t="s">
        <v>3865</v>
      </c>
      <c r="E5166" t="s">
        <v>14</v>
      </c>
      <c r="F5166">
        <v>56.377000000000002</v>
      </c>
      <c r="G5166">
        <v>-2.863</v>
      </c>
      <c r="H5166">
        <v>0</v>
      </c>
      <c r="I5166">
        <v>11.6</v>
      </c>
      <c r="J5166" t="str">
        <f>HYPERLINK("https://climate.onebuilding.org/WMO_Region_6_Europe/GBR_United_Kingdom/SCT_Scotland/GBR_SCT_RAF.Leuchars.031710_TMYx.zip")</f>
        <v>https://climate.onebuilding.org/WMO_Region_6_Europe/GBR_United_Kingdom/SCT_Scotland/GBR_SCT_RAF.Leuchars.031710_TMYx.zip</v>
      </c>
    </row>
    <row r="5167" spans="1:10" x14ac:dyDescent="0.25">
      <c r="A5167" t="s">
        <v>3587</v>
      </c>
      <c r="B5167" t="s">
        <v>3588</v>
      </c>
      <c r="C5167" t="s">
        <v>3867</v>
      </c>
      <c r="D5167" s="1" t="s">
        <v>3868</v>
      </c>
      <c r="E5167" t="s">
        <v>14</v>
      </c>
      <c r="F5167">
        <v>56.279000000000003</v>
      </c>
      <c r="G5167">
        <v>-2.5870000000000002</v>
      </c>
      <c r="H5167">
        <v>0</v>
      </c>
      <c r="I5167">
        <v>12</v>
      </c>
      <c r="J5167" t="str">
        <f>HYPERLINK("https://climate.onebuilding.org/WMO_Region_6_Europe/GBR_United_Kingdom/SCT_Scotland/GBR_SCT_Fife.Ness.031740_TMYx.zip")</f>
        <v>https://climate.onebuilding.org/WMO_Region_6_Europe/GBR_United_Kingdom/SCT_Scotland/GBR_SCT_Fife.Ness.031740_TMYx.zip</v>
      </c>
    </row>
    <row r="5168" spans="1:10" x14ac:dyDescent="0.25">
      <c r="A5168" t="s">
        <v>3587</v>
      </c>
      <c r="B5168" t="s">
        <v>3588</v>
      </c>
      <c r="C5168" t="s">
        <v>3869</v>
      </c>
      <c r="D5168" s="1" t="s">
        <v>3870</v>
      </c>
      <c r="E5168" t="s">
        <v>3871</v>
      </c>
      <c r="F5168">
        <v>55.366999999999997</v>
      </c>
      <c r="G5168">
        <v>-2.5169999999999999</v>
      </c>
      <c r="H5168">
        <v>0</v>
      </c>
      <c r="I5168">
        <v>308</v>
      </c>
      <c r="J5168" t="str">
        <f>HYPERLINK("https://climate.onebuilding.org/WMO_Region_6_Europe/GBR_United_Kingdom/SCT_Scotland/GBR_SCT_Carterhouse.031760_TMYx.2004-2018.zip")</f>
        <v>https://climate.onebuilding.org/WMO_Region_6_Europe/GBR_United_Kingdom/SCT_Scotland/GBR_SCT_Carterhouse.031760_TMYx.2004-2018.zip</v>
      </c>
    </row>
    <row r="5169" spans="1:10" x14ac:dyDescent="0.25">
      <c r="A5169" t="s">
        <v>3587</v>
      </c>
      <c r="B5169" t="s">
        <v>3588</v>
      </c>
      <c r="C5169" t="s">
        <v>3869</v>
      </c>
      <c r="D5169" s="1" t="s">
        <v>3870</v>
      </c>
      <c r="E5169" t="s">
        <v>14</v>
      </c>
      <c r="F5169">
        <v>55.366999999999997</v>
      </c>
      <c r="G5169">
        <v>-2.5169999999999999</v>
      </c>
      <c r="H5169">
        <v>0</v>
      </c>
      <c r="I5169">
        <v>308</v>
      </c>
      <c r="J5169" t="str">
        <f>HYPERLINK("https://climate.onebuilding.org/WMO_Region_6_Europe/GBR_United_Kingdom/SCT_Scotland/GBR_SCT_Carterhouse.031760_TMYx.zip")</f>
        <v>https://climate.onebuilding.org/WMO_Region_6_Europe/GBR_United_Kingdom/SCT_Scotland/GBR_SCT_Carterhouse.031760_TMYx.zip</v>
      </c>
    </row>
    <row r="5170" spans="1:10" x14ac:dyDescent="0.25">
      <c r="A5170" t="s">
        <v>3587</v>
      </c>
      <c r="B5170" t="s">
        <v>3588</v>
      </c>
      <c r="C5170" t="s">
        <v>3872</v>
      </c>
      <c r="D5170" s="1" t="s">
        <v>3873</v>
      </c>
      <c r="E5170" t="s">
        <v>14</v>
      </c>
      <c r="F5170">
        <v>56.433</v>
      </c>
      <c r="G5170">
        <v>-2.4</v>
      </c>
      <c r="H5170">
        <v>0</v>
      </c>
      <c r="I5170">
        <v>21</v>
      </c>
      <c r="J5170" t="str">
        <f>HYPERLINK("https://climate.onebuilding.org/WMO_Region_6_Europe/GBR_United_Kingdom/SCT_Scotland/GBR_SCT_Bell.Rock.Lighthouse.031770_TMYx.zip")</f>
        <v>https://climate.onebuilding.org/WMO_Region_6_Europe/GBR_United_Kingdom/SCT_Scotland/GBR_SCT_Bell.Rock.Lighthouse.031770_TMYx.zip</v>
      </c>
    </row>
    <row r="5171" spans="1:10" x14ac:dyDescent="0.25">
      <c r="A5171" t="s">
        <v>3587</v>
      </c>
      <c r="B5171" t="s">
        <v>3588</v>
      </c>
      <c r="C5171" t="s">
        <v>3874</v>
      </c>
      <c r="D5171" s="1" t="s">
        <v>3875</v>
      </c>
      <c r="E5171" t="s">
        <v>14</v>
      </c>
      <c r="F5171">
        <v>55.917000000000002</v>
      </c>
      <c r="G5171">
        <v>-2.133</v>
      </c>
      <c r="H5171">
        <v>0</v>
      </c>
      <c r="I5171">
        <v>75</v>
      </c>
      <c r="J5171" t="str">
        <f>HYPERLINK("https://climate.onebuilding.org/WMO_Region_6_Europe/GBR_United_Kingdom/SCT_Scotland/GBR_SCT_St.Abbs.Head.Lighthouse.031850_TMYx.zip")</f>
        <v>https://climate.onebuilding.org/WMO_Region_6_Europe/GBR_United_Kingdom/SCT_Scotland/GBR_SCT_St.Abbs.Head.Lighthouse.031850_TMYx.zip</v>
      </c>
    </row>
    <row r="5172" spans="1:10" x14ac:dyDescent="0.25">
      <c r="A5172" t="s">
        <v>3587</v>
      </c>
      <c r="B5172" t="s">
        <v>3630</v>
      </c>
      <c r="C5172" t="s">
        <v>3876</v>
      </c>
      <c r="D5172" s="1" t="s">
        <v>3877</v>
      </c>
      <c r="E5172" t="s">
        <v>14</v>
      </c>
      <c r="F5172">
        <v>54.933</v>
      </c>
      <c r="G5172">
        <v>-3.15</v>
      </c>
      <c r="H5172">
        <v>0</v>
      </c>
      <c r="I5172">
        <v>7</v>
      </c>
      <c r="J5172" t="str">
        <f>HYPERLINK("https://climate.onebuilding.org/WMO_Region_6_Europe/GBR_United_Kingdom/ENG_England/GBR_ENG_Drumburgh.032090_TMYx.zip")</f>
        <v>https://climate.onebuilding.org/WMO_Region_6_Europe/GBR_United_Kingdom/ENG_England/GBR_ENG_Drumburgh.032090_TMYx.zip</v>
      </c>
    </row>
    <row r="5173" spans="1:10" x14ac:dyDescent="0.25">
      <c r="A5173" t="s">
        <v>3587</v>
      </c>
      <c r="B5173" t="s">
        <v>3630</v>
      </c>
      <c r="C5173" t="s">
        <v>3878</v>
      </c>
      <c r="D5173" s="1" t="s">
        <v>3879</v>
      </c>
      <c r="E5173" t="s">
        <v>3880</v>
      </c>
      <c r="F5173">
        <v>54.517000000000003</v>
      </c>
      <c r="G5173">
        <v>-3.6</v>
      </c>
      <c r="H5173">
        <v>0</v>
      </c>
      <c r="I5173">
        <v>123</v>
      </c>
      <c r="J5173" t="str">
        <f>HYPERLINK("https://climate.onebuilding.org/WMO_Region_6_Europe/GBR_United_Kingdom/ENG_England/GBR_ENG_Sandwith-St.Bees.Head.032100_TMYx.2004-2018.zip")</f>
        <v>https://climate.onebuilding.org/WMO_Region_6_Europe/GBR_United_Kingdom/ENG_England/GBR_ENG_Sandwith-St.Bees.Head.032100_TMYx.2004-2018.zip</v>
      </c>
    </row>
    <row r="5174" spans="1:10" x14ac:dyDescent="0.25">
      <c r="A5174" t="s">
        <v>3587</v>
      </c>
      <c r="B5174" t="s">
        <v>3630</v>
      </c>
      <c r="C5174" t="s">
        <v>3878</v>
      </c>
      <c r="D5174" s="1" t="s">
        <v>3879</v>
      </c>
      <c r="E5174" t="s">
        <v>14</v>
      </c>
      <c r="F5174">
        <v>54.517800000000001</v>
      </c>
      <c r="G5174">
        <v>-3.6147</v>
      </c>
      <c r="H5174">
        <v>0</v>
      </c>
      <c r="I5174">
        <v>123</v>
      </c>
      <c r="J5174" t="str">
        <f>HYPERLINK("https://climate.onebuilding.org/WMO_Region_6_Europe/GBR_United_Kingdom/ENG_England/GBR_ENG_Sandwith-St.Bees.Head.032100_TMYx.2007-2021.zip")</f>
        <v>https://climate.onebuilding.org/WMO_Region_6_Europe/GBR_United_Kingdom/ENG_England/GBR_ENG_Sandwith-St.Bees.Head.032100_TMYx.2007-2021.zip</v>
      </c>
    </row>
    <row r="5175" spans="1:10" x14ac:dyDescent="0.25">
      <c r="A5175" t="s">
        <v>3587</v>
      </c>
      <c r="B5175" t="s">
        <v>3630</v>
      </c>
      <c r="C5175" t="s">
        <v>3878</v>
      </c>
      <c r="D5175" s="1" t="s">
        <v>3879</v>
      </c>
      <c r="E5175" t="s">
        <v>14</v>
      </c>
      <c r="F5175">
        <v>54.517800000000001</v>
      </c>
      <c r="G5175">
        <v>-3.6147</v>
      </c>
      <c r="H5175">
        <v>0</v>
      </c>
      <c r="I5175">
        <v>123</v>
      </c>
      <c r="J5175" t="str">
        <f>HYPERLINK("https://climate.onebuilding.org/WMO_Region_6_Europe/GBR_United_Kingdom/ENG_England/GBR_ENG_Sandwith-St.Bees.Head.032100_TMYx.2009-2023.zip")</f>
        <v>https://climate.onebuilding.org/WMO_Region_6_Europe/GBR_United_Kingdom/ENG_England/GBR_ENG_Sandwith-St.Bees.Head.032100_TMYx.2009-2023.zip</v>
      </c>
    </row>
    <row r="5176" spans="1:10" x14ac:dyDescent="0.25">
      <c r="A5176" t="s">
        <v>3587</v>
      </c>
      <c r="B5176" t="s">
        <v>3630</v>
      </c>
      <c r="C5176" t="s">
        <v>3878</v>
      </c>
      <c r="D5176" s="1" t="s">
        <v>3879</v>
      </c>
      <c r="E5176" t="s">
        <v>14</v>
      </c>
      <c r="F5176">
        <v>54.517800000000001</v>
      </c>
      <c r="G5176">
        <v>-3.6147</v>
      </c>
      <c r="H5176">
        <v>0</v>
      </c>
      <c r="I5176">
        <v>123</v>
      </c>
      <c r="J5176" t="str">
        <f>HYPERLINK("https://climate.onebuilding.org/WMO_Region_6_Europe/GBR_United_Kingdom/ENG_England/GBR_ENG_Sandwith-St.Bees.Head.032100_TMYx.zip")</f>
        <v>https://climate.onebuilding.org/WMO_Region_6_Europe/GBR_United_Kingdom/ENG_England/GBR_ENG_Sandwith-St.Bees.Head.032100_TMYx.zip</v>
      </c>
    </row>
    <row r="5177" spans="1:10" x14ac:dyDescent="0.25">
      <c r="A5177" t="s">
        <v>3587</v>
      </c>
      <c r="B5177" t="s">
        <v>3630</v>
      </c>
      <c r="C5177" t="s">
        <v>3881</v>
      </c>
      <c r="D5177" s="1" t="s">
        <v>3882</v>
      </c>
      <c r="E5177" t="s">
        <v>14</v>
      </c>
      <c r="F5177">
        <v>54.513590000000001</v>
      </c>
      <c r="G5177">
        <v>-3.6366399999999999</v>
      </c>
      <c r="H5177">
        <v>0</v>
      </c>
      <c r="I5177">
        <v>94</v>
      </c>
      <c r="J5177" t="str">
        <f>HYPERLINK("https://climate.onebuilding.org/WMO_Region_6_Europe/GBR_United_Kingdom/ENG_England/GBR_ENG_St.Bees.Head.Lighthouse.032110_TMYx.zip")</f>
        <v>https://climate.onebuilding.org/WMO_Region_6_Europe/GBR_United_Kingdom/ENG_England/GBR_ENG_St.Bees.Head.Lighthouse.032110_TMYx.zip</v>
      </c>
    </row>
    <row r="5178" spans="1:10" x14ac:dyDescent="0.25">
      <c r="A5178" t="s">
        <v>3587</v>
      </c>
      <c r="B5178" t="s">
        <v>3630</v>
      </c>
      <c r="C5178" t="s">
        <v>3883</v>
      </c>
      <c r="D5178" s="1" t="s">
        <v>3884</v>
      </c>
      <c r="E5178" t="s">
        <v>3885</v>
      </c>
      <c r="F5178">
        <v>54.616999999999997</v>
      </c>
      <c r="G5178">
        <v>-3.1669999999999998</v>
      </c>
      <c r="H5178">
        <v>0</v>
      </c>
      <c r="I5178">
        <v>81</v>
      </c>
      <c r="J5178" t="str">
        <f>HYPERLINK("https://climate.onebuilding.org/WMO_Region_6_Europe/GBR_United_Kingdom/ENG_England/GBR_ENG_Keswick.032120_TMYx.2004-2018.zip")</f>
        <v>https://climate.onebuilding.org/WMO_Region_6_Europe/GBR_United_Kingdom/ENG_England/GBR_ENG_Keswick.032120_TMYx.2004-2018.zip</v>
      </c>
    </row>
    <row r="5179" spans="1:10" x14ac:dyDescent="0.25">
      <c r="A5179" t="s">
        <v>3587</v>
      </c>
      <c r="B5179" t="s">
        <v>3630</v>
      </c>
      <c r="C5179" t="s">
        <v>3883</v>
      </c>
      <c r="D5179" s="1" t="s">
        <v>3884</v>
      </c>
      <c r="E5179" t="s">
        <v>14</v>
      </c>
      <c r="F5179">
        <v>54.613900000000001</v>
      </c>
      <c r="G5179">
        <v>-3.1566999999999998</v>
      </c>
      <c r="H5179">
        <v>0</v>
      </c>
      <c r="I5179">
        <v>81</v>
      </c>
      <c r="J5179" t="str">
        <f>HYPERLINK("https://climate.onebuilding.org/WMO_Region_6_Europe/GBR_United_Kingdom/ENG_England/GBR_ENG_Keswick.032120_TMYx.2007-2021.zip")</f>
        <v>https://climate.onebuilding.org/WMO_Region_6_Europe/GBR_United_Kingdom/ENG_England/GBR_ENG_Keswick.032120_TMYx.2007-2021.zip</v>
      </c>
    </row>
    <row r="5180" spans="1:10" x14ac:dyDescent="0.25">
      <c r="A5180" t="s">
        <v>3587</v>
      </c>
      <c r="B5180" t="s">
        <v>3630</v>
      </c>
      <c r="C5180" t="s">
        <v>3883</v>
      </c>
      <c r="D5180" s="1" t="s">
        <v>3884</v>
      </c>
      <c r="E5180" t="s">
        <v>14</v>
      </c>
      <c r="F5180">
        <v>54.613900000000001</v>
      </c>
      <c r="G5180">
        <v>-3.1566999999999998</v>
      </c>
      <c r="H5180">
        <v>0</v>
      </c>
      <c r="I5180">
        <v>81</v>
      </c>
      <c r="J5180" t="str">
        <f>HYPERLINK("https://climate.onebuilding.org/WMO_Region_6_Europe/GBR_United_Kingdom/ENG_England/GBR_ENG_Keswick.032120_TMYx.2009-2023.zip")</f>
        <v>https://climate.onebuilding.org/WMO_Region_6_Europe/GBR_United_Kingdom/ENG_England/GBR_ENG_Keswick.032120_TMYx.2009-2023.zip</v>
      </c>
    </row>
    <row r="5181" spans="1:10" x14ac:dyDescent="0.25">
      <c r="A5181" t="s">
        <v>3587</v>
      </c>
      <c r="B5181" t="s">
        <v>3630</v>
      </c>
      <c r="C5181" t="s">
        <v>3883</v>
      </c>
      <c r="D5181" s="1" t="s">
        <v>3884</v>
      </c>
      <c r="E5181" t="s">
        <v>14</v>
      </c>
      <c r="F5181">
        <v>54.613900000000001</v>
      </c>
      <c r="G5181">
        <v>-3.1566999999999998</v>
      </c>
      <c r="H5181">
        <v>0</v>
      </c>
      <c r="I5181">
        <v>81</v>
      </c>
      <c r="J5181" t="str">
        <f>HYPERLINK("https://climate.onebuilding.org/WMO_Region_6_Europe/GBR_United_Kingdom/ENG_England/GBR_ENG_Keswick.032120_TMYx.zip")</f>
        <v>https://climate.onebuilding.org/WMO_Region_6_Europe/GBR_United_Kingdom/ENG_England/GBR_ENG_Keswick.032120_TMYx.zip</v>
      </c>
    </row>
    <row r="5182" spans="1:10" x14ac:dyDescent="0.25">
      <c r="A5182" t="s">
        <v>3587</v>
      </c>
      <c r="B5182" t="s">
        <v>3630</v>
      </c>
      <c r="C5182" t="s">
        <v>3886</v>
      </c>
      <c r="D5182" s="1" t="s">
        <v>3887</v>
      </c>
      <c r="E5182" t="s">
        <v>14</v>
      </c>
      <c r="F5182">
        <v>54.317</v>
      </c>
      <c r="G5182">
        <v>-3.4</v>
      </c>
      <c r="H5182">
        <v>0</v>
      </c>
      <c r="I5182">
        <v>9</v>
      </c>
      <c r="J5182" t="str">
        <f>HYPERLINK("https://climate.onebuilding.org/WMO_Region_6_Europe/GBR_United_Kingdom/ENG_England/GBR_ENG_Eskmeals.032130_TMYx.zip")</f>
        <v>https://climate.onebuilding.org/WMO_Region_6_Europe/GBR_United_Kingdom/ENG_England/GBR_ENG_Eskmeals.032130_TMYx.zip</v>
      </c>
    </row>
    <row r="5183" spans="1:10" x14ac:dyDescent="0.25">
      <c r="A5183" t="s">
        <v>3587</v>
      </c>
      <c r="B5183" t="s">
        <v>3630</v>
      </c>
      <c r="C5183" t="s">
        <v>3888</v>
      </c>
      <c r="D5183" s="1" t="s">
        <v>3889</v>
      </c>
      <c r="E5183" t="s">
        <v>3890</v>
      </c>
      <c r="F5183">
        <v>54.131</v>
      </c>
      <c r="G5183">
        <v>-3.2639999999999998</v>
      </c>
      <c r="H5183">
        <v>0</v>
      </c>
      <c r="I5183">
        <v>14.3</v>
      </c>
      <c r="J5183" t="str">
        <f>HYPERLINK("https://climate.onebuilding.org/WMO_Region_6_Europe/GBR_United_Kingdom/ENG_England/GBR_ENG_Walney.Island.AP.032140_TMYx.2004-2018.zip")</f>
        <v>https://climate.onebuilding.org/WMO_Region_6_Europe/GBR_United_Kingdom/ENG_England/GBR_ENG_Walney.Island.AP.032140_TMYx.2004-2018.zip</v>
      </c>
    </row>
    <row r="5184" spans="1:10" x14ac:dyDescent="0.25">
      <c r="A5184" t="s">
        <v>3587</v>
      </c>
      <c r="B5184" t="s">
        <v>3630</v>
      </c>
      <c r="C5184" t="s">
        <v>3888</v>
      </c>
      <c r="D5184" s="1" t="s">
        <v>3889</v>
      </c>
      <c r="E5184" t="s">
        <v>14</v>
      </c>
      <c r="F5184">
        <v>54.125</v>
      </c>
      <c r="G5184">
        <v>-3.2581000000000002</v>
      </c>
      <c r="H5184">
        <v>0</v>
      </c>
      <c r="I5184">
        <v>14.3</v>
      </c>
      <c r="J5184" t="str">
        <f>HYPERLINK("https://climate.onebuilding.org/WMO_Region_6_Europe/GBR_United_Kingdom/ENG_England/GBR_ENG_Walney.Island.AP.032140_TMYx.2007-2021.zip")</f>
        <v>https://climate.onebuilding.org/WMO_Region_6_Europe/GBR_United_Kingdom/ENG_England/GBR_ENG_Walney.Island.AP.032140_TMYx.2007-2021.zip</v>
      </c>
    </row>
    <row r="5185" spans="1:10" x14ac:dyDescent="0.25">
      <c r="A5185" t="s">
        <v>3587</v>
      </c>
      <c r="B5185" t="s">
        <v>3630</v>
      </c>
      <c r="C5185" t="s">
        <v>3888</v>
      </c>
      <c r="D5185" s="1" t="s">
        <v>3889</v>
      </c>
      <c r="E5185" t="s">
        <v>14</v>
      </c>
      <c r="F5185">
        <v>54.125</v>
      </c>
      <c r="G5185">
        <v>-3.2581000000000002</v>
      </c>
      <c r="H5185">
        <v>0</v>
      </c>
      <c r="I5185">
        <v>14.3</v>
      </c>
      <c r="J5185" t="str">
        <f>HYPERLINK("https://climate.onebuilding.org/WMO_Region_6_Europe/GBR_United_Kingdom/ENG_England/GBR_ENG_Walney.Island.AP.032140_TMYx.2009-2023.zip")</f>
        <v>https://climate.onebuilding.org/WMO_Region_6_Europe/GBR_United_Kingdom/ENG_England/GBR_ENG_Walney.Island.AP.032140_TMYx.2009-2023.zip</v>
      </c>
    </row>
    <row r="5186" spans="1:10" x14ac:dyDescent="0.25">
      <c r="A5186" t="s">
        <v>3587</v>
      </c>
      <c r="B5186" t="s">
        <v>3630</v>
      </c>
      <c r="C5186" t="s">
        <v>3888</v>
      </c>
      <c r="D5186" s="1" t="s">
        <v>3889</v>
      </c>
      <c r="E5186" t="s">
        <v>14</v>
      </c>
      <c r="F5186">
        <v>54.125</v>
      </c>
      <c r="G5186">
        <v>-3.2581000000000002</v>
      </c>
      <c r="H5186">
        <v>0</v>
      </c>
      <c r="I5186">
        <v>14.3</v>
      </c>
      <c r="J5186" t="str">
        <f>HYPERLINK("https://climate.onebuilding.org/WMO_Region_6_Europe/GBR_United_Kingdom/ENG_England/GBR_ENG_Walney.Island.AP.032140_TMYx.zip")</f>
        <v>https://climate.onebuilding.org/WMO_Region_6_Europe/GBR_United_Kingdom/ENG_England/GBR_ENG_Walney.Island.AP.032140_TMYx.zip</v>
      </c>
    </row>
    <row r="5187" spans="1:10" x14ac:dyDescent="0.25">
      <c r="A5187" t="s">
        <v>3587</v>
      </c>
      <c r="B5187" t="s">
        <v>3630</v>
      </c>
      <c r="C5187" t="s">
        <v>3891</v>
      </c>
      <c r="D5187" s="1" t="s">
        <v>3892</v>
      </c>
      <c r="E5187" t="s">
        <v>14</v>
      </c>
      <c r="F5187">
        <v>53.744999999999997</v>
      </c>
      <c r="G5187">
        <v>-2.883</v>
      </c>
      <c r="H5187">
        <v>0</v>
      </c>
      <c r="I5187">
        <v>16.8</v>
      </c>
      <c r="J5187" t="str">
        <f>HYPERLINK("https://climate.onebuilding.org/WMO_Region_6_Europe/GBR_United_Kingdom/ENG_England/GBR_ENG_Warton.032145_TMYx.2007-2021.zip")</f>
        <v>https://climate.onebuilding.org/WMO_Region_6_Europe/GBR_United_Kingdom/ENG_England/GBR_ENG_Warton.032145_TMYx.2007-2021.zip</v>
      </c>
    </row>
    <row r="5188" spans="1:10" x14ac:dyDescent="0.25">
      <c r="A5188" t="s">
        <v>3587</v>
      </c>
      <c r="B5188" t="s">
        <v>3630</v>
      </c>
      <c r="C5188" t="s">
        <v>3891</v>
      </c>
      <c r="D5188" s="1" t="s">
        <v>3892</v>
      </c>
      <c r="E5188" t="s">
        <v>14</v>
      </c>
      <c r="F5188">
        <v>53.744999999999997</v>
      </c>
      <c r="G5188">
        <v>-2.883</v>
      </c>
      <c r="H5188">
        <v>0</v>
      </c>
      <c r="I5188">
        <v>16.8</v>
      </c>
      <c r="J5188" t="str">
        <f>HYPERLINK("https://climate.onebuilding.org/WMO_Region_6_Europe/GBR_United_Kingdom/ENG_England/GBR_ENG_Warton.032145_TMYx.2009-2023.zip")</f>
        <v>https://climate.onebuilding.org/WMO_Region_6_Europe/GBR_United_Kingdom/ENG_England/GBR_ENG_Warton.032145_TMYx.2009-2023.zip</v>
      </c>
    </row>
    <row r="5189" spans="1:10" x14ac:dyDescent="0.25">
      <c r="A5189" t="s">
        <v>3587</v>
      </c>
      <c r="B5189" t="s">
        <v>3630</v>
      </c>
      <c r="C5189" t="s">
        <v>3891</v>
      </c>
      <c r="D5189" s="1" t="s">
        <v>3892</v>
      </c>
      <c r="E5189" t="s">
        <v>14</v>
      </c>
      <c r="F5189">
        <v>53.744999999999997</v>
      </c>
      <c r="G5189">
        <v>-2.883</v>
      </c>
      <c r="H5189">
        <v>0</v>
      </c>
      <c r="I5189">
        <v>16.8</v>
      </c>
      <c r="J5189" t="str">
        <f>HYPERLINK("https://climate.onebuilding.org/WMO_Region_6_Europe/GBR_United_Kingdom/ENG_England/GBR_ENG_Warton.032145_TMYx.zip")</f>
        <v>https://climate.onebuilding.org/WMO_Region_6_Europe/GBR_United_Kingdom/ENG_England/GBR_ENG_Warton.032145_TMYx.zip</v>
      </c>
    </row>
    <row r="5190" spans="1:10" x14ac:dyDescent="0.25">
      <c r="A5190" t="s">
        <v>3587</v>
      </c>
      <c r="B5190" t="s">
        <v>3630</v>
      </c>
      <c r="C5190" t="s">
        <v>3893</v>
      </c>
      <c r="D5190" s="1" t="s">
        <v>3894</v>
      </c>
      <c r="E5190" t="s">
        <v>14</v>
      </c>
      <c r="F5190">
        <v>54.767000000000003</v>
      </c>
      <c r="G5190">
        <v>-3.3170000000000002</v>
      </c>
      <c r="H5190">
        <v>0</v>
      </c>
      <c r="I5190">
        <v>62</v>
      </c>
      <c r="J5190" t="str">
        <f>HYPERLINK("https://climate.onebuilding.org/WMO_Region_6_Europe/GBR_United_Kingdom/ENG_England/GBR_ENG_Aspatria.032150_TMYx.zip")</f>
        <v>https://climate.onebuilding.org/WMO_Region_6_Europe/GBR_United_Kingdom/ENG_England/GBR_ENG_Aspatria.032150_TMYx.zip</v>
      </c>
    </row>
    <row r="5191" spans="1:10" x14ac:dyDescent="0.25">
      <c r="A5191" t="s">
        <v>3587</v>
      </c>
      <c r="B5191" t="s">
        <v>3630</v>
      </c>
      <c r="C5191" t="s">
        <v>3895</v>
      </c>
      <c r="D5191" s="1" t="s">
        <v>3896</v>
      </c>
      <c r="E5191" t="s">
        <v>3897</v>
      </c>
      <c r="F5191">
        <v>54.933</v>
      </c>
      <c r="G5191">
        <v>-2.9670000000000001</v>
      </c>
      <c r="H5191">
        <v>0</v>
      </c>
      <c r="I5191">
        <v>27</v>
      </c>
      <c r="J5191" t="str">
        <f>HYPERLINK("https://climate.onebuilding.org/WMO_Region_6_Europe/GBR_United_Kingdom/ENG_England/GBR_ENG_RAF.Carlisle.032200_TMYx.2004-2018.zip")</f>
        <v>https://climate.onebuilding.org/WMO_Region_6_Europe/GBR_United_Kingdom/ENG_England/GBR_ENG_RAF.Carlisle.032200_TMYx.2004-2018.zip</v>
      </c>
    </row>
    <row r="5192" spans="1:10" x14ac:dyDescent="0.25">
      <c r="A5192" t="s">
        <v>3587</v>
      </c>
      <c r="B5192" t="s">
        <v>3630</v>
      </c>
      <c r="C5192" t="s">
        <v>3895</v>
      </c>
      <c r="D5192" s="1" t="s">
        <v>3896</v>
      </c>
      <c r="E5192" t="s">
        <v>14</v>
      </c>
      <c r="F5192">
        <v>54.933</v>
      </c>
      <c r="G5192">
        <v>-2.9670000000000001</v>
      </c>
      <c r="H5192">
        <v>0</v>
      </c>
      <c r="I5192">
        <v>27</v>
      </c>
      <c r="J5192" t="str">
        <f>HYPERLINK("https://climate.onebuilding.org/WMO_Region_6_Europe/GBR_United_Kingdom/ENG_England/GBR_ENG_RAF.Carlisle.032200_TMYx.2007-2021.zip")</f>
        <v>https://climate.onebuilding.org/WMO_Region_6_Europe/GBR_United_Kingdom/ENG_England/GBR_ENG_RAF.Carlisle.032200_TMYx.2007-2021.zip</v>
      </c>
    </row>
    <row r="5193" spans="1:10" x14ac:dyDescent="0.25">
      <c r="A5193" t="s">
        <v>3587</v>
      </c>
      <c r="B5193" t="s">
        <v>3630</v>
      </c>
      <c r="C5193" t="s">
        <v>3895</v>
      </c>
      <c r="D5193" s="1" t="s">
        <v>3896</v>
      </c>
      <c r="E5193" t="s">
        <v>14</v>
      </c>
      <c r="F5193">
        <v>54.933</v>
      </c>
      <c r="G5193">
        <v>-2.9670000000000001</v>
      </c>
      <c r="H5193">
        <v>0</v>
      </c>
      <c r="I5193">
        <v>27</v>
      </c>
      <c r="J5193" t="str">
        <f>HYPERLINK("https://climate.onebuilding.org/WMO_Region_6_Europe/GBR_United_Kingdom/ENG_England/GBR_ENG_RAF.Carlisle.032200_TMYx.2009-2023.zip")</f>
        <v>https://climate.onebuilding.org/WMO_Region_6_Europe/GBR_United_Kingdom/ENG_England/GBR_ENG_RAF.Carlisle.032200_TMYx.2009-2023.zip</v>
      </c>
    </row>
    <row r="5194" spans="1:10" x14ac:dyDescent="0.25">
      <c r="A5194" t="s">
        <v>3587</v>
      </c>
      <c r="B5194" t="s">
        <v>3630</v>
      </c>
      <c r="C5194" t="s">
        <v>3895</v>
      </c>
      <c r="D5194" s="1" t="s">
        <v>3896</v>
      </c>
      <c r="E5194" t="s">
        <v>14</v>
      </c>
      <c r="F5194">
        <v>54.933</v>
      </c>
      <c r="G5194">
        <v>-2.9670000000000001</v>
      </c>
      <c r="H5194">
        <v>0</v>
      </c>
      <c r="I5194">
        <v>27</v>
      </c>
      <c r="J5194" t="str">
        <f>HYPERLINK("https://climate.onebuilding.org/WMO_Region_6_Europe/GBR_United_Kingdom/ENG_England/GBR_ENG_RAF.Carlisle.032200_TMYx.zip")</f>
        <v>https://climate.onebuilding.org/WMO_Region_6_Europe/GBR_United_Kingdom/ENG_England/GBR_ENG_RAF.Carlisle.032200_TMYx.zip</v>
      </c>
    </row>
    <row r="5195" spans="1:10" x14ac:dyDescent="0.25">
      <c r="A5195" t="s">
        <v>3587</v>
      </c>
      <c r="B5195" t="s">
        <v>3630</v>
      </c>
      <c r="C5195" t="s">
        <v>3898</v>
      </c>
      <c r="D5195" s="1" t="s">
        <v>3899</v>
      </c>
      <c r="E5195" t="s">
        <v>3900</v>
      </c>
      <c r="F5195">
        <v>54.938000000000002</v>
      </c>
      <c r="G5195">
        <v>-2.8090000000000002</v>
      </c>
      <c r="H5195">
        <v>0</v>
      </c>
      <c r="I5195">
        <v>57.9</v>
      </c>
      <c r="J5195" t="str">
        <f>HYPERLINK("https://climate.onebuilding.org/WMO_Region_6_Europe/GBR_United_Kingdom/ENG_England/GBR_ENG_Carlisle.Lake.District.AP.032220_TMYx.2004-2018.zip")</f>
        <v>https://climate.onebuilding.org/WMO_Region_6_Europe/GBR_United_Kingdom/ENG_England/GBR_ENG_Carlisle.Lake.District.AP.032220_TMYx.2004-2018.zip</v>
      </c>
    </row>
    <row r="5196" spans="1:10" x14ac:dyDescent="0.25">
      <c r="A5196" t="s">
        <v>3587</v>
      </c>
      <c r="B5196" t="s">
        <v>3630</v>
      </c>
      <c r="C5196" t="s">
        <v>3898</v>
      </c>
      <c r="D5196" s="1" t="s">
        <v>3899</v>
      </c>
      <c r="E5196" t="s">
        <v>14</v>
      </c>
      <c r="F5196">
        <v>54.938000000000002</v>
      </c>
      <c r="G5196">
        <v>-2.8090000000000002</v>
      </c>
      <c r="H5196">
        <v>0</v>
      </c>
      <c r="I5196">
        <v>57.9</v>
      </c>
      <c r="J5196" t="str">
        <f>HYPERLINK("https://climate.onebuilding.org/WMO_Region_6_Europe/GBR_United_Kingdom/ENG_England/GBR_ENG_Carlisle.Lake.District.AP.032220_TMYx.2007-2021.zip")</f>
        <v>https://climate.onebuilding.org/WMO_Region_6_Europe/GBR_United_Kingdom/ENG_England/GBR_ENG_Carlisle.Lake.District.AP.032220_TMYx.2007-2021.zip</v>
      </c>
    </row>
    <row r="5197" spans="1:10" x14ac:dyDescent="0.25">
      <c r="A5197" t="s">
        <v>3587</v>
      </c>
      <c r="B5197" t="s">
        <v>3630</v>
      </c>
      <c r="C5197" t="s">
        <v>3898</v>
      </c>
      <c r="D5197" s="1" t="s">
        <v>3899</v>
      </c>
      <c r="E5197" t="s">
        <v>14</v>
      </c>
      <c r="F5197">
        <v>54.938000000000002</v>
      </c>
      <c r="G5197">
        <v>-2.8090000000000002</v>
      </c>
      <c r="H5197">
        <v>0</v>
      </c>
      <c r="I5197">
        <v>57.9</v>
      </c>
      <c r="J5197" t="str">
        <f>HYPERLINK("https://climate.onebuilding.org/WMO_Region_6_Europe/GBR_United_Kingdom/ENG_England/GBR_ENG_Carlisle.Lake.District.AP.032220_TMYx.2009-2023.zip")</f>
        <v>https://climate.onebuilding.org/WMO_Region_6_Europe/GBR_United_Kingdom/ENG_England/GBR_ENG_Carlisle.Lake.District.AP.032220_TMYx.2009-2023.zip</v>
      </c>
    </row>
    <row r="5198" spans="1:10" x14ac:dyDescent="0.25">
      <c r="A5198" t="s">
        <v>3587</v>
      </c>
      <c r="B5198" t="s">
        <v>3630</v>
      </c>
      <c r="C5198" t="s">
        <v>3898</v>
      </c>
      <c r="D5198" s="1" t="s">
        <v>3899</v>
      </c>
      <c r="E5198" t="s">
        <v>14</v>
      </c>
      <c r="F5198">
        <v>54.938000000000002</v>
      </c>
      <c r="G5198">
        <v>-2.8090000000000002</v>
      </c>
      <c r="H5198">
        <v>0</v>
      </c>
      <c r="I5198">
        <v>57.9</v>
      </c>
      <c r="J5198" t="str">
        <f>HYPERLINK("https://climate.onebuilding.org/WMO_Region_6_Europe/GBR_United_Kingdom/ENG_England/GBR_ENG_Carlisle.Lake.District.AP.032220_TMYx.zip")</f>
        <v>https://climate.onebuilding.org/WMO_Region_6_Europe/GBR_United_Kingdom/ENG_England/GBR_ENG_Carlisle.Lake.District.AP.032220_TMYx.zip</v>
      </c>
    </row>
    <row r="5199" spans="1:10" x14ac:dyDescent="0.25">
      <c r="A5199" t="s">
        <v>3587</v>
      </c>
      <c r="B5199" t="s">
        <v>3630</v>
      </c>
      <c r="C5199" t="s">
        <v>3901</v>
      </c>
      <c r="D5199" s="1" t="s">
        <v>3902</v>
      </c>
      <c r="E5199" t="s">
        <v>14</v>
      </c>
      <c r="F5199">
        <v>54.45</v>
      </c>
      <c r="G5199">
        <v>-2.9830000000000001</v>
      </c>
      <c r="H5199">
        <v>0</v>
      </c>
      <c r="I5199">
        <v>67</v>
      </c>
      <c r="J5199" t="str">
        <f>HYPERLINK("https://climate.onebuilding.org/WMO_Region_6_Europe/GBR_United_Kingdom/ENG_England/GBR_ENG_Rydal.032230_TMYx.zip")</f>
        <v>https://climate.onebuilding.org/WMO_Region_6_Europe/GBR_United_Kingdom/ENG_England/GBR_ENG_Rydal.032230_TMYx.zip</v>
      </c>
    </row>
    <row r="5200" spans="1:10" x14ac:dyDescent="0.25">
      <c r="A5200" t="s">
        <v>3587</v>
      </c>
      <c r="B5200" t="s">
        <v>3630</v>
      </c>
      <c r="C5200" t="s">
        <v>3903</v>
      </c>
      <c r="D5200" s="1" t="s">
        <v>3904</v>
      </c>
      <c r="E5200" t="s">
        <v>3905</v>
      </c>
      <c r="F5200">
        <v>55.05</v>
      </c>
      <c r="G5200">
        <v>-2.5499999999999998</v>
      </c>
      <c r="H5200">
        <v>0</v>
      </c>
      <c r="I5200">
        <v>286</v>
      </c>
      <c r="J5200" t="str">
        <f>HYPERLINK("https://climate.onebuilding.org/WMO_Region_6_Europe/GBR_United_Kingdom/ENG_England/GBR_ENG_Spadeadam.032240_TMYx.2004-2018.zip")</f>
        <v>https://climate.onebuilding.org/WMO_Region_6_Europe/GBR_United_Kingdom/ENG_England/GBR_ENG_Spadeadam.032240_TMYx.2004-2018.zip</v>
      </c>
    </row>
    <row r="5201" spans="1:10" x14ac:dyDescent="0.25">
      <c r="A5201" t="s">
        <v>3587</v>
      </c>
      <c r="B5201" t="s">
        <v>3630</v>
      </c>
      <c r="C5201" t="s">
        <v>3903</v>
      </c>
      <c r="D5201" s="1" t="s">
        <v>3904</v>
      </c>
      <c r="E5201" t="s">
        <v>14</v>
      </c>
      <c r="F5201">
        <v>55.0503</v>
      </c>
      <c r="G5201">
        <v>-2.5543999999999998</v>
      </c>
      <c r="H5201">
        <v>0</v>
      </c>
      <c r="I5201">
        <v>286</v>
      </c>
      <c r="J5201" t="str">
        <f>HYPERLINK("https://climate.onebuilding.org/WMO_Region_6_Europe/GBR_United_Kingdom/ENG_England/GBR_ENG_Spadeadam.032240_TMYx.2007-2021.zip")</f>
        <v>https://climate.onebuilding.org/WMO_Region_6_Europe/GBR_United_Kingdom/ENG_England/GBR_ENG_Spadeadam.032240_TMYx.2007-2021.zip</v>
      </c>
    </row>
    <row r="5202" spans="1:10" x14ac:dyDescent="0.25">
      <c r="A5202" t="s">
        <v>3587</v>
      </c>
      <c r="B5202" t="s">
        <v>3630</v>
      </c>
      <c r="C5202" t="s">
        <v>3903</v>
      </c>
      <c r="D5202" s="1" t="s">
        <v>3904</v>
      </c>
      <c r="E5202" t="s">
        <v>14</v>
      </c>
      <c r="F5202">
        <v>55.0503</v>
      </c>
      <c r="G5202">
        <v>-2.5543999999999998</v>
      </c>
      <c r="H5202">
        <v>0</v>
      </c>
      <c r="I5202">
        <v>286</v>
      </c>
      <c r="J5202" t="str">
        <f>HYPERLINK("https://climate.onebuilding.org/WMO_Region_6_Europe/GBR_United_Kingdom/ENG_England/GBR_ENG_Spadeadam.032240_TMYx.2009-2023.zip")</f>
        <v>https://climate.onebuilding.org/WMO_Region_6_Europe/GBR_United_Kingdom/ENG_England/GBR_ENG_Spadeadam.032240_TMYx.2009-2023.zip</v>
      </c>
    </row>
    <row r="5203" spans="1:10" x14ac:dyDescent="0.25">
      <c r="A5203" t="s">
        <v>3587</v>
      </c>
      <c r="B5203" t="s">
        <v>3630</v>
      </c>
      <c r="C5203" t="s">
        <v>3903</v>
      </c>
      <c r="D5203" s="1" t="s">
        <v>3904</v>
      </c>
      <c r="E5203" t="s">
        <v>14</v>
      </c>
      <c r="F5203">
        <v>55.0503</v>
      </c>
      <c r="G5203">
        <v>-2.5543999999999998</v>
      </c>
      <c r="H5203">
        <v>0</v>
      </c>
      <c r="I5203">
        <v>286</v>
      </c>
      <c r="J5203" t="str">
        <f>HYPERLINK("https://climate.onebuilding.org/WMO_Region_6_Europe/GBR_United_Kingdom/ENG_England/GBR_ENG_Spadeadam.032240_TMYx.zip")</f>
        <v>https://climate.onebuilding.org/WMO_Region_6_Europe/GBR_United_Kingdom/ENG_England/GBR_ENG_Spadeadam.032240_TMYx.zip</v>
      </c>
    </row>
    <row r="5204" spans="1:10" x14ac:dyDescent="0.25">
      <c r="A5204" t="s">
        <v>3587</v>
      </c>
      <c r="B5204" t="s">
        <v>3630</v>
      </c>
      <c r="C5204" t="s">
        <v>3906</v>
      </c>
      <c r="D5204" s="1" t="s">
        <v>3907</v>
      </c>
      <c r="E5204" t="s">
        <v>3908</v>
      </c>
      <c r="F5204">
        <v>54.5</v>
      </c>
      <c r="G5204">
        <v>-2.6829999999999998</v>
      </c>
      <c r="H5204">
        <v>0</v>
      </c>
      <c r="I5204">
        <v>255</v>
      </c>
      <c r="J5204" t="str">
        <f>HYPERLINK("https://climate.onebuilding.org/WMO_Region_6_Europe/GBR_United_Kingdom/ENG_England/GBR_ENG_Shap.032250_TMYx.2004-2018.zip")</f>
        <v>https://climate.onebuilding.org/WMO_Region_6_Europe/GBR_United_Kingdom/ENG_England/GBR_ENG_Shap.032250_TMYx.2004-2018.zip</v>
      </c>
    </row>
    <row r="5205" spans="1:10" x14ac:dyDescent="0.25">
      <c r="A5205" t="s">
        <v>3587</v>
      </c>
      <c r="B5205" t="s">
        <v>3630</v>
      </c>
      <c r="C5205" t="s">
        <v>3906</v>
      </c>
      <c r="D5205" s="1" t="s">
        <v>3907</v>
      </c>
      <c r="E5205" t="s">
        <v>14</v>
      </c>
      <c r="F5205">
        <v>54.5</v>
      </c>
      <c r="G5205">
        <v>-2.6829999999999998</v>
      </c>
      <c r="H5205">
        <v>0</v>
      </c>
      <c r="I5205">
        <v>255</v>
      </c>
      <c r="J5205" t="str">
        <f>HYPERLINK("https://climate.onebuilding.org/WMO_Region_6_Europe/GBR_United_Kingdom/ENG_England/GBR_ENG_Shap.032250_TMYx.2007-2021.zip")</f>
        <v>https://climate.onebuilding.org/WMO_Region_6_Europe/GBR_United_Kingdom/ENG_England/GBR_ENG_Shap.032250_TMYx.2007-2021.zip</v>
      </c>
    </row>
    <row r="5206" spans="1:10" x14ac:dyDescent="0.25">
      <c r="A5206" t="s">
        <v>3587</v>
      </c>
      <c r="B5206" t="s">
        <v>3630</v>
      </c>
      <c r="C5206" t="s">
        <v>3906</v>
      </c>
      <c r="D5206" s="1" t="s">
        <v>3907</v>
      </c>
      <c r="E5206" t="s">
        <v>14</v>
      </c>
      <c r="F5206">
        <v>54.5</v>
      </c>
      <c r="G5206">
        <v>-2.6829999999999998</v>
      </c>
      <c r="H5206">
        <v>0</v>
      </c>
      <c r="I5206">
        <v>255</v>
      </c>
      <c r="J5206" t="str">
        <f>HYPERLINK("https://climate.onebuilding.org/WMO_Region_6_Europe/GBR_United_Kingdom/ENG_England/GBR_ENG_Shap.032250_TMYx.2009-2023.zip")</f>
        <v>https://climate.onebuilding.org/WMO_Region_6_Europe/GBR_United_Kingdom/ENG_England/GBR_ENG_Shap.032250_TMYx.2009-2023.zip</v>
      </c>
    </row>
    <row r="5207" spans="1:10" x14ac:dyDescent="0.25">
      <c r="A5207" t="s">
        <v>3587</v>
      </c>
      <c r="B5207" t="s">
        <v>3630</v>
      </c>
      <c r="C5207" t="s">
        <v>3906</v>
      </c>
      <c r="D5207" s="1" t="s">
        <v>3907</v>
      </c>
      <c r="E5207" t="s">
        <v>14</v>
      </c>
      <c r="F5207">
        <v>54.5</v>
      </c>
      <c r="G5207">
        <v>-2.6829999999999998</v>
      </c>
      <c r="H5207">
        <v>0</v>
      </c>
      <c r="I5207">
        <v>255</v>
      </c>
      <c r="J5207" t="str">
        <f>HYPERLINK("https://climate.onebuilding.org/WMO_Region_6_Europe/GBR_United_Kingdom/ENG_England/GBR_ENG_Shap.032250_TMYx.zip")</f>
        <v>https://climate.onebuilding.org/WMO_Region_6_Europe/GBR_United_Kingdom/ENG_England/GBR_ENG_Shap.032250_TMYx.zip</v>
      </c>
    </row>
    <row r="5208" spans="1:10" x14ac:dyDescent="0.25">
      <c r="A5208" t="s">
        <v>3587</v>
      </c>
      <c r="B5208" t="s">
        <v>3630</v>
      </c>
      <c r="C5208" t="s">
        <v>3909</v>
      </c>
      <c r="D5208" s="1" t="s">
        <v>3910</v>
      </c>
      <c r="E5208" t="s">
        <v>3911</v>
      </c>
      <c r="F5208">
        <v>54.567</v>
      </c>
      <c r="G5208">
        <v>-2.4169999999999998</v>
      </c>
      <c r="H5208">
        <v>0</v>
      </c>
      <c r="I5208">
        <v>227</v>
      </c>
      <c r="J5208" t="str">
        <f>HYPERLINK("https://climate.onebuilding.org/WMO_Region_6_Europe/GBR_United_Kingdom/ENG_England/GBR_ENG_Warcop.Range.032260_TMYx.2004-2018.zip")</f>
        <v>https://climate.onebuilding.org/WMO_Region_6_Europe/GBR_United_Kingdom/ENG_England/GBR_ENG_Warcop.Range.032260_TMYx.2004-2018.zip</v>
      </c>
    </row>
    <row r="5209" spans="1:10" x14ac:dyDescent="0.25">
      <c r="A5209" t="s">
        <v>3587</v>
      </c>
      <c r="B5209" t="s">
        <v>3630</v>
      </c>
      <c r="C5209" t="s">
        <v>3909</v>
      </c>
      <c r="D5209" s="1" t="s">
        <v>3910</v>
      </c>
      <c r="E5209" t="s">
        <v>14</v>
      </c>
      <c r="F5209">
        <v>54.572499999999998</v>
      </c>
      <c r="G5209">
        <v>-2.4131</v>
      </c>
      <c r="H5209">
        <v>0</v>
      </c>
      <c r="I5209">
        <v>227</v>
      </c>
      <c r="J5209" t="str">
        <f>HYPERLINK("https://climate.onebuilding.org/WMO_Region_6_Europe/GBR_United_Kingdom/ENG_England/GBR_ENG_Warcop.Range.032260_TMYx.2007-2021.zip")</f>
        <v>https://climate.onebuilding.org/WMO_Region_6_Europe/GBR_United_Kingdom/ENG_England/GBR_ENG_Warcop.Range.032260_TMYx.2007-2021.zip</v>
      </c>
    </row>
    <row r="5210" spans="1:10" x14ac:dyDescent="0.25">
      <c r="A5210" t="s">
        <v>3587</v>
      </c>
      <c r="B5210" t="s">
        <v>3630</v>
      </c>
      <c r="C5210" t="s">
        <v>3909</v>
      </c>
      <c r="D5210" s="1" t="s">
        <v>3910</v>
      </c>
      <c r="E5210" t="s">
        <v>14</v>
      </c>
      <c r="F5210">
        <v>54.572499999999998</v>
      </c>
      <c r="G5210">
        <v>-2.4131</v>
      </c>
      <c r="H5210">
        <v>0</v>
      </c>
      <c r="I5210">
        <v>227</v>
      </c>
      <c r="J5210" t="str">
        <f>HYPERLINK("https://climate.onebuilding.org/WMO_Region_6_Europe/GBR_United_Kingdom/ENG_England/GBR_ENG_Warcop.Range.032260_TMYx.2009-2023.zip")</f>
        <v>https://climate.onebuilding.org/WMO_Region_6_Europe/GBR_United_Kingdom/ENG_England/GBR_ENG_Warcop.Range.032260_TMYx.2009-2023.zip</v>
      </c>
    </row>
    <row r="5211" spans="1:10" x14ac:dyDescent="0.25">
      <c r="A5211" t="s">
        <v>3587</v>
      </c>
      <c r="B5211" t="s">
        <v>3630</v>
      </c>
      <c r="C5211" t="s">
        <v>3909</v>
      </c>
      <c r="D5211" s="1" t="s">
        <v>3910</v>
      </c>
      <c r="E5211" t="s">
        <v>14</v>
      </c>
      <c r="F5211">
        <v>54.572499999999998</v>
      </c>
      <c r="G5211">
        <v>-2.4131</v>
      </c>
      <c r="H5211">
        <v>0</v>
      </c>
      <c r="I5211">
        <v>227</v>
      </c>
      <c r="J5211" t="str">
        <f>HYPERLINK("https://climate.onebuilding.org/WMO_Region_6_Europe/GBR_United_Kingdom/ENG_England/GBR_ENG_Warcop.Range.032260_TMYx.zip")</f>
        <v>https://climate.onebuilding.org/WMO_Region_6_Europe/GBR_United_Kingdom/ENG_England/GBR_ENG_Warcop.Range.032260_TMYx.zip</v>
      </c>
    </row>
    <row r="5212" spans="1:10" x14ac:dyDescent="0.25">
      <c r="A5212" t="s">
        <v>3587</v>
      </c>
      <c r="B5212" t="s">
        <v>3630</v>
      </c>
      <c r="C5212" t="s">
        <v>3912</v>
      </c>
      <c r="D5212" s="1" t="s">
        <v>3913</v>
      </c>
      <c r="E5212" t="s">
        <v>3914</v>
      </c>
      <c r="F5212">
        <v>54.683</v>
      </c>
      <c r="G5212">
        <v>-2.4500000000000002</v>
      </c>
      <c r="H5212">
        <v>0</v>
      </c>
      <c r="I5212">
        <v>847</v>
      </c>
      <c r="J5212" t="str">
        <f>HYPERLINK("https://climate.onebuilding.org/WMO_Region_6_Europe/GBR_United_Kingdom/ENG_England/GBR_ENG_Great.Dun.Fell.032270_TMYx.2004-2018.zip")</f>
        <v>https://climate.onebuilding.org/WMO_Region_6_Europe/GBR_United_Kingdom/ENG_England/GBR_ENG_Great.Dun.Fell.032270_TMYx.2004-2018.zip</v>
      </c>
    </row>
    <row r="5213" spans="1:10" x14ac:dyDescent="0.25">
      <c r="A5213" t="s">
        <v>3587</v>
      </c>
      <c r="B5213" t="s">
        <v>3630</v>
      </c>
      <c r="C5213" t="s">
        <v>3912</v>
      </c>
      <c r="D5213" s="1" t="s">
        <v>3913</v>
      </c>
      <c r="E5213" t="s">
        <v>14</v>
      </c>
      <c r="F5213">
        <v>54.684199999999997</v>
      </c>
      <c r="G5213">
        <v>-2.4514</v>
      </c>
      <c r="H5213">
        <v>0</v>
      </c>
      <c r="I5213">
        <v>847</v>
      </c>
      <c r="J5213" t="str">
        <f>HYPERLINK("https://climate.onebuilding.org/WMO_Region_6_Europe/GBR_United_Kingdom/ENG_England/GBR_ENG_Great.Dun.Fell.032270_TMYx.2007-2021.zip")</f>
        <v>https://climate.onebuilding.org/WMO_Region_6_Europe/GBR_United_Kingdom/ENG_England/GBR_ENG_Great.Dun.Fell.032270_TMYx.2007-2021.zip</v>
      </c>
    </row>
    <row r="5214" spans="1:10" x14ac:dyDescent="0.25">
      <c r="A5214" t="s">
        <v>3587</v>
      </c>
      <c r="B5214" t="s">
        <v>3630</v>
      </c>
      <c r="C5214" t="s">
        <v>3912</v>
      </c>
      <c r="D5214" s="1" t="s">
        <v>3913</v>
      </c>
      <c r="E5214" t="s">
        <v>14</v>
      </c>
      <c r="F5214">
        <v>54.684199999999997</v>
      </c>
      <c r="G5214">
        <v>-2.4514</v>
      </c>
      <c r="H5214">
        <v>0</v>
      </c>
      <c r="I5214">
        <v>847</v>
      </c>
      <c r="J5214" t="str">
        <f>HYPERLINK("https://climate.onebuilding.org/WMO_Region_6_Europe/GBR_United_Kingdom/ENG_England/GBR_ENG_Great.Dun.Fell.032270_TMYx.2009-2023.zip")</f>
        <v>https://climate.onebuilding.org/WMO_Region_6_Europe/GBR_United_Kingdom/ENG_England/GBR_ENG_Great.Dun.Fell.032270_TMYx.2009-2023.zip</v>
      </c>
    </row>
    <row r="5215" spans="1:10" x14ac:dyDescent="0.25">
      <c r="A5215" t="s">
        <v>3587</v>
      </c>
      <c r="B5215" t="s">
        <v>3630</v>
      </c>
      <c r="C5215" t="s">
        <v>3912</v>
      </c>
      <c r="D5215" s="1" t="s">
        <v>3913</v>
      </c>
      <c r="E5215" t="s">
        <v>14</v>
      </c>
      <c r="F5215">
        <v>54.684199999999997</v>
      </c>
      <c r="G5215">
        <v>-2.4514</v>
      </c>
      <c r="H5215">
        <v>0</v>
      </c>
      <c r="I5215">
        <v>847</v>
      </c>
      <c r="J5215" t="str">
        <f>HYPERLINK("https://climate.onebuilding.org/WMO_Region_6_Europe/GBR_United_Kingdom/ENG_England/GBR_ENG_Great.Dun.Fell.032270_TMYx.zip")</f>
        <v>https://climate.onebuilding.org/WMO_Region_6_Europe/GBR_United_Kingdom/ENG_England/GBR_ENG_Great.Dun.Fell.032270_TMYx.zip</v>
      </c>
    </row>
    <row r="5216" spans="1:10" x14ac:dyDescent="0.25">
      <c r="A5216" t="s">
        <v>3587</v>
      </c>
      <c r="B5216" t="s">
        <v>3630</v>
      </c>
      <c r="C5216" t="s">
        <v>3915</v>
      </c>
      <c r="D5216" s="1" t="s">
        <v>3916</v>
      </c>
      <c r="E5216" t="s">
        <v>14</v>
      </c>
      <c r="F5216">
        <v>54.667000000000002</v>
      </c>
      <c r="G5216">
        <v>-2.7</v>
      </c>
      <c r="H5216">
        <v>0</v>
      </c>
      <c r="I5216">
        <v>125</v>
      </c>
      <c r="J5216" t="str">
        <f>HYPERLINK("https://climate.onebuilding.org/WMO_Region_6_Europe/GBR_United_Kingdom/ENG_England/GBR_ENG_Whins.Pond.Aux.032280_TMYx.zip")</f>
        <v>https://climate.onebuilding.org/WMO_Region_6_Europe/GBR_United_Kingdom/ENG_England/GBR_ENG_Whins.Pond.Aux.032280_TMYx.zip</v>
      </c>
    </row>
    <row r="5217" spans="1:10" x14ac:dyDescent="0.25">
      <c r="A5217" t="s">
        <v>3587</v>
      </c>
      <c r="B5217" t="s">
        <v>3630</v>
      </c>
      <c r="C5217" t="s">
        <v>3917</v>
      </c>
      <c r="D5217" s="1" t="s">
        <v>3918</v>
      </c>
      <c r="E5217" t="s">
        <v>3919</v>
      </c>
      <c r="F5217">
        <v>55.283000000000001</v>
      </c>
      <c r="G5217">
        <v>-2.2829999999999999</v>
      </c>
      <c r="H5217">
        <v>0</v>
      </c>
      <c r="I5217">
        <v>212</v>
      </c>
      <c r="J5217" t="str">
        <f>HYPERLINK("https://climate.onebuilding.org/WMO_Region_6_Europe/GBR_United_Kingdom/ENG_England/GBR_ENG_Redesdale.Camp.032300_TMYx.2004-2018.zip")</f>
        <v>https://climate.onebuilding.org/WMO_Region_6_Europe/GBR_United_Kingdom/ENG_England/GBR_ENG_Redesdale.Camp.032300_TMYx.2004-2018.zip</v>
      </c>
    </row>
    <row r="5218" spans="1:10" x14ac:dyDescent="0.25">
      <c r="A5218" t="s">
        <v>3587</v>
      </c>
      <c r="B5218" t="s">
        <v>3630</v>
      </c>
      <c r="C5218" t="s">
        <v>3917</v>
      </c>
      <c r="D5218" s="1" t="s">
        <v>3918</v>
      </c>
      <c r="E5218" t="s">
        <v>14</v>
      </c>
      <c r="F5218">
        <v>55.284999999999997</v>
      </c>
      <c r="G5218">
        <v>-2.2793999999999999</v>
      </c>
      <c r="H5218">
        <v>0</v>
      </c>
      <c r="I5218">
        <v>212</v>
      </c>
      <c r="J5218" t="str">
        <f>HYPERLINK("https://climate.onebuilding.org/WMO_Region_6_Europe/GBR_United_Kingdom/ENG_England/GBR_ENG_Redesdale.Camp.032300_TMYx.2007-2021.zip")</f>
        <v>https://climate.onebuilding.org/WMO_Region_6_Europe/GBR_United_Kingdom/ENG_England/GBR_ENG_Redesdale.Camp.032300_TMYx.2007-2021.zip</v>
      </c>
    </row>
    <row r="5219" spans="1:10" x14ac:dyDescent="0.25">
      <c r="A5219" t="s">
        <v>3587</v>
      </c>
      <c r="B5219" t="s">
        <v>3630</v>
      </c>
      <c r="C5219" t="s">
        <v>3917</v>
      </c>
      <c r="D5219" s="1" t="s">
        <v>3918</v>
      </c>
      <c r="E5219" t="s">
        <v>14</v>
      </c>
      <c r="F5219">
        <v>55.284999999999997</v>
      </c>
      <c r="G5219">
        <v>-2.2793999999999999</v>
      </c>
      <c r="H5219">
        <v>0</v>
      </c>
      <c r="I5219">
        <v>212</v>
      </c>
      <c r="J5219" t="str">
        <f>HYPERLINK("https://climate.onebuilding.org/WMO_Region_6_Europe/GBR_United_Kingdom/ENG_England/GBR_ENG_Redesdale.Camp.032300_TMYx.2009-2023.zip")</f>
        <v>https://climate.onebuilding.org/WMO_Region_6_Europe/GBR_United_Kingdom/ENG_England/GBR_ENG_Redesdale.Camp.032300_TMYx.2009-2023.zip</v>
      </c>
    </row>
    <row r="5220" spans="1:10" x14ac:dyDescent="0.25">
      <c r="A5220" t="s">
        <v>3587</v>
      </c>
      <c r="B5220" t="s">
        <v>3630</v>
      </c>
      <c r="C5220" t="s">
        <v>3917</v>
      </c>
      <c r="D5220" s="1" t="s">
        <v>3918</v>
      </c>
      <c r="E5220" t="s">
        <v>14</v>
      </c>
      <c r="F5220">
        <v>55.284999999999997</v>
      </c>
      <c r="G5220">
        <v>-2.2793999999999999</v>
      </c>
      <c r="H5220">
        <v>0</v>
      </c>
      <c r="I5220">
        <v>212</v>
      </c>
      <c r="J5220" t="str">
        <f>HYPERLINK("https://climate.onebuilding.org/WMO_Region_6_Europe/GBR_United_Kingdom/ENG_England/GBR_ENG_Redesdale.Camp.032300_TMYx.zip")</f>
        <v>https://climate.onebuilding.org/WMO_Region_6_Europe/GBR_United_Kingdom/ENG_England/GBR_ENG_Redesdale.Camp.032300_TMYx.zip</v>
      </c>
    </row>
    <row r="5221" spans="1:10" x14ac:dyDescent="0.25">
      <c r="A5221" t="s">
        <v>3587</v>
      </c>
      <c r="B5221" t="s">
        <v>3630</v>
      </c>
      <c r="C5221" t="s">
        <v>3920</v>
      </c>
      <c r="D5221" s="1" t="s">
        <v>3921</v>
      </c>
      <c r="E5221" t="s">
        <v>14</v>
      </c>
      <c r="F5221">
        <v>54.817</v>
      </c>
      <c r="G5221">
        <v>-2.0830000000000002</v>
      </c>
      <c r="H5221">
        <v>0</v>
      </c>
      <c r="I5221">
        <v>434</v>
      </c>
      <c r="J5221" t="str">
        <f>HYPERLINK("https://climate.onebuilding.org/WMO_Region_6_Europe/GBR_United_Kingdom/ENG_England/GBR_ENG_Boltshope.Park.032350_TMYx.zip")</f>
        <v>https://climate.onebuilding.org/WMO_Region_6_Europe/GBR_United_Kingdom/ENG_England/GBR_ENG_Boltshope.Park.032350_TMYx.zip</v>
      </c>
    </row>
    <row r="5222" spans="1:10" x14ac:dyDescent="0.25">
      <c r="A5222" t="s">
        <v>3587</v>
      </c>
      <c r="B5222" t="s">
        <v>3630</v>
      </c>
      <c r="C5222" t="s">
        <v>3922</v>
      </c>
      <c r="D5222" s="1" t="s">
        <v>3923</v>
      </c>
      <c r="E5222" t="s">
        <v>3924</v>
      </c>
      <c r="F5222">
        <v>55.017000000000003</v>
      </c>
      <c r="G5222">
        <v>-1.867</v>
      </c>
      <c r="H5222">
        <v>0</v>
      </c>
      <c r="I5222">
        <v>146</v>
      </c>
      <c r="J5222" t="str">
        <f>HYPERLINK("https://climate.onebuilding.org/WMO_Region_6_Europe/GBR_United_Kingdom/ENG_England/GBR_ENG_Albemarle-Ouston.AF.032380_TMYx.2004-2018.zip")</f>
        <v>https://climate.onebuilding.org/WMO_Region_6_Europe/GBR_United_Kingdom/ENG_England/GBR_ENG_Albemarle-Ouston.AF.032380_TMYx.2004-2018.zip</v>
      </c>
    </row>
    <row r="5223" spans="1:10" x14ac:dyDescent="0.25">
      <c r="A5223" t="s">
        <v>3587</v>
      </c>
      <c r="B5223" t="s">
        <v>3630</v>
      </c>
      <c r="C5223" t="s">
        <v>3922</v>
      </c>
      <c r="D5223" s="1" t="s">
        <v>3923</v>
      </c>
      <c r="E5223" t="s">
        <v>14</v>
      </c>
      <c r="F5223">
        <v>55.0197</v>
      </c>
      <c r="G5223">
        <v>-1.8816999999999999</v>
      </c>
      <c r="H5223">
        <v>0</v>
      </c>
      <c r="I5223">
        <v>146</v>
      </c>
      <c r="J5223" t="str">
        <f>HYPERLINK("https://climate.onebuilding.org/WMO_Region_6_Europe/GBR_United_Kingdom/ENG_England/GBR_ENG_Albemarle-Ouston.AF.032380_TMYx.2007-2021.zip")</f>
        <v>https://climate.onebuilding.org/WMO_Region_6_Europe/GBR_United_Kingdom/ENG_England/GBR_ENG_Albemarle-Ouston.AF.032380_TMYx.2007-2021.zip</v>
      </c>
    </row>
    <row r="5224" spans="1:10" x14ac:dyDescent="0.25">
      <c r="A5224" t="s">
        <v>3587</v>
      </c>
      <c r="B5224" t="s">
        <v>3630</v>
      </c>
      <c r="C5224" t="s">
        <v>3922</v>
      </c>
      <c r="D5224" s="1" t="s">
        <v>3923</v>
      </c>
      <c r="E5224" t="s">
        <v>14</v>
      </c>
      <c r="F5224">
        <v>55.0197</v>
      </c>
      <c r="G5224">
        <v>-1.8816999999999999</v>
      </c>
      <c r="H5224">
        <v>0</v>
      </c>
      <c r="I5224">
        <v>146</v>
      </c>
      <c r="J5224" t="str">
        <f>HYPERLINK("https://climate.onebuilding.org/WMO_Region_6_Europe/GBR_United_Kingdom/ENG_England/GBR_ENG_Albemarle-Ouston.AF.032380_TMYx.2009-2023.zip")</f>
        <v>https://climate.onebuilding.org/WMO_Region_6_Europe/GBR_United_Kingdom/ENG_England/GBR_ENG_Albemarle-Ouston.AF.032380_TMYx.2009-2023.zip</v>
      </c>
    </row>
    <row r="5225" spans="1:10" x14ac:dyDescent="0.25">
      <c r="A5225" t="s">
        <v>3587</v>
      </c>
      <c r="B5225" t="s">
        <v>3630</v>
      </c>
      <c r="C5225" t="s">
        <v>3922</v>
      </c>
      <c r="D5225" s="1" t="s">
        <v>3923</v>
      </c>
      <c r="E5225" t="s">
        <v>14</v>
      </c>
      <c r="F5225">
        <v>55.0197</v>
      </c>
      <c r="G5225">
        <v>-1.8816999999999999</v>
      </c>
      <c r="H5225">
        <v>0</v>
      </c>
      <c r="I5225">
        <v>146</v>
      </c>
      <c r="J5225" t="str">
        <f>HYPERLINK("https://climate.onebuilding.org/WMO_Region_6_Europe/GBR_United_Kingdom/ENG_England/GBR_ENG_Albemarle-Ouston.AF.032380_TMYx.zip")</f>
        <v>https://climate.onebuilding.org/WMO_Region_6_Europe/GBR_United_Kingdom/ENG_England/GBR_ENG_Albemarle-Ouston.AF.032380_TMYx.zip</v>
      </c>
    </row>
    <row r="5226" spans="1:10" x14ac:dyDescent="0.25">
      <c r="A5226" t="s">
        <v>3587</v>
      </c>
      <c r="B5226" t="s">
        <v>3630</v>
      </c>
      <c r="C5226" t="s">
        <v>3925</v>
      </c>
      <c r="D5226" s="1" t="s">
        <v>3926</v>
      </c>
      <c r="E5226" t="s">
        <v>3927</v>
      </c>
      <c r="F5226">
        <v>55.423999999999999</v>
      </c>
      <c r="G5226">
        <v>-1.603</v>
      </c>
      <c r="H5226">
        <v>0</v>
      </c>
      <c r="I5226">
        <v>21.3</v>
      </c>
      <c r="J5226" t="str">
        <f>HYPERLINK("https://climate.onebuilding.org/WMO_Region_6_Europe/GBR_United_Kingdom/ENG_England/GBR_ENG_Boulmer.032400_TMYx.2004-2018.zip")</f>
        <v>https://climate.onebuilding.org/WMO_Region_6_Europe/GBR_United_Kingdom/ENG_England/GBR_ENG_Boulmer.032400_TMYx.2004-2018.zip</v>
      </c>
    </row>
    <row r="5227" spans="1:10" x14ac:dyDescent="0.25">
      <c r="A5227" t="s">
        <v>3587</v>
      </c>
      <c r="B5227" t="s">
        <v>3630</v>
      </c>
      <c r="C5227" t="s">
        <v>3925</v>
      </c>
      <c r="D5227" s="1" t="s">
        <v>3926</v>
      </c>
      <c r="E5227" t="s">
        <v>14</v>
      </c>
      <c r="F5227">
        <v>55.423999999999999</v>
      </c>
      <c r="G5227">
        <v>-1.603</v>
      </c>
      <c r="H5227">
        <v>0</v>
      </c>
      <c r="I5227">
        <v>21.3</v>
      </c>
      <c r="J5227" t="str">
        <f>HYPERLINK("https://climate.onebuilding.org/WMO_Region_6_Europe/GBR_United_Kingdom/ENG_England/GBR_ENG_Boulmer.032400_TMYx.2007-2021.zip")</f>
        <v>https://climate.onebuilding.org/WMO_Region_6_Europe/GBR_United_Kingdom/ENG_England/GBR_ENG_Boulmer.032400_TMYx.2007-2021.zip</v>
      </c>
    </row>
    <row r="5228" spans="1:10" x14ac:dyDescent="0.25">
      <c r="A5228" t="s">
        <v>3587</v>
      </c>
      <c r="B5228" t="s">
        <v>3630</v>
      </c>
      <c r="C5228" t="s">
        <v>3925</v>
      </c>
      <c r="D5228" s="1" t="s">
        <v>3926</v>
      </c>
      <c r="E5228" t="s">
        <v>14</v>
      </c>
      <c r="F5228">
        <v>55.423999999999999</v>
      </c>
      <c r="G5228">
        <v>-1.603</v>
      </c>
      <c r="H5228">
        <v>0</v>
      </c>
      <c r="I5228">
        <v>21.3</v>
      </c>
      <c r="J5228" t="str">
        <f>HYPERLINK("https://climate.onebuilding.org/WMO_Region_6_Europe/GBR_United_Kingdom/ENG_England/GBR_ENG_Boulmer.032400_TMYx.2009-2023.zip")</f>
        <v>https://climate.onebuilding.org/WMO_Region_6_Europe/GBR_United_Kingdom/ENG_England/GBR_ENG_Boulmer.032400_TMYx.2009-2023.zip</v>
      </c>
    </row>
    <row r="5229" spans="1:10" x14ac:dyDescent="0.25">
      <c r="A5229" t="s">
        <v>3587</v>
      </c>
      <c r="B5229" t="s">
        <v>3630</v>
      </c>
      <c r="C5229" t="s">
        <v>3925</v>
      </c>
      <c r="D5229" s="1" t="s">
        <v>3926</v>
      </c>
      <c r="E5229" t="s">
        <v>14</v>
      </c>
      <c r="F5229">
        <v>55.423999999999999</v>
      </c>
      <c r="G5229">
        <v>-1.603</v>
      </c>
      <c r="H5229">
        <v>0</v>
      </c>
      <c r="I5229">
        <v>21.3</v>
      </c>
      <c r="J5229" t="str">
        <f>HYPERLINK("https://climate.onebuilding.org/WMO_Region_6_Europe/GBR_United_Kingdom/ENG_England/GBR_ENG_Boulmer.032400_TMYx.zip")</f>
        <v>https://climate.onebuilding.org/WMO_Region_6_Europe/GBR_United_Kingdom/ENG_England/GBR_ENG_Boulmer.032400_TMYx.zip</v>
      </c>
    </row>
    <row r="5230" spans="1:10" x14ac:dyDescent="0.25">
      <c r="A5230" t="s">
        <v>3587</v>
      </c>
      <c r="B5230" t="s">
        <v>3630</v>
      </c>
      <c r="C5230" t="s">
        <v>3928</v>
      </c>
      <c r="D5230" s="1" t="s">
        <v>3929</v>
      </c>
      <c r="E5230" t="s">
        <v>14</v>
      </c>
      <c r="F5230">
        <v>55.3</v>
      </c>
      <c r="G5230">
        <v>-1.8</v>
      </c>
      <c r="H5230">
        <v>0</v>
      </c>
      <c r="I5230">
        <v>158</v>
      </c>
      <c r="J5230" t="str">
        <f>HYPERLINK("https://climate.onebuilding.org/WMO_Region_6_Europe/GBR_United_Kingdom/ENG_England/GBR_ENG_Long.Framlington.032410_TMYx.zip")</f>
        <v>https://climate.onebuilding.org/WMO_Region_6_Europe/GBR_United_Kingdom/ENG_England/GBR_ENG_Long.Framlington.032410_TMYx.zip</v>
      </c>
    </row>
    <row r="5231" spans="1:10" x14ac:dyDescent="0.25">
      <c r="A5231" t="s">
        <v>3587</v>
      </c>
      <c r="B5231" t="s">
        <v>3630</v>
      </c>
      <c r="C5231" t="s">
        <v>3930</v>
      </c>
      <c r="D5231" s="1" t="s">
        <v>3931</v>
      </c>
      <c r="E5231" t="s">
        <v>14</v>
      </c>
      <c r="F5231">
        <v>54.817</v>
      </c>
      <c r="G5231">
        <v>-1.7170000000000001</v>
      </c>
      <c r="H5231">
        <v>0</v>
      </c>
      <c r="I5231">
        <v>244</v>
      </c>
      <c r="J5231" t="str">
        <f>HYPERLINK("https://climate.onebuilding.org/WMO_Region_6_Europe/GBR_United_Kingdom/ENG_England/GBR_ENG_Burnhope.032420_TMYx.zip")</f>
        <v>https://climate.onebuilding.org/WMO_Region_6_Europe/GBR_United_Kingdom/ENG_England/GBR_ENG_Burnhope.032420_TMYx.zip</v>
      </c>
    </row>
    <row r="5232" spans="1:10" x14ac:dyDescent="0.25">
      <c r="A5232" t="s">
        <v>3587</v>
      </c>
      <c r="B5232" t="s">
        <v>3630</v>
      </c>
      <c r="C5232" t="s">
        <v>3932</v>
      </c>
      <c r="D5232" s="1" t="s">
        <v>3933</v>
      </c>
      <c r="E5232" t="s">
        <v>3934</v>
      </c>
      <c r="F5232">
        <v>55.037999999999997</v>
      </c>
      <c r="G5232">
        <v>-1.6919999999999999</v>
      </c>
      <c r="H5232">
        <v>0</v>
      </c>
      <c r="I5232">
        <v>81.099999999999994</v>
      </c>
      <c r="J5232" t="str">
        <f>HYPERLINK("https://climate.onebuilding.org/WMO_Region_6_Europe/GBR_United_Kingdom/ENG_England/GBR_ENG_Newcastle.Intl.AP.032433_TMYx.2004-2018.zip")</f>
        <v>https://climate.onebuilding.org/WMO_Region_6_Europe/GBR_United_Kingdom/ENG_England/GBR_ENG_Newcastle.Intl.AP.032433_TMYx.2004-2018.zip</v>
      </c>
    </row>
    <row r="5233" spans="1:10" x14ac:dyDescent="0.25">
      <c r="A5233" t="s">
        <v>3587</v>
      </c>
      <c r="B5233" t="s">
        <v>3630</v>
      </c>
      <c r="C5233" t="s">
        <v>3932</v>
      </c>
      <c r="D5233" s="1" t="s">
        <v>3933</v>
      </c>
      <c r="E5233" t="s">
        <v>14</v>
      </c>
      <c r="F5233">
        <v>55.037999999999997</v>
      </c>
      <c r="G5233">
        <v>-1.6919999999999999</v>
      </c>
      <c r="H5233">
        <v>0</v>
      </c>
      <c r="I5233">
        <v>81.099999999999994</v>
      </c>
      <c r="J5233" t="str">
        <f>HYPERLINK("https://climate.onebuilding.org/WMO_Region_6_Europe/GBR_United_Kingdom/ENG_England/GBR_ENG_Newcastle.Intl.AP.032433_TMYx.2007-2021.zip")</f>
        <v>https://climate.onebuilding.org/WMO_Region_6_Europe/GBR_United_Kingdom/ENG_England/GBR_ENG_Newcastle.Intl.AP.032433_TMYx.2007-2021.zip</v>
      </c>
    </row>
    <row r="5234" spans="1:10" x14ac:dyDescent="0.25">
      <c r="A5234" t="s">
        <v>3587</v>
      </c>
      <c r="B5234" t="s">
        <v>3630</v>
      </c>
      <c r="C5234" t="s">
        <v>3932</v>
      </c>
      <c r="D5234" s="1" t="s">
        <v>3933</v>
      </c>
      <c r="E5234" t="s">
        <v>14</v>
      </c>
      <c r="F5234">
        <v>55.037999999999997</v>
      </c>
      <c r="G5234">
        <v>-1.6919999999999999</v>
      </c>
      <c r="H5234">
        <v>0</v>
      </c>
      <c r="I5234">
        <v>81.099999999999994</v>
      </c>
      <c r="J5234" t="str">
        <f>HYPERLINK("https://climate.onebuilding.org/WMO_Region_6_Europe/GBR_United_Kingdom/ENG_England/GBR_ENG_Newcastle.Intl.AP.032433_TMYx.2009-2023.zip")</f>
        <v>https://climate.onebuilding.org/WMO_Region_6_Europe/GBR_United_Kingdom/ENG_England/GBR_ENG_Newcastle.Intl.AP.032433_TMYx.2009-2023.zip</v>
      </c>
    </row>
    <row r="5235" spans="1:10" x14ac:dyDescent="0.25">
      <c r="A5235" t="s">
        <v>3587</v>
      </c>
      <c r="B5235" t="s">
        <v>3630</v>
      </c>
      <c r="C5235" t="s">
        <v>3932</v>
      </c>
      <c r="D5235" s="1" t="s">
        <v>3933</v>
      </c>
      <c r="E5235" t="s">
        <v>14</v>
      </c>
      <c r="F5235">
        <v>55.037999999999997</v>
      </c>
      <c r="G5235">
        <v>-1.6919999999999999</v>
      </c>
      <c r="H5235">
        <v>0</v>
      </c>
      <c r="I5235">
        <v>81.099999999999994</v>
      </c>
      <c r="J5235" t="str">
        <f>HYPERLINK("https://climate.onebuilding.org/WMO_Region_6_Europe/GBR_United_Kingdom/ENG_England/GBR_ENG_Newcastle.Intl.AP.032433_TMYx.zip")</f>
        <v>https://climate.onebuilding.org/WMO_Region_6_Europe/GBR_United_Kingdom/ENG_England/GBR_ENG_Newcastle.Intl.AP.032433_TMYx.zip</v>
      </c>
    </row>
    <row r="5236" spans="1:10" x14ac:dyDescent="0.25">
      <c r="A5236" t="s">
        <v>3587</v>
      </c>
      <c r="B5236" t="s">
        <v>3630</v>
      </c>
      <c r="C5236" t="s">
        <v>3935</v>
      </c>
      <c r="D5236" s="1" t="s">
        <v>3936</v>
      </c>
      <c r="E5236" t="s">
        <v>14</v>
      </c>
      <c r="F5236">
        <v>54.982999999999997</v>
      </c>
      <c r="G5236">
        <v>-1.6</v>
      </c>
      <c r="H5236">
        <v>0</v>
      </c>
      <c r="I5236">
        <v>52</v>
      </c>
      <c r="J5236" t="str">
        <f>HYPERLINK("https://climate.onebuilding.org/WMO_Region_6_Europe/GBR_United_Kingdom/ENG_England/GBR_ENG_Newcastle.Wea.Centre.032460_TMYx.zip")</f>
        <v>https://climate.onebuilding.org/WMO_Region_6_Europe/GBR_United_Kingdom/ENG_England/GBR_ENG_Newcastle.Wea.Centre.032460_TMYx.zip</v>
      </c>
    </row>
    <row r="5237" spans="1:10" x14ac:dyDescent="0.25">
      <c r="A5237" t="s">
        <v>3587</v>
      </c>
      <c r="B5237" t="s">
        <v>3630</v>
      </c>
      <c r="C5237" t="s">
        <v>3937</v>
      </c>
      <c r="D5237" s="1" t="s">
        <v>3938</v>
      </c>
      <c r="E5237" t="s">
        <v>3939</v>
      </c>
      <c r="F5237">
        <v>54.292000000000002</v>
      </c>
      <c r="G5237">
        <v>-1.5349999999999999</v>
      </c>
      <c r="H5237">
        <v>0</v>
      </c>
      <c r="I5237">
        <v>40.200000000000003</v>
      </c>
      <c r="J5237" t="str">
        <f>HYPERLINK("https://climate.onebuilding.org/WMO_Region_6_Europe/GBR_United_Kingdom/ENG_England/GBR_ENG_RAF.Leeming.032570_TMYx.2004-2018.zip")</f>
        <v>https://climate.onebuilding.org/WMO_Region_6_Europe/GBR_United_Kingdom/ENG_England/GBR_ENG_RAF.Leeming.032570_TMYx.2004-2018.zip</v>
      </c>
    </row>
    <row r="5238" spans="1:10" x14ac:dyDescent="0.25">
      <c r="A5238" t="s">
        <v>3587</v>
      </c>
      <c r="B5238" t="s">
        <v>3630</v>
      </c>
      <c r="C5238" t="s">
        <v>3937</v>
      </c>
      <c r="D5238" s="1" t="s">
        <v>3938</v>
      </c>
      <c r="E5238" t="s">
        <v>14</v>
      </c>
      <c r="F5238">
        <v>54.292000000000002</v>
      </c>
      <c r="G5238">
        <v>-1.5349999999999999</v>
      </c>
      <c r="H5238">
        <v>0</v>
      </c>
      <c r="I5238">
        <v>40.200000000000003</v>
      </c>
      <c r="J5238" t="str">
        <f>HYPERLINK("https://climate.onebuilding.org/WMO_Region_6_Europe/GBR_United_Kingdom/ENG_England/GBR_ENG_RAF.Leeming.032570_TMYx.2007-2021.zip")</f>
        <v>https://climate.onebuilding.org/WMO_Region_6_Europe/GBR_United_Kingdom/ENG_England/GBR_ENG_RAF.Leeming.032570_TMYx.2007-2021.zip</v>
      </c>
    </row>
    <row r="5239" spans="1:10" x14ac:dyDescent="0.25">
      <c r="A5239" t="s">
        <v>3587</v>
      </c>
      <c r="B5239" t="s">
        <v>3630</v>
      </c>
      <c r="C5239" t="s">
        <v>3937</v>
      </c>
      <c r="D5239" s="1" t="s">
        <v>3938</v>
      </c>
      <c r="E5239" t="s">
        <v>14</v>
      </c>
      <c r="F5239">
        <v>54.292000000000002</v>
      </c>
      <c r="G5239">
        <v>-1.5349999999999999</v>
      </c>
      <c r="H5239">
        <v>0</v>
      </c>
      <c r="I5239">
        <v>40.200000000000003</v>
      </c>
      <c r="J5239" t="str">
        <f>HYPERLINK("https://climate.onebuilding.org/WMO_Region_6_Europe/GBR_United_Kingdom/ENG_England/GBR_ENG_RAF.Leeming.032570_TMYx.2009-2023.zip")</f>
        <v>https://climate.onebuilding.org/WMO_Region_6_Europe/GBR_United_Kingdom/ENG_England/GBR_ENG_RAF.Leeming.032570_TMYx.2009-2023.zip</v>
      </c>
    </row>
    <row r="5240" spans="1:10" x14ac:dyDescent="0.25">
      <c r="A5240" t="s">
        <v>3587</v>
      </c>
      <c r="B5240" t="s">
        <v>3630</v>
      </c>
      <c r="C5240" t="s">
        <v>3937</v>
      </c>
      <c r="D5240" s="1" t="s">
        <v>3938</v>
      </c>
      <c r="E5240" t="s">
        <v>14</v>
      </c>
      <c r="F5240">
        <v>54.292000000000002</v>
      </c>
      <c r="G5240">
        <v>-1.5349999999999999</v>
      </c>
      <c r="H5240">
        <v>0</v>
      </c>
      <c r="I5240">
        <v>40.200000000000003</v>
      </c>
      <c r="J5240" t="str">
        <f>HYPERLINK("https://climate.onebuilding.org/WMO_Region_6_Europe/GBR_United_Kingdom/ENG_England/GBR_ENG_RAF.Leeming.032570_TMYx.zip")</f>
        <v>https://climate.onebuilding.org/WMO_Region_6_Europe/GBR_United_Kingdom/ENG_England/GBR_ENG_RAF.Leeming.032570_TMYx.zip</v>
      </c>
    </row>
    <row r="5241" spans="1:10" x14ac:dyDescent="0.25">
      <c r="A5241" t="s">
        <v>3587</v>
      </c>
      <c r="B5241" t="s">
        <v>3630</v>
      </c>
      <c r="C5241" t="s">
        <v>3940</v>
      </c>
      <c r="D5241" s="1" t="s">
        <v>3941</v>
      </c>
      <c r="E5241" t="s">
        <v>3942</v>
      </c>
      <c r="F5241">
        <v>54.137</v>
      </c>
      <c r="G5241">
        <v>-1.42</v>
      </c>
      <c r="H5241">
        <v>0</v>
      </c>
      <c r="I5241">
        <v>35.700000000000003</v>
      </c>
      <c r="J5241" t="str">
        <f>HYPERLINK("https://climate.onebuilding.org/WMO_Region_6_Europe/GBR_United_Kingdom/ENG_England/GBR_ENG_RAF.Dishforth.032610_TMYx.2004-2018.zip")</f>
        <v>https://climate.onebuilding.org/WMO_Region_6_Europe/GBR_United_Kingdom/ENG_England/GBR_ENG_RAF.Dishforth.032610_TMYx.2004-2018.zip</v>
      </c>
    </row>
    <row r="5242" spans="1:10" x14ac:dyDescent="0.25">
      <c r="A5242" t="s">
        <v>3587</v>
      </c>
      <c r="B5242" t="s">
        <v>3630</v>
      </c>
      <c r="C5242" t="s">
        <v>3940</v>
      </c>
      <c r="D5242" s="1" t="s">
        <v>3941</v>
      </c>
      <c r="E5242" t="s">
        <v>14</v>
      </c>
      <c r="F5242">
        <v>54.137</v>
      </c>
      <c r="G5242">
        <v>-1.42</v>
      </c>
      <c r="H5242">
        <v>0</v>
      </c>
      <c r="I5242">
        <v>35.700000000000003</v>
      </c>
      <c r="J5242" t="str">
        <f>HYPERLINK("https://climate.onebuilding.org/WMO_Region_6_Europe/GBR_United_Kingdom/ENG_England/GBR_ENG_RAF.Dishforth.032610_TMYx.2007-2021.zip")</f>
        <v>https://climate.onebuilding.org/WMO_Region_6_Europe/GBR_United_Kingdom/ENG_England/GBR_ENG_RAF.Dishforth.032610_TMYx.2007-2021.zip</v>
      </c>
    </row>
    <row r="5243" spans="1:10" x14ac:dyDescent="0.25">
      <c r="A5243" t="s">
        <v>3587</v>
      </c>
      <c r="B5243" t="s">
        <v>3630</v>
      </c>
      <c r="C5243" t="s">
        <v>3940</v>
      </c>
      <c r="D5243" s="1" t="s">
        <v>3941</v>
      </c>
      <c r="E5243" t="s">
        <v>14</v>
      </c>
      <c r="F5243">
        <v>54.137</v>
      </c>
      <c r="G5243">
        <v>-1.42</v>
      </c>
      <c r="H5243">
        <v>0</v>
      </c>
      <c r="I5243">
        <v>35.700000000000003</v>
      </c>
      <c r="J5243" t="str">
        <f>HYPERLINK("https://climate.onebuilding.org/WMO_Region_6_Europe/GBR_United_Kingdom/ENG_England/GBR_ENG_RAF.Dishforth.032610_TMYx.2009-2023.zip")</f>
        <v>https://climate.onebuilding.org/WMO_Region_6_Europe/GBR_United_Kingdom/ENG_England/GBR_ENG_RAF.Dishforth.032610_TMYx.2009-2023.zip</v>
      </c>
    </row>
    <row r="5244" spans="1:10" x14ac:dyDescent="0.25">
      <c r="A5244" t="s">
        <v>3587</v>
      </c>
      <c r="B5244" t="s">
        <v>3630</v>
      </c>
      <c r="C5244" t="s">
        <v>3940</v>
      </c>
      <c r="D5244" s="1" t="s">
        <v>3941</v>
      </c>
      <c r="E5244" t="s">
        <v>14</v>
      </c>
      <c r="F5244">
        <v>54.137</v>
      </c>
      <c r="G5244">
        <v>-1.42</v>
      </c>
      <c r="H5244">
        <v>0</v>
      </c>
      <c r="I5244">
        <v>35.700000000000003</v>
      </c>
      <c r="J5244" t="str">
        <f>HYPERLINK("https://climate.onebuilding.org/WMO_Region_6_Europe/GBR_United_Kingdom/ENG_England/GBR_ENG_RAF.Dishforth.032610_TMYx.zip")</f>
        <v>https://climate.onebuilding.org/WMO_Region_6_Europe/GBR_United_Kingdom/ENG_England/GBR_ENG_RAF.Dishforth.032610_TMYx.zip</v>
      </c>
    </row>
    <row r="5245" spans="1:10" x14ac:dyDescent="0.25">
      <c r="A5245" t="s">
        <v>3587</v>
      </c>
      <c r="B5245" t="s">
        <v>3630</v>
      </c>
      <c r="C5245" t="s">
        <v>3943</v>
      </c>
      <c r="D5245" s="1" t="s">
        <v>3944</v>
      </c>
      <c r="E5245" t="s">
        <v>14</v>
      </c>
      <c r="F5245">
        <v>55.017000000000003</v>
      </c>
      <c r="G5245">
        <v>-1.417</v>
      </c>
      <c r="H5245">
        <v>0</v>
      </c>
      <c r="I5245">
        <v>30</v>
      </c>
      <c r="J5245" t="str">
        <f>HYPERLINK("https://climate.onebuilding.org/WMO_Region_6_Europe/GBR_United_Kingdom/ENG_England/GBR_ENG_Tynemouth.032620_TMYx.zip")</f>
        <v>https://climate.onebuilding.org/WMO_Region_6_Europe/GBR_United_Kingdom/ENG_England/GBR_ENG_Tynemouth.032620_TMYx.zip</v>
      </c>
    </row>
    <row r="5246" spans="1:10" x14ac:dyDescent="0.25">
      <c r="A5246" t="s">
        <v>3587</v>
      </c>
      <c r="B5246" t="s">
        <v>3630</v>
      </c>
      <c r="C5246" t="s">
        <v>3945</v>
      </c>
      <c r="D5246" s="1" t="s">
        <v>3946</v>
      </c>
      <c r="E5246" t="s">
        <v>3947</v>
      </c>
      <c r="F5246">
        <v>54.509</v>
      </c>
      <c r="G5246">
        <v>-1.429</v>
      </c>
      <c r="H5246">
        <v>0</v>
      </c>
      <c r="I5246">
        <v>36.6</v>
      </c>
      <c r="J5246" t="str">
        <f>HYPERLINK("https://climate.onebuilding.org/WMO_Region_6_Europe/GBR_United_Kingdom/ENG_England/GBR_ENG_Durham.Tees.Valley.Intl.AP.032635_TMYx.2004-2018.zip")</f>
        <v>https://climate.onebuilding.org/WMO_Region_6_Europe/GBR_United_Kingdom/ENG_England/GBR_ENG_Durham.Tees.Valley.Intl.AP.032635_TMYx.2004-2018.zip</v>
      </c>
    </row>
    <row r="5247" spans="1:10" x14ac:dyDescent="0.25">
      <c r="A5247" t="s">
        <v>3587</v>
      </c>
      <c r="B5247" t="s">
        <v>3630</v>
      </c>
      <c r="C5247" t="s">
        <v>3945</v>
      </c>
      <c r="D5247" s="1" t="s">
        <v>3946</v>
      </c>
      <c r="E5247" t="s">
        <v>14</v>
      </c>
      <c r="F5247">
        <v>54.509</v>
      </c>
      <c r="G5247">
        <v>-1.429</v>
      </c>
      <c r="H5247">
        <v>0</v>
      </c>
      <c r="I5247">
        <v>36.6</v>
      </c>
      <c r="J5247" t="str">
        <f>HYPERLINK("https://climate.onebuilding.org/WMO_Region_6_Europe/GBR_United_Kingdom/ENG_England/GBR_ENG_Durham.Tees.Valley.Intl.AP.032635_TMYx.2007-2021.zip")</f>
        <v>https://climate.onebuilding.org/WMO_Region_6_Europe/GBR_United_Kingdom/ENG_England/GBR_ENG_Durham.Tees.Valley.Intl.AP.032635_TMYx.2007-2021.zip</v>
      </c>
    </row>
    <row r="5248" spans="1:10" x14ac:dyDescent="0.25">
      <c r="A5248" t="s">
        <v>3587</v>
      </c>
      <c r="B5248" t="s">
        <v>3630</v>
      </c>
      <c r="C5248" t="s">
        <v>3945</v>
      </c>
      <c r="D5248" s="1" t="s">
        <v>3946</v>
      </c>
      <c r="E5248" t="s">
        <v>14</v>
      </c>
      <c r="F5248">
        <v>54.509</v>
      </c>
      <c r="G5248">
        <v>-1.429</v>
      </c>
      <c r="H5248">
        <v>0</v>
      </c>
      <c r="I5248">
        <v>36.6</v>
      </c>
      <c r="J5248" t="str">
        <f>HYPERLINK("https://climate.onebuilding.org/WMO_Region_6_Europe/GBR_United_Kingdom/ENG_England/GBR_ENG_Durham.Tees.Valley.Intl.AP.032635_TMYx.2009-2023.zip")</f>
        <v>https://climate.onebuilding.org/WMO_Region_6_Europe/GBR_United_Kingdom/ENG_England/GBR_ENG_Durham.Tees.Valley.Intl.AP.032635_TMYx.2009-2023.zip</v>
      </c>
    </row>
    <row r="5249" spans="1:10" x14ac:dyDescent="0.25">
      <c r="A5249" t="s">
        <v>3587</v>
      </c>
      <c r="B5249" t="s">
        <v>3630</v>
      </c>
      <c r="C5249" t="s">
        <v>3945</v>
      </c>
      <c r="D5249" s="1" t="s">
        <v>3946</v>
      </c>
      <c r="E5249" t="s">
        <v>14</v>
      </c>
      <c r="F5249">
        <v>54.509</v>
      </c>
      <c r="G5249">
        <v>-1.429</v>
      </c>
      <c r="H5249">
        <v>0</v>
      </c>
      <c r="I5249">
        <v>36.6</v>
      </c>
      <c r="J5249" t="str">
        <f>HYPERLINK("https://climate.onebuilding.org/WMO_Region_6_Europe/GBR_United_Kingdom/ENG_England/GBR_ENG_Durham.Tees.Valley.Intl.AP.032635_TMYx.zip")</f>
        <v>https://climate.onebuilding.org/WMO_Region_6_Europe/GBR_United_Kingdom/ENG_England/GBR_ENG_Durham.Tees.Valley.Intl.AP.032635_TMYx.zip</v>
      </c>
    </row>
    <row r="5250" spans="1:10" x14ac:dyDescent="0.25">
      <c r="A5250" t="s">
        <v>3587</v>
      </c>
      <c r="B5250" t="s">
        <v>3630</v>
      </c>
      <c r="C5250" t="s">
        <v>3948</v>
      </c>
      <c r="D5250" s="1" t="s">
        <v>3949</v>
      </c>
      <c r="E5250" t="s">
        <v>3950</v>
      </c>
      <c r="F5250">
        <v>54.2</v>
      </c>
      <c r="G5250">
        <v>-1.383</v>
      </c>
      <c r="H5250">
        <v>0</v>
      </c>
      <c r="I5250">
        <v>28</v>
      </c>
      <c r="J5250" t="str">
        <f>HYPERLINK("https://climate.onebuilding.org/WMO_Region_6_Europe/GBR_United_Kingdom/ENG_England/GBR_ENG_Topcliffe.032650_TMYx.2004-2018.zip")</f>
        <v>https://climate.onebuilding.org/WMO_Region_6_Europe/GBR_United_Kingdom/ENG_England/GBR_ENG_Topcliffe.032650_TMYx.2004-2018.zip</v>
      </c>
    </row>
    <row r="5251" spans="1:10" x14ac:dyDescent="0.25">
      <c r="A5251" t="s">
        <v>3587</v>
      </c>
      <c r="B5251" t="s">
        <v>3630</v>
      </c>
      <c r="C5251" t="s">
        <v>3948</v>
      </c>
      <c r="D5251" s="1" t="s">
        <v>3949</v>
      </c>
      <c r="E5251" t="s">
        <v>14</v>
      </c>
      <c r="F5251">
        <v>54.2</v>
      </c>
      <c r="G5251">
        <v>-1.383</v>
      </c>
      <c r="H5251">
        <v>0</v>
      </c>
      <c r="I5251">
        <v>28</v>
      </c>
      <c r="J5251" t="str">
        <f>HYPERLINK("https://climate.onebuilding.org/WMO_Region_6_Europe/GBR_United_Kingdom/ENG_England/GBR_ENG_Topcliffe.032650_TMYx.2007-2021.zip")</f>
        <v>https://climate.onebuilding.org/WMO_Region_6_Europe/GBR_United_Kingdom/ENG_England/GBR_ENG_Topcliffe.032650_TMYx.2007-2021.zip</v>
      </c>
    </row>
    <row r="5252" spans="1:10" x14ac:dyDescent="0.25">
      <c r="A5252" t="s">
        <v>3587</v>
      </c>
      <c r="B5252" t="s">
        <v>3630</v>
      </c>
      <c r="C5252" t="s">
        <v>3948</v>
      </c>
      <c r="D5252" s="1" t="s">
        <v>3949</v>
      </c>
      <c r="E5252" t="s">
        <v>14</v>
      </c>
      <c r="F5252">
        <v>54.2</v>
      </c>
      <c r="G5252">
        <v>-1.383</v>
      </c>
      <c r="H5252">
        <v>0</v>
      </c>
      <c r="I5252">
        <v>28</v>
      </c>
      <c r="J5252" t="str">
        <f>HYPERLINK("https://climate.onebuilding.org/WMO_Region_6_Europe/GBR_United_Kingdom/ENG_England/GBR_ENG_Topcliffe.032650_TMYx.2009-2023.zip")</f>
        <v>https://climate.onebuilding.org/WMO_Region_6_Europe/GBR_United_Kingdom/ENG_England/GBR_ENG_Topcliffe.032650_TMYx.2009-2023.zip</v>
      </c>
    </row>
    <row r="5253" spans="1:10" x14ac:dyDescent="0.25">
      <c r="A5253" t="s">
        <v>3587</v>
      </c>
      <c r="B5253" t="s">
        <v>3630</v>
      </c>
      <c r="C5253" t="s">
        <v>3948</v>
      </c>
      <c r="D5253" s="1" t="s">
        <v>3949</v>
      </c>
      <c r="E5253" t="s">
        <v>14</v>
      </c>
      <c r="F5253">
        <v>54.2</v>
      </c>
      <c r="G5253">
        <v>-1.383</v>
      </c>
      <c r="H5253">
        <v>0</v>
      </c>
      <c r="I5253">
        <v>28</v>
      </c>
      <c r="J5253" t="str">
        <f>HYPERLINK("https://climate.onebuilding.org/WMO_Region_6_Europe/GBR_United_Kingdom/ENG_England/GBR_ENG_Topcliffe.032650_TMYx.zip")</f>
        <v>https://climate.onebuilding.org/WMO_Region_6_Europe/GBR_United_Kingdom/ENG_England/GBR_ENG_Topcliffe.032650_TMYx.zip</v>
      </c>
    </row>
    <row r="5254" spans="1:10" x14ac:dyDescent="0.25">
      <c r="A5254" t="s">
        <v>3587</v>
      </c>
      <c r="B5254" t="s">
        <v>3630</v>
      </c>
      <c r="C5254" t="s">
        <v>3951</v>
      </c>
      <c r="D5254" s="1" t="s">
        <v>3952</v>
      </c>
      <c r="E5254" t="s">
        <v>3953</v>
      </c>
      <c r="F5254">
        <v>54.048999999999999</v>
      </c>
      <c r="G5254">
        <v>-1.2529999999999999</v>
      </c>
      <c r="H5254">
        <v>0</v>
      </c>
      <c r="I5254">
        <v>16.2</v>
      </c>
      <c r="J5254" t="str">
        <f>HYPERLINK("https://climate.onebuilding.org/WMO_Region_6_Europe/GBR_United_Kingdom/ENG_England/GBR_ENG_RAF.Linton-on-Ouse.032660_TMYx.2004-2018.zip")</f>
        <v>https://climate.onebuilding.org/WMO_Region_6_Europe/GBR_United_Kingdom/ENG_England/GBR_ENG_RAF.Linton-on-Ouse.032660_TMYx.2004-2018.zip</v>
      </c>
    </row>
    <row r="5255" spans="1:10" x14ac:dyDescent="0.25">
      <c r="A5255" t="s">
        <v>3587</v>
      </c>
      <c r="B5255" t="s">
        <v>3630</v>
      </c>
      <c r="C5255" t="s">
        <v>3951</v>
      </c>
      <c r="D5255" s="1" t="s">
        <v>3952</v>
      </c>
      <c r="E5255" t="s">
        <v>14</v>
      </c>
      <c r="F5255">
        <v>54.048999999999999</v>
      </c>
      <c r="G5255">
        <v>-1.2529999999999999</v>
      </c>
      <c r="H5255">
        <v>0</v>
      </c>
      <c r="I5255">
        <v>16.2</v>
      </c>
      <c r="J5255" t="str">
        <f>HYPERLINK("https://climate.onebuilding.org/WMO_Region_6_Europe/GBR_United_Kingdom/ENG_England/GBR_ENG_RAF.Linton-on-Ouse.032660_TMYx.2007-2021.zip")</f>
        <v>https://climate.onebuilding.org/WMO_Region_6_Europe/GBR_United_Kingdom/ENG_England/GBR_ENG_RAF.Linton-on-Ouse.032660_TMYx.2007-2021.zip</v>
      </c>
    </row>
    <row r="5256" spans="1:10" x14ac:dyDescent="0.25">
      <c r="A5256" t="s">
        <v>3587</v>
      </c>
      <c r="B5256" t="s">
        <v>3630</v>
      </c>
      <c r="C5256" t="s">
        <v>3951</v>
      </c>
      <c r="D5256" s="1" t="s">
        <v>3952</v>
      </c>
      <c r="E5256" t="s">
        <v>14</v>
      </c>
      <c r="F5256">
        <v>54.048999999999999</v>
      </c>
      <c r="G5256">
        <v>-1.2529999999999999</v>
      </c>
      <c r="H5256">
        <v>0</v>
      </c>
      <c r="I5256">
        <v>16.2</v>
      </c>
      <c r="J5256" t="str">
        <f>HYPERLINK("https://climate.onebuilding.org/WMO_Region_6_Europe/GBR_United_Kingdom/ENG_England/GBR_ENG_RAF.Linton-on-Ouse.032660_TMYx.2009-2023.zip")</f>
        <v>https://climate.onebuilding.org/WMO_Region_6_Europe/GBR_United_Kingdom/ENG_England/GBR_ENG_RAF.Linton-on-Ouse.032660_TMYx.2009-2023.zip</v>
      </c>
    </row>
    <row r="5257" spans="1:10" x14ac:dyDescent="0.25">
      <c r="A5257" t="s">
        <v>3587</v>
      </c>
      <c r="B5257" t="s">
        <v>3630</v>
      </c>
      <c r="C5257" t="s">
        <v>3951</v>
      </c>
      <c r="D5257" s="1" t="s">
        <v>3952</v>
      </c>
      <c r="E5257" t="s">
        <v>14</v>
      </c>
      <c r="F5257">
        <v>54.048999999999999</v>
      </c>
      <c r="G5257">
        <v>-1.2529999999999999</v>
      </c>
      <c r="H5257">
        <v>0</v>
      </c>
      <c r="I5257">
        <v>16.2</v>
      </c>
      <c r="J5257" t="str">
        <f>HYPERLINK("https://climate.onebuilding.org/WMO_Region_6_Europe/GBR_United_Kingdom/ENG_England/GBR_ENG_RAF.Linton-on-Ouse.032660_TMYx.zip")</f>
        <v>https://climate.onebuilding.org/WMO_Region_6_Europe/GBR_United_Kingdom/ENG_England/GBR_ENG_RAF.Linton-on-Ouse.032660_TMYx.zip</v>
      </c>
    </row>
    <row r="5258" spans="1:10" x14ac:dyDescent="0.25">
      <c r="A5258" t="s">
        <v>3587</v>
      </c>
      <c r="B5258" t="s">
        <v>3630</v>
      </c>
      <c r="C5258" t="s">
        <v>3954</v>
      </c>
      <c r="D5258" s="1" t="s">
        <v>3955</v>
      </c>
      <c r="E5258" t="s">
        <v>14</v>
      </c>
      <c r="F5258">
        <v>54.65</v>
      </c>
      <c r="G5258">
        <v>-1.133</v>
      </c>
      <c r="H5258">
        <v>0</v>
      </c>
      <c r="I5258">
        <v>12</v>
      </c>
      <c r="J5258" t="str">
        <f>HYPERLINK("https://climate.onebuilding.org/WMO_Region_6_Europe/GBR_United_Kingdom/ENG_England/GBR_ENG_Teesmouth.032690_TMYx.zip")</f>
        <v>https://climate.onebuilding.org/WMO_Region_6_Europe/GBR_United_Kingdom/ENG_England/GBR_ENG_Teesmouth.032690_TMYx.zip</v>
      </c>
    </row>
    <row r="5259" spans="1:10" x14ac:dyDescent="0.25">
      <c r="A5259" t="s">
        <v>3587</v>
      </c>
      <c r="B5259" t="s">
        <v>3630</v>
      </c>
      <c r="C5259" t="s">
        <v>3956</v>
      </c>
      <c r="D5259" s="1" t="s">
        <v>3957</v>
      </c>
      <c r="E5259" t="s">
        <v>14</v>
      </c>
      <c r="F5259">
        <v>54.62</v>
      </c>
      <c r="G5259">
        <v>-1.1299999999999999</v>
      </c>
      <c r="H5259">
        <v>0</v>
      </c>
      <c r="I5259">
        <v>12</v>
      </c>
      <c r="J5259" t="str">
        <f>HYPERLINK("https://climate.onebuilding.org/WMO_Region_6_Europe/GBR_United_Kingdom/ENG_England/GBR_ENG_Teesmouth.Aux.032710_TMYx.zip")</f>
        <v>https://climate.onebuilding.org/WMO_Region_6_Europe/GBR_United_Kingdom/ENG_England/GBR_ENG_Teesmouth.Aux.032710_TMYx.zip</v>
      </c>
    </row>
    <row r="5260" spans="1:10" x14ac:dyDescent="0.25">
      <c r="A5260" t="s">
        <v>3587</v>
      </c>
      <c r="B5260" t="s">
        <v>3630</v>
      </c>
      <c r="C5260" t="s">
        <v>3958</v>
      </c>
      <c r="D5260" s="1" t="s">
        <v>3959</v>
      </c>
      <c r="E5260" t="s">
        <v>3960</v>
      </c>
      <c r="F5260">
        <v>54.567</v>
      </c>
      <c r="G5260">
        <v>-0.86699999999999999</v>
      </c>
      <c r="H5260">
        <v>0</v>
      </c>
      <c r="I5260">
        <v>159</v>
      </c>
      <c r="J5260" t="str">
        <f>HYPERLINK("https://climate.onebuilding.org/WMO_Region_6_Europe/GBR_United_Kingdom/ENG_England/GBR_ENG_Loftus.032750_TMYx.2004-2018.zip")</f>
        <v>https://climate.onebuilding.org/WMO_Region_6_Europe/GBR_United_Kingdom/ENG_England/GBR_ENG_Loftus.032750_TMYx.2004-2018.zip</v>
      </c>
    </row>
    <row r="5261" spans="1:10" x14ac:dyDescent="0.25">
      <c r="A5261" t="s">
        <v>3587</v>
      </c>
      <c r="B5261" t="s">
        <v>3630</v>
      </c>
      <c r="C5261" t="s">
        <v>3958</v>
      </c>
      <c r="D5261" s="1" t="s">
        <v>3959</v>
      </c>
      <c r="E5261" t="s">
        <v>14</v>
      </c>
      <c r="F5261">
        <v>54.562800000000003</v>
      </c>
      <c r="G5261">
        <v>-0.86360000000000003</v>
      </c>
      <c r="H5261">
        <v>0</v>
      </c>
      <c r="I5261">
        <v>159</v>
      </c>
      <c r="J5261" t="str">
        <f>HYPERLINK("https://climate.onebuilding.org/WMO_Region_6_Europe/GBR_United_Kingdom/ENG_England/GBR_ENG_Loftus.032750_TMYx.2007-2021.zip")</f>
        <v>https://climate.onebuilding.org/WMO_Region_6_Europe/GBR_United_Kingdom/ENG_England/GBR_ENG_Loftus.032750_TMYx.2007-2021.zip</v>
      </c>
    </row>
    <row r="5262" spans="1:10" x14ac:dyDescent="0.25">
      <c r="A5262" t="s">
        <v>3587</v>
      </c>
      <c r="B5262" t="s">
        <v>3630</v>
      </c>
      <c r="C5262" t="s">
        <v>3958</v>
      </c>
      <c r="D5262" s="1" t="s">
        <v>3959</v>
      </c>
      <c r="E5262" t="s">
        <v>14</v>
      </c>
      <c r="F5262">
        <v>54.562800000000003</v>
      </c>
      <c r="G5262">
        <v>-0.86360000000000003</v>
      </c>
      <c r="H5262">
        <v>0</v>
      </c>
      <c r="I5262">
        <v>159</v>
      </c>
      <c r="J5262" t="str">
        <f>HYPERLINK("https://climate.onebuilding.org/WMO_Region_6_Europe/GBR_United_Kingdom/ENG_England/GBR_ENG_Loftus.032750_TMYx.2009-2023.zip")</f>
        <v>https://climate.onebuilding.org/WMO_Region_6_Europe/GBR_United_Kingdom/ENG_England/GBR_ENG_Loftus.032750_TMYx.2009-2023.zip</v>
      </c>
    </row>
    <row r="5263" spans="1:10" x14ac:dyDescent="0.25">
      <c r="A5263" t="s">
        <v>3587</v>
      </c>
      <c r="B5263" t="s">
        <v>3630</v>
      </c>
      <c r="C5263" t="s">
        <v>3958</v>
      </c>
      <c r="D5263" s="1" t="s">
        <v>3959</v>
      </c>
      <c r="E5263" t="s">
        <v>14</v>
      </c>
      <c r="F5263">
        <v>54.562800000000003</v>
      </c>
      <c r="G5263">
        <v>-0.86360000000000003</v>
      </c>
      <c r="H5263">
        <v>0</v>
      </c>
      <c r="I5263">
        <v>159</v>
      </c>
      <c r="J5263" t="str">
        <f>HYPERLINK("https://climate.onebuilding.org/WMO_Region_6_Europe/GBR_United_Kingdom/ENG_England/GBR_ENG_Loftus.032750_TMYx.zip")</f>
        <v>https://climate.onebuilding.org/WMO_Region_6_Europe/GBR_United_Kingdom/ENG_England/GBR_ENG_Loftus.032750_TMYx.zip</v>
      </c>
    </row>
    <row r="5264" spans="1:10" x14ac:dyDescent="0.25">
      <c r="A5264" t="s">
        <v>3587</v>
      </c>
      <c r="B5264" t="s">
        <v>3630</v>
      </c>
      <c r="C5264" t="s">
        <v>3961</v>
      </c>
      <c r="D5264" s="1" t="s">
        <v>3962</v>
      </c>
      <c r="E5264" t="s">
        <v>3963</v>
      </c>
      <c r="F5264">
        <v>54.366999999999997</v>
      </c>
      <c r="G5264">
        <v>-0.66700000000000004</v>
      </c>
      <c r="H5264">
        <v>0</v>
      </c>
      <c r="I5264">
        <v>262</v>
      </c>
      <c r="J5264" t="str">
        <f>HYPERLINK("https://climate.onebuilding.org/WMO_Region_6_Europe/GBR_United_Kingdom/ENG_England/GBR_ENG_Fylingdales.032810_TMYx.2004-2018.zip")</f>
        <v>https://climate.onebuilding.org/WMO_Region_6_Europe/GBR_United_Kingdom/ENG_England/GBR_ENG_Fylingdales.032810_TMYx.2004-2018.zip</v>
      </c>
    </row>
    <row r="5265" spans="1:10" x14ac:dyDescent="0.25">
      <c r="A5265" t="s">
        <v>3587</v>
      </c>
      <c r="B5265" t="s">
        <v>3630</v>
      </c>
      <c r="C5265" t="s">
        <v>3961</v>
      </c>
      <c r="D5265" s="1" t="s">
        <v>3962</v>
      </c>
      <c r="E5265" t="s">
        <v>14</v>
      </c>
      <c r="F5265">
        <v>54.359000000000002</v>
      </c>
      <c r="G5265">
        <v>-0.67200000000000004</v>
      </c>
      <c r="H5265">
        <v>0</v>
      </c>
      <c r="I5265">
        <v>262</v>
      </c>
      <c r="J5265" t="str">
        <f>HYPERLINK("https://climate.onebuilding.org/WMO_Region_6_Europe/GBR_United_Kingdom/ENG_England/GBR_ENG_Fylingdales.032810_TMYx.2007-2021.zip")</f>
        <v>https://climate.onebuilding.org/WMO_Region_6_Europe/GBR_United_Kingdom/ENG_England/GBR_ENG_Fylingdales.032810_TMYx.2007-2021.zip</v>
      </c>
    </row>
    <row r="5266" spans="1:10" x14ac:dyDescent="0.25">
      <c r="A5266" t="s">
        <v>3587</v>
      </c>
      <c r="B5266" t="s">
        <v>3630</v>
      </c>
      <c r="C5266" t="s">
        <v>3961</v>
      </c>
      <c r="D5266" s="1" t="s">
        <v>3962</v>
      </c>
      <c r="E5266" t="s">
        <v>14</v>
      </c>
      <c r="F5266">
        <v>54.359000000000002</v>
      </c>
      <c r="G5266">
        <v>-0.67200000000000004</v>
      </c>
      <c r="H5266">
        <v>0</v>
      </c>
      <c r="I5266">
        <v>262</v>
      </c>
      <c r="J5266" t="str">
        <f>HYPERLINK("https://climate.onebuilding.org/WMO_Region_6_Europe/GBR_United_Kingdom/ENG_England/GBR_ENG_Fylingdales.032810_TMYx.2009-2023.zip")</f>
        <v>https://climate.onebuilding.org/WMO_Region_6_Europe/GBR_United_Kingdom/ENG_England/GBR_ENG_Fylingdales.032810_TMYx.2009-2023.zip</v>
      </c>
    </row>
    <row r="5267" spans="1:10" x14ac:dyDescent="0.25">
      <c r="A5267" t="s">
        <v>3587</v>
      </c>
      <c r="B5267" t="s">
        <v>3630</v>
      </c>
      <c r="C5267" t="s">
        <v>3961</v>
      </c>
      <c r="D5267" s="1" t="s">
        <v>3962</v>
      </c>
      <c r="E5267" t="s">
        <v>14</v>
      </c>
      <c r="F5267">
        <v>54.359000000000002</v>
      </c>
      <c r="G5267">
        <v>-0.67200000000000004</v>
      </c>
      <c r="H5267">
        <v>0</v>
      </c>
      <c r="I5267">
        <v>262</v>
      </c>
      <c r="J5267" t="str">
        <f>HYPERLINK("https://climate.onebuilding.org/WMO_Region_6_Europe/GBR_United_Kingdom/ENG_England/GBR_ENG_Fylingdales.032810_TMYx.zip")</f>
        <v>https://climate.onebuilding.org/WMO_Region_6_Europe/GBR_United_Kingdom/ENG_England/GBR_ENG_Fylingdales.032810_TMYx.zip</v>
      </c>
    </row>
    <row r="5268" spans="1:10" x14ac:dyDescent="0.25">
      <c r="A5268" t="s">
        <v>3587</v>
      </c>
      <c r="B5268" t="s">
        <v>3630</v>
      </c>
      <c r="C5268" t="s">
        <v>3964</v>
      </c>
      <c r="D5268" s="1" t="s">
        <v>3965</v>
      </c>
      <c r="E5268" t="s">
        <v>14</v>
      </c>
      <c r="F5268">
        <v>54.482999999999997</v>
      </c>
      <c r="G5268">
        <v>-0.6</v>
      </c>
      <c r="H5268">
        <v>0</v>
      </c>
      <c r="I5268">
        <v>60</v>
      </c>
      <c r="J5268" t="str">
        <f>HYPERLINK("https://climate.onebuilding.org/WMO_Region_6_Europe/GBR_United_Kingdom/ENG_England/GBR_ENG_Whitby.032820_TMYx.zip")</f>
        <v>https://climate.onebuilding.org/WMO_Region_6_Europe/GBR_United_Kingdom/ENG_England/GBR_ENG_Whitby.032820_TMYx.zip</v>
      </c>
    </row>
    <row r="5269" spans="1:10" x14ac:dyDescent="0.25">
      <c r="A5269" t="s">
        <v>3587</v>
      </c>
      <c r="B5269" t="s">
        <v>3630</v>
      </c>
      <c r="C5269" t="s">
        <v>3966</v>
      </c>
      <c r="D5269" s="1" t="s">
        <v>3967</v>
      </c>
      <c r="E5269" t="s">
        <v>14</v>
      </c>
      <c r="F5269">
        <v>54.116999999999997</v>
      </c>
      <c r="G5269" s="2">
        <v>-8.3000000000000004E-2</v>
      </c>
      <c r="H5269">
        <v>0</v>
      </c>
      <c r="I5269">
        <v>46</v>
      </c>
      <c r="J5269" t="str">
        <f>HYPERLINK("https://climate.onebuilding.org/WMO_Region_6_Europe/GBR_United_Kingdom/ENG_England/GBR_ENG_Flamborough.Head.032910_TMYx.zip")</f>
        <v>https://climate.onebuilding.org/WMO_Region_6_Europe/GBR_United_Kingdom/ENG_England/GBR_ENG_Flamborough.Head.032910_TMYx.zip</v>
      </c>
    </row>
    <row r="5270" spans="1:10" x14ac:dyDescent="0.25">
      <c r="A5270" t="s">
        <v>3587</v>
      </c>
      <c r="B5270" t="s">
        <v>3630</v>
      </c>
      <c r="C5270" t="s">
        <v>3968</v>
      </c>
      <c r="D5270" s="1" t="s">
        <v>3969</v>
      </c>
      <c r="E5270" t="s">
        <v>3970</v>
      </c>
      <c r="F5270">
        <v>54.1</v>
      </c>
      <c r="G5270">
        <v>-0.16700000000000001</v>
      </c>
      <c r="H5270">
        <v>0</v>
      </c>
      <c r="I5270">
        <v>19</v>
      </c>
      <c r="J5270" t="str">
        <f>HYPERLINK("https://climate.onebuilding.org/WMO_Region_6_Europe/GBR_United_Kingdom/ENG_England/GBR_ENG_Bridlington.MRSC.032920_TMYx.2004-2018.zip")</f>
        <v>https://climate.onebuilding.org/WMO_Region_6_Europe/GBR_United_Kingdom/ENG_England/GBR_ENG_Bridlington.MRSC.032920_TMYx.2004-2018.zip</v>
      </c>
    </row>
    <row r="5271" spans="1:10" x14ac:dyDescent="0.25">
      <c r="A5271" t="s">
        <v>3587</v>
      </c>
      <c r="B5271" t="s">
        <v>3630</v>
      </c>
      <c r="C5271" t="s">
        <v>3968</v>
      </c>
      <c r="D5271" s="1" t="s">
        <v>3969</v>
      </c>
      <c r="E5271" t="s">
        <v>14</v>
      </c>
      <c r="F5271">
        <v>54.093899999999998</v>
      </c>
      <c r="G5271">
        <v>-0.17580000000000001</v>
      </c>
      <c r="H5271">
        <v>0</v>
      </c>
      <c r="I5271">
        <v>19</v>
      </c>
      <c r="J5271" t="str">
        <f>HYPERLINK("https://climate.onebuilding.org/WMO_Region_6_Europe/GBR_United_Kingdom/ENG_England/GBR_ENG_Bridlington.MRSC.032920_TMYx.2007-2021.zip")</f>
        <v>https://climate.onebuilding.org/WMO_Region_6_Europe/GBR_United_Kingdom/ENG_England/GBR_ENG_Bridlington.MRSC.032920_TMYx.2007-2021.zip</v>
      </c>
    </row>
    <row r="5272" spans="1:10" x14ac:dyDescent="0.25">
      <c r="A5272" t="s">
        <v>3587</v>
      </c>
      <c r="B5272" t="s">
        <v>3630</v>
      </c>
      <c r="C5272" t="s">
        <v>3968</v>
      </c>
      <c r="D5272" s="1" t="s">
        <v>3969</v>
      </c>
      <c r="E5272" t="s">
        <v>14</v>
      </c>
      <c r="F5272">
        <v>54.093899999999998</v>
      </c>
      <c r="G5272">
        <v>-0.17580000000000001</v>
      </c>
      <c r="H5272">
        <v>0</v>
      </c>
      <c r="I5272">
        <v>19</v>
      </c>
      <c r="J5272" t="str">
        <f>HYPERLINK("https://climate.onebuilding.org/WMO_Region_6_Europe/GBR_United_Kingdom/ENG_England/GBR_ENG_Bridlington.MRSC.032920_TMYx.2009-2023.zip")</f>
        <v>https://climate.onebuilding.org/WMO_Region_6_Europe/GBR_United_Kingdom/ENG_England/GBR_ENG_Bridlington.MRSC.032920_TMYx.2009-2023.zip</v>
      </c>
    </row>
    <row r="5273" spans="1:10" x14ac:dyDescent="0.25">
      <c r="A5273" t="s">
        <v>3587</v>
      </c>
      <c r="B5273" t="s">
        <v>3630</v>
      </c>
      <c r="C5273" t="s">
        <v>3968</v>
      </c>
      <c r="D5273" s="1" t="s">
        <v>3969</v>
      </c>
      <c r="E5273" t="s">
        <v>14</v>
      </c>
      <c r="F5273">
        <v>54.093899999999998</v>
      </c>
      <c r="G5273">
        <v>-0.17580000000000001</v>
      </c>
      <c r="H5273">
        <v>0</v>
      </c>
      <c r="I5273">
        <v>19</v>
      </c>
      <c r="J5273" t="str">
        <f>HYPERLINK("https://climate.onebuilding.org/WMO_Region_6_Europe/GBR_United_Kingdom/ENG_England/GBR_ENG_Bridlington.MRSC.032920_TMYx.zip")</f>
        <v>https://climate.onebuilding.org/WMO_Region_6_Europe/GBR_United_Kingdom/ENG_England/GBR_ENG_Bridlington.MRSC.032920_TMYx.zip</v>
      </c>
    </row>
    <row r="5274" spans="1:10" x14ac:dyDescent="0.25">
      <c r="A5274" t="s">
        <v>3587</v>
      </c>
      <c r="B5274" t="s">
        <v>391</v>
      </c>
      <c r="C5274" t="s">
        <v>3971</v>
      </c>
      <c r="D5274" s="1" t="s">
        <v>3972</v>
      </c>
      <c r="E5274" t="s">
        <v>3973</v>
      </c>
      <c r="F5274">
        <v>53.267000000000003</v>
      </c>
      <c r="G5274">
        <v>-4.367</v>
      </c>
      <c r="H5274">
        <v>0</v>
      </c>
      <c r="I5274">
        <v>62</v>
      </c>
      <c r="J5274" t="str">
        <f>HYPERLINK("https://climate.onebuilding.org/WMO_Region_6_Europe/GBR_United_Kingdom/WAL_Wales/GBR_WAL_Mona.AP.033010_TMYx.2004-2018.zip")</f>
        <v>https://climate.onebuilding.org/WMO_Region_6_Europe/GBR_United_Kingdom/WAL_Wales/GBR_WAL_Mona.AP.033010_TMYx.2004-2018.zip</v>
      </c>
    </row>
    <row r="5275" spans="1:10" x14ac:dyDescent="0.25">
      <c r="A5275" t="s">
        <v>3587</v>
      </c>
      <c r="B5275" t="s">
        <v>391</v>
      </c>
      <c r="C5275" t="s">
        <v>3971</v>
      </c>
      <c r="D5275" s="1" t="s">
        <v>3972</v>
      </c>
      <c r="E5275" t="s">
        <v>14</v>
      </c>
      <c r="F5275">
        <v>53.26</v>
      </c>
      <c r="G5275">
        <v>-4.3761000000000001</v>
      </c>
      <c r="H5275">
        <v>0</v>
      </c>
      <c r="I5275">
        <v>62</v>
      </c>
      <c r="J5275" t="str">
        <f>HYPERLINK("https://climate.onebuilding.org/WMO_Region_6_Europe/GBR_United_Kingdom/WAL_Wales/GBR_WAL_Mona.AP.033010_TMYx.2007-2021.zip")</f>
        <v>https://climate.onebuilding.org/WMO_Region_6_Europe/GBR_United_Kingdom/WAL_Wales/GBR_WAL_Mona.AP.033010_TMYx.2007-2021.zip</v>
      </c>
    </row>
    <row r="5276" spans="1:10" x14ac:dyDescent="0.25">
      <c r="A5276" t="s">
        <v>3587</v>
      </c>
      <c r="B5276" t="s">
        <v>391</v>
      </c>
      <c r="C5276" t="s">
        <v>3971</v>
      </c>
      <c r="D5276" s="1" t="s">
        <v>3972</v>
      </c>
      <c r="E5276" t="s">
        <v>14</v>
      </c>
      <c r="F5276">
        <v>53.26</v>
      </c>
      <c r="G5276">
        <v>-4.3761000000000001</v>
      </c>
      <c r="H5276">
        <v>0</v>
      </c>
      <c r="I5276">
        <v>62</v>
      </c>
      <c r="J5276" t="str">
        <f>HYPERLINK("https://climate.onebuilding.org/WMO_Region_6_Europe/GBR_United_Kingdom/WAL_Wales/GBR_WAL_Mona.AP.033010_TMYx.2009-2023.zip")</f>
        <v>https://climate.onebuilding.org/WMO_Region_6_Europe/GBR_United_Kingdom/WAL_Wales/GBR_WAL_Mona.AP.033010_TMYx.2009-2023.zip</v>
      </c>
    </row>
    <row r="5277" spans="1:10" x14ac:dyDescent="0.25">
      <c r="A5277" t="s">
        <v>3587</v>
      </c>
      <c r="B5277" t="s">
        <v>391</v>
      </c>
      <c r="C5277" t="s">
        <v>3971</v>
      </c>
      <c r="D5277" s="1" t="s">
        <v>3972</v>
      </c>
      <c r="E5277" t="s">
        <v>14</v>
      </c>
      <c r="F5277">
        <v>53.26</v>
      </c>
      <c r="G5277">
        <v>-4.3761000000000001</v>
      </c>
      <c r="H5277">
        <v>0</v>
      </c>
      <c r="I5277">
        <v>62</v>
      </c>
      <c r="J5277" t="str">
        <f>HYPERLINK("https://climate.onebuilding.org/WMO_Region_6_Europe/GBR_United_Kingdom/WAL_Wales/GBR_WAL_Mona.AP.033010_TMYx.zip")</f>
        <v>https://climate.onebuilding.org/WMO_Region_6_Europe/GBR_United_Kingdom/WAL_Wales/GBR_WAL_Mona.AP.033010_TMYx.zip</v>
      </c>
    </row>
    <row r="5278" spans="1:10" x14ac:dyDescent="0.25">
      <c r="A5278" t="s">
        <v>3587</v>
      </c>
      <c r="B5278" t="s">
        <v>3630</v>
      </c>
      <c r="C5278" t="s">
        <v>3974</v>
      </c>
      <c r="D5278" s="1" t="s">
        <v>3975</v>
      </c>
      <c r="E5278" t="s">
        <v>3976</v>
      </c>
      <c r="F5278">
        <v>53.247999999999998</v>
      </c>
      <c r="G5278">
        <v>-4.5350000000000001</v>
      </c>
      <c r="H5278">
        <v>0</v>
      </c>
      <c r="I5278">
        <v>11.3</v>
      </c>
      <c r="J5278" t="str">
        <f>HYPERLINK("https://climate.onebuilding.org/WMO_Region_6_Europe/GBR_United_Kingdom/ENG_England/GBR_ENG_Anglesey.AP-RAF.Valley.033020_TMYx.2004-2018.zip")</f>
        <v>https://climate.onebuilding.org/WMO_Region_6_Europe/GBR_United_Kingdom/ENG_England/GBR_ENG_Anglesey.AP-RAF.Valley.033020_TMYx.2004-2018.zip</v>
      </c>
    </row>
    <row r="5279" spans="1:10" x14ac:dyDescent="0.25">
      <c r="A5279" t="s">
        <v>3587</v>
      </c>
      <c r="B5279" t="s">
        <v>3630</v>
      </c>
      <c r="C5279" t="s">
        <v>3974</v>
      </c>
      <c r="D5279" s="1" t="s">
        <v>3975</v>
      </c>
      <c r="E5279" t="s">
        <v>14</v>
      </c>
      <c r="F5279">
        <v>53.252499999999998</v>
      </c>
      <c r="G5279">
        <v>-4.5364000000000004</v>
      </c>
      <c r="H5279">
        <v>0</v>
      </c>
      <c r="I5279">
        <v>11.3</v>
      </c>
      <c r="J5279" t="str">
        <f>HYPERLINK("https://climate.onebuilding.org/WMO_Region_6_Europe/GBR_United_Kingdom/ENG_England/GBR_ENG_Anglesey.AP-RAF.Valley.033020_TMYx.2007-2021.zip")</f>
        <v>https://climate.onebuilding.org/WMO_Region_6_Europe/GBR_United_Kingdom/ENG_England/GBR_ENG_Anglesey.AP-RAF.Valley.033020_TMYx.2007-2021.zip</v>
      </c>
    </row>
    <row r="5280" spans="1:10" x14ac:dyDescent="0.25">
      <c r="A5280" t="s">
        <v>3587</v>
      </c>
      <c r="B5280" t="s">
        <v>3630</v>
      </c>
      <c r="C5280" t="s">
        <v>3974</v>
      </c>
      <c r="D5280" s="1" t="s">
        <v>3975</v>
      </c>
      <c r="E5280" t="s">
        <v>14</v>
      </c>
      <c r="F5280">
        <v>53.252499999999998</v>
      </c>
      <c r="G5280">
        <v>-4.5364000000000004</v>
      </c>
      <c r="H5280">
        <v>0</v>
      </c>
      <c r="I5280">
        <v>11.3</v>
      </c>
      <c r="J5280" t="str">
        <f>HYPERLINK("https://climate.onebuilding.org/WMO_Region_6_Europe/GBR_United_Kingdom/ENG_England/GBR_ENG_Anglesey.AP-RAF.Valley.033020_TMYx.2009-2023.zip")</f>
        <v>https://climate.onebuilding.org/WMO_Region_6_Europe/GBR_United_Kingdom/ENG_England/GBR_ENG_Anglesey.AP-RAF.Valley.033020_TMYx.2009-2023.zip</v>
      </c>
    </row>
    <row r="5281" spans="1:10" x14ac:dyDescent="0.25">
      <c r="A5281" t="s">
        <v>3587</v>
      </c>
      <c r="B5281" t="s">
        <v>3630</v>
      </c>
      <c r="C5281" t="s">
        <v>3974</v>
      </c>
      <c r="D5281" s="1" t="s">
        <v>3975</v>
      </c>
      <c r="E5281" t="s">
        <v>14</v>
      </c>
      <c r="F5281">
        <v>53.252499999999998</v>
      </c>
      <c r="G5281">
        <v>-4.5364000000000004</v>
      </c>
      <c r="H5281">
        <v>0</v>
      </c>
      <c r="I5281">
        <v>11.3</v>
      </c>
      <c r="J5281" t="str">
        <f>HYPERLINK("https://climate.onebuilding.org/WMO_Region_6_Europe/GBR_United_Kingdom/ENG_England/GBR_ENG_Anglesey.AP-RAF.Valley.033020_TMYx.zip")</f>
        <v>https://climate.onebuilding.org/WMO_Region_6_Europe/GBR_United_Kingdom/ENG_England/GBR_ENG_Anglesey.AP-RAF.Valley.033020_TMYx.zip</v>
      </c>
    </row>
    <row r="5282" spans="1:10" x14ac:dyDescent="0.25">
      <c r="A5282" t="s">
        <v>3587</v>
      </c>
      <c r="B5282" t="s">
        <v>391</v>
      </c>
      <c r="C5282" t="s">
        <v>3977</v>
      </c>
      <c r="D5282" s="1" t="s">
        <v>3978</v>
      </c>
      <c r="E5282" t="s">
        <v>14</v>
      </c>
      <c r="F5282">
        <v>53.383000000000003</v>
      </c>
      <c r="G5282">
        <v>-4.367</v>
      </c>
      <c r="H5282">
        <v>0</v>
      </c>
      <c r="I5282">
        <v>114</v>
      </c>
      <c r="J5282" t="str">
        <f>HYPERLINK("https://climate.onebuilding.org/WMO_Region_6_Europe/GBR_United_Kingdom/WAL_Wales/GBR_WAL_Amlwch.033030_TMYx.zip")</f>
        <v>https://climate.onebuilding.org/WMO_Region_6_Europe/GBR_United_Kingdom/WAL_Wales/GBR_WAL_Amlwch.033030_TMYx.zip</v>
      </c>
    </row>
    <row r="5283" spans="1:10" x14ac:dyDescent="0.25">
      <c r="A5283" t="s">
        <v>3587</v>
      </c>
      <c r="B5283" t="s">
        <v>391</v>
      </c>
      <c r="C5283" t="s">
        <v>3979</v>
      </c>
      <c r="D5283" s="1" t="s">
        <v>3980</v>
      </c>
      <c r="E5283" t="s">
        <v>3981</v>
      </c>
      <c r="F5283">
        <v>53.1</v>
      </c>
      <c r="G5283">
        <v>-3.9329999999999998</v>
      </c>
      <c r="H5283">
        <v>0</v>
      </c>
      <c r="I5283">
        <v>215</v>
      </c>
      <c r="J5283" t="str">
        <f>HYPERLINK("https://climate.onebuilding.org/WMO_Region_6_Europe/GBR_United_Kingdom/WAL_Wales/GBR_WAL_Capel.Curig.033050_TMYx.2004-2018.zip")</f>
        <v>https://climate.onebuilding.org/WMO_Region_6_Europe/GBR_United_Kingdom/WAL_Wales/GBR_WAL_Capel.Curig.033050_TMYx.2004-2018.zip</v>
      </c>
    </row>
    <row r="5284" spans="1:10" x14ac:dyDescent="0.25">
      <c r="A5284" t="s">
        <v>3587</v>
      </c>
      <c r="B5284" t="s">
        <v>391</v>
      </c>
      <c r="C5284" t="s">
        <v>3979</v>
      </c>
      <c r="D5284" s="1" t="s">
        <v>3980</v>
      </c>
      <c r="E5284" t="s">
        <v>14</v>
      </c>
      <c r="F5284">
        <v>53.094200000000001</v>
      </c>
      <c r="G5284">
        <v>-3.9413999999999998</v>
      </c>
      <c r="H5284">
        <v>0</v>
      </c>
      <c r="I5284">
        <v>215</v>
      </c>
      <c r="J5284" t="str">
        <f>HYPERLINK("https://climate.onebuilding.org/WMO_Region_6_Europe/GBR_United_Kingdom/WAL_Wales/GBR_WAL_Capel.Curig.033050_TMYx.2007-2021.zip")</f>
        <v>https://climate.onebuilding.org/WMO_Region_6_Europe/GBR_United_Kingdom/WAL_Wales/GBR_WAL_Capel.Curig.033050_TMYx.2007-2021.zip</v>
      </c>
    </row>
    <row r="5285" spans="1:10" x14ac:dyDescent="0.25">
      <c r="A5285" t="s">
        <v>3587</v>
      </c>
      <c r="B5285" t="s">
        <v>391</v>
      </c>
      <c r="C5285" t="s">
        <v>3979</v>
      </c>
      <c r="D5285" s="1" t="s">
        <v>3980</v>
      </c>
      <c r="E5285" t="s">
        <v>14</v>
      </c>
      <c r="F5285">
        <v>53.094200000000001</v>
      </c>
      <c r="G5285">
        <v>-3.9413999999999998</v>
      </c>
      <c r="H5285">
        <v>0</v>
      </c>
      <c r="I5285">
        <v>215</v>
      </c>
      <c r="J5285" t="str">
        <f>HYPERLINK("https://climate.onebuilding.org/WMO_Region_6_Europe/GBR_United_Kingdom/WAL_Wales/GBR_WAL_Capel.Curig.033050_TMYx.2009-2023.zip")</f>
        <v>https://climate.onebuilding.org/WMO_Region_6_Europe/GBR_United_Kingdom/WAL_Wales/GBR_WAL_Capel.Curig.033050_TMYx.2009-2023.zip</v>
      </c>
    </row>
    <row r="5286" spans="1:10" x14ac:dyDescent="0.25">
      <c r="A5286" t="s">
        <v>3587</v>
      </c>
      <c r="B5286" t="s">
        <v>391</v>
      </c>
      <c r="C5286" t="s">
        <v>3979</v>
      </c>
      <c r="D5286" s="1" t="s">
        <v>3980</v>
      </c>
      <c r="E5286" t="s">
        <v>14</v>
      </c>
      <c r="F5286">
        <v>53.094200000000001</v>
      </c>
      <c r="G5286">
        <v>-3.9413999999999998</v>
      </c>
      <c r="H5286">
        <v>0</v>
      </c>
      <c r="I5286">
        <v>215</v>
      </c>
      <c r="J5286" t="str">
        <f>HYPERLINK("https://climate.onebuilding.org/WMO_Region_6_Europe/GBR_United_Kingdom/WAL_Wales/GBR_WAL_Capel.Curig.033050_TMYx.zip")</f>
        <v>https://climate.onebuilding.org/WMO_Region_6_Europe/GBR_United_Kingdom/WAL_Wales/GBR_WAL_Capel.Curig.033050_TMYx.zip</v>
      </c>
    </row>
    <row r="5287" spans="1:10" x14ac:dyDescent="0.25">
      <c r="A5287" t="s">
        <v>3587</v>
      </c>
      <c r="B5287" t="s">
        <v>391</v>
      </c>
      <c r="C5287" t="s">
        <v>3982</v>
      </c>
      <c r="D5287" s="1" t="s">
        <v>3983</v>
      </c>
      <c r="E5287" t="s">
        <v>14</v>
      </c>
      <c r="F5287">
        <v>53.067</v>
      </c>
      <c r="G5287">
        <v>-4.0830000000000002</v>
      </c>
      <c r="H5287">
        <v>0</v>
      </c>
      <c r="I5287">
        <v>1065</v>
      </c>
      <c r="J5287" t="str">
        <f>HYPERLINK("https://climate.onebuilding.org/WMO_Region_6_Europe/GBR_United_Kingdom/WAL_Wales/GBR_WAL_Snowdon.Natl.Park.033080_TMYx.zip")</f>
        <v>https://climate.onebuilding.org/WMO_Region_6_Europe/GBR_United_Kingdom/WAL_Wales/GBR_WAL_Snowdon.Natl.Park.033080_TMYx.zip</v>
      </c>
    </row>
    <row r="5288" spans="1:10" x14ac:dyDescent="0.25">
      <c r="A5288" t="s">
        <v>3587</v>
      </c>
      <c r="B5288" t="s">
        <v>391</v>
      </c>
      <c r="C5288" t="s">
        <v>3984</v>
      </c>
      <c r="D5288" s="1" t="s">
        <v>3985</v>
      </c>
      <c r="E5288" t="s">
        <v>14</v>
      </c>
      <c r="F5288">
        <v>53.033000000000001</v>
      </c>
      <c r="G5288">
        <v>-3.7</v>
      </c>
      <c r="H5288">
        <v>0</v>
      </c>
      <c r="I5288">
        <v>262</v>
      </c>
      <c r="J5288" t="str">
        <f>HYPERLINK("https://climate.onebuilding.org/WMO_Region_6_Europe/GBR_United_Kingdom/WAL_Wales/GBR_WAL_Yspytty.Ifan.033090_TMYx.zip")</f>
        <v>https://climate.onebuilding.org/WMO_Region_6_Europe/GBR_United_Kingdom/WAL_Wales/GBR_WAL_Yspytty.Ifan.033090_TMYx.zip</v>
      </c>
    </row>
    <row r="5289" spans="1:10" x14ac:dyDescent="0.25">
      <c r="A5289" t="s">
        <v>3587</v>
      </c>
      <c r="B5289" t="s">
        <v>391</v>
      </c>
      <c r="C5289" t="s">
        <v>3986</v>
      </c>
      <c r="D5289" s="1" t="s">
        <v>3987</v>
      </c>
      <c r="E5289" t="s">
        <v>3988</v>
      </c>
      <c r="F5289">
        <v>53.25</v>
      </c>
      <c r="G5289">
        <v>-3.5</v>
      </c>
      <c r="H5289">
        <v>0</v>
      </c>
      <c r="I5289">
        <v>76</v>
      </c>
      <c r="J5289" t="str">
        <f>HYPERLINK("https://climate.onebuilding.org/WMO_Region_6_Europe/GBR_United_Kingdom/WAL_Wales/GBR_WAL_Rhyl.AP.033130_TMYx.2004-2018.zip")</f>
        <v>https://climate.onebuilding.org/WMO_Region_6_Europe/GBR_United_Kingdom/WAL_Wales/GBR_WAL_Rhyl.AP.033130_TMYx.2004-2018.zip</v>
      </c>
    </row>
    <row r="5290" spans="1:10" x14ac:dyDescent="0.25">
      <c r="A5290" t="s">
        <v>3587</v>
      </c>
      <c r="B5290" t="s">
        <v>391</v>
      </c>
      <c r="C5290" t="s">
        <v>3986</v>
      </c>
      <c r="D5290" s="1" t="s">
        <v>3987</v>
      </c>
      <c r="E5290" t="s">
        <v>14</v>
      </c>
      <c r="F5290">
        <v>53.2592</v>
      </c>
      <c r="G5290">
        <v>-3.5089000000000001</v>
      </c>
      <c r="H5290">
        <v>0</v>
      </c>
      <c r="I5290">
        <v>76</v>
      </c>
      <c r="J5290" t="str">
        <f>HYPERLINK("https://climate.onebuilding.org/WMO_Region_6_Europe/GBR_United_Kingdom/WAL_Wales/GBR_WAL_Rhyl.AP.033130_TMYx.2007-2021.zip")</f>
        <v>https://climate.onebuilding.org/WMO_Region_6_Europe/GBR_United_Kingdom/WAL_Wales/GBR_WAL_Rhyl.AP.033130_TMYx.2007-2021.zip</v>
      </c>
    </row>
    <row r="5291" spans="1:10" x14ac:dyDescent="0.25">
      <c r="A5291" t="s">
        <v>3587</v>
      </c>
      <c r="B5291" t="s">
        <v>391</v>
      </c>
      <c r="C5291" t="s">
        <v>3986</v>
      </c>
      <c r="D5291" s="1" t="s">
        <v>3987</v>
      </c>
      <c r="E5291" t="s">
        <v>14</v>
      </c>
      <c r="F5291">
        <v>53.2592</v>
      </c>
      <c r="G5291">
        <v>-3.5089000000000001</v>
      </c>
      <c r="H5291">
        <v>0</v>
      </c>
      <c r="I5291">
        <v>76</v>
      </c>
      <c r="J5291" t="str">
        <f>HYPERLINK("https://climate.onebuilding.org/WMO_Region_6_Europe/GBR_United_Kingdom/WAL_Wales/GBR_WAL_Rhyl.AP.033130_TMYx.2009-2023.zip")</f>
        <v>https://climate.onebuilding.org/WMO_Region_6_Europe/GBR_United_Kingdom/WAL_Wales/GBR_WAL_Rhyl.AP.033130_TMYx.2009-2023.zip</v>
      </c>
    </row>
    <row r="5292" spans="1:10" x14ac:dyDescent="0.25">
      <c r="A5292" t="s">
        <v>3587</v>
      </c>
      <c r="B5292" t="s">
        <v>391</v>
      </c>
      <c r="C5292" t="s">
        <v>3986</v>
      </c>
      <c r="D5292" s="1" t="s">
        <v>3987</v>
      </c>
      <c r="E5292" t="s">
        <v>14</v>
      </c>
      <c r="F5292">
        <v>53.2592</v>
      </c>
      <c r="G5292">
        <v>-3.5089000000000001</v>
      </c>
      <c r="H5292">
        <v>0</v>
      </c>
      <c r="I5292">
        <v>76</v>
      </c>
      <c r="J5292" t="str">
        <f>HYPERLINK("https://climate.onebuilding.org/WMO_Region_6_Europe/GBR_United_Kingdom/WAL_Wales/GBR_WAL_Rhyl.AP.033130_TMYx.zip")</f>
        <v>https://climate.onebuilding.org/WMO_Region_6_Europe/GBR_United_Kingdom/WAL_Wales/GBR_WAL_Rhyl.AP.033130_TMYx.zip</v>
      </c>
    </row>
    <row r="5293" spans="1:10" x14ac:dyDescent="0.25">
      <c r="A5293" t="s">
        <v>3587</v>
      </c>
      <c r="B5293" t="s">
        <v>391</v>
      </c>
      <c r="C5293" t="s">
        <v>3989</v>
      </c>
      <c r="D5293" s="1" t="s">
        <v>3990</v>
      </c>
      <c r="E5293" t="s">
        <v>14</v>
      </c>
      <c r="F5293">
        <v>53.216999999999999</v>
      </c>
      <c r="G5293">
        <v>-3.2170000000000001</v>
      </c>
      <c r="H5293">
        <v>0</v>
      </c>
      <c r="I5293">
        <v>263</v>
      </c>
      <c r="J5293" t="str">
        <f>HYPERLINK("https://climate.onebuilding.org/WMO_Region_6_Europe/GBR_United_Kingdom/WAL_Wales/GBR_WAL_Moel.y.Crio.033140_TMYx.zip")</f>
        <v>https://climate.onebuilding.org/WMO_Region_6_Europe/GBR_United_Kingdom/WAL_Wales/GBR_WAL_Moel.y.Crio.033140_TMYx.zip</v>
      </c>
    </row>
    <row r="5294" spans="1:10" x14ac:dyDescent="0.25">
      <c r="A5294" t="s">
        <v>3587</v>
      </c>
      <c r="B5294" t="s">
        <v>3630</v>
      </c>
      <c r="C5294" t="s">
        <v>3991</v>
      </c>
      <c r="D5294" s="1" t="s">
        <v>3992</v>
      </c>
      <c r="E5294" t="s">
        <v>14</v>
      </c>
      <c r="F5294">
        <v>53.55</v>
      </c>
      <c r="G5294">
        <v>-3.1</v>
      </c>
      <c r="H5294">
        <v>0</v>
      </c>
      <c r="I5294">
        <v>9</v>
      </c>
      <c r="J5294" t="str">
        <f>HYPERLINK("https://climate.onebuilding.org/WMO_Region_6_Europe/GBR_United_Kingdom/ENG_England/GBR_ENG_Formby.Dead.033150_TMYx.zip")</f>
        <v>https://climate.onebuilding.org/WMO_Region_6_Europe/GBR_United_Kingdom/ENG_England/GBR_ENG_Formby.Dead.033150_TMYx.zip</v>
      </c>
    </row>
    <row r="5295" spans="1:10" x14ac:dyDescent="0.25">
      <c r="A5295" t="s">
        <v>3587</v>
      </c>
      <c r="B5295" t="s">
        <v>3630</v>
      </c>
      <c r="C5295" t="s">
        <v>3993</v>
      </c>
      <c r="D5295" s="1" t="s">
        <v>3994</v>
      </c>
      <c r="E5295" t="s">
        <v>3995</v>
      </c>
      <c r="F5295">
        <v>53.5</v>
      </c>
      <c r="G5295">
        <v>-3.0670000000000002</v>
      </c>
      <c r="H5295">
        <v>0</v>
      </c>
      <c r="I5295">
        <v>9</v>
      </c>
      <c r="J5295" t="str">
        <f>HYPERLINK("https://climate.onebuilding.org/WMO_Region_6_Europe/GBR_United_Kingdom/ENG_England/GBR_ENG_Crosby.033160_TMYx.2004-2018.zip")</f>
        <v>https://climate.onebuilding.org/WMO_Region_6_Europe/GBR_United_Kingdom/ENG_England/GBR_ENG_Crosby.033160_TMYx.2004-2018.zip</v>
      </c>
    </row>
    <row r="5296" spans="1:10" x14ac:dyDescent="0.25">
      <c r="A5296" t="s">
        <v>3587</v>
      </c>
      <c r="B5296" t="s">
        <v>3630</v>
      </c>
      <c r="C5296" t="s">
        <v>3993</v>
      </c>
      <c r="D5296" s="1" t="s">
        <v>3994</v>
      </c>
      <c r="E5296" t="s">
        <v>14</v>
      </c>
      <c r="F5296">
        <v>53.497199999999999</v>
      </c>
      <c r="G5296">
        <v>-3.0577999999999999</v>
      </c>
      <c r="H5296">
        <v>0</v>
      </c>
      <c r="I5296">
        <v>9</v>
      </c>
      <c r="J5296" t="str">
        <f>HYPERLINK("https://climate.onebuilding.org/WMO_Region_6_Europe/GBR_United_Kingdom/ENG_England/GBR_ENG_Crosby.033160_TMYx.2007-2021.zip")</f>
        <v>https://climate.onebuilding.org/WMO_Region_6_Europe/GBR_United_Kingdom/ENG_England/GBR_ENG_Crosby.033160_TMYx.2007-2021.zip</v>
      </c>
    </row>
    <row r="5297" spans="1:10" x14ac:dyDescent="0.25">
      <c r="A5297" t="s">
        <v>3587</v>
      </c>
      <c r="B5297" t="s">
        <v>3630</v>
      </c>
      <c r="C5297" t="s">
        <v>3993</v>
      </c>
      <c r="D5297" s="1" t="s">
        <v>3994</v>
      </c>
      <c r="E5297" t="s">
        <v>14</v>
      </c>
      <c r="F5297">
        <v>53.497199999999999</v>
      </c>
      <c r="G5297">
        <v>-3.0577999999999999</v>
      </c>
      <c r="H5297">
        <v>0</v>
      </c>
      <c r="I5297">
        <v>9</v>
      </c>
      <c r="J5297" t="str">
        <f>HYPERLINK("https://climate.onebuilding.org/WMO_Region_6_Europe/GBR_United_Kingdom/ENG_England/GBR_ENG_Crosby.033160_TMYx.2009-2023.zip")</f>
        <v>https://climate.onebuilding.org/WMO_Region_6_Europe/GBR_United_Kingdom/ENG_England/GBR_ENG_Crosby.033160_TMYx.2009-2023.zip</v>
      </c>
    </row>
    <row r="5298" spans="1:10" x14ac:dyDescent="0.25">
      <c r="A5298" t="s">
        <v>3587</v>
      </c>
      <c r="B5298" t="s">
        <v>3630</v>
      </c>
      <c r="C5298" t="s">
        <v>3993</v>
      </c>
      <c r="D5298" s="1" t="s">
        <v>3994</v>
      </c>
      <c r="E5298" t="s">
        <v>14</v>
      </c>
      <c r="F5298">
        <v>53.497199999999999</v>
      </c>
      <c r="G5298">
        <v>-3.0577999999999999</v>
      </c>
      <c r="H5298">
        <v>0</v>
      </c>
      <c r="I5298">
        <v>9</v>
      </c>
      <c r="J5298" t="str">
        <f>HYPERLINK("https://climate.onebuilding.org/WMO_Region_6_Europe/GBR_United_Kingdom/ENG_England/GBR_ENG_Crosby.033160_TMYx.zip")</f>
        <v>https://climate.onebuilding.org/WMO_Region_6_Europe/GBR_United_Kingdom/ENG_England/GBR_ENG_Crosby.033160_TMYx.zip</v>
      </c>
    </row>
    <row r="5299" spans="1:10" x14ac:dyDescent="0.25">
      <c r="A5299" t="s">
        <v>3587</v>
      </c>
      <c r="B5299" t="s">
        <v>3630</v>
      </c>
      <c r="C5299" t="s">
        <v>3996</v>
      </c>
      <c r="D5299" s="1" t="s">
        <v>3997</v>
      </c>
      <c r="E5299" t="s">
        <v>3998</v>
      </c>
      <c r="F5299">
        <v>53.771999999999998</v>
      </c>
      <c r="G5299">
        <v>-3.0289999999999999</v>
      </c>
      <c r="H5299">
        <v>0</v>
      </c>
      <c r="I5299">
        <v>10.4</v>
      </c>
      <c r="J5299" t="str">
        <f>HYPERLINK("https://climate.onebuilding.org/WMO_Region_6_Europe/GBR_United_Kingdom/ENG_England/GBR_ENG_Blackpool.AP.033180_TMYx.2004-2018.zip")</f>
        <v>https://climate.onebuilding.org/WMO_Region_6_Europe/GBR_United_Kingdom/ENG_England/GBR_ENG_Blackpool.AP.033180_TMYx.2004-2018.zip</v>
      </c>
    </row>
    <row r="5300" spans="1:10" x14ac:dyDescent="0.25">
      <c r="A5300" t="s">
        <v>3587</v>
      </c>
      <c r="B5300" t="s">
        <v>3630</v>
      </c>
      <c r="C5300" t="s">
        <v>3996</v>
      </c>
      <c r="D5300" s="1" t="s">
        <v>3997</v>
      </c>
      <c r="E5300" t="s">
        <v>14</v>
      </c>
      <c r="F5300">
        <v>53.774000000000001</v>
      </c>
      <c r="G5300">
        <v>-3.0390000000000001</v>
      </c>
      <c r="H5300">
        <v>0</v>
      </c>
      <c r="I5300">
        <v>10.4</v>
      </c>
      <c r="J5300" t="str">
        <f>HYPERLINK("https://climate.onebuilding.org/WMO_Region_6_Europe/GBR_United_Kingdom/ENG_England/GBR_ENG_Blackpool.AP.033180_TMYx.2007-2021.zip")</f>
        <v>https://climate.onebuilding.org/WMO_Region_6_Europe/GBR_United_Kingdom/ENG_England/GBR_ENG_Blackpool.AP.033180_TMYx.2007-2021.zip</v>
      </c>
    </row>
    <row r="5301" spans="1:10" x14ac:dyDescent="0.25">
      <c r="A5301" t="s">
        <v>3587</v>
      </c>
      <c r="B5301" t="s">
        <v>3630</v>
      </c>
      <c r="C5301" t="s">
        <v>3996</v>
      </c>
      <c r="D5301" s="1" t="s">
        <v>3997</v>
      </c>
      <c r="E5301" t="s">
        <v>14</v>
      </c>
      <c r="F5301">
        <v>53.774000000000001</v>
      </c>
      <c r="G5301">
        <v>-3.0390000000000001</v>
      </c>
      <c r="H5301">
        <v>0</v>
      </c>
      <c r="I5301">
        <v>10.4</v>
      </c>
      <c r="J5301" t="str">
        <f>HYPERLINK("https://climate.onebuilding.org/WMO_Region_6_Europe/GBR_United_Kingdom/ENG_England/GBR_ENG_Blackpool.AP.033180_TMYx.2009-2023.zip")</f>
        <v>https://climate.onebuilding.org/WMO_Region_6_Europe/GBR_United_Kingdom/ENG_England/GBR_ENG_Blackpool.AP.033180_TMYx.2009-2023.zip</v>
      </c>
    </row>
    <row r="5302" spans="1:10" x14ac:dyDescent="0.25">
      <c r="A5302" t="s">
        <v>3587</v>
      </c>
      <c r="B5302" t="s">
        <v>3630</v>
      </c>
      <c r="C5302" t="s">
        <v>3996</v>
      </c>
      <c r="D5302" s="1" t="s">
        <v>3997</v>
      </c>
      <c r="E5302" t="s">
        <v>14</v>
      </c>
      <c r="F5302">
        <v>53.774000000000001</v>
      </c>
      <c r="G5302">
        <v>-3.0390000000000001</v>
      </c>
      <c r="H5302">
        <v>0</v>
      </c>
      <c r="I5302">
        <v>10.4</v>
      </c>
      <c r="J5302" t="str">
        <f>HYPERLINK("https://climate.onebuilding.org/WMO_Region_6_Europe/GBR_United_Kingdom/ENG_England/GBR_ENG_Blackpool.AP.033180_TMYx.zip")</f>
        <v>https://climate.onebuilding.org/WMO_Region_6_Europe/GBR_United_Kingdom/ENG_England/GBR_ENG_Blackpool.AP.033180_TMYx.zip</v>
      </c>
    </row>
    <row r="5303" spans="1:10" x14ac:dyDescent="0.25">
      <c r="A5303" t="s">
        <v>3587</v>
      </c>
      <c r="B5303" t="s">
        <v>3630</v>
      </c>
      <c r="C5303" t="s">
        <v>3999</v>
      </c>
      <c r="D5303" s="1" t="s">
        <v>4000</v>
      </c>
      <c r="E5303" t="s">
        <v>14</v>
      </c>
      <c r="F5303">
        <v>53.917000000000002</v>
      </c>
      <c r="G5303">
        <v>-3.0329999999999999</v>
      </c>
      <c r="H5303">
        <v>0</v>
      </c>
      <c r="I5303">
        <v>8</v>
      </c>
      <c r="J5303" t="str">
        <f>HYPERLINK("https://climate.onebuilding.org/WMO_Region_6_Europe/GBR_United_Kingdom/ENG_England/GBR_ENG_Fleetwood.033190_TMYx.zip")</f>
        <v>https://climate.onebuilding.org/WMO_Region_6_Europe/GBR_United_Kingdom/ENG_England/GBR_ENG_Fleetwood.033190_TMYx.zip</v>
      </c>
    </row>
    <row r="5304" spans="1:10" x14ac:dyDescent="0.25">
      <c r="A5304" t="s">
        <v>3587</v>
      </c>
      <c r="B5304" t="s">
        <v>391</v>
      </c>
      <c r="C5304" t="s">
        <v>4001</v>
      </c>
      <c r="D5304" s="1" t="s">
        <v>4002</v>
      </c>
      <c r="E5304" t="s">
        <v>4003</v>
      </c>
      <c r="F5304">
        <v>53.177999999999997</v>
      </c>
      <c r="G5304">
        <v>-2.9780000000000002</v>
      </c>
      <c r="H5304">
        <v>0</v>
      </c>
      <c r="I5304">
        <v>13.7</v>
      </c>
      <c r="J5304" t="str">
        <f>HYPERLINK("https://climate.onebuilding.org/WMO_Region_6_Europe/GBR_United_Kingdom/WAL_Wales/GBR_WAL_Hawarden.AP.033210_TMYx.2004-2018.zip")</f>
        <v>https://climate.onebuilding.org/WMO_Region_6_Europe/GBR_United_Kingdom/WAL_Wales/GBR_WAL_Hawarden.AP.033210_TMYx.2004-2018.zip</v>
      </c>
    </row>
    <row r="5305" spans="1:10" x14ac:dyDescent="0.25">
      <c r="A5305" t="s">
        <v>3587</v>
      </c>
      <c r="B5305" t="s">
        <v>391</v>
      </c>
      <c r="C5305" t="s">
        <v>4001</v>
      </c>
      <c r="D5305" s="1" t="s">
        <v>4002</v>
      </c>
      <c r="E5305" t="s">
        <v>14</v>
      </c>
      <c r="F5305">
        <v>53.174999999999997</v>
      </c>
      <c r="G5305">
        <v>-2.9870000000000001</v>
      </c>
      <c r="H5305">
        <v>0</v>
      </c>
      <c r="I5305">
        <v>13.7</v>
      </c>
      <c r="J5305" t="str">
        <f>HYPERLINK("https://climate.onebuilding.org/WMO_Region_6_Europe/GBR_United_Kingdom/WAL_Wales/GBR_WAL_Hawarden.AP.033210_TMYx.2007-2021.zip")</f>
        <v>https://climate.onebuilding.org/WMO_Region_6_Europe/GBR_United_Kingdom/WAL_Wales/GBR_WAL_Hawarden.AP.033210_TMYx.2007-2021.zip</v>
      </c>
    </row>
    <row r="5306" spans="1:10" x14ac:dyDescent="0.25">
      <c r="A5306" t="s">
        <v>3587</v>
      </c>
      <c r="B5306" t="s">
        <v>391</v>
      </c>
      <c r="C5306" t="s">
        <v>4001</v>
      </c>
      <c r="D5306" s="1" t="s">
        <v>4002</v>
      </c>
      <c r="E5306" t="s">
        <v>14</v>
      </c>
      <c r="F5306">
        <v>53.174999999999997</v>
      </c>
      <c r="G5306">
        <v>-2.9870000000000001</v>
      </c>
      <c r="H5306">
        <v>0</v>
      </c>
      <c r="I5306">
        <v>13.7</v>
      </c>
      <c r="J5306" t="str">
        <f>HYPERLINK("https://climate.onebuilding.org/WMO_Region_6_Europe/GBR_United_Kingdom/WAL_Wales/GBR_WAL_Hawarden.AP.033210_TMYx.2009-2023.zip")</f>
        <v>https://climate.onebuilding.org/WMO_Region_6_Europe/GBR_United_Kingdom/WAL_Wales/GBR_WAL_Hawarden.AP.033210_TMYx.2009-2023.zip</v>
      </c>
    </row>
    <row r="5307" spans="1:10" x14ac:dyDescent="0.25">
      <c r="A5307" t="s">
        <v>3587</v>
      </c>
      <c r="B5307" t="s">
        <v>391</v>
      </c>
      <c r="C5307" t="s">
        <v>4001</v>
      </c>
      <c r="D5307" s="1" t="s">
        <v>4002</v>
      </c>
      <c r="E5307" t="s">
        <v>14</v>
      </c>
      <c r="F5307">
        <v>53.174999999999997</v>
      </c>
      <c r="G5307">
        <v>-2.9870000000000001</v>
      </c>
      <c r="H5307">
        <v>0</v>
      </c>
      <c r="I5307">
        <v>13.7</v>
      </c>
      <c r="J5307" t="str">
        <f>HYPERLINK("https://climate.onebuilding.org/WMO_Region_6_Europe/GBR_United_Kingdom/WAL_Wales/GBR_WAL_Hawarden.AP.033210_TMYx.zip")</f>
        <v>https://climate.onebuilding.org/WMO_Region_6_Europe/GBR_United_Kingdom/WAL_Wales/GBR_WAL_Hawarden.AP.033210_TMYx.zip</v>
      </c>
    </row>
    <row r="5308" spans="1:10" x14ac:dyDescent="0.25">
      <c r="A5308" t="s">
        <v>3587</v>
      </c>
      <c r="B5308" t="s">
        <v>3630</v>
      </c>
      <c r="C5308" t="s">
        <v>4004</v>
      </c>
      <c r="D5308" s="1" t="s">
        <v>4005</v>
      </c>
      <c r="E5308" t="s">
        <v>14</v>
      </c>
      <c r="F5308">
        <v>53.55</v>
      </c>
      <c r="G5308">
        <v>-2.9169999999999998</v>
      </c>
      <c r="H5308">
        <v>0</v>
      </c>
      <c r="I5308">
        <v>56</v>
      </c>
      <c r="J5308" t="str">
        <f>HYPERLINK("https://climate.onebuilding.org/WMO_Region_6_Europe/GBR_United_Kingdom/ENG_England/GBR_ENG_Aughton.033220_TMYx.zip")</f>
        <v>https://climate.onebuilding.org/WMO_Region_6_Europe/GBR_United_Kingdom/ENG_England/GBR_ENG_Aughton.033220_TMYx.zip</v>
      </c>
    </row>
    <row r="5309" spans="1:10" x14ac:dyDescent="0.25">
      <c r="A5309" t="s">
        <v>3587</v>
      </c>
      <c r="B5309" t="s">
        <v>3630</v>
      </c>
      <c r="C5309" t="s">
        <v>4006</v>
      </c>
      <c r="D5309" s="1" t="s">
        <v>4007</v>
      </c>
      <c r="E5309" t="s">
        <v>4008</v>
      </c>
      <c r="F5309">
        <v>53.334000000000003</v>
      </c>
      <c r="G5309">
        <v>-2.85</v>
      </c>
      <c r="H5309">
        <v>0</v>
      </c>
      <c r="I5309">
        <v>24.4</v>
      </c>
      <c r="J5309" t="str">
        <f>HYPERLINK("https://climate.onebuilding.org/WMO_Region_6_Europe/GBR_United_Kingdom/ENG_England/GBR_ENG_Liverpool.Lennon.AP.033233_TMYx.2004-2018.zip")</f>
        <v>https://climate.onebuilding.org/WMO_Region_6_Europe/GBR_United_Kingdom/ENG_England/GBR_ENG_Liverpool.Lennon.AP.033233_TMYx.2004-2018.zip</v>
      </c>
    </row>
    <row r="5310" spans="1:10" x14ac:dyDescent="0.25">
      <c r="A5310" t="s">
        <v>3587</v>
      </c>
      <c r="B5310" t="s">
        <v>3630</v>
      </c>
      <c r="C5310" t="s">
        <v>4006</v>
      </c>
      <c r="D5310" s="1" t="s">
        <v>4007</v>
      </c>
      <c r="E5310" t="s">
        <v>14</v>
      </c>
      <c r="F5310">
        <v>53.334000000000003</v>
      </c>
      <c r="G5310">
        <v>-2.85</v>
      </c>
      <c r="H5310">
        <v>0</v>
      </c>
      <c r="I5310">
        <v>24.4</v>
      </c>
      <c r="J5310" t="str">
        <f>HYPERLINK("https://climate.onebuilding.org/WMO_Region_6_Europe/GBR_United_Kingdom/ENG_England/GBR_ENG_Liverpool.Lennon.AP.033233_TMYx.2007-2021.zip")</f>
        <v>https://climate.onebuilding.org/WMO_Region_6_Europe/GBR_United_Kingdom/ENG_England/GBR_ENG_Liverpool.Lennon.AP.033233_TMYx.2007-2021.zip</v>
      </c>
    </row>
    <row r="5311" spans="1:10" x14ac:dyDescent="0.25">
      <c r="A5311" t="s">
        <v>3587</v>
      </c>
      <c r="B5311" t="s">
        <v>3630</v>
      </c>
      <c r="C5311" t="s">
        <v>4006</v>
      </c>
      <c r="D5311" s="1" t="s">
        <v>4007</v>
      </c>
      <c r="E5311" t="s">
        <v>14</v>
      </c>
      <c r="F5311">
        <v>53.334000000000003</v>
      </c>
      <c r="G5311">
        <v>-2.85</v>
      </c>
      <c r="H5311">
        <v>0</v>
      </c>
      <c r="I5311">
        <v>24.4</v>
      </c>
      <c r="J5311" t="str">
        <f>HYPERLINK("https://climate.onebuilding.org/WMO_Region_6_Europe/GBR_United_Kingdom/ENG_England/GBR_ENG_Liverpool.Lennon.AP.033233_TMYx.2009-2023.zip")</f>
        <v>https://climate.onebuilding.org/WMO_Region_6_Europe/GBR_United_Kingdom/ENG_England/GBR_ENG_Liverpool.Lennon.AP.033233_TMYx.2009-2023.zip</v>
      </c>
    </row>
    <row r="5312" spans="1:10" x14ac:dyDescent="0.25">
      <c r="A5312" t="s">
        <v>3587</v>
      </c>
      <c r="B5312" t="s">
        <v>3630</v>
      </c>
      <c r="C5312" t="s">
        <v>4006</v>
      </c>
      <c r="D5312" s="1" t="s">
        <v>4007</v>
      </c>
      <c r="E5312" t="s">
        <v>14</v>
      </c>
      <c r="F5312">
        <v>53.334000000000003</v>
      </c>
      <c r="G5312">
        <v>-2.85</v>
      </c>
      <c r="H5312">
        <v>0</v>
      </c>
      <c r="I5312">
        <v>24.4</v>
      </c>
      <c r="J5312" t="str">
        <f>HYPERLINK("https://climate.onebuilding.org/WMO_Region_6_Europe/GBR_United_Kingdom/ENG_England/GBR_ENG_Liverpool.Lennon.AP.033233_TMYx.zip")</f>
        <v>https://climate.onebuilding.org/WMO_Region_6_Europe/GBR_United_Kingdom/ENG_England/GBR_ENG_Liverpool.Lennon.AP.033233_TMYx.zip</v>
      </c>
    </row>
    <row r="5313" spans="1:10" x14ac:dyDescent="0.25">
      <c r="A5313" t="s">
        <v>3587</v>
      </c>
      <c r="B5313" t="s">
        <v>3630</v>
      </c>
      <c r="C5313" t="s">
        <v>4009</v>
      </c>
      <c r="D5313" s="1" t="s">
        <v>4010</v>
      </c>
      <c r="E5313" t="s">
        <v>14</v>
      </c>
      <c r="F5313">
        <v>53.616999999999997</v>
      </c>
      <c r="G5313">
        <v>-2.5169999999999999</v>
      </c>
      <c r="H5313">
        <v>0</v>
      </c>
      <c r="I5313">
        <v>440</v>
      </c>
      <c r="J5313" t="str">
        <f>HYPERLINK("https://climate.onebuilding.org/WMO_Region_6_Europe/GBR_United_Kingdom/ENG_England/GBR_ENG_Winter.Hill.033290_TMYx.zip")</f>
        <v>https://climate.onebuilding.org/WMO_Region_6_Europe/GBR_United_Kingdom/ENG_England/GBR_ENG_Winter.Hill.033290_TMYx.zip</v>
      </c>
    </row>
    <row r="5314" spans="1:10" x14ac:dyDescent="0.25">
      <c r="A5314" t="s">
        <v>3587</v>
      </c>
      <c r="B5314" t="s">
        <v>3630</v>
      </c>
      <c r="C5314" t="s">
        <v>4011</v>
      </c>
      <c r="D5314" s="1" t="s">
        <v>4012</v>
      </c>
      <c r="E5314" t="s">
        <v>4013</v>
      </c>
      <c r="F5314">
        <v>53.133000000000003</v>
      </c>
      <c r="G5314">
        <v>-1.9830000000000001</v>
      </c>
      <c r="H5314">
        <v>0</v>
      </c>
      <c r="I5314">
        <v>299</v>
      </c>
      <c r="J5314" t="str">
        <f>HYPERLINK("https://climate.onebuilding.org/WMO_Region_6_Europe/GBR_United_Kingdom/ENG_England/GBR_ENG_Leek-Thorncliffe.033300_TMYx.2004-2018.zip")</f>
        <v>https://climate.onebuilding.org/WMO_Region_6_Europe/GBR_United_Kingdom/ENG_England/GBR_ENG_Leek-Thorncliffe.033300_TMYx.2004-2018.zip</v>
      </c>
    </row>
    <row r="5315" spans="1:10" x14ac:dyDescent="0.25">
      <c r="A5315" t="s">
        <v>3587</v>
      </c>
      <c r="B5315" t="s">
        <v>3630</v>
      </c>
      <c r="C5315" t="s">
        <v>4011</v>
      </c>
      <c r="D5315" s="1" t="s">
        <v>4012</v>
      </c>
      <c r="E5315" t="s">
        <v>14</v>
      </c>
      <c r="F5315">
        <v>53.127800000000001</v>
      </c>
      <c r="G5315">
        <v>-1.9814000000000001</v>
      </c>
      <c r="H5315">
        <v>0</v>
      </c>
      <c r="I5315">
        <v>299</v>
      </c>
      <c r="J5315" t="str">
        <f>HYPERLINK("https://climate.onebuilding.org/WMO_Region_6_Europe/GBR_United_Kingdom/ENG_England/GBR_ENG_Leek-Thorncliffe.033300_TMYx.2007-2021.zip")</f>
        <v>https://climate.onebuilding.org/WMO_Region_6_Europe/GBR_United_Kingdom/ENG_England/GBR_ENG_Leek-Thorncliffe.033300_TMYx.2007-2021.zip</v>
      </c>
    </row>
    <row r="5316" spans="1:10" x14ac:dyDescent="0.25">
      <c r="A5316" t="s">
        <v>3587</v>
      </c>
      <c r="B5316" t="s">
        <v>3630</v>
      </c>
      <c r="C5316" t="s">
        <v>4011</v>
      </c>
      <c r="D5316" s="1" t="s">
        <v>4012</v>
      </c>
      <c r="E5316" t="s">
        <v>14</v>
      </c>
      <c r="F5316">
        <v>53.127800000000001</v>
      </c>
      <c r="G5316">
        <v>-1.9814000000000001</v>
      </c>
      <c r="H5316">
        <v>0</v>
      </c>
      <c r="I5316">
        <v>299</v>
      </c>
      <c r="J5316" t="str">
        <f>HYPERLINK("https://climate.onebuilding.org/WMO_Region_6_Europe/GBR_United_Kingdom/ENG_England/GBR_ENG_Leek-Thorncliffe.033300_TMYx.2009-2023.zip")</f>
        <v>https://climate.onebuilding.org/WMO_Region_6_Europe/GBR_United_Kingdom/ENG_England/GBR_ENG_Leek-Thorncliffe.033300_TMYx.2009-2023.zip</v>
      </c>
    </row>
    <row r="5317" spans="1:10" x14ac:dyDescent="0.25">
      <c r="A5317" t="s">
        <v>3587</v>
      </c>
      <c r="B5317" t="s">
        <v>3630</v>
      </c>
      <c r="C5317" t="s">
        <v>4011</v>
      </c>
      <c r="D5317" s="1" t="s">
        <v>4012</v>
      </c>
      <c r="E5317" t="s">
        <v>14</v>
      </c>
      <c r="F5317">
        <v>53.127800000000001</v>
      </c>
      <c r="G5317">
        <v>-1.9814000000000001</v>
      </c>
      <c r="H5317">
        <v>0</v>
      </c>
      <c r="I5317">
        <v>299</v>
      </c>
      <c r="J5317" t="str">
        <f>HYPERLINK("https://climate.onebuilding.org/WMO_Region_6_Europe/GBR_United_Kingdom/ENG_England/GBR_ENG_Leek-Thorncliffe.033300_TMYx.zip")</f>
        <v>https://climate.onebuilding.org/WMO_Region_6_Europe/GBR_United_Kingdom/ENG_England/GBR_ENG_Leek-Thorncliffe.033300_TMYx.zip</v>
      </c>
    </row>
    <row r="5318" spans="1:10" x14ac:dyDescent="0.25">
      <c r="A5318" t="s">
        <v>3587</v>
      </c>
      <c r="B5318" t="s">
        <v>3630</v>
      </c>
      <c r="C5318" t="s">
        <v>4014</v>
      </c>
      <c r="D5318" s="1" t="s">
        <v>4015</v>
      </c>
      <c r="E5318" t="s">
        <v>4016</v>
      </c>
      <c r="F5318">
        <v>53.353999999999999</v>
      </c>
      <c r="G5318">
        <v>-2.2749999999999999</v>
      </c>
      <c r="H5318">
        <v>0</v>
      </c>
      <c r="I5318">
        <v>78.3</v>
      </c>
      <c r="J5318" t="str">
        <f>HYPERLINK("https://climate.onebuilding.org/WMO_Region_6_Europe/GBR_United_Kingdom/ENG_England/GBR_ENG_Manchester.AP.033340_TMYx.2004-2018.zip")</f>
        <v>https://climate.onebuilding.org/WMO_Region_6_Europe/GBR_United_Kingdom/ENG_England/GBR_ENG_Manchester.AP.033340_TMYx.2004-2018.zip</v>
      </c>
    </row>
    <row r="5319" spans="1:10" x14ac:dyDescent="0.25">
      <c r="A5319" t="s">
        <v>3587</v>
      </c>
      <c r="B5319" t="s">
        <v>3630</v>
      </c>
      <c r="C5319" t="s">
        <v>4014</v>
      </c>
      <c r="D5319" s="1" t="s">
        <v>4015</v>
      </c>
      <c r="E5319" t="s">
        <v>14</v>
      </c>
      <c r="F5319">
        <v>53.353999999999999</v>
      </c>
      <c r="G5319">
        <v>-2.2749999999999999</v>
      </c>
      <c r="H5319">
        <v>0</v>
      </c>
      <c r="I5319">
        <v>78.3</v>
      </c>
      <c r="J5319" t="str">
        <f>HYPERLINK("https://climate.onebuilding.org/WMO_Region_6_Europe/GBR_United_Kingdom/ENG_England/GBR_ENG_Manchester.AP.033340_TMYx.2007-2021.zip")</f>
        <v>https://climate.onebuilding.org/WMO_Region_6_Europe/GBR_United_Kingdom/ENG_England/GBR_ENG_Manchester.AP.033340_TMYx.2007-2021.zip</v>
      </c>
    </row>
    <row r="5320" spans="1:10" x14ac:dyDescent="0.25">
      <c r="A5320" t="s">
        <v>3587</v>
      </c>
      <c r="B5320" t="s">
        <v>3630</v>
      </c>
      <c r="C5320" t="s">
        <v>4014</v>
      </c>
      <c r="D5320" s="1" t="s">
        <v>4015</v>
      </c>
      <c r="E5320" t="s">
        <v>14</v>
      </c>
      <c r="F5320">
        <v>53.353999999999999</v>
      </c>
      <c r="G5320">
        <v>-2.2749999999999999</v>
      </c>
      <c r="H5320">
        <v>0</v>
      </c>
      <c r="I5320">
        <v>78.3</v>
      </c>
      <c r="J5320" t="str">
        <f>HYPERLINK("https://climate.onebuilding.org/WMO_Region_6_Europe/GBR_United_Kingdom/ENG_England/GBR_ENG_Manchester.AP.033340_TMYx.2009-2023.zip")</f>
        <v>https://climate.onebuilding.org/WMO_Region_6_Europe/GBR_United_Kingdom/ENG_England/GBR_ENG_Manchester.AP.033340_TMYx.2009-2023.zip</v>
      </c>
    </row>
    <row r="5321" spans="1:10" x14ac:dyDescent="0.25">
      <c r="A5321" t="s">
        <v>3587</v>
      </c>
      <c r="B5321" t="s">
        <v>3630</v>
      </c>
      <c r="C5321" t="s">
        <v>4014</v>
      </c>
      <c r="D5321" s="1" t="s">
        <v>4015</v>
      </c>
      <c r="E5321" t="s">
        <v>14</v>
      </c>
      <c r="F5321">
        <v>53.353999999999999</v>
      </c>
      <c r="G5321">
        <v>-2.2749999999999999</v>
      </c>
      <c r="H5321">
        <v>0</v>
      </c>
      <c r="I5321">
        <v>78.3</v>
      </c>
      <c r="J5321" t="str">
        <f>HYPERLINK("https://climate.onebuilding.org/WMO_Region_6_Europe/GBR_United_Kingdom/ENG_England/GBR_ENG_Manchester.AP.033340_TMYx.zip")</f>
        <v>https://climate.onebuilding.org/WMO_Region_6_Europe/GBR_United_Kingdom/ENG_England/GBR_ENG_Manchester.AP.033340_TMYx.zip</v>
      </c>
    </row>
    <row r="5322" spans="1:10" x14ac:dyDescent="0.25">
      <c r="A5322" t="s">
        <v>3587</v>
      </c>
      <c r="B5322" t="s">
        <v>3630</v>
      </c>
      <c r="C5322" t="s">
        <v>4017</v>
      </c>
      <c r="D5322" s="1" t="s">
        <v>4018</v>
      </c>
      <c r="E5322" t="s">
        <v>14</v>
      </c>
      <c r="F5322">
        <v>53.482999999999997</v>
      </c>
      <c r="G5322">
        <v>-2.25</v>
      </c>
      <c r="H5322">
        <v>0</v>
      </c>
      <c r="I5322">
        <v>37</v>
      </c>
      <c r="J5322" t="str">
        <f>HYPERLINK("https://climate.onebuilding.org/WMO_Region_6_Europe/GBR_United_Kingdom/ENG_England/GBR_ENG_Manchester-Barton.033350_TMYx.zip")</f>
        <v>https://climate.onebuilding.org/WMO_Region_6_Europe/GBR_United_Kingdom/ENG_England/GBR_ENG_Manchester-Barton.033350_TMYx.zip</v>
      </c>
    </row>
    <row r="5323" spans="1:10" x14ac:dyDescent="0.25">
      <c r="A5323" t="s">
        <v>3587</v>
      </c>
      <c r="B5323" t="s">
        <v>3630</v>
      </c>
      <c r="C5323" t="s">
        <v>4019</v>
      </c>
      <c r="D5323" s="1" t="s">
        <v>4020</v>
      </c>
      <c r="E5323" t="s">
        <v>14</v>
      </c>
      <c r="F5323">
        <v>53.033000000000001</v>
      </c>
      <c r="G5323">
        <v>-2.0830000000000002</v>
      </c>
      <c r="H5323">
        <v>0</v>
      </c>
      <c r="I5323">
        <v>228</v>
      </c>
      <c r="J5323" t="str">
        <f>HYPERLINK("https://climate.onebuilding.org/WMO_Region_6_Europe/GBR_United_Kingdom/ENG_England/GBR_ENG_Cellarhead.033380_TMYx.zip")</f>
        <v>https://climate.onebuilding.org/WMO_Region_6_Europe/GBR_United_Kingdom/ENG_England/GBR_ENG_Cellarhead.033380_TMYx.zip</v>
      </c>
    </row>
    <row r="5324" spans="1:10" x14ac:dyDescent="0.25">
      <c r="A5324" t="s">
        <v>3587</v>
      </c>
      <c r="B5324" t="s">
        <v>3630</v>
      </c>
      <c r="C5324" t="s">
        <v>4021</v>
      </c>
      <c r="D5324" s="1" t="s">
        <v>4022</v>
      </c>
      <c r="E5324" t="s">
        <v>14</v>
      </c>
      <c r="F5324">
        <v>53.966999999999999</v>
      </c>
      <c r="G5324">
        <v>-2.0329999999999999</v>
      </c>
      <c r="H5324">
        <v>0</v>
      </c>
      <c r="I5324">
        <v>153</v>
      </c>
      <c r="J5324" t="str">
        <f>HYPERLINK("https://climate.onebuilding.org/WMO_Region_6_Europe/GBR_United_Kingdom/ENG_England/GBR_ENG_Skipton.033390_TMYx.zip")</f>
        <v>https://climate.onebuilding.org/WMO_Region_6_Europe/GBR_United_Kingdom/ENG_England/GBR_ENG_Skipton.033390_TMYx.zip</v>
      </c>
    </row>
    <row r="5325" spans="1:10" x14ac:dyDescent="0.25">
      <c r="A5325" t="s">
        <v>3587</v>
      </c>
      <c r="B5325" t="s">
        <v>3630</v>
      </c>
      <c r="C5325" t="s">
        <v>4023</v>
      </c>
      <c r="D5325" s="1" t="s">
        <v>4024</v>
      </c>
      <c r="E5325" t="s">
        <v>14</v>
      </c>
      <c r="F5325">
        <v>53.533000000000001</v>
      </c>
      <c r="G5325">
        <v>-1.883</v>
      </c>
      <c r="H5325">
        <v>0</v>
      </c>
      <c r="I5325">
        <v>522</v>
      </c>
      <c r="J5325" t="str">
        <f>HYPERLINK("https://climate.onebuilding.org/WMO_Region_6_Europe/GBR_United_Kingdom/ENG_England/GBR_ENG_Holme.Moss.033400_TMYx.zip")</f>
        <v>https://climate.onebuilding.org/WMO_Region_6_Europe/GBR_United_Kingdom/ENG_England/GBR_ENG_Holme.Moss.033400_TMYx.zip</v>
      </c>
    </row>
    <row r="5326" spans="1:10" x14ac:dyDescent="0.25">
      <c r="A5326" t="s">
        <v>3587</v>
      </c>
      <c r="B5326" t="s">
        <v>3630</v>
      </c>
      <c r="C5326" t="s">
        <v>4025</v>
      </c>
      <c r="D5326" s="1" t="s">
        <v>4026</v>
      </c>
      <c r="E5326" t="s">
        <v>14</v>
      </c>
      <c r="F5326">
        <v>53.65</v>
      </c>
      <c r="G5326">
        <v>-1.833</v>
      </c>
      <c r="H5326">
        <v>0</v>
      </c>
      <c r="I5326">
        <v>232</v>
      </c>
      <c r="J5326" t="str">
        <f>HYPERLINK("https://climate.onebuilding.org/WMO_Region_6_Europe/GBR_United_Kingdom/ENG_England/GBR_ENG_Huddersfield.Oakes.033430_TMYx.zip")</f>
        <v>https://climate.onebuilding.org/WMO_Region_6_Europe/GBR_United_Kingdom/ENG_England/GBR_ENG_Huddersfield.Oakes.033430_TMYx.zip</v>
      </c>
    </row>
    <row r="5327" spans="1:10" x14ac:dyDescent="0.25">
      <c r="A5327" t="s">
        <v>3587</v>
      </c>
      <c r="B5327" t="s">
        <v>3630</v>
      </c>
      <c r="C5327" t="s">
        <v>4027</v>
      </c>
      <c r="D5327" s="1" t="s">
        <v>4028</v>
      </c>
      <c r="E5327" t="s">
        <v>4029</v>
      </c>
      <c r="F5327">
        <v>53.817</v>
      </c>
      <c r="G5327">
        <v>-1.867</v>
      </c>
      <c r="H5327">
        <v>0</v>
      </c>
      <c r="I5327">
        <v>267</v>
      </c>
      <c r="J5327" t="str">
        <f>HYPERLINK("https://climate.onebuilding.org/WMO_Region_6_Europe/GBR_United_Kingdom/ENG_England/GBR_ENG_Bingley.033440_TMYx.2004-2018.zip")</f>
        <v>https://climate.onebuilding.org/WMO_Region_6_Europe/GBR_United_Kingdom/ENG_England/GBR_ENG_Bingley.033440_TMYx.2004-2018.zip</v>
      </c>
    </row>
    <row r="5328" spans="1:10" x14ac:dyDescent="0.25">
      <c r="A5328" t="s">
        <v>3587</v>
      </c>
      <c r="B5328" t="s">
        <v>3630</v>
      </c>
      <c r="C5328" t="s">
        <v>4027</v>
      </c>
      <c r="D5328" s="1" t="s">
        <v>4028</v>
      </c>
      <c r="E5328" t="s">
        <v>14</v>
      </c>
      <c r="F5328">
        <v>53.811300000000003</v>
      </c>
      <c r="G5328">
        <v>-1.8668</v>
      </c>
      <c r="H5328">
        <v>0</v>
      </c>
      <c r="I5328">
        <v>267</v>
      </c>
      <c r="J5328" t="str">
        <f>HYPERLINK("https://climate.onebuilding.org/WMO_Region_6_Europe/GBR_United_Kingdom/ENG_England/GBR_ENG_Bingley.033440_TMYx.2007-2021.zip")</f>
        <v>https://climate.onebuilding.org/WMO_Region_6_Europe/GBR_United_Kingdom/ENG_England/GBR_ENG_Bingley.033440_TMYx.2007-2021.zip</v>
      </c>
    </row>
    <row r="5329" spans="1:10" x14ac:dyDescent="0.25">
      <c r="A5329" t="s">
        <v>3587</v>
      </c>
      <c r="B5329" t="s">
        <v>3630</v>
      </c>
      <c r="C5329" t="s">
        <v>4027</v>
      </c>
      <c r="D5329" s="1" t="s">
        <v>4028</v>
      </c>
      <c r="E5329" t="s">
        <v>14</v>
      </c>
      <c r="F5329">
        <v>53.811300000000003</v>
      </c>
      <c r="G5329">
        <v>-1.8668</v>
      </c>
      <c r="H5329">
        <v>0</v>
      </c>
      <c r="I5329">
        <v>267</v>
      </c>
      <c r="J5329" t="str">
        <f>HYPERLINK("https://climate.onebuilding.org/WMO_Region_6_Europe/GBR_United_Kingdom/ENG_England/GBR_ENG_Bingley.033440_TMYx.2009-2023.zip")</f>
        <v>https://climate.onebuilding.org/WMO_Region_6_Europe/GBR_United_Kingdom/ENG_England/GBR_ENG_Bingley.033440_TMYx.2009-2023.zip</v>
      </c>
    </row>
    <row r="5330" spans="1:10" x14ac:dyDescent="0.25">
      <c r="A5330" t="s">
        <v>3587</v>
      </c>
      <c r="B5330" t="s">
        <v>3630</v>
      </c>
      <c r="C5330" t="s">
        <v>4027</v>
      </c>
      <c r="D5330" s="1" t="s">
        <v>4028</v>
      </c>
      <c r="E5330" t="s">
        <v>14</v>
      </c>
      <c r="F5330">
        <v>53.811300000000003</v>
      </c>
      <c r="G5330">
        <v>-1.8668</v>
      </c>
      <c r="H5330">
        <v>0</v>
      </c>
      <c r="I5330">
        <v>267</v>
      </c>
      <c r="J5330" t="str">
        <f>HYPERLINK("https://climate.onebuilding.org/WMO_Region_6_Europe/GBR_United_Kingdom/ENG_England/GBR_ENG_Bingley.033440_TMYx.zip")</f>
        <v>https://climate.onebuilding.org/WMO_Region_6_Europe/GBR_United_Kingdom/ENG_England/GBR_ENG_Bingley.033440_TMYx.zip</v>
      </c>
    </row>
    <row r="5331" spans="1:10" x14ac:dyDescent="0.25">
      <c r="A5331" t="s">
        <v>3587</v>
      </c>
      <c r="B5331" t="s">
        <v>3630</v>
      </c>
      <c r="C5331" t="s">
        <v>4030</v>
      </c>
      <c r="D5331" s="1" t="s">
        <v>4031</v>
      </c>
      <c r="E5331" t="s">
        <v>4032</v>
      </c>
      <c r="F5331">
        <v>53.616999999999997</v>
      </c>
      <c r="G5331">
        <v>-1.667</v>
      </c>
      <c r="H5331">
        <v>0</v>
      </c>
      <c r="I5331">
        <v>259</v>
      </c>
      <c r="J5331" t="str">
        <f>HYPERLINK("https://climate.onebuilding.org/WMO_Region_6_Europe/GBR_United_Kingdom/ENG_England/GBR_ENG_Emley.Moor.033450_TMYx.2004-2018.zip")</f>
        <v>https://climate.onebuilding.org/WMO_Region_6_Europe/GBR_United_Kingdom/ENG_England/GBR_ENG_Emley.Moor.033450_TMYx.2004-2018.zip</v>
      </c>
    </row>
    <row r="5332" spans="1:10" x14ac:dyDescent="0.25">
      <c r="A5332" t="s">
        <v>3587</v>
      </c>
      <c r="B5332" t="s">
        <v>3630</v>
      </c>
      <c r="C5332" t="s">
        <v>4030</v>
      </c>
      <c r="D5332" s="1" t="s">
        <v>4031</v>
      </c>
      <c r="E5332" t="s">
        <v>14</v>
      </c>
      <c r="F5332">
        <v>53.616999999999997</v>
      </c>
      <c r="G5332">
        <v>-1.667</v>
      </c>
      <c r="H5332">
        <v>0</v>
      </c>
      <c r="I5332">
        <v>259</v>
      </c>
      <c r="J5332" t="str">
        <f>HYPERLINK("https://climate.onebuilding.org/WMO_Region_6_Europe/GBR_United_Kingdom/ENG_England/GBR_ENG_Emley.Moor.033450_TMYx.zip")</f>
        <v>https://climate.onebuilding.org/WMO_Region_6_Europe/GBR_United_Kingdom/ENG_England/GBR_ENG_Emley.Moor.033450_TMYx.zip</v>
      </c>
    </row>
    <row r="5333" spans="1:10" x14ac:dyDescent="0.25">
      <c r="A5333" t="s">
        <v>3587</v>
      </c>
      <c r="B5333" t="s">
        <v>3630</v>
      </c>
      <c r="C5333" t="s">
        <v>4033</v>
      </c>
      <c r="D5333" s="1" t="s">
        <v>4034</v>
      </c>
      <c r="E5333" t="s">
        <v>4035</v>
      </c>
      <c r="F5333">
        <v>53.6</v>
      </c>
      <c r="G5333">
        <v>-1.667</v>
      </c>
      <c r="H5333">
        <v>0</v>
      </c>
      <c r="I5333">
        <v>267</v>
      </c>
      <c r="J5333" t="str">
        <f>HYPERLINK("https://climate.onebuilding.org/WMO_Region_6_Europe/GBR_United_Kingdom/ENG_England/GBR_ENG_Shelley-Emley.Moor.033460_TMYx.2004-2018.zip")</f>
        <v>https://climate.onebuilding.org/WMO_Region_6_Europe/GBR_United_Kingdom/ENG_England/GBR_ENG_Shelley-Emley.Moor.033460_TMYx.2004-2018.zip</v>
      </c>
    </row>
    <row r="5334" spans="1:10" x14ac:dyDescent="0.25">
      <c r="A5334" t="s">
        <v>3587</v>
      </c>
      <c r="B5334" t="s">
        <v>3630</v>
      </c>
      <c r="C5334" t="s">
        <v>4033</v>
      </c>
      <c r="D5334" s="1" t="s">
        <v>4034</v>
      </c>
      <c r="E5334" t="s">
        <v>14</v>
      </c>
      <c r="F5334">
        <v>53.612000000000002</v>
      </c>
      <c r="G5334">
        <v>-1.667</v>
      </c>
      <c r="H5334">
        <v>0</v>
      </c>
      <c r="I5334">
        <v>267</v>
      </c>
      <c r="J5334" t="str">
        <f>HYPERLINK("https://climate.onebuilding.org/WMO_Region_6_Europe/GBR_United_Kingdom/ENG_England/GBR_ENG_Shelley-Emley.Moor.033460_TMYx.2007-2021.zip")</f>
        <v>https://climate.onebuilding.org/WMO_Region_6_Europe/GBR_United_Kingdom/ENG_England/GBR_ENG_Shelley-Emley.Moor.033460_TMYx.2007-2021.zip</v>
      </c>
    </row>
    <row r="5335" spans="1:10" x14ac:dyDescent="0.25">
      <c r="A5335" t="s">
        <v>3587</v>
      </c>
      <c r="B5335" t="s">
        <v>3630</v>
      </c>
      <c r="C5335" t="s">
        <v>4033</v>
      </c>
      <c r="D5335" s="1" t="s">
        <v>4034</v>
      </c>
      <c r="E5335" t="s">
        <v>14</v>
      </c>
      <c r="F5335">
        <v>53.612000000000002</v>
      </c>
      <c r="G5335">
        <v>-1.667</v>
      </c>
      <c r="H5335">
        <v>0</v>
      </c>
      <c r="I5335">
        <v>267</v>
      </c>
      <c r="J5335" t="str">
        <f>HYPERLINK("https://climate.onebuilding.org/WMO_Region_6_Europe/GBR_United_Kingdom/ENG_England/GBR_ENG_Shelley-Emley.Moor.033460_TMYx.2009-2023.zip")</f>
        <v>https://climate.onebuilding.org/WMO_Region_6_Europe/GBR_United_Kingdom/ENG_England/GBR_ENG_Shelley-Emley.Moor.033460_TMYx.2009-2023.zip</v>
      </c>
    </row>
    <row r="5336" spans="1:10" x14ac:dyDescent="0.25">
      <c r="A5336" t="s">
        <v>3587</v>
      </c>
      <c r="B5336" t="s">
        <v>3630</v>
      </c>
      <c r="C5336" t="s">
        <v>4033</v>
      </c>
      <c r="D5336" s="1" t="s">
        <v>4034</v>
      </c>
      <c r="E5336" t="s">
        <v>14</v>
      </c>
      <c r="F5336">
        <v>53.612000000000002</v>
      </c>
      <c r="G5336">
        <v>-1.667</v>
      </c>
      <c r="H5336">
        <v>0</v>
      </c>
      <c r="I5336">
        <v>267</v>
      </c>
      <c r="J5336" t="str">
        <f>HYPERLINK("https://climate.onebuilding.org/WMO_Region_6_Europe/GBR_United_Kingdom/ENG_England/GBR_ENG_Shelley-Emley.Moor.033460_TMYx.zip")</f>
        <v>https://climate.onebuilding.org/WMO_Region_6_Europe/GBR_United_Kingdom/ENG_England/GBR_ENG_Shelley-Emley.Moor.033460_TMYx.zip</v>
      </c>
    </row>
    <row r="5337" spans="1:10" x14ac:dyDescent="0.25">
      <c r="A5337" t="s">
        <v>3587</v>
      </c>
      <c r="B5337" t="s">
        <v>3630</v>
      </c>
      <c r="C5337" t="s">
        <v>4036</v>
      </c>
      <c r="D5337" s="1" t="s">
        <v>4037</v>
      </c>
      <c r="E5337" t="s">
        <v>4038</v>
      </c>
      <c r="F5337">
        <v>53.866</v>
      </c>
      <c r="G5337">
        <v>-1.661</v>
      </c>
      <c r="H5337">
        <v>0</v>
      </c>
      <c r="I5337">
        <v>207.6</v>
      </c>
      <c r="J5337" t="str">
        <f>HYPERLINK("https://climate.onebuilding.org/WMO_Region_6_Europe/GBR_United_Kingdom/ENG_England/GBR_ENG_Leeds.Bradford.AP.033463_TMYx.2004-2018.zip")</f>
        <v>https://climate.onebuilding.org/WMO_Region_6_Europe/GBR_United_Kingdom/ENG_England/GBR_ENG_Leeds.Bradford.AP.033463_TMYx.2004-2018.zip</v>
      </c>
    </row>
    <row r="5338" spans="1:10" x14ac:dyDescent="0.25">
      <c r="A5338" t="s">
        <v>3587</v>
      </c>
      <c r="B5338" t="s">
        <v>3630</v>
      </c>
      <c r="C5338" t="s">
        <v>4036</v>
      </c>
      <c r="D5338" s="1" t="s">
        <v>4037</v>
      </c>
      <c r="E5338" t="s">
        <v>14</v>
      </c>
      <c r="F5338">
        <v>53.866</v>
      </c>
      <c r="G5338">
        <v>-1.661</v>
      </c>
      <c r="H5338">
        <v>0</v>
      </c>
      <c r="I5338">
        <v>207.6</v>
      </c>
      <c r="J5338" t="str">
        <f>HYPERLINK("https://climate.onebuilding.org/WMO_Region_6_Europe/GBR_United_Kingdom/ENG_England/GBR_ENG_Leeds.Bradford.AP.033463_TMYx.2007-2021.zip")</f>
        <v>https://climate.onebuilding.org/WMO_Region_6_Europe/GBR_United_Kingdom/ENG_England/GBR_ENG_Leeds.Bradford.AP.033463_TMYx.2007-2021.zip</v>
      </c>
    </row>
    <row r="5339" spans="1:10" x14ac:dyDescent="0.25">
      <c r="A5339" t="s">
        <v>3587</v>
      </c>
      <c r="B5339" t="s">
        <v>3630</v>
      </c>
      <c r="C5339" t="s">
        <v>4036</v>
      </c>
      <c r="D5339" s="1" t="s">
        <v>4037</v>
      </c>
      <c r="E5339" t="s">
        <v>14</v>
      </c>
      <c r="F5339">
        <v>53.866</v>
      </c>
      <c r="G5339">
        <v>-1.661</v>
      </c>
      <c r="H5339">
        <v>0</v>
      </c>
      <c r="I5339">
        <v>207.6</v>
      </c>
      <c r="J5339" t="str">
        <f>HYPERLINK("https://climate.onebuilding.org/WMO_Region_6_Europe/GBR_United_Kingdom/ENG_England/GBR_ENG_Leeds.Bradford.AP.033463_TMYx.2009-2023.zip")</f>
        <v>https://climate.onebuilding.org/WMO_Region_6_Europe/GBR_United_Kingdom/ENG_England/GBR_ENG_Leeds.Bradford.AP.033463_TMYx.2009-2023.zip</v>
      </c>
    </row>
    <row r="5340" spans="1:10" x14ac:dyDescent="0.25">
      <c r="A5340" t="s">
        <v>3587</v>
      </c>
      <c r="B5340" t="s">
        <v>3630</v>
      </c>
      <c r="C5340" t="s">
        <v>4036</v>
      </c>
      <c r="D5340" s="1" t="s">
        <v>4037</v>
      </c>
      <c r="E5340" t="s">
        <v>14</v>
      </c>
      <c r="F5340">
        <v>53.866</v>
      </c>
      <c r="G5340">
        <v>-1.661</v>
      </c>
      <c r="H5340">
        <v>0</v>
      </c>
      <c r="I5340">
        <v>207.6</v>
      </c>
      <c r="J5340" t="str">
        <f>HYPERLINK("https://climate.onebuilding.org/WMO_Region_6_Europe/GBR_United_Kingdom/ENG_England/GBR_ENG_Leeds.Bradford.AP.033463_TMYx.zip")</f>
        <v>https://climate.onebuilding.org/WMO_Region_6_Europe/GBR_United_Kingdom/ENG_England/GBR_ENG_Leeds.Bradford.AP.033463_TMYx.zip</v>
      </c>
    </row>
    <row r="5341" spans="1:10" x14ac:dyDescent="0.25">
      <c r="A5341" t="s">
        <v>3587</v>
      </c>
      <c r="B5341" t="s">
        <v>3630</v>
      </c>
      <c r="C5341" t="s">
        <v>4039</v>
      </c>
      <c r="D5341" s="1" t="s">
        <v>4040</v>
      </c>
      <c r="E5341" t="s">
        <v>4041</v>
      </c>
      <c r="F5341">
        <v>50.12</v>
      </c>
      <c r="G5341">
        <v>-5.52</v>
      </c>
      <c r="H5341">
        <v>0</v>
      </c>
      <c r="I5341">
        <v>4</v>
      </c>
      <c r="J5341" t="str">
        <f>HYPERLINK("https://climate.onebuilding.org/WMO_Region_6_Europe/GBR_United_Kingdom/ENG_England/GBR_ENG_Penzance.Helo.033464_TMYx.2004-2018.zip")</f>
        <v>https://climate.onebuilding.org/WMO_Region_6_Europe/GBR_United_Kingdom/ENG_England/GBR_ENG_Penzance.Helo.033464_TMYx.2004-2018.zip</v>
      </c>
    </row>
    <row r="5342" spans="1:10" x14ac:dyDescent="0.25">
      <c r="A5342" t="s">
        <v>3587</v>
      </c>
      <c r="B5342" t="s">
        <v>3630</v>
      </c>
      <c r="C5342" t="s">
        <v>4039</v>
      </c>
      <c r="D5342" s="1" t="s">
        <v>4040</v>
      </c>
      <c r="E5342" t="s">
        <v>14</v>
      </c>
      <c r="F5342">
        <v>50.12</v>
      </c>
      <c r="G5342">
        <v>-5.52</v>
      </c>
      <c r="H5342">
        <v>0</v>
      </c>
      <c r="I5342">
        <v>4</v>
      </c>
      <c r="J5342" t="str">
        <f>HYPERLINK("https://climate.onebuilding.org/WMO_Region_6_Europe/GBR_United_Kingdom/ENG_England/GBR_ENG_Penzance.Helo.033464_TMYx.2007-2021.zip")</f>
        <v>https://climate.onebuilding.org/WMO_Region_6_Europe/GBR_United_Kingdom/ENG_England/GBR_ENG_Penzance.Helo.033464_TMYx.2007-2021.zip</v>
      </c>
    </row>
    <row r="5343" spans="1:10" x14ac:dyDescent="0.25">
      <c r="A5343" t="s">
        <v>3587</v>
      </c>
      <c r="B5343" t="s">
        <v>3630</v>
      </c>
      <c r="C5343" t="s">
        <v>4039</v>
      </c>
      <c r="D5343" s="1" t="s">
        <v>4040</v>
      </c>
      <c r="E5343" t="s">
        <v>14</v>
      </c>
      <c r="F5343">
        <v>50.12</v>
      </c>
      <c r="G5343">
        <v>-5.52</v>
      </c>
      <c r="H5343">
        <v>0</v>
      </c>
      <c r="I5343">
        <v>4</v>
      </c>
      <c r="J5343" t="str">
        <f>HYPERLINK("https://climate.onebuilding.org/WMO_Region_6_Europe/GBR_United_Kingdom/ENG_England/GBR_ENG_Penzance.Helo.033464_TMYx.zip")</f>
        <v>https://climate.onebuilding.org/WMO_Region_6_Europe/GBR_United_Kingdom/ENG_England/GBR_ENG_Penzance.Helo.033464_TMYx.zip</v>
      </c>
    </row>
    <row r="5344" spans="1:10" x14ac:dyDescent="0.25">
      <c r="A5344" t="s">
        <v>3587</v>
      </c>
      <c r="B5344" t="s">
        <v>3630</v>
      </c>
      <c r="C5344" t="s">
        <v>4042</v>
      </c>
      <c r="D5344" s="1" t="s">
        <v>4043</v>
      </c>
      <c r="E5344" t="s">
        <v>4044</v>
      </c>
      <c r="F5344">
        <v>50.433</v>
      </c>
      <c r="G5344">
        <v>-4.9829999999999997</v>
      </c>
      <c r="H5344">
        <v>0</v>
      </c>
      <c r="I5344">
        <v>119</v>
      </c>
      <c r="J5344" t="str">
        <f>HYPERLINK("https://climate.onebuilding.org/WMO_Region_6_Europe/GBR_United_Kingdom/ENG_England/GBR_ENG_Newquay-Cornwall.AP.033465_TMYx.2004-2018.zip")</f>
        <v>https://climate.onebuilding.org/WMO_Region_6_Europe/GBR_United_Kingdom/ENG_England/GBR_ENG_Newquay-Cornwall.AP.033465_TMYx.2004-2018.zip</v>
      </c>
    </row>
    <row r="5345" spans="1:10" x14ac:dyDescent="0.25">
      <c r="A5345" t="s">
        <v>3587</v>
      </c>
      <c r="B5345" t="s">
        <v>3630</v>
      </c>
      <c r="C5345" t="s">
        <v>4042</v>
      </c>
      <c r="D5345" s="1" t="s">
        <v>4043</v>
      </c>
      <c r="E5345" t="s">
        <v>14</v>
      </c>
      <c r="F5345">
        <v>50.433</v>
      </c>
      <c r="G5345">
        <v>-4.9829999999999997</v>
      </c>
      <c r="H5345">
        <v>0</v>
      </c>
      <c r="I5345">
        <v>119</v>
      </c>
      <c r="J5345" t="str">
        <f>HYPERLINK("https://climate.onebuilding.org/WMO_Region_6_Europe/GBR_United_Kingdom/ENG_England/GBR_ENG_Newquay-Cornwall.AP.033465_TMYx.2007-2021.zip")</f>
        <v>https://climate.onebuilding.org/WMO_Region_6_Europe/GBR_United_Kingdom/ENG_England/GBR_ENG_Newquay-Cornwall.AP.033465_TMYx.2007-2021.zip</v>
      </c>
    </row>
    <row r="5346" spans="1:10" x14ac:dyDescent="0.25">
      <c r="A5346" t="s">
        <v>3587</v>
      </c>
      <c r="B5346" t="s">
        <v>3630</v>
      </c>
      <c r="C5346" t="s">
        <v>4042</v>
      </c>
      <c r="D5346" s="1" t="s">
        <v>4043</v>
      </c>
      <c r="E5346" t="s">
        <v>14</v>
      </c>
      <c r="F5346">
        <v>50.433</v>
      </c>
      <c r="G5346">
        <v>-4.9829999999999997</v>
      </c>
      <c r="H5346">
        <v>0</v>
      </c>
      <c r="I5346">
        <v>119</v>
      </c>
      <c r="J5346" t="str">
        <f>HYPERLINK("https://climate.onebuilding.org/WMO_Region_6_Europe/GBR_United_Kingdom/ENG_England/GBR_ENG_Newquay-Cornwall.AP.033465_TMYx.2009-2023.zip")</f>
        <v>https://climate.onebuilding.org/WMO_Region_6_Europe/GBR_United_Kingdom/ENG_England/GBR_ENG_Newquay-Cornwall.AP.033465_TMYx.2009-2023.zip</v>
      </c>
    </row>
    <row r="5347" spans="1:10" x14ac:dyDescent="0.25">
      <c r="A5347" t="s">
        <v>3587</v>
      </c>
      <c r="B5347" t="s">
        <v>3630</v>
      </c>
      <c r="C5347" t="s">
        <v>4042</v>
      </c>
      <c r="D5347" s="1" t="s">
        <v>4043</v>
      </c>
      <c r="E5347" t="s">
        <v>14</v>
      </c>
      <c r="F5347">
        <v>50.433</v>
      </c>
      <c r="G5347">
        <v>-4.9829999999999997</v>
      </c>
      <c r="H5347">
        <v>0</v>
      </c>
      <c r="I5347">
        <v>119</v>
      </c>
      <c r="J5347" t="str">
        <f>HYPERLINK("https://climate.onebuilding.org/WMO_Region_6_Europe/GBR_United_Kingdom/ENG_England/GBR_ENG_Newquay-Cornwall.AP.033465_TMYx.zip")</f>
        <v>https://climate.onebuilding.org/WMO_Region_6_Europe/GBR_United_Kingdom/ENG_England/GBR_ENG_Newquay-Cornwall.AP.033465_TMYx.zip</v>
      </c>
    </row>
    <row r="5348" spans="1:10" x14ac:dyDescent="0.25">
      <c r="A5348" t="s">
        <v>3587</v>
      </c>
      <c r="B5348" t="s">
        <v>3630</v>
      </c>
      <c r="C5348" t="s">
        <v>4045</v>
      </c>
      <c r="D5348" s="1" t="s">
        <v>4046</v>
      </c>
      <c r="E5348" t="s">
        <v>14</v>
      </c>
      <c r="F5348">
        <v>53.8</v>
      </c>
      <c r="G5348">
        <v>-1.55</v>
      </c>
      <c r="H5348">
        <v>0</v>
      </c>
      <c r="I5348">
        <v>47</v>
      </c>
      <c r="J5348" t="str">
        <f>HYPERLINK("https://climate.onebuilding.org/WMO_Region_6_Europe/GBR_United_Kingdom/ENG_England/GBR_ENG_Leeds.Wea.Ctr.033470_TMYx.zip")</f>
        <v>https://climate.onebuilding.org/WMO_Region_6_Europe/GBR_United_Kingdom/ENG_England/GBR_ENG_Leeds.Wea.Ctr.033470_TMYx.zip</v>
      </c>
    </row>
    <row r="5349" spans="1:10" x14ac:dyDescent="0.25">
      <c r="A5349" t="s">
        <v>3587</v>
      </c>
      <c r="B5349" t="s">
        <v>3630</v>
      </c>
      <c r="C5349" t="s">
        <v>4047</v>
      </c>
      <c r="D5349" s="1" t="s">
        <v>4048</v>
      </c>
      <c r="E5349" t="s">
        <v>4049</v>
      </c>
      <c r="F5349">
        <v>53.332999999999998</v>
      </c>
      <c r="G5349">
        <v>-2.15</v>
      </c>
      <c r="H5349">
        <v>0</v>
      </c>
      <c r="I5349">
        <v>88</v>
      </c>
      <c r="J5349" t="str">
        <f>HYPERLINK("https://climate.onebuilding.org/WMO_Region_6_Europe/GBR_United_Kingdom/ENG_England/GBR_ENG_Woodford.AP.033480_TMYx.2004-2018.zip")</f>
        <v>https://climate.onebuilding.org/WMO_Region_6_Europe/GBR_United_Kingdom/ENG_England/GBR_ENG_Woodford.AP.033480_TMYx.2004-2018.zip</v>
      </c>
    </row>
    <row r="5350" spans="1:10" x14ac:dyDescent="0.25">
      <c r="A5350" t="s">
        <v>3587</v>
      </c>
      <c r="B5350" t="s">
        <v>3630</v>
      </c>
      <c r="C5350" t="s">
        <v>4047</v>
      </c>
      <c r="D5350" s="1" t="s">
        <v>4048</v>
      </c>
      <c r="E5350" t="s">
        <v>14</v>
      </c>
      <c r="F5350">
        <v>53.332999999999998</v>
      </c>
      <c r="G5350">
        <v>-2.15</v>
      </c>
      <c r="H5350">
        <v>0</v>
      </c>
      <c r="I5350">
        <v>88</v>
      </c>
      <c r="J5350" t="str">
        <f>HYPERLINK("https://climate.onebuilding.org/WMO_Region_6_Europe/GBR_United_Kingdom/ENG_England/GBR_ENG_Woodford.AP.033480_TMYx.2007-2021.zip")</f>
        <v>https://climate.onebuilding.org/WMO_Region_6_Europe/GBR_United_Kingdom/ENG_England/GBR_ENG_Woodford.AP.033480_TMYx.2007-2021.zip</v>
      </c>
    </row>
    <row r="5351" spans="1:10" x14ac:dyDescent="0.25">
      <c r="A5351" t="s">
        <v>3587</v>
      </c>
      <c r="B5351" t="s">
        <v>3630</v>
      </c>
      <c r="C5351" t="s">
        <v>4047</v>
      </c>
      <c r="D5351" s="1" t="s">
        <v>4048</v>
      </c>
      <c r="E5351" t="s">
        <v>14</v>
      </c>
      <c r="F5351">
        <v>53.332999999999998</v>
      </c>
      <c r="G5351">
        <v>-2.15</v>
      </c>
      <c r="H5351">
        <v>0</v>
      </c>
      <c r="I5351">
        <v>88</v>
      </c>
      <c r="J5351" t="str">
        <f>HYPERLINK("https://climate.onebuilding.org/WMO_Region_6_Europe/GBR_United_Kingdom/ENG_England/GBR_ENG_Woodford.AP.033480_TMYx.zip")</f>
        <v>https://climate.onebuilding.org/WMO_Region_6_Europe/GBR_United_Kingdom/ENG_England/GBR_ENG_Woodford.AP.033480_TMYx.zip</v>
      </c>
    </row>
    <row r="5352" spans="1:10" x14ac:dyDescent="0.25">
      <c r="A5352" t="s">
        <v>3587</v>
      </c>
      <c r="B5352" t="s">
        <v>3630</v>
      </c>
      <c r="C5352" t="s">
        <v>4050</v>
      </c>
      <c r="D5352" s="1" t="s">
        <v>4051</v>
      </c>
      <c r="E5352" t="s">
        <v>4052</v>
      </c>
      <c r="F5352">
        <v>53.366999999999997</v>
      </c>
      <c r="G5352">
        <v>-2.383</v>
      </c>
      <c r="H5352">
        <v>0</v>
      </c>
      <c r="I5352">
        <v>35</v>
      </c>
      <c r="J5352" t="str">
        <f>HYPERLINK("https://climate.onebuilding.org/WMO_Region_6_Europe/GBR_United_Kingdom/ENG_England/GBR_ENG_Rostherne.No.033510_TMYx.2004-2018.zip")</f>
        <v>https://climate.onebuilding.org/WMO_Region_6_Europe/GBR_United_Kingdom/ENG_England/GBR_ENG_Rostherne.No.033510_TMYx.2004-2018.zip</v>
      </c>
    </row>
    <row r="5353" spans="1:10" x14ac:dyDescent="0.25">
      <c r="A5353" t="s">
        <v>3587</v>
      </c>
      <c r="B5353" t="s">
        <v>3630</v>
      </c>
      <c r="C5353" t="s">
        <v>4050</v>
      </c>
      <c r="D5353" s="1" t="s">
        <v>4051</v>
      </c>
      <c r="E5353" t="s">
        <v>14</v>
      </c>
      <c r="F5353">
        <v>53.366999999999997</v>
      </c>
      <c r="G5353">
        <v>-2.383</v>
      </c>
      <c r="H5353">
        <v>0</v>
      </c>
      <c r="I5353">
        <v>35</v>
      </c>
      <c r="J5353" t="str">
        <f>HYPERLINK("https://climate.onebuilding.org/WMO_Region_6_Europe/GBR_United_Kingdom/ENG_England/GBR_ENG_Rostherne.No.033510_TMYx.2007-2021.zip")</f>
        <v>https://climate.onebuilding.org/WMO_Region_6_Europe/GBR_United_Kingdom/ENG_England/GBR_ENG_Rostherne.No.033510_TMYx.2007-2021.zip</v>
      </c>
    </row>
    <row r="5354" spans="1:10" x14ac:dyDescent="0.25">
      <c r="A5354" t="s">
        <v>3587</v>
      </c>
      <c r="B5354" t="s">
        <v>3630</v>
      </c>
      <c r="C5354" t="s">
        <v>4050</v>
      </c>
      <c r="D5354" s="1" t="s">
        <v>4051</v>
      </c>
      <c r="E5354" t="s">
        <v>14</v>
      </c>
      <c r="F5354">
        <v>53.366999999999997</v>
      </c>
      <c r="G5354">
        <v>-2.383</v>
      </c>
      <c r="H5354">
        <v>0</v>
      </c>
      <c r="I5354">
        <v>35</v>
      </c>
      <c r="J5354" t="str">
        <f>HYPERLINK("https://climate.onebuilding.org/WMO_Region_6_Europe/GBR_United_Kingdom/ENG_England/GBR_ENG_Rostherne.No.033510_TMYx.2009-2023.zip")</f>
        <v>https://climate.onebuilding.org/WMO_Region_6_Europe/GBR_United_Kingdom/ENG_England/GBR_ENG_Rostherne.No.033510_TMYx.2009-2023.zip</v>
      </c>
    </row>
    <row r="5355" spans="1:10" x14ac:dyDescent="0.25">
      <c r="A5355" t="s">
        <v>3587</v>
      </c>
      <c r="B5355" t="s">
        <v>3630</v>
      </c>
      <c r="C5355" t="s">
        <v>4050</v>
      </c>
      <c r="D5355" s="1" t="s">
        <v>4051</v>
      </c>
      <c r="E5355" t="s">
        <v>14</v>
      </c>
      <c r="F5355">
        <v>53.366999999999997</v>
      </c>
      <c r="G5355">
        <v>-2.383</v>
      </c>
      <c r="H5355">
        <v>0</v>
      </c>
      <c r="I5355">
        <v>35</v>
      </c>
      <c r="J5355" t="str">
        <f>HYPERLINK("https://climate.onebuilding.org/WMO_Region_6_Europe/GBR_United_Kingdom/ENG_England/GBR_ENG_Rostherne.No.033510_TMYx.zip")</f>
        <v>https://climate.onebuilding.org/WMO_Region_6_Europe/GBR_United_Kingdom/ENG_England/GBR_ENG_Rostherne.No.033510_TMYx.zip</v>
      </c>
    </row>
    <row r="5356" spans="1:10" x14ac:dyDescent="0.25">
      <c r="A5356" t="s">
        <v>3587</v>
      </c>
      <c r="B5356" t="s">
        <v>3630</v>
      </c>
      <c r="C5356" t="s">
        <v>4053</v>
      </c>
      <c r="D5356" s="1" t="s">
        <v>4054</v>
      </c>
      <c r="E5356" t="s">
        <v>4055</v>
      </c>
      <c r="F5356">
        <v>53</v>
      </c>
      <c r="G5356">
        <v>-1.25</v>
      </c>
      <c r="H5356">
        <v>0</v>
      </c>
      <c r="I5356">
        <v>117</v>
      </c>
      <c r="J5356" t="str">
        <f>HYPERLINK("https://climate.onebuilding.org/WMO_Region_6_Europe/GBR_United_Kingdom/ENG_England/GBR_ENG_Nottingham.Watnall.033540_TMYx.2004-2018.zip")</f>
        <v>https://climate.onebuilding.org/WMO_Region_6_Europe/GBR_United_Kingdom/ENG_England/GBR_ENG_Nottingham.Watnall.033540_TMYx.2004-2018.zip</v>
      </c>
    </row>
    <row r="5357" spans="1:10" x14ac:dyDescent="0.25">
      <c r="A5357" t="s">
        <v>3587</v>
      </c>
      <c r="B5357" t="s">
        <v>3630</v>
      </c>
      <c r="C5357" t="s">
        <v>4053</v>
      </c>
      <c r="D5357" s="1" t="s">
        <v>4054</v>
      </c>
      <c r="E5357" t="s">
        <v>14</v>
      </c>
      <c r="F5357">
        <v>53.005600000000001</v>
      </c>
      <c r="G5357">
        <v>-1.2511000000000001</v>
      </c>
      <c r="H5357">
        <v>0</v>
      </c>
      <c r="I5357">
        <v>117</v>
      </c>
      <c r="J5357" t="str">
        <f>HYPERLINK("https://climate.onebuilding.org/WMO_Region_6_Europe/GBR_United_Kingdom/ENG_England/GBR_ENG_Nottingham.Watnall.033540_TMYx.2007-2021.zip")</f>
        <v>https://climate.onebuilding.org/WMO_Region_6_Europe/GBR_United_Kingdom/ENG_England/GBR_ENG_Nottingham.Watnall.033540_TMYx.2007-2021.zip</v>
      </c>
    </row>
    <row r="5358" spans="1:10" x14ac:dyDescent="0.25">
      <c r="A5358" t="s">
        <v>3587</v>
      </c>
      <c r="B5358" t="s">
        <v>3630</v>
      </c>
      <c r="C5358" t="s">
        <v>4053</v>
      </c>
      <c r="D5358" s="1" t="s">
        <v>4054</v>
      </c>
      <c r="E5358" t="s">
        <v>14</v>
      </c>
      <c r="F5358">
        <v>53.005600000000001</v>
      </c>
      <c r="G5358">
        <v>-1.2511000000000001</v>
      </c>
      <c r="H5358">
        <v>0</v>
      </c>
      <c r="I5358">
        <v>117</v>
      </c>
      <c r="J5358" t="str">
        <f>HYPERLINK("https://climate.onebuilding.org/WMO_Region_6_Europe/GBR_United_Kingdom/ENG_England/GBR_ENG_Nottingham.Watnall.033540_TMYx.2009-2023.zip")</f>
        <v>https://climate.onebuilding.org/WMO_Region_6_Europe/GBR_United_Kingdom/ENG_England/GBR_ENG_Nottingham.Watnall.033540_TMYx.2009-2023.zip</v>
      </c>
    </row>
    <row r="5359" spans="1:10" x14ac:dyDescent="0.25">
      <c r="A5359" t="s">
        <v>3587</v>
      </c>
      <c r="B5359" t="s">
        <v>3630</v>
      </c>
      <c r="C5359" t="s">
        <v>4053</v>
      </c>
      <c r="D5359" s="1" t="s">
        <v>4054</v>
      </c>
      <c r="E5359" t="s">
        <v>14</v>
      </c>
      <c r="F5359">
        <v>53.005600000000001</v>
      </c>
      <c r="G5359">
        <v>-1.2511000000000001</v>
      </c>
      <c r="H5359">
        <v>0</v>
      </c>
      <c r="I5359">
        <v>117</v>
      </c>
      <c r="J5359" t="str">
        <f>HYPERLINK("https://climate.onebuilding.org/WMO_Region_6_Europe/GBR_United_Kingdom/ENG_England/GBR_ENG_Nottingham.Watnall.033540_TMYx.zip")</f>
        <v>https://climate.onebuilding.org/WMO_Region_6_Europe/GBR_United_Kingdom/ENG_England/GBR_ENG_Nottingham.Watnall.033540_TMYx.zip</v>
      </c>
    </row>
    <row r="5360" spans="1:10" x14ac:dyDescent="0.25">
      <c r="A5360" t="s">
        <v>3587</v>
      </c>
      <c r="B5360" t="s">
        <v>3630</v>
      </c>
      <c r="C5360" t="s">
        <v>4056</v>
      </c>
      <c r="D5360" s="1" t="s">
        <v>4057</v>
      </c>
      <c r="E5360" t="s">
        <v>4058</v>
      </c>
      <c r="F5360">
        <v>53.834000000000003</v>
      </c>
      <c r="G5360">
        <v>-1.196</v>
      </c>
      <c r="H5360">
        <v>0</v>
      </c>
      <c r="I5360">
        <v>8.8000000000000007</v>
      </c>
      <c r="J5360" t="str">
        <f>HYPERLINK("https://climate.onebuilding.org/WMO_Region_6_Europe/GBR_United_Kingdom/ENG_England/GBR_ENG_RAF.Church.Fenton.033550_TMYx.2004-2018.zip")</f>
        <v>https://climate.onebuilding.org/WMO_Region_6_Europe/GBR_United_Kingdom/ENG_England/GBR_ENG_RAF.Church.Fenton.033550_TMYx.2004-2018.zip</v>
      </c>
    </row>
    <row r="5361" spans="1:10" x14ac:dyDescent="0.25">
      <c r="A5361" t="s">
        <v>3587</v>
      </c>
      <c r="B5361" t="s">
        <v>3630</v>
      </c>
      <c r="C5361" t="s">
        <v>4056</v>
      </c>
      <c r="D5361" s="1" t="s">
        <v>4057</v>
      </c>
      <c r="E5361" t="s">
        <v>14</v>
      </c>
      <c r="F5361">
        <v>53.834000000000003</v>
      </c>
      <c r="G5361">
        <v>-1.196</v>
      </c>
      <c r="H5361">
        <v>0</v>
      </c>
      <c r="I5361">
        <v>8.8000000000000007</v>
      </c>
      <c r="J5361" t="str">
        <f>HYPERLINK("https://climate.onebuilding.org/WMO_Region_6_Europe/GBR_United_Kingdom/ENG_England/GBR_ENG_RAF.Church.Fenton.033550_TMYx.2007-2021.zip")</f>
        <v>https://climate.onebuilding.org/WMO_Region_6_Europe/GBR_United_Kingdom/ENG_England/GBR_ENG_RAF.Church.Fenton.033550_TMYx.2007-2021.zip</v>
      </c>
    </row>
    <row r="5362" spans="1:10" x14ac:dyDescent="0.25">
      <c r="A5362" t="s">
        <v>3587</v>
      </c>
      <c r="B5362" t="s">
        <v>3630</v>
      </c>
      <c r="C5362" t="s">
        <v>4056</v>
      </c>
      <c r="D5362" s="1" t="s">
        <v>4057</v>
      </c>
      <c r="E5362" t="s">
        <v>14</v>
      </c>
      <c r="F5362">
        <v>53.834000000000003</v>
      </c>
      <c r="G5362">
        <v>-1.196</v>
      </c>
      <c r="H5362">
        <v>0</v>
      </c>
      <c r="I5362">
        <v>8.8000000000000007</v>
      </c>
      <c r="J5362" t="str">
        <f>HYPERLINK("https://climate.onebuilding.org/WMO_Region_6_Europe/GBR_United_Kingdom/ENG_England/GBR_ENG_RAF.Church.Fenton.033550_TMYx.2009-2023.zip")</f>
        <v>https://climate.onebuilding.org/WMO_Region_6_Europe/GBR_United_Kingdom/ENG_England/GBR_ENG_RAF.Church.Fenton.033550_TMYx.2009-2023.zip</v>
      </c>
    </row>
    <row r="5363" spans="1:10" x14ac:dyDescent="0.25">
      <c r="A5363" t="s">
        <v>3587</v>
      </c>
      <c r="B5363" t="s">
        <v>3630</v>
      </c>
      <c r="C5363" t="s">
        <v>4056</v>
      </c>
      <c r="D5363" s="1" t="s">
        <v>4057</v>
      </c>
      <c r="E5363" t="s">
        <v>14</v>
      </c>
      <c r="F5363">
        <v>53.834000000000003</v>
      </c>
      <c r="G5363">
        <v>-1.196</v>
      </c>
      <c r="H5363">
        <v>0</v>
      </c>
      <c r="I5363">
        <v>8.8000000000000007</v>
      </c>
      <c r="J5363" t="str">
        <f>HYPERLINK("https://climate.onebuilding.org/WMO_Region_6_Europe/GBR_United_Kingdom/ENG_England/GBR_ENG_RAF.Church.Fenton.033550_TMYx.zip")</f>
        <v>https://climate.onebuilding.org/WMO_Region_6_Europe/GBR_United_Kingdom/ENG_England/GBR_ENG_RAF.Church.Fenton.033550_TMYx.zip</v>
      </c>
    </row>
    <row r="5364" spans="1:10" x14ac:dyDescent="0.25">
      <c r="A5364" t="s">
        <v>3587</v>
      </c>
      <c r="B5364" t="s">
        <v>3630</v>
      </c>
      <c r="C5364" t="s">
        <v>4059</v>
      </c>
      <c r="D5364" s="1" t="s">
        <v>4060</v>
      </c>
      <c r="E5364" t="s">
        <v>14</v>
      </c>
      <c r="F5364">
        <v>52.962000000000003</v>
      </c>
      <c r="G5364">
        <v>-0.56200000000000006</v>
      </c>
      <c r="H5364">
        <v>0</v>
      </c>
      <c r="I5364">
        <v>111.9</v>
      </c>
      <c r="J5364" t="str">
        <f>HYPERLINK("https://climate.onebuilding.org/WMO_Region_6_Europe/GBR_United_Kingdom/ENG_England/GBR_ENG_Barkston.Heath.RAF.033723_TMYx.2007-2021.zip")</f>
        <v>https://climate.onebuilding.org/WMO_Region_6_Europe/GBR_United_Kingdom/ENG_England/GBR_ENG_Barkston.Heath.RAF.033723_TMYx.2007-2021.zip</v>
      </c>
    </row>
    <row r="5365" spans="1:10" x14ac:dyDescent="0.25">
      <c r="A5365" t="s">
        <v>3587</v>
      </c>
      <c r="B5365" t="s">
        <v>3630</v>
      </c>
      <c r="C5365" t="s">
        <v>4059</v>
      </c>
      <c r="D5365" s="1" t="s">
        <v>4060</v>
      </c>
      <c r="E5365" t="s">
        <v>14</v>
      </c>
      <c r="F5365">
        <v>52.962000000000003</v>
      </c>
      <c r="G5365">
        <v>-0.56200000000000006</v>
      </c>
      <c r="H5365">
        <v>0</v>
      </c>
      <c r="I5365">
        <v>111.9</v>
      </c>
      <c r="J5365" t="str">
        <f>HYPERLINK("https://climate.onebuilding.org/WMO_Region_6_Europe/GBR_United_Kingdom/ENG_England/GBR_ENG_Barkston.Heath.RAF.033723_TMYx.2009-2023.zip")</f>
        <v>https://climate.onebuilding.org/WMO_Region_6_Europe/GBR_United_Kingdom/ENG_England/GBR_ENG_Barkston.Heath.RAF.033723_TMYx.2009-2023.zip</v>
      </c>
    </row>
    <row r="5366" spans="1:10" x14ac:dyDescent="0.25">
      <c r="A5366" t="s">
        <v>3587</v>
      </c>
      <c r="B5366" t="s">
        <v>3630</v>
      </c>
      <c r="C5366" t="s">
        <v>4059</v>
      </c>
      <c r="D5366" s="1" t="s">
        <v>4060</v>
      </c>
      <c r="E5366" t="s">
        <v>14</v>
      </c>
      <c r="F5366">
        <v>52.962000000000003</v>
      </c>
      <c r="G5366">
        <v>-0.56200000000000006</v>
      </c>
      <c r="H5366">
        <v>0</v>
      </c>
      <c r="I5366">
        <v>111.9</v>
      </c>
      <c r="J5366" t="str">
        <f>HYPERLINK("https://climate.onebuilding.org/WMO_Region_6_Europe/GBR_United_Kingdom/ENG_England/GBR_ENG_Barkston.Heath.RAF.033723_TMYx.zip")</f>
        <v>https://climate.onebuilding.org/WMO_Region_6_Europe/GBR_United_Kingdom/ENG_England/GBR_ENG_Barkston.Heath.RAF.033723_TMYx.zip</v>
      </c>
    </row>
    <row r="5367" spans="1:10" x14ac:dyDescent="0.25">
      <c r="A5367" t="s">
        <v>3587</v>
      </c>
      <c r="B5367" t="s">
        <v>3630</v>
      </c>
      <c r="C5367" t="s">
        <v>4061</v>
      </c>
      <c r="D5367" s="1" t="s">
        <v>4062</v>
      </c>
      <c r="E5367" t="s">
        <v>4063</v>
      </c>
      <c r="F5367">
        <v>53.308</v>
      </c>
      <c r="G5367">
        <v>-0.55100000000000005</v>
      </c>
      <c r="H5367">
        <v>0</v>
      </c>
      <c r="I5367">
        <v>61.6</v>
      </c>
      <c r="J5367" t="str">
        <f>HYPERLINK("https://climate.onebuilding.org/WMO_Region_6_Europe/GBR_United_Kingdom/ENG_England/GBR_ENG_RAF.Scampton.033730_TMYx.2004-2018.zip")</f>
        <v>https://climate.onebuilding.org/WMO_Region_6_Europe/GBR_United_Kingdom/ENG_England/GBR_ENG_RAF.Scampton.033730_TMYx.2004-2018.zip</v>
      </c>
    </row>
    <row r="5368" spans="1:10" x14ac:dyDescent="0.25">
      <c r="A5368" t="s">
        <v>3587</v>
      </c>
      <c r="B5368" t="s">
        <v>3630</v>
      </c>
      <c r="C5368" t="s">
        <v>4061</v>
      </c>
      <c r="D5368" s="1" t="s">
        <v>4062</v>
      </c>
      <c r="E5368" t="s">
        <v>14</v>
      </c>
      <c r="F5368">
        <v>53.306899999999999</v>
      </c>
      <c r="G5368">
        <v>-0.54810000000000003</v>
      </c>
      <c r="H5368">
        <v>0</v>
      </c>
      <c r="I5368">
        <v>61.6</v>
      </c>
      <c r="J5368" t="str">
        <f>HYPERLINK("https://climate.onebuilding.org/WMO_Region_6_Europe/GBR_United_Kingdom/ENG_England/GBR_ENG_RAF.Scampton.033730_TMYx.2007-2021.zip")</f>
        <v>https://climate.onebuilding.org/WMO_Region_6_Europe/GBR_United_Kingdom/ENG_England/GBR_ENG_RAF.Scampton.033730_TMYx.2007-2021.zip</v>
      </c>
    </row>
    <row r="5369" spans="1:10" x14ac:dyDescent="0.25">
      <c r="A5369" t="s">
        <v>3587</v>
      </c>
      <c r="B5369" t="s">
        <v>3630</v>
      </c>
      <c r="C5369" t="s">
        <v>4061</v>
      </c>
      <c r="D5369" s="1" t="s">
        <v>4062</v>
      </c>
      <c r="E5369" t="s">
        <v>14</v>
      </c>
      <c r="F5369">
        <v>53.306899999999999</v>
      </c>
      <c r="G5369">
        <v>-0.54810000000000003</v>
      </c>
      <c r="H5369">
        <v>0</v>
      </c>
      <c r="I5369">
        <v>61.6</v>
      </c>
      <c r="J5369" t="str">
        <f>HYPERLINK("https://climate.onebuilding.org/WMO_Region_6_Europe/GBR_United_Kingdom/ENG_England/GBR_ENG_RAF.Scampton.033730_TMYx.2009-2023.zip")</f>
        <v>https://climate.onebuilding.org/WMO_Region_6_Europe/GBR_United_Kingdom/ENG_England/GBR_ENG_RAF.Scampton.033730_TMYx.2009-2023.zip</v>
      </c>
    </row>
    <row r="5370" spans="1:10" x14ac:dyDescent="0.25">
      <c r="A5370" t="s">
        <v>3587</v>
      </c>
      <c r="B5370" t="s">
        <v>3630</v>
      </c>
      <c r="C5370" t="s">
        <v>4061</v>
      </c>
      <c r="D5370" s="1" t="s">
        <v>4062</v>
      </c>
      <c r="E5370" t="s">
        <v>14</v>
      </c>
      <c r="F5370">
        <v>53.306899999999999</v>
      </c>
      <c r="G5370">
        <v>-0.54810000000000003</v>
      </c>
      <c r="H5370">
        <v>0</v>
      </c>
      <c r="I5370">
        <v>61.6</v>
      </c>
      <c r="J5370" t="str">
        <f>HYPERLINK("https://climate.onebuilding.org/WMO_Region_6_Europe/GBR_United_Kingdom/ENG_England/GBR_ENG_RAF.Scampton.033730_TMYx.zip")</f>
        <v>https://climate.onebuilding.org/WMO_Region_6_Europe/GBR_United_Kingdom/ENG_England/GBR_ENG_RAF.Scampton.033730_TMYx.zip</v>
      </c>
    </row>
    <row r="5371" spans="1:10" x14ac:dyDescent="0.25">
      <c r="A5371" t="s">
        <v>3587</v>
      </c>
      <c r="B5371" t="s">
        <v>3630</v>
      </c>
      <c r="C5371" t="s">
        <v>4064</v>
      </c>
      <c r="D5371" s="1" t="s">
        <v>4065</v>
      </c>
      <c r="E5371" t="s">
        <v>4066</v>
      </c>
      <c r="F5371">
        <v>53.573999999999998</v>
      </c>
      <c r="G5371">
        <v>-0.35099999999999998</v>
      </c>
      <c r="H5371">
        <v>0</v>
      </c>
      <c r="I5371">
        <v>36.9</v>
      </c>
      <c r="J5371" t="str">
        <f>HYPERLINK("https://climate.onebuilding.org/WMO_Region_6_Europe/GBR_United_Kingdom/ENG_England/GBR_ENG_Humberside.AP.033735_TMYx.2004-2018.zip")</f>
        <v>https://climate.onebuilding.org/WMO_Region_6_Europe/GBR_United_Kingdom/ENG_England/GBR_ENG_Humberside.AP.033735_TMYx.2004-2018.zip</v>
      </c>
    </row>
    <row r="5372" spans="1:10" x14ac:dyDescent="0.25">
      <c r="A5372" t="s">
        <v>3587</v>
      </c>
      <c r="B5372" t="s">
        <v>3630</v>
      </c>
      <c r="C5372" t="s">
        <v>4064</v>
      </c>
      <c r="D5372" s="1" t="s">
        <v>4065</v>
      </c>
      <c r="E5372" t="s">
        <v>14</v>
      </c>
      <c r="F5372">
        <v>53.573999999999998</v>
      </c>
      <c r="G5372">
        <v>-0.35099999999999998</v>
      </c>
      <c r="H5372">
        <v>0</v>
      </c>
      <c r="I5372">
        <v>36.9</v>
      </c>
      <c r="J5372" t="str">
        <f>HYPERLINK("https://climate.onebuilding.org/WMO_Region_6_Europe/GBR_United_Kingdom/ENG_England/GBR_ENG_Humberside.AP.033735_TMYx.2007-2021.zip")</f>
        <v>https://climate.onebuilding.org/WMO_Region_6_Europe/GBR_United_Kingdom/ENG_England/GBR_ENG_Humberside.AP.033735_TMYx.2007-2021.zip</v>
      </c>
    </row>
    <row r="5373" spans="1:10" x14ac:dyDescent="0.25">
      <c r="A5373" t="s">
        <v>3587</v>
      </c>
      <c r="B5373" t="s">
        <v>3630</v>
      </c>
      <c r="C5373" t="s">
        <v>4064</v>
      </c>
      <c r="D5373" s="1" t="s">
        <v>4065</v>
      </c>
      <c r="E5373" t="s">
        <v>14</v>
      </c>
      <c r="F5373">
        <v>53.573999999999998</v>
      </c>
      <c r="G5373">
        <v>-0.35099999999999998</v>
      </c>
      <c r="H5373">
        <v>0</v>
      </c>
      <c r="I5373">
        <v>36.9</v>
      </c>
      <c r="J5373" t="str">
        <f>HYPERLINK("https://climate.onebuilding.org/WMO_Region_6_Europe/GBR_United_Kingdom/ENG_England/GBR_ENG_Humberside.AP.033735_TMYx.2009-2023.zip")</f>
        <v>https://climate.onebuilding.org/WMO_Region_6_Europe/GBR_United_Kingdom/ENG_England/GBR_ENG_Humberside.AP.033735_TMYx.2009-2023.zip</v>
      </c>
    </row>
    <row r="5374" spans="1:10" x14ac:dyDescent="0.25">
      <c r="A5374" t="s">
        <v>3587</v>
      </c>
      <c r="B5374" t="s">
        <v>3630</v>
      </c>
      <c r="C5374" t="s">
        <v>4064</v>
      </c>
      <c r="D5374" s="1" t="s">
        <v>4065</v>
      </c>
      <c r="E5374" t="s">
        <v>14</v>
      </c>
      <c r="F5374">
        <v>53.573999999999998</v>
      </c>
      <c r="G5374">
        <v>-0.35099999999999998</v>
      </c>
      <c r="H5374">
        <v>0</v>
      </c>
      <c r="I5374">
        <v>36.9</v>
      </c>
      <c r="J5374" t="str">
        <f>HYPERLINK("https://climate.onebuilding.org/WMO_Region_6_Europe/GBR_United_Kingdom/ENG_England/GBR_ENG_Humberside.AP.033735_TMYx.zip")</f>
        <v>https://climate.onebuilding.org/WMO_Region_6_Europe/GBR_United_Kingdom/ENG_England/GBR_ENG_Humberside.AP.033735_TMYx.zip</v>
      </c>
    </row>
    <row r="5375" spans="1:10" x14ac:dyDescent="0.25">
      <c r="A5375" t="s">
        <v>3587</v>
      </c>
      <c r="B5375" t="s">
        <v>3630</v>
      </c>
      <c r="C5375" t="s">
        <v>4067</v>
      </c>
      <c r="D5375" s="1" t="s">
        <v>4068</v>
      </c>
      <c r="E5375" t="s">
        <v>4069</v>
      </c>
      <c r="F5375">
        <v>53.165999999999997</v>
      </c>
      <c r="G5375">
        <v>-0.52400000000000002</v>
      </c>
      <c r="H5375">
        <v>0</v>
      </c>
      <c r="I5375">
        <v>70.400000000000006</v>
      </c>
      <c r="J5375" t="str">
        <f>HYPERLINK("https://climate.onebuilding.org/WMO_Region_6_Europe/GBR_United_Kingdom/ENG_England/GBR_ENG_RAF.Waddington.033770_TMYx.2004-2018.zip")</f>
        <v>https://climate.onebuilding.org/WMO_Region_6_Europe/GBR_United_Kingdom/ENG_England/GBR_ENG_RAF.Waddington.033770_TMYx.2004-2018.zip</v>
      </c>
    </row>
    <row r="5376" spans="1:10" x14ac:dyDescent="0.25">
      <c r="A5376" t="s">
        <v>3587</v>
      </c>
      <c r="B5376" t="s">
        <v>3630</v>
      </c>
      <c r="C5376" t="s">
        <v>4067</v>
      </c>
      <c r="D5376" s="1" t="s">
        <v>4068</v>
      </c>
      <c r="E5376" t="s">
        <v>14</v>
      </c>
      <c r="F5376">
        <v>53.1753</v>
      </c>
      <c r="G5376">
        <v>-0.52329999999999999</v>
      </c>
      <c r="H5376">
        <v>0</v>
      </c>
      <c r="I5376">
        <v>70.400000000000006</v>
      </c>
      <c r="J5376" t="str">
        <f>HYPERLINK("https://climate.onebuilding.org/WMO_Region_6_Europe/GBR_United_Kingdom/ENG_England/GBR_ENG_RAF.Waddington.033770_TMYx.2007-2021.zip")</f>
        <v>https://climate.onebuilding.org/WMO_Region_6_Europe/GBR_United_Kingdom/ENG_England/GBR_ENG_RAF.Waddington.033770_TMYx.2007-2021.zip</v>
      </c>
    </row>
    <row r="5377" spans="1:10" x14ac:dyDescent="0.25">
      <c r="A5377" t="s">
        <v>3587</v>
      </c>
      <c r="B5377" t="s">
        <v>3630</v>
      </c>
      <c r="C5377" t="s">
        <v>4067</v>
      </c>
      <c r="D5377" s="1" t="s">
        <v>4068</v>
      </c>
      <c r="E5377" t="s">
        <v>14</v>
      </c>
      <c r="F5377">
        <v>53.1753</v>
      </c>
      <c r="G5377">
        <v>-0.52329999999999999</v>
      </c>
      <c r="H5377">
        <v>0</v>
      </c>
      <c r="I5377">
        <v>70.400000000000006</v>
      </c>
      <c r="J5377" t="str">
        <f>HYPERLINK("https://climate.onebuilding.org/WMO_Region_6_Europe/GBR_United_Kingdom/ENG_England/GBR_ENG_RAF.Waddington.033770_TMYx.2009-2023.zip")</f>
        <v>https://climate.onebuilding.org/WMO_Region_6_Europe/GBR_United_Kingdom/ENG_England/GBR_ENG_RAF.Waddington.033770_TMYx.2009-2023.zip</v>
      </c>
    </row>
    <row r="5378" spans="1:10" x14ac:dyDescent="0.25">
      <c r="A5378" t="s">
        <v>3587</v>
      </c>
      <c r="B5378" t="s">
        <v>3630</v>
      </c>
      <c r="C5378" t="s">
        <v>4067</v>
      </c>
      <c r="D5378" s="1" t="s">
        <v>4068</v>
      </c>
      <c r="E5378" t="s">
        <v>14</v>
      </c>
      <c r="F5378">
        <v>53.1753</v>
      </c>
      <c r="G5378">
        <v>-0.52329999999999999</v>
      </c>
      <c r="H5378">
        <v>0</v>
      </c>
      <c r="I5378">
        <v>70.400000000000006</v>
      </c>
      <c r="J5378" t="str">
        <f>HYPERLINK("https://climate.onebuilding.org/WMO_Region_6_Europe/GBR_United_Kingdom/ENG_England/GBR_ENG_RAF.Waddington.033770_TMYx.zip")</f>
        <v>https://climate.onebuilding.org/WMO_Region_6_Europe/GBR_United_Kingdom/ENG_England/GBR_ENG_RAF.Waddington.033770_TMYx.zip</v>
      </c>
    </row>
    <row r="5379" spans="1:10" x14ac:dyDescent="0.25">
      <c r="A5379" t="s">
        <v>3587</v>
      </c>
      <c r="B5379" t="s">
        <v>3630</v>
      </c>
      <c r="C5379" t="s">
        <v>4070</v>
      </c>
      <c r="D5379" s="1" t="s">
        <v>4071</v>
      </c>
      <c r="E5379" t="s">
        <v>4072</v>
      </c>
      <c r="F5379">
        <v>53.03</v>
      </c>
      <c r="G5379">
        <v>-0.48299999999999998</v>
      </c>
      <c r="H5379">
        <v>0</v>
      </c>
      <c r="I5379">
        <v>66.400000000000006</v>
      </c>
      <c r="J5379" t="str">
        <f>HYPERLINK("https://climate.onebuilding.org/WMO_Region_6_Europe/GBR_United_Kingdom/ENG_England/GBR_ENG_Cranwell.AP.033790_TMYx.2004-2018.zip")</f>
        <v>https://climate.onebuilding.org/WMO_Region_6_Europe/GBR_United_Kingdom/ENG_England/GBR_ENG_Cranwell.AP.033790_TMYx.2004-2018.zip</v>
      </c>
    </row>
    <row r="5380" spans="1:10" x14ac:dyDescent="0.25">
      <c r="A5380" t="s">
        <v>3587</v>
      </c>
      <c r="B5380" t="s">
        <v>3630</v>
      </c>
      <c r="C5380" t="s">
        <v>4070</v>
      </c>
      <c r="D5380" s="1" t="s">
        <v>4071</v>
      </c>
      <c r="E5380" t="s">
        <v>14</v>
      </c>
      <c r="F5380">
        <v>53.031100000000002</v>
      </c>
      <c r="G5380">
        <v>-0.50360000000000005</v>
      </c>
      <c r="H5380">
        <v>0</v>
      </c>
      <c r="I5380">
        <v>66.400000000000006</v>
      </c>
      <c r="J5380" t="str">
        <f>HYPERLINK("https://climate.onebuilding.org/WMO_Region_6_Europe/GBR_United_Kingdom/ENG_England/GBR_ENG_Cranwell.AP.033790_TMYx.2007-2021.zip")</f>
        <v>https://climate.onebuilding.org/WMO_Region_6_Europe/GBR_United_Kingdom/ENG_England/GBR_ENG_Cranwell.AP.033790_TMYx.2007-2021.zip</v>
      </c>
    </row>
    <row r="5381" spans="1:10" x14ac:dyDescent="0.25">
      <c r="A5381" t="s">
        <v>3587</v>
      </c>
      <c r="B5381" t="s">
        <v>3630</v>
      </c>
      <c r="C5381" t="s">
        <v>4070</v>
      </c>
      <c r="D5381" s="1" t="s">
        <v>4071</v>
      </c>
      <c r="E5381" t="s">
        <v>14</v>
      </c>
      <c r="F5381">
        <v>53.031100000000002</v>
      </c>
      <c r="G5381">
        <v>-0.50360000000000005</v>
      </c>
      <c r="H5381">
        <v>0</v>
      </c>
      <c r="I5381">
        <v>66.400000000000006</v>
      </c>
      <c r="J5381" t="str">
        <f>HYPERLINK("https://climate.onebuilding.org/WMO_Region_6_Europe/GBR_United_Kingdom/ENG_England/GBR_ENG_Cranwell.AP.033790_TMYx.2009-2023.zip")</f>
        <v>https://climate.onebuilding.org/WMO_Region_6_Europe/GBR_United_Kingdom/ENG_England/GBR_ENG_Cranwell.AP.033790_TMYx.2009-2023.zip</v>
      </c>
    </row>
    <row r="5382" spans="1:10" x14ac:dyDescent="0.25">
      <c r="A5382" t="s">
        <v>3587</v>
      </c>
      <c r="B5382" t="s">
        <v>3630</v>
      </c>
      <c r="C5382" t="s">
        <v>4070</v>
      </c>
      <c r="D5382" s="1" t="s">
        <v>4071</v>
      </c>
      <c r="E5382" t="s">
        <v>14</v>
      </c>
      <c r="F5382">
        <v>53.031100000000002</v>
      </c>
      <c r="G5382">
        <v>-0.50360000000000005</v>
      </c>
      <c r="H5382">
        <v>0</v>
      </c>
      <c r="I5382">
        <v>66.400000000000006</v>
      </c>
      <c r="J5382" t="str">
        <f>HYPERLINK("https://climate.onebuilding.org/WMO_Region_6_Europe/GBR_United_Kingdom/ENG_England/GBR_ENG_Cranwell.AP.033790_TMYx.zip")</f>
        <v>https://climate.onebuilding.org/WMO_Region_6_Europe/GBR_United_Kingdom/ENG_England/GBR_ENG_Cranwell.AP.033790_TMYx.zip</v>
      </c>
    </row>
    <row r="5383" spans="1:10" x14ac:dyDescent="0.25">
      <c r="A5383" t="s">
        <v>3587</v>
      </c>
      <c r="B5383" t="s">
        <v>3630</v>
      </c>
      <c r="C5383" t="s">
        <v>4073</v>
      </c>
      <c r="D5383" s="1" t="s">
        <v>4074</v>
      </c>
      <c r="E5383" t="s">
        <v>4075</v>
      </c>
      <c r="F5383">
        <v>53.866999999999997</v>
      </c>
      <c r="G5383">
        <v>-0.433</v>
      </c>
      <c r="H5383">
        <v>0</v>
      </c>
      <c r="I5383">
        <v>7</v>
      </c>
      <c r="J5383" t="str">
        <f>HYPERLINK("https://climate.onebuilding.org/WMO_Region_6_Europe/GBR_United_Kingdom/ENG_England/GBR_ENG_Leconfield.AP.033820_TMYx.2004-2018.zip")</f>
        <v>https://climate.onebuilding.org/WMO_Region_6_Europe/GBR_United_Kingdom/ENG_England/GBR_ENG_Leconfield.AP.033820_TMYx.2004-2018.zip</v>
      </c>
    </row>
    <row r="5384" spans="1:10" x14ac:dyDescent="0.25">
      <c r="A5384" t="s">
        <v>3587</v>
      </c>
      <c r="B5384" t="s">
        <v>3630</v>
      </c>
      <c r="C5384" t="s">
        <v>4073</v>
      </c>
      <c r="D5384" s="1" t="s">
        <v>4074</v>
      </c>
      <c r="E5384" t="s">
        <v>14</v>
      </c>
      <c r="F5384">
        <v>53.874699999999997</v>
      </c>
      <c r="G5384">
        <v>-0.44169999999999998</v>
      </c>
      <c r="H5384">
        <v>0</v>
      </c>
      <c r="I5384">
        <v>7</v>
      </c>
      <c r="J5384" t="str">
        <f>HYPERLINK("https://climate.onebuilding.org/WMO_Region_6_Europe/GBR_United_Kingdom/ENG_England/GBR_ENG_Leconfield.AP.033820_TMYx.2007-2021.zip")</f>
        <v>https://climate.onebuilding.org/WMO_Region_6_Europe/GBR_United_Kingdom/ENG_England/GBR_ENG_Leconfield.AP.033820_TMYx.2007-2021.zip</v>
      </c>
    </row>
    <row r="5385" spans="1:10" x14ac:dyDescent="0.25">
      <c r="A5385" t="s">
        <v>3587</v>
      </c>
      <c r="B5385" t="s">
        <v>3630</v>
      </c>
      <c r="C5385" t="s">
        <v>4073</v>
      </c>
      <c r="D5385" s="1" t="s">
        <v>4074</v>
      </c>
      <c r="E5385" t="s">
        <v>14</v>
      </c>
      <c r="F5385">
        <v>53.874699999999997</v>
      </c>
      <c r="G5385">
        <v>-0.44169999999999998</v>
      </c>
      <c r="H5385">
        <v>0</v>
      </c>
      <c r="I5385">
        <v>7</v>
      </c>
      <c r="J5385" t="str">
        <f>HYPERLINK("https://climate.onebuilding.org/WMO_Region_6_Europe/GBR_United_Kingdom/ENG_England/GBR_ENG_Leconfield.AP.033820_TMYx.2009-2023.zip")</f>
        <v>https://climate.onebuilding.org/WMO_Region_6_Europe/GBR_United_Kingdom/ENG_England/GBR_ENG_Leconfield.AP.033820_TMYx.2009-2023.zip</v>
      </c>
    </row>
    <row r="5386" spans="1:10" x14ac:dyDescent="0.25">
      <c r="A5386" t="s">
        <v>3587</v>
      </c>
      <c r="B5386" t="s">
        <v>3630</v>
      </c>
      <c r="C5386" t="s">
        <v>4073</v>
      </c>
      <c r="D5386" s="1" t="s">
        <v>4074</v>
      </c>
      <c r="E5386" t="s">
        <v>14</v>
      </c>
      <c r="F5386">
        <v>53.874699999999997</v>
      </c>
      <c r="G5386">
        <v>-0.44169999999999998</v>
      </c>
      <c r="H5386">
        <v>0</v>
      </c>
      <c r="I5386">
        <v>7</v>
      </c>
      <c r="J5386" t="str">
        <f>HYPERLINK("https://climate.onebuilding.org/WMO_Region_6_Europe/GBR_United_Kingdom/ENG_England/GBR_ENG_Leconfield.AP.033820_TMYx.zip")</f>
        <v>https://climate.onebuilding.org/WMO_Region_6_Europe/GBR_United_Kingdom/ENG_England/GBR_ENG_Leconfield.AP.033820_TMYx.zip</v>
      </c>
    </row>
    <row r="5387" spans="1:10" x14ac:dyDescent="0.25">
      <c r="A5387" t="s">
        <v>3587</v>
      </c>
      <c r="B5387" t="s">
        <v>3630</v>
      </c>
      <c r="C5387" t="s">
        <v>4076</v>
      </c>
      <c r="D5387" s="1" t="s">
        <v>4077</v>
      </c>
      <c r="E5387" t="s">
        <v>4078</v>
      </c>
      <c r="F5387">
        <v>53.466999999999999</v>
      </c>
      <c r="G5387" s="1" t="s">
        <v>4079</v>
      </c>
      <c r="H5387">
        <v>0</v>
      </c>
      <c r="I5387">
        <v>8</v>
      </c>
      <c r="J5387" t="str">
        <f>HYPERLINK("https://climate.onebuilding.org/WMO_Region_6_Europe/GBR_United_Kingdom/ENG_England/GBR_ENG_Donna.Nook.033850_TMYx.2004-2018.zip")</f>
        <v>https://climate.onebuilding.org/WMO_Region_6_Europe/GBR_United_Kingdom/ENG_England/GBR_ENG_Donna.Nook.033850_TMYx.2004-2018.zip</v>
      </c>
    </row>
    <row r="5388" spans="1:10" x14ac:dyDescent="0.25">
      <c r="A5388" t="s">
        <v>3587</v>
      </c>
      <c r="B5388" t="s">
        <v>3630</v>
      </c>
      <c r="C5388" t="s">
        <v>4076</v>
      </c>
      <c r="D5388" s="1" t="s">
        <v>4077</v>
      </c>
      <c r="E5388" t="s">
        <v>14</v>
      </c>
      <c r="F5388">
        <v>53.475000000000001</v>
      </c>
      <c r="G5388">
        <v>0.153</v>
      </c>
      <c r="H5388">
        <v>0</v>
      </c>
      <c r="I5388">
        <v>8</v>
      </c>
      <c r="J5388" t="str">
        <f>HYPERLINK("https://climate.onebuilding.org/WMO_Region_6_Europe/GBR_United_Kingdom/ENG_England/GBR_ENG_Donna.Nook.033850_TMYx.2007-2021.zip")</f>
        <v>https://climate.onebuilding.org/WMO_Region_6_Europe/GBR_United_Kingdom/ENG_England/GBR_ENG_Donna.Nook.033850_TMYx.2007-2021.zip</v>
      </c>
    </row>
    <row r="5389" spans="1:10" x14ac:dyDescent="0.25">
      <c r="A5389" t="s">
        <v>3587</v>
      </c>
      <c r="B5389" t="s">
        <v>3630</v>
      </c>
      <c r="C5389" t="s">
        <v>4076</v>
      </c>
      <c r="D5389" s="1" t="s">
        <v>4077</v>
      </c>
      <c r="E5389" t="s">
        <v>14</v>
      </c>
      <c r="F5389">
        <v>53.475000000000001</v>
      </c>
      <c r="G5389">
        <v>0.153</v>
      </c>
      <c r="H5389">
        <v>0</v>
      </c>
      <c r="I5389">
        <v>8</v>
      </c>
      <c r="J5389" t="str">
        <f>HYPERLINK("https://climate.onebuilding.org/WMO_Region_6_Europe/GBR_United_Kingdom/ENG_England/GBR_ENG_Donna.Nook.033850_TMYx.2009-2023.zip")</f>
        <v>https://climate.onebuilding.org/WMO_Region_6_Europe/GBR_United_Kingdom/ENG_England/GBR_ENG_Donna.Nook.033850_TMYx.2009-2023.zip</v>
      </c>
    </row>
    <row r="5390" spans="1:10" x14ac:dyDescent="0.25">
      <c r="A5390" t="s">
        <v>3587</v>
      </c>
      <c r="B5390" t="s">
        <v>3630</v>
      </c>
      <c r="C5390" t="s">
        <v>4076</v>
      </c>
      <c r="D5390" s="1" t="s">
        <v>4077</v>
      </c>
      <c r="E5390" t="s">
        <v>14</v>
      </c>
      <c r="F5390">
        <v>53.475000000000001</v>
      </c>
      <c r="G5390">
        <v>0.153</v>
      </c>
      <c r="H5390">
        <v>0</v>
      </c>
      <c r="I5390">
        <v>8</v>
      </c>
      <c r="J5390" t="str">
        <f>HYPERLINK("https://climate.onebuilding.org/WMO_Region_6_Europe/GBR_United_Kingdom/ENG_England/GBR_ENG_Donna.Nook.033850_TMYx.zip")</f>
        <v>https://climate.onebuilding.org/WMO_Region_6_Europe/GBR_United_Kingdom/ENG_England/GBR_ENG_Donna.Nook.033850_TMYx.zip</v>
      </c>
    </row>
    <row r="5391" spans="1:10" x14ac:dyDescent="0.25">
      <c r="A5391" t="s">
        <v>3587</v>
      </c>
      <c r="B5391" t="s">
        <v>3630</v>
      </c>
      <c r="C5391" t="s">
        <v>4080</v>
      </c>
      <c r="D5391" s="1" t="s">
        <v>4081</v>
      </c>
      <c r="E5391" t="s">
        <v>4082</v>
      </c>
      <c r="F5391">
        <v>53.475000000000001</v>
      </c>
      <c r="G5391">
        <v>0.152</v>
      </c>
      <c r="H5391">
        <v>0</v>
      </c>
      <c r="I5391">
        <v>3</v>
      </c>
      <c r="J5391" t="str">
        <f>HYPERLINK("https://climate.onebuilding.org/WMO_Region_6_Europe/GBR_United_Kingdom/ENG_England/GBR_ENG_RAF.Donna.Nook.033851_TMYx.2004-2018.zip")</f>
        <v>https://climate.onebuilding.org/WMO_Region_6_Europe/GBR_United_Kingdom/ENG_England/GBR_ENG_RAF.Donna.Nook.033851_TMYx.2004-2018.zip</v>
      </c>
    </row>
    <row r="5392" spans="1:10" x14ac:dyDescent="0.25">
      <c r="A5392" t="s">
        <v>3587</v>
      </c>
      <c r="B5392" t="s">
        <v>3630</v>
      </c>
      <c r="C5392" t="s">
        <v>4080</v>
      </c>
      <c r="D5392" s="1" t="s">
        <v>4081</v>
      </c>
      <c r="E5392" t="s">
        <v>14</v>
      </c>
      <c r="F5392">
        <v>53.475000000000001</v>
      </c>
      <c r="G5392">
        <v>0.152</v>
      </c>
      <c r="H5392">
        <v>0</v>
      </c>
      <c r="I5392">
        <v>3</v>
      </c>
      <c r="J5392" t="str">
        <f>HYPERLINK("https://climate.onebuilding.org/WMO_Region_6_Europe/GBR_United_Kingdom/ENG_England/GBR_ENG_RAF.Donna.Nook.033851_TMYx.2007-2021.zip")</f>
        <v>https://climate.onebuilding.org/WMO_Region_6_Europe/GBR_United_Kingdom/ENG_England/GBR_ENG_RAF.Donna.Nook.033851_TMYx.2007-2021.zip</v>
      </c>
    </row>
    <row r="5393" spans="1:10" x14ac:dyDescent="0.25">
      <c r="A5393" t="s">
        <v>3587</v>
      </c>
      <c r="B5393" t="s">
        <v>3630</v>
      </c>
      <c r="C5393" t="s">
        <v>4080</v>
      </c>
      <c r="D5393" s="1" t="s">
        <v>4081</v>
      </c>
      <c r="E5393" t="s">
        <v>14</v>
      </c>
      <c r="F5393">
        <v>53.475000000000001</v>
      </c>
      <c r="G5393">
        <v>0.152</v>
      </c>
      <c r="H5393">
        <v>0</v>
      </c>
      <c r="I5393">
        <v>3</v>
      </c>
      <c r="J5393" t="str">
        <f>HYPERLINK("https://climate.onebuilding.org/WMO_Region_6_Europe/GBR_United_Kingdom/ENG_England/GBR_ENG_RAF.Donna.Nook.033851_TMYx.2009-2023.zip")</f>
        <v>https://climate.onebuilding.org/WMO_Region_6_Europe/GBR_United_Kingdom/ENG_England/GBR_ENG_RAF.Donna.Nook.033851_TMYx.2009-2023.zip</v>
      </c>
    </row>
    <row r="5394" spans="1:10" x14ac:dyDescent="0.25">
      <c r="A5394" t="s">
        <v>3587</v>
      </c>
      <c r="B5394" t="s">
        <v>3630</v>
      </c>
      <c r="C5394" t="s">
        <v>4080</v>
      </c>
      <c r="D5394" s="1" t="s">
        <v>4081</v>
      </c>
      <c r="E5394" t="s">
        <v>14</v>
      </c>
      <c r="F5394">
        <v>53.475000000000001</v>
      </c>
      <c r="G5394">
        <v>0.152</v>
      </c>
      <c r="H5394">
        <v>0</v>
      </c>
      <c r="I5394">
        <v>3</v>
      </c>
      <c r="J5394" t="str">
        <f>HYPERLINK("https://climate.onebuilding.org/WMO_Region_6_Europe/GBR_United_Kingdom/ENG_England/GBR_ENG_RAF.Donna.Nook.033851_TMYx.zip")</f>
        <v>https://climate.onebuilding.org/WMO_Region_6_Europe/GBR_United_Kingdom/ENG_England/GBR_ENG_RAF.Donna.Nook.033851_TMYx.zip</v>
      </c>
    </row>
    <row r="5395" spans="1:10" x14ac:dyDescent="0.25">
      <c r="A5395" t="s">
        <v>3587</v>
      </c>
      <c r="B5395" t="s">
        <v>3630</v>
      </c>
      <c r="C5395" t="s">
        <v>4083</v>
      </c>
      <c r="D5395" s="1" t="s">
        <v>4084</v>
      </c>
      <c r="E5395" t="s">
        <v>14</v>
      </c>
      <c r="F5395">
        <v>53.667000000000002</v>
      </c>
      <c r="G5395">
        <v>0.11700000000000001</v>
      </c>
      <c r="H5395">
        <v>0</v>
      </c>
      <c r="I5395">
        <v>10</v>
      </c>
      <c r="J5395" t="str">
        <f>HYPERLINK("https://climate.onebuilding.org/WMO_Region_6_Europe/GBR_United_Kingdom/ENG_England/GBR_ENG_Easington.033870_TMYx.zip")</f>
        <v>https://climate.onebuilding.org/WMO_Region_6_Europe/GBR_United_Kingdom/ENG_England/GBR_ENG_Easington.033870_TMYx.zip</v>
      </c>
    </row>
    <row r="5396" spans="1:10" x14ac:dyDescent="0.25">
      <c r="A5396" t="s">
        <v>3587</v>
      </c>
      <c r="B5396" t="s">
        <v>3630</v>
      </c>
      <c r="C5396" t="s">
        <v>4085</v>
      </c>
      <c r="D5396" s="1" t="s">
        <v>4086</v>
      </c>
      <c r="E5396" t="s">
        <v>14</v>
      </c>
      <c r="F5396">
        <v>53.45</v>
      </c>
      <c r="G5396">
        <v>-0.2</v>
      </c>
      <c r="H5396">
        <v>0</v>
      </c>
      <c r="I5396">
        <v>108</v>
      </c>
      <c r="J5396" t="str">
        <f>HYPERLINK("https://climate.onebuilding.org/WMO_Region_6_Europe/GBR_United_Kingdom/ENG_England/GBR_ENG_RAF.Binbrook.033880_TMYx.zip")</f>
        <v>https://climate.onebuilding.org/WMO_Region_6_Europe/GBR_United_Kingdom/ENG_England/GBR_ENG_RAF.Binbrook.033880_TMYx.zip</v>
      </c>
    </row>
    <row r="5397" spans="1:10" x14ac:dyDescent="0.25">
      <c r="A5397" t="s">
        <v>3587</v>
      </c>
      <c r="B5397" t="s">
        <v>3630</v>
      </c>
      <c r="C5397" t="s">
        <v>4087</v>
      </c>
      <c r="D5397" s="1" t="s">
        <v>4088</v>
      </c>
      <c r="E5397" t="s">
        <v>14</v>
      </c>
      <c r="F5397">
        <v>53.332999999999998</v>
      </c>
      <c r="G5397">
        <v>0.56699999999999995</v>
      </c>
      <c r="H5397">
        <v>0</v>
      </c>
      <c r="I5397">
        <v>37</v>
      </c>
      <c r="J5397" t="str">
        <f>HYPERLINK("https://climate.onebuilding.org/WMO_Region_6_Europe/GBR_United_Kingdom/ENG_England/GBR_ENG_Inner.Dowsing.Lh.033900_TMYx.zip")</f>
        <v>https://climate.onebuilding.org/WMO_Region_6_Europe/GBR_United_Kingdom/ENG_England/GBR_ENG_Inner.Dowsing.Lh.033900_TMYx.zip</v>
      </c>
    </row>
    <row r="5398" spans="1:10" x14ac:dyDescent="0.25">
      <c r="A5398" t="s">
        <v>3587</v>
      </c>
      <c r="B5398" t="s">
        <v>3630</v>
      </c>
      <c r="C5398" t="s">
        <v>4089</v>
      </c>
      <c r="D5398" s="1" t="s">
        <v>4090</v>
      </c>
      <c r="E5398" t="s">
        <v>4091</v>
      </c>
      <c r="F5398">
        <v>53.093000000000004</v>
      </c>
      <c r="G5398">
        <v>-0.16600000000000001</v>
      </c>
      <c r="H5398">
        <v>0</v>
      </c>
      <c r="I5398">
        <v>7.6</v>
      </c>
      <c r="J5398" t="str">
        <f>HYPERLINK("https://climate.onebuilding.org/WMO_Region_6_Europe/GBR_United_Kingdom/ENG_England/GBR_ENG_RAF.Coningsby.033910_TMYx.2004-2018.zip")</f>
        <v>https://climate.onebuilding.org/WMO_Region_6_Europe/GBR_United_Kingdom/ENG_England/GBR_ENG_RAF.Coningsby.033910_TMYx.2004-2018.zip</v>
      </c>
    </row>
    <row r="5399" spans="1:10" x14ac:dyDescent="0.25">
      <c r="A5399" t="s">
        <v>3587</v>
      </c>
      <c r="B5399" t="s">
        <v>3630</v>
      </c>
      <c r="C5399" t="s">
        <v>4089</v>
      </c>
      <c r="D5399" s="1" t="s">
        <v>4090</v>
      </c>
      <c r="E5399" t="s">
        <v>14</v>
      </c>
      <c r="F5399">
        <v>53.093899999999998</v>
      </c>
      <c r="G5399">
        <v>-0.17280000000000001</v>
      </c>
      <c r="H5399">
        <v>0</v>
      </c>
      <c r="I5399">
        <v>7.6</v>
      </c>
      <c r="J5399" t="str">
        <f>HYPERLINK("https://climate.onebuilding.org/WMO_Region_6_Europe/GBR_United_Kingdom/ENG_England/GBR_ENG_RAF.Coningsby.033910_TMYx.2007-2021.zip")</f>
        <v>https://climate.onebuilding.org/WMO_Region_6_Europe/GBR_United_Kingdom/ENG_England/GBR_ENG_RAF.Coningsby.033910_TMYx.2007-2021.zip</v>
      </c>
    </row>
    <row r="5400" spans="1:10" x14ac:dyDescent="0.25">
      <c r="A5400" t="s">
        <v>3587</v>
      </c>
      <c r="B5400" t="s">
        <v>3630</v>
      </c>
      <c r="C5400" t="s">
        <v>4089</v>
      </c>
      <c r="D5400" s="1" t="s">
        <v>4090</v>
      </c>
      <c r="E5400" t="s">
        <v>14</v>
      </c>
      <c r="F5400">
        <v>53.093899999999998</v>
      </c>
      <c r="G5400">
        <v>-0.17280000000000001</v>
      </c>
      <c r="H5400">
        <v>0</v>
      </c>
      <c r="I5400">
        <v>7.6</v>
      </c>
      <c r="J5400" t="str">
        <f>HYPERLINK("https://climate.onebuilding.org/WMO_Region_6_Europe/GBR_United_Kingdom/ENG_England/GBR_ENG_RAF.Coningsby.033910_TMYx.2009-2023.zip")</f>
        <v>https://climate.onebuilding.org/WMO_Region_6_Europe/GBR_United_Kingdom/ENG_England/GBR_ENG_RAF.Coningsby.033910_TMYx.2009-2023.zip</v>
      </c>
    </row>
    <row r="5401" spans="1:10" x14ac:dyDescent="0.25">
      <c r="A5401" t="s">
        <v>3587</v>
      </c>
      <c r="B5401" t="s">
        <v>3630</v>
      </c>
      <c r="C5401" t="s">
        <v>4089</v>
      </c>
      <c r="D5401" s="1" t="s">
        <v>4090</v>
      </c>
      <c r="E5401" t="s">
        <v>14</v>
      </c>
      <c r="F5401">
        <v>53.093899999999998</v>
      </c>
      <c r="G5401">
        <v>-0.17280000000000001</v>
      </c>
      <c r="H5401">
        <v>0</v>
      </c>
      <c r="I5401">
        <v>7.6</v>
      </c>
      <c r="J5401" t="str">
        <f>HYPERLINK("https://climate.onebuilding.org/WMO_Region_6_Europe/GBR_United_Kingdom/ENG_England/GBR_ENG_RAF.Coningsby.033910_TMYx.zip")</f>
        <v>https://climate.onebuilding.org/WMO_Region_6_Europe/GBR_United_Kingdom/ENG_England/GBR_ENG_RAF.Coningsby.033910_TMYx.zip</v>
      </c>
    </row>
    <row r="5402" spans="1:10" x14ac:dyDescent="0.25">
      <c r="A5402" t="s">
        <v>3587</v>
      </c>
      <c r="B5402" t="s">
        <v>3630</v>
      </c>
      <c r="C5402" t="s">
        <v>4092</v>
      </c>
      <c r="D5402" s="1" t="s">
        <v>4093</v>
      </c>
      <c r="E5402" t="s">
        <v>4094</v>
      </c>
      <c r="F5402">
        <v>53.082999999999998</v>
      </c>
      <c r="G5402">
        <v>0.26700000000000002</v>
      </c>
      <c r="H5402">
        <v>0</v>
      </c>
      <c r="I5402">
        <v>5</v>
      </c>
      <c r="J5402" t="str">
        <f>HYPERLINK("https://climate.onebuilding.org/WMO_Region_6_Europe/GBR_United_Kingdom/ENG_England/GBR_ENG_Wainfleet.033920_TMYx.2004-2018.zip")</f>
        <v>https://climate.onebuilding.org/WMO_Region_6_Europe/GBR_United_Kingdom/ENG_England/GBR_ENG_Wainfleet.033920_TMYx.2004-2018.zip</v>
      </c>
    </row>
    <row r="5403" spans="1:10" x14ac:dyDescent="0.25">
      <c r="A5403" t="s">
        <v>3587</v>
      </c>
      <c r="B5403" t="s">
        <v>3630</v>
      </c>
      <c r="C5403" t="s">
        <v>4092</v>
      </c>
      <c r="D5403" s="1" t="s">
        <v>4093</v>
      </c>
      <c r="E5403" t="s">
        <v>14</v>
      </c>
      <c r="F5403">
        <v>53.088299999999997</v>
      </c>
      <c r="G5403">
        <v>0.27079999999999999</v>
      </c>
      <c r="H5403">
        <v>0</v>
      </c>
      <c r="I5403">
        <v>5</v>
      </c>
      <c r="J5403" t="str">
        <f>HYPERLINK("https://climate.onebuilding.org/WMO_Region_6_Europe/GBR_United_Kingdom/ENG_England/GBR_ENG_Wainfleet.033920_TMYx.2007-2021.zip")</f>
        <v>https://climate.onebuilding.org/WMO_Region_6_Europe/GBR_United_Kingdom/ENG_England/GBR_ENG_Wainfleet.033920_TMYx.2007-2021.zip</v>
      </c>
    </row>
    <row r="5404" spans="1:10" x14ac:dyDescent="0.25">
      <c r="A5404" t="s">
        <v>3587</v>
      </c>
      <c r="B5404" t="s">
        <v>3630</v>
      </c>
      <c r="C5404" t="s">
        <v>4092</v>
      </c>
      <c r="D5404" s="1" t="s">
        <v>4093</v>
      </c>
      <c r="E5404" t="s">
        <v>14</v>
      </c>
      <c r="F5404">
        <v>53.088299999999997</v>
      </c>
      <c r="G5404">
        <v>0.27079999999999999</v>
      </c>
      <c r="H5404">
        <v>0</v>
      </c>
      <c r="I5404">
        <v>5</v>
      </c>
      <c r="J5404" t="str">
        <f>HYPERLINK("https://climate.onebuilding.org/WMO_Region_6_Europe/GBR_United_Kingdom/ENG_England/GBR_ENG_Wainfleet.033920_TMYx.2009-2023.zip")</f>
        <v>https://climate.onebuilding.org/WMO_Region_6_Europe/GBR_United_Kingdom/ENG_England/GBR_ENG_Wainfleet.033920_TMYx.2009-2023.zip</v>
      </c>
    </row>
    <row r="5405" spans="1:10" x14ac:dyDescent="0.25">
      <c r="A5405" t="s">
        <v>3587</v>
      </c>
      <c r="B5405" t="s">
        <v>3630</v>
      </c>
      <c r="C5405" t="s">
        <v>4092</v>
      </c>
      <c r="D5405" s="1" t="s">
        <v>4093</v>
      </c>
      <c r="E5405" t="s">
        <v>14</v>
      </c>
      <c r="F5405">
        <v>53.088299999999997</v>
      </c>
      <c r="G5405">
        <v>0.27079999999999999</v>
      </c>
      <c r="H5405">
        <v>0</v>
      </c>
      <c r="I5405">
        <v>5</v>
      </c>
      <c r="J5405" t="str">
        <f>HYPERLINK("https://climate.onebuilding.org/WMO_Region_6_Europe/GBR_United_Kingdom/ENG_England/GBR_ENG_Wainfleet.033920_TMYx.zip")</f>
        <v>https://climate.onebuilding.org/WMO_Region_6_Europe/GBR_United_Kingdom/ENG_England/GBR_ENG_Wainfleet.033920_TMYx.zip</v>
      </c>
    </row>
    <row r="5406" spans="1:10" x14ac:dyDescent="0.25">
      <c r="A5406" t="s">
        <v>3587</v>
      </c>
      <c r="B5406" t="s">
        <v>3630</v>
      </c>
      <c r="C5406" t="s">
        <v>4095</v>
      </c>
      <c r="D5406" s="1" t="s">
        <v>4096</v>
      </c>
      <c r="E5406" t="s">
        <v>14</v>
      </c>
      <c r="F5406">
        <v>53.1</v>
      </c>
      <c r="G5406">
        <v>0.317</v>
      </c>
      <c r="H5406">
        <v>0</v>
      </c>
      <c r="I5406">
        <v>4</v>
      </c>
      <c r="J5406" t="str">
        <f>HYPERLINK("https://climate.onebuilding.org/WMO_Region_6_Europe/GBR_United_Kingdom/ENG_England/GBR_ENG_Gibraltar.Point.033940_TMYx.zip")</f>
        <v>https://climate.onebuilding.org/WMO_Region_6_Europe/GBR_United_Kingdom/ENG_England/GBR_ENG_Gibraltar.Point.033940_TMYx.zip</v>
      </c>
    </row>
    <row r="5407" spans="1:10" x14ac:dyDescent="0.25">
      <c r="A5407" t="s">
        <v>3587</v>
      </c>
      <c r="B5407" t="s">
        <v>3630</v>
      </c>
      <c r="C5407" t="s">
        <v>4097</v>
      </c>
      <c r="D5407" s="1" t="s">
        <v>4098</v>
      </c>
      <c r="E5407" t="s">
        <v>14</v>
      </c>
      <c r="F5407">
        <v>53.616999999999997</v>
      </c>
      <c r="G5407">
        <v>0.15</v>
      </c>
      <c r="H5407">
        <v>0</v>
      </c>
      <c r="I5407">
        <v>12</v>
      </c>
      <c r="J5407" t="str">
        <f>HYPERLINK("https://climate.onebuilding.org/WMO_Region_6_Europe/GBR_United_Kingdom/ENG_England/GBR_ENG_Spurn.Head.Point.033960_TMYx.zip")</f>
        <v>https://climate.onebuilding.org/WMO_Region_6_Europe/GBR_United_Kingdom/ENG_England/GBR_ENG_Spurn.Head.Point.033960_TMYx.zip</v>
      </c>
    </row>
    <row r="5408" spans="1:10" x14ac:dyDescent="0.25">
      <c r="A5408" t="s">
        <v>3587</v>
      </c>
      <c r="B5408" t="s">
        <v>3630</v>
      </c>
      <c r="C5408" t="s">
        <v>4099</v>
      </c>
      <c r="D5408" s="1" t="s">
        <v>4100</v>
      </c>
      <c r="E5408" t="s">
        <v>14</v>
      </c>
      <c r="F5408">
        <v>53.616999999999997</v>
      </c>
      <c r="G5408">
        <v>0.36699999999999999</v>
      </c>
      <c r="H5408">
        <v>0</v>
      </c>
      <c r="I5408">
        <v>5</v>
      </c>
      <c r="J5408" t="str">
        <f>HYPERLINK("https://climate.onebuilding.org/WMO_Region_6_Europe/GBR_United_Kingdom/ENG_England/GBR_ENG_Humber.Lgt.Vsl.033980_TMYx.zip")</f>
        <v>https://climate.onebuilding.org/WMO_Region_6_Europe/GBR_United_Kingdom/ENG_England/GBR_ENG_Humber.Lgt.Vsl.033980_TMYx.zip</v>
      </c>
    </row>
    <row r="5409" spans="1:10" x14ac:dyDescent="0.25">
      <c r="A5409" t="s">
        <v>3587</v>
      </c>
      <c r="B5409" t="s">
        <v>3630</v>
      </c>
      <c r="C5409" t="s">
        <v>4101</v>
      </c>
      <c r="D5409" s="1" t="s">
        <v>4102</v>
      </c>
      <c r="E5409" t="s">
        <v>14</v>
      </c>
      <c r="F5409">
        <v>53.567</v>
      </c>
      <c r="G5409">
        <v>0.83299999999999996</v>
      </c>
      <c r="H5409">
        <v>0</v>
      </c>
      <c r="I5409">
        <v>5</v>
      </c>
      <c r="J5409" t="str">
        <f>HYPERLINK("https://climate.onebuilding.org/WMO_Region_6_Europe/GBR_United_Kingdom/ENG_England/GBR_ENG_Dowsing.Light.033990_TMYx.zip")</f>
        <v>https://climate.onebuilding.org/WMO_Region_6_Europe/GBR_United_Kingdom/ENG_England/GBR_ENG_Dowsing.Light.033990_TMYx.zip</v>
      </c>
    </row>
    <row r="5410" spans="1:10" x14ac:dyDescent="0.25">
      <c r="A5410" t="s">
        <v>3587</v>
      </c>
      <c r="B5410" t="s">
        <v>391</v>
      </c>
      <c r="C5410" t="s">
        <v>4103</v>
      </c>
      <c r="D5410" s="1" t="s">
        <v>4104</v>
      </c>
      <c r="E5410" t="s">
        <v>14</v>
      </c>
      <c r="F5410">
        <v>52.75</v>
      </c>
      <c r="G5410">
        <v>-4.8</v>
      </c>
      <c r="H5410">
        <v>0</v>
      </c>
      <c r="I5410">
        <v>16</v>
      </c>
      <c r="J5410" t="str">
        <f>HYPERLINK("https://climate.onebuilding.org/WMO_Region_6_Europe/GBR_United_Kingdom/WAL_Wales/GBR_WAL_Bardsey.Island.Lighthouse.034000_TMYx.zip")</f>
        <v>https://climate.onebuilding.org/WMO_Region_6_Europe/GBR_United_Kingdom/WAL_Wales/GBR_WAL_Bardsey.Island.Lighthouse.034000_TMYx.zip</v>
      </c>
    </row>
    <row r="5411" spans="1:10" x14ac:dyDescent="0.25">
      <c r="A5411" t="s">
        <v>3587</v>
      </c>
      <c r="B5411" t="s">
        <v>3630</v>
      </c>
      <c r="C5411" t="s">
        <v>4105</v>
      </c>
      <c r="D5411" s="1" t="s">
        <v>4106</v>
      </c>
      <c r="E5411" t="s">
        <v>14</v>
      </c>
      <c r="F5411">
        <v>52.95</v>
      </c>
      <c r="G5411">
        <v>-4.5670000000000002</v>
      </c>
      <c r="H5411">
        <v>0</v>
      </c>
      <c r="I5411">
        <v>37</v>
      </c>
      <c r="J5411" t="str">
        <f>HYPERLINK("https://climate.onebuilding.org/WMO_Region_6_Europe/GBR_United_Kingdom/ENG_England/GBR_ENG_Porthdynllaen.034010_TMYx.zip")</f>
        <v>https://climate.onebuilding.org/WMO_Region_6_Europe/GBR_United_Kingdom/ENG_England/GBR_ENG_Porthdynllaen.034010_TMYx.zip</v>
      </c>
    </row>
    <row r="5412" spans="1:10" x14ac:dyDescent="0.25">
      <c r="A5412" t="s">
        <v>3587</v>
      </c>
      <c r="B5412" t="s">
        <v>391</v>
      </c>
      <c r="C5412" t="s">
        <v>4107</v>
      </c>
      <c r="D5412" s="1" t="s">
        <v>4108</v>
      </c>
      <c r="E5412" t="s">
        <v>14</v>
      </c>
      <c r="F5412">
        <v>52.817</v>
      </c>
      <c r="G5412">
        <v>-4.633</v>
      </c>
      <c r="H5412">
        <v>0</v>
      </c>
      <c r="I5412">
        <v>253</v>
      </c>
      <c r="J5412" t="str">
        <f>HYPERLINK("https://climate.onebuilding.org/WMO_Region_6_Europe/GBR_United_Kingdom/WAL_Wales/GBR_WAL_Mynydd.Rhiw.034020_TMYx.zip")</f>
        <v>https://climate.onebuilding.org/WMO_Region_6_Europe/GBR_United_Kingdom/WAL_Wales/GBR_WAL_Mynydd.Rhiw.034020_TMYx.zip</v>
      </c>
    </row>
    <row r="5413" spans="1:10" x14ac:dyDescent="0.25">
      <c r="A5413" t="s">
        <v>3587</v>
      </c>
      <c r="B5413" t="s">
        <v>3630</v>
      </c>
      <c r="C5413" t="s">
        <v>4109</v>
      </c>
      <c r="D5413" s="1" t="s">
        <v>4110</v>
      </c>
      <c r="E5413" t="s">
        <v>14</v>
      </c>
      <c r="F5413">
        <v>53</v>
      </c>
      <c r="G5413">
        <v>-4.0830000000000002</v>
      </c>
      <c r="H5413">
        <v>0</v>
      </c>
      <c r="I5413">
        <v>53</v>
      </c>
      <c r="J5413" t="str">
        <f>HYPERLINK("https://climate.onebuilding.org/WMO_Region_6_Europe/GBR_United_Kingdom/ENG_England/GBR_ENG_Nantmor.034030_TMYx.zip")</f>
        <v>https://climate.onebuilding.org/WMO_Region_6_Europe/GBR_United_Kingdom/ENG_England/GBR_ENG_Nantmor.034030_TMYx.zip</v>
      </c>
    </row>
    <row r="5414" spans="1:10" x14ac:dyDescent="0.25">
      <c r="A5414" t="s">
        <v>3587</v>
      </c>
      <c r="B5414" t="s">
        <v>391</v>
      </c>
      <c r="C5414" t="s">
        <v>4111</v>
      </c>
      <c r="D5414" s="1" t="s">
        <v>4112</v>
      </c>
      <c r="E5414" t="s">
        <v>14</v>
      </c>
      <c r="F5414">
        <v>52.55</v>
      </c>
      <c r="G5414">
        <v>-4.0670000000000002</v>
      </c>
      <c r="H5414">
        <v>0</v>
      </c>
      <c r="I5414">
        <v>22</v>
      </c>
      <c r="J5414" t="str">
        <f>HYPERLINK("https://climate.onebuilding.org/WMO_Region_6_Europe/GBR_United_Kingdom/WAL_Wales/GBR_WAL_Aberdovey.034040_TMYx.zip")</f>
        <v>https://climate.onebuilding.org/WMO_Region_6_Europe/GBR_United_Kingdom/WAL_Wales/GBR_WAL_Aberdovey.034040_TMYx.zip</v>
      </c>
    </row>
    <row r="5415" spans="1:10" x14ac:dyDescent="0.25">
      <c r="A5415" t="s">
        <v>3587</v>
      </c>
      <c r="B5415" t="s">
        <v>391</v>
      </c>
      <c r="C5415" t="s">
        <v>4113</v>
      </c>
      <c r="D5415" s="1" t="s">
        <v>4114</v>
      </c>
      <c r="E5415" t="s">
        <v>4115</v>
      </c>
      <c r="F5415">
        <v>52.783000000000001</v>
      </c>
      <c r="G5415">
        <v>-4.7329999999999997</v>
      </c>
      <c r="H5415">
        <v>0</v>
      </c>
      <c r="I5415">
        <v>94</v>
      </c>
      <c r="J5415" t="str">
        <f>HYPERLINK("https://climate.onebuilding.org/WMO_Region_6_Europe/GBR_United_Kingdom/WAL_Wales/GBR_WAL_Aberdaron.034050_TMYx.2004-2018.zip")</f>
        <v>https://climate.onebuilding.org/WMO_Region_6_Europe/GBR_United_Kingdom/WAL_Wales/GBR_WAL_Aberdaron.034050_TMYx.2004-2018.zip</v>
      </c>
    </row>
    <row r="5416" spans="1:10" x14ac:dyDescent="0.25">
      <c r="A5416" t="s">
        <v>3587</v>
      </c>
      <c r="B5416" t="s">
        <v>391</v>
      </c>
      <c r="C5416" t="s">
        <v>4113</v>
      </c>
      <c r="D5416" s="1" t="s">
        <v>4114</v>
      </c>
      <c r="E5416" t="s">
        <v>14</v>
      </c>
      <c r="F5416">
        <v>52.788899999999998</v>
      </c>
      <c r="G5416">
        <v>-4.7413999999999996</v>
      </c>
      <c r="H5416">
        <v>0</v>
      </c>
      <c r="I5416">
        <v>94</v>
      </c>
      <c r="J5416" t="str">
        <f>HYPERLINK("https://climate.onebuilding.org/WMO_Region_6_Europe/GBR_United_Kingdom/WAL_Wales/GBR_WAL_Aberdaron.034050_TMYx.2007-2021.zip")</f>
        <v>https://climate.onebuilding.org/WMO_Region_6_Europe/GBR_United_Kingdom/WAL_Wales/GBR_WAL_Aberdaron.034050_TMYx.2007-2021.zip</v>
      </c>
    </row>
    <row r="5417" spans="1:10" x14ac:dyDescent="0.25">
      <c r="A5417" t="s">
        <v>3587</v>
      </c>
      <c r="B5417" t="s">
        <v>391</v>
      </c>
      <c r="C5417" t="s">
        <v>4113</v>
      </c>
      <c r="D5417" s="1" t="s">
        <v>4114</v>
      </c>
      <c r="E5417" t="s">
        <v>14</v>
      </c>
      <c r="F5417">
        <v>52.788899999999998</v>
      </c>
      <c r="G5417">
        <v>-4.7413999999999996</v>
      </c>
      <c r="H5417">
        <v>0</v>
      </c>
      <c r="I5417">
        <v>94</v>
      </c>
      <c r="J5417" t="str">
        <f>HYPERLINK("https://climate.onebuilding.org/WMO_Region_6_Europe/GBR_United_Kingdom/WAL_Wales/GBR_WAL_Aberdaron.034050_TMYx.2009-2023.zip")</f>
        <v>https://climate.onebuilding.org/WMO_Region_6_Europe/GBR_United_Kingdom/WAL_Wales/GBR_WAL_Aberdaron.034050_TMYx.2009-2023.zip</v>
      </c>
    </row>
    <row r="5418" spans="1:10" x14ac:dyDescent="0.25">
      <c r="A5418" t="s">
        <v>3587</v>
      </c>
      <c r="B5418" t="s">
        <v>391</v>
      </c>
      <c r="C5418" t="s">
        <v>4113</v>
      </c>
      <c r="D5418" s="1" t="s">
        <v>4114</v>
      </c>
      <c r="E5418" t="s">
        <v>14</v>
      </c>
      <c r="F5418">
        <v>52.788899999999998</v>
      </c>
      <c r="G5418">
        <v>-4.7413999999999996</v>
      </c>
      <c r="H5418">
        <v>0</v>
      </c>
      <c r="I5418">
        <v>94</v>
      </c>
      <c r="J5418" t="str">
        <f>HYPERLINK("https://climate.onebuilding.org/WMO_Region_6_Europe/GBR_United_Kingdom/WAL_Wales/GBR_WAL_Aberdaron.034050_TMYx.zip")</f>
        <v>https://climate.onebuilding.org/WMO_Region_6_Europe/GBR_United_Kingdom/WAL_Wales/GBR_WAL_Aberdaron.034050_TMYx.zip</v>
      </c>
    </row>
    <row r="5419" spans="1:10" x14ac:dyDescent="0.25">
      <c r="A5419" t="s">
        <v>3587</v>
      </c>
      <c r="B5419" t="s">
        <v>3630</v>
      </c>
      <c r="C5419" t="s">
        <v>4116</v>
      </c>
      <c r="D5419" s="1" t="s">
        <v>4117</v>
      </c>
      <c r="E5419" t="s">
        <v>4118</v>
      </c>
      <c r="F5419">
        <v>53.475000000000001</v>
      </c>
      <c r="G5419">
        <v>-1.004</v>
      </c>
      <c r="H5419">
        <v>0</v>
      </c>
      <c r="I5419">
        <v>16.8</v>
      </c>
      <c r="J5419" t="str">
        <f>HYPERLINK("https://climate.onebuilding.org/WMO_Region_6_Europe/GBR_United_Kingdom/ENG_England/GBR_ENG_Doncaster.Sheffield-Hood.AP.034054_TMYx.2004-2018.zip")</f>
        <v>https://climate.onebuilding.org/WMO_Region_6_Europe/GBR_United_Kingdom/ENG_England/GBR_ENG_Doncaster.Sheffield-Hood.AP.034054_TMYx.2004-2018.zip</v>
      </c>
    </row>
    <row r="5420" spans="1:10" x14ac:dyDescent="0.25">
      <c r="A5420" t="s">
        <v>3587</v>
      </c>
      <c r="B5420" t="s">
        <v>3630</v>
      </c>
      <c r="C5420" t="s">
        <v>4116</v>
      </c>
      <c r="D5420" s="1" t="s">
        <v>4117</v>
      </c>
      <c r="E5420" t="s">
        <v>14</v>
      </c>
      <c r="F5420">
        <v>53.475000000000001</v>
      </c>
      <c r="G5420">
        <v>-1.004</v>
      </c>
      <c r="H5420">
        <v>0</v>
      </c>
      <c r="I5420">
        <v>16.8</v>
      </c>
      <c r="J5420" t="str">
        <f>HYPERLINK("https://climate.onebuilding.org/WMO_Region_6_Europe/GBR_United_Kingdom/ENG_England/GBR_ENG_Doncaster.Sheffield-Hood.AP.034054_TMYx.2007-2021.zip")</f>
        <v>https://climate.onebuilding.org/WMO_Region_6_Europe/GBR_United_Kingdom/ENG_England/GBR_ENG_Doncaster.Sheffield-Hood.AP.034054_TMYx.2007-2021.zip</v>
      </c>
    </row>
    <row r="5421" spans="1:10" x14ac:dyDescent="0.25">
      <c r="A5421" t="s">
        <v>3587</v>
      </c>
      <c r="B5421" t="s">
        <v>3630</v>
      </c>
      <c r="C5421" t="s">
        <v>4116</v>
      </c>
      <c r="D5421" s="1" t="s">
        <v>4117</v>
      </c>
      <c r="E5421" t="s">
        <v>14</v>
      </c>
      <c r="F5421">
        <v>53.475000000000001</v>
      </c>
      <c r="G5421">
        <v>-1.004</v>
      </c>
      <c r="H5421">
        <v>0</v>
      </c>
      <c r="I5421">
        <v>16.8</v>
      </c>
      <c r="J5421" t="str">
        <f>HYPERLINK("https://climate.onebuilding.org/WMO_Region_6_Europe/GBR_United_Kingdom/ENG_England/GBR_ENG_Doncaster.Sheffield-Hood.AP.034054_TMYx.2009-2023.zip")</f>
        <v>https://climate.onebuilding.org/WMO_Region_6_Europe/GBR_United_Kingdom/ENG_England/GBR_ENG_Doncaster.Sheffield-Hood.AP.034054_TMYx.2009-2023.zip</v>
      </c>
    </row>
    <row r="5422" spans="1:10" x14ac:dyDescent="0.25">
      <c r="A5422" t="s">
        <v>3587</v>
      </c>
      <c r="B5422" t="s">
        <v>3630</v>
      </c>
      <c r="C5422" t="s">
        <v>4116</v>
      </c>
      <c r="D5422" s="1" t="s">
        <v>4117</v>
      </c>
      <c r="E5422" t="s">
        <v>14</v>
      </c>
      <c r="F5422">
        <v>53.475000000000001</v>
      </c>
      <c r="G5422">
        <v>-1.004</v>
      </c>
      <c r="H5422">
        <v>0</v>
      </c>
      <c r="I5422">
        <v>16.8</v>
      </c>
      <c r="J5422" t="str">
        <f>HYPERLINK("https://climate.onebuilding.org/WMO_Region_6_Europe/GBR_United_Kingdom/ENG_England/GBR_ENG_Doncaster.Sheffield-Hood.AP.034054_TMYx.zip")</f>
        <v>https://climate.onebuilding.org/WMO_Region_6_Europe/GBR_United_Kingdom/ENG_England/GBR_ENG_Doncaster.Sheffield-Hood.AP.034054_TMYx.zip</v>
      </c>
    </row>
    <row r="5423" spans="1:10" x14ac:dyDescent="0.25">
      <c r="A5423" t="s">
        <v>3587</v>
      </c>
      <c r="B5423" t="s">
        <v>391</v>
      </c>
      <c r="C5423" t="s">
        <v>4119</v>
      </c>
      <c r="D5423" s="1" t="s">
        <v>4120</v>
      </c>
      <c r="E5423" t="s">
        <v>14</v>
      </c>
      <c r="F5423">
        <v>52.933</v>
      </c>
      <c r="G5423">
        <v>-3.9329999999999998</v>
      </c>
      <c r="H5423">
        <v>0</v>
      </c>
      <c r="I5423">
        <v>193</v>
      </c>
      <c r="J5423" t="str">
        <f>HYPERLINK("https://climate.onebuilding.org/WMO_Region_6_Europe/GBR_United_Kingdom/WAL_Wales/GBR_WAL_Trawsfynydd.034060_TMYx.zip")</f>
        <v>https://climate.onebuilding.org/WMO_Region_6_Europe/GBR_United_Kingdom/WAL_Wales/GBR_WAL_Trawsfynydd.034060_TMYx.zip</v>
      </c>
    </row>
    <row r="5424" spans="1:10" x14ac:dyDescent="0.25">
      <c r="A5424" t="s">
        <v>3587</v>
      </c>
      <c r="B5424" t="s">
        <v>3630</v>
      </c>
      <c r="C5424" t="s">
        <v>4121</v>
      </c>
      <c r="D5424" s="1" t="s">
        <v>4122</v>
      </c>
      <c r="E5424" t="s">
        <v>14</v>
      </c>
      <c r="F5424">
        <v>52.8</v>
      </c>
      <c r="G5424">
        <v>-4.117</v>
      </c>
      <c r="H5424">
        <v>0</v>
      </c>
      <c r="I5424">
        <v>9</v>
      </c>
      <c r="J5424" t="str">
        <f>HYPERLINK("https://climate.onebuilding.org/WMO_Region_6_Europe/GBR_United_Kingdom/ENG_England/GBR_ENG_Llanbedr.034070_TMYx.zip")</f>
        <v>https://climate.onebuilding.org/WMO_Region_6_Europe/GBR_United_Kingdom/ENG_England/GBR_ENG_Llanbedr.034070_TMYx.zip</v>
      </c>
    </row>
    <row r="5425" spans="1:10" x14ac:dyDescent="0.25">
      <c r="A5425" t="s">
        <v>3587</v>
      </c>
      <c r="B5425" t="s">
        <v>391</v>
      </c>
      <c r="C5425" t="s">
        <v>4123</v>
      </c>
      <c r="D5425" s="1" t="s">
        <v>4124</v>
      </c>
      <c r="E5425" t="s">
        <v>14</v>
      </c>
      <c r="F5425">
        <v>52.95</v>
      </c>
      <c r="G5425">
        <v>-3.4169999999999998</v>
      </c>
      <c r="H5425">
        <v>0</v>
      </c>
      <c r="I5425">
        <v>227</v>
      </c>
      <c r="J5425" t="str">
        <f>HYPERLINK("https://climate.onebuilding.org/WMO_Region_6_Europe/GBR_United_Kingdom/WAL_Wales/GBR_WAL_Cynwyd.034080_TMYx.zip")</f>
        <v>https://climate.onebuilding.org/WMO_Region_6_Europe/GBR_United_Kingdom/WAL_Wales/GBR_WAL_Cynwyd.034080_TMYx.zip</v>
      </c>
    </row>
    <row r="5426" spans="1:10" x14ac:dyDescent="0.25">
      <c r="A5426" t="s">
        <v>3587</v>
      </c>
      <c r="B5426" t="s">
        <v>391</v>
      </c>
      <c r="C5426" t="s">
        <v>4125</v>
      </c>
      <c r="D5426" s="1" t="s">
        <v>4126</v>
      </c>
      <c r="E5426" t="s">
        <v>4127</v>
      </c>
      <c r="F5426">
        <v>52.9</v>
      </c>
      <c r="G5426">
        <v>-3.5830000000000002</v>
      </c>
      <c r="H5426">
        <v>0</v>
      </c>
      <c r="I5426">
        <v>163</v>
      </c>
      <c r="J5426" t="str">
        <f>HYPERLINK("https://climate.onebuilding.org/WMO_Region_6_Europe/GBR_United_Kingdom/WAL_Wales/GBR_WAL_Bala.034090_TMYx.2004-2018.zip")</f>
        <v>https://climate.onebuilding.org/WMO_Region_6_Europe/GBR_United_Kingdom/WAL_Wales/GBR_WAL_Bala.034090_TMYx.2004-2018.zip</v>
      </c>
    </row>
    <row r="5427" spans="1:10" x14ac:dyDescent="0.25">
      <c r="A5427" t="s">
        <v>3587</v>
      </c>
      <c r="B5427" t="s">
        <v>391</v>
      </c>
      <c r="C5427" t="s">
        <v>4125</v>
      </c>
      <c r="D5427" s="1" t="s">
        <v>4126</v>
      </c>
      <c r="E5427" t="s">
        <v>14</v>
      </c>
      <c r="F5427">
        <v>52.9</v>
      </c>
      <c r="G5427">
        <v>-3.5830000000000002</v>
      </c>
      <c r="H5427">
        <v>0</v>
      </c>
      <c r="I5427">
        <v>163</v>
      </c>
      <c r="J5427" t="str">
        <f>HYPERLINK("https://climate.onebuilding.org/WMO_Region_6_Europe/GBR_United_Kingdom/WAL_Wales/GBR_WAL_Bala.034090_TMYx.2007-2021.zip")</f>
        <v>https://climate.onebuilding.org/WMO_Region_6_Europe/GBR_United_Kingdom/WAL_Wales/GBR_WAL_Bala.034090_TMYx.2007-2021.zip</v>
      </c>
    </row>
    <row r="5428" spans="1:10" x14ac:dyDescent="0.25">
      <c r="A5428" t="s">
        <v>3587</v>
      </c>
      <c r="B5428" t="s">
        <v>391</v>
      </c>
      <c r="C5428" t="s">
        <v>4125</v>
      </c>
      <c r="D5428" s="1" t="s">
        <v>4126</v>
      </c>
      <c r="E5428" t="s">
        <v>14</v>
      </c>
      <c r="F5428">
        <v>52.9</v>
      </c>
      <c r="G5428">
        <v>-3.5830000000000002</v>
      </c>
      <c r="H5428">
        <v>0</v>
      </c>
      <c r="I5428">
        <v>163</v>
      </c>
      <c r="J5428" t="str">
        <f>HYPERLINK("https://climate.onebuilding.org/WMO_Region_6_Europe/GBR_United_Kingdom/WAL_Wales/GBR_WAL_Bala.034090_TMYx.2009-2023.zip")</f>
        <v>https://climate.onebuilding.org/WMO_Region_6_Europe/GBR_United_Kingdom/WAL_Wales/GBR_WAL_Bala.034090_TMYx.2009-2023.zip</v>
      </c>
    </row>
    <row r="5429" spans="1:10" x14ac:dyDescent="0.25">
      <c r="A5429" t="s">
        <v>3587</v>
      </c>
      <c r="B5429" t="s">
        <v>391</v>
      </c>
      <c r="C5429" t="s">
        <v>4125</v>
      </c>
      <c r="D5429" s="1" t="s">
        <v>4126</v>
      </c>
      <c r="E5429" t="s">
        <v>14</v>
      </c>
      <c r="F5429">
        <v>52.9</v>
      </c>
      <c r="G5429">
        <v>-3.5830000000000002</v>
      </c>
      <c r="H5429">
        <v>0</v>
      </c>
      <c r="I5429">
        <v>163</v>
      </c>
      <c r="J5429" t="str">
        <f>HYPERLINK("https://climate.onebuilding.org/WMO_Region_6_Europe/GBR_United_Kingdom/WAL_Wales/GBR_WAL_Bala.034090_TMYx.zip")</f>
        <v>https://climate.onebuilding.org/WMO_Region_6_Europe/GBR_United_Kingdom/WAL_Wales/GBR_WAL_Bala.034090_TMYx.zip</v>
      </c>
    </row>
    <row r="5430" spans="1:10" x14ac:dyDescent="0.25">
      <c r="A5430" t="s">
        <v>3587</v>
      </c>
      <c r="B5430" t="s">
        <v>391</v>
      </c>
      <c r="C5430" t="s">
        <v>4128</v>
      </c>
      <c r="D5430" s="1" t="s">
        <v>4129</v>
      </c>
      <c r="E5430" t="s">
        <v>4130</v>
      </c>
      <c r="F5430">
        <v>52.75</v>
      </c>
      <c r="G5430">
        <v>-3.4670000000000001</v>
      </c>
      <c r="H5430">
        <v>0</v>
      </c>
      <c r="I5430">
        <v>359</v>
      </c>
      <c r="J5430" t="str">
        <f>HYPERLINK("https://climate.onebuilding.org/WMO_Region_6_Europe/GBR_United_Kingdom/WAL_Wales/GBR_WAL_Lake.Vyrnwy.034100_TMYx.2004-2018.zip")</f>
        <v>https://climate.onebuilding.org/WMO_Region_6_Europe/GBR_United_Kingdom/WAL_Wales/GBR_WAL_Lake.Vyrnwy.034100_TMYx.2004-2018.zip</v>
      </c>
    </row>
    <row r="5431" spans="1:10" x14ac:dyDescent="0.25">
      <c r="A5431" t="s">
        <v>3587</v>
      </c>
      <c r="B5431" t="s">
        <v>391</v>
      </c>
      <c r="C5431" t="s">
        <v>4128</v>
      </c>
      <c r="D5431" s="1" t="s">
        <v>4129</v>
      </c>
      <c r="E5431" t="s">
        <v>14</v>
      </c>
      <c r="F5431">
        <v>52.757199999999997</v>
      </c>
      <c r="G5431">
        <v>-3.4653</v>
      </c>
      <c r="H5431">
        <v>0</v>
      </c>
      <c r="I5431">
        <v>359</v>
      </c>
      <c r="J5431" t="str">
        <f>HYPERLINK("https://climate.onebuilding.org/WMO_Region_6_Europe/GBR_United_Kingdom/WAL_Wales/GBR_WAL_Lake.Vyrnwy.034100_TMYx.2007-2021.zip")</f>
        <v>https://climate.onebuilding.org/WMO_Region_6_Europe/GBR_United_Kingdom/WAL_Wales/GBR_WAL_Lake.Vyrnwy.034100_TMYx.2007-2021.zip</v>
      </c>
    </row>
    <row r="5432" spans="1:10" x14ac:dyDescent="0.25">
      <c r="A5432" t="s">
        <v>3587</v>
      </c>
      <c r="B5432" t="s">
        <v>391</v>
      </c>
      <c r="C5432" t="s">
        <v>4128</v>
      </c>
      <c r="D5432" s="1" t="s">
        <v>4129</v>
      </c>
      <c r="E5432" t="s">
        <v>14</v>
      </c>
      <c r="F5432">
        <v>52.757199999999997</v>
      </c>
      <c r="G5432">
        <v>-3.4653</v>
      </c>
      <c r="H5432">
        <v>0</v>
      </c>
      <c r="I5432">
        <v>359</v>
      </c>
      <c r="J5432" t="str">
        <f>HYPERLINK("https://climate.onebuilding.org/WMO_Region_6_Europe/GBR_United_Kingdom/WAL_Wales/GBR_WAL_Lake.Vyrnwy.034100_TMYx.2009-2023.zip")</f>
        <v>https://climate.onebuilding.org/WMO_Region_6_Europe/GBR_United_Kingdom/WAL_Wales/GBR_WAL_Lake.Vyrnwy.034100_TMYx.2009-2023.zip</v>
      </c>
    </row>
    <row r="5433" spans="1:10" x14ac:dyDescent="0.25">
      <c r="A5433" t="s">
        <v>3587</v>
      </c>
      <c r="B5433" t="s">
        <v>391</v>
      </c>
      <c r="C5433" t="s">
        <v>4128</v>
      </c>
      <c r="D5433" s="1" t="s">
        <v>4129</v>
      </c>
      <c r="E5433" t="s">
        <v>14</v>
      </c>
      <c r="F5433">
        <v>52.757199999999997</v>
      </c>
      <c r="G5433">
        <v>-3.4653</v>
      </c>
      <c r="H5433">
        <v>0</v>
      </c>
      <c r="I5433">
        <v>359</v>
      </c>
      <c r="J5433" t="str">
        <f>HYPERLINK("https://climate.onebuilding.org/WMO_Region_6_Europe/GBR_United_Kingdom/WAL_Wales/GBR_WAL_Lake.Vyrnwy.034100_TMYx.zip")</f>
        <v>https://climate.onebuilding.org/WMO_Region_6_Europe/GBR_United_Kingdom/WAL_Wales/GBR_WAL_Lake.Vyrnwy.034100_TMYx.zip</v>
      </c>
    </row>
    <row r="5434" spans="1:10" x14ac:dyDescent="0.25">
      <c r="A5434" t="s">
        <v>3587</v>
      </c>
      <c r="B5434" t="s">
        <v>391</v>
      </c>
      <c r="C5434" t="s">
        <v>4131</v>
      </c>
      <c r="D5434" s="1" t="s">
        <v>4132</v>
      </c>
      <c r="E5434" t="s">
        <v>14</v>
      </c>
      <c r="F5434">
        <v>52.567</v>
      </c>
      <c r="G5434">
        <v>-3.7170000000000001</v>
      </c>
      <c r="H5434">
        <v>0</v>
      </c>
      <c r="I5434">
        <v>244</v>
      </c>
      <c r="J5434" t="str">
        <f>HYPERLINK("https://climate.onebuilding.org/WMO_Region_6_Europe/GBR_United_Kingdom/WAL_Wales/GBR_WAL_Aberhosan.034110_TMYx.zip")</f>
        <v>https://climate.onebuilding.org/WMO_Region_6_Europe/GBR_United_Kingdom/WAL_Wales/GBR_WAL_Aberhosan.034110_TMYx.zip</v>
      </c>
    </row>
    <row r="5435" spans="1:10" x14ac:dyDescent="0.25">
      <c r="A5435" t="s">
        <v>3587</v>
      </c>
      <c r="B5435" t="s">
        <v>3630</v>
      </c>
      <c r="C5435" t="s">
        <v>4133</v>
      </c>
      <c r="D5435" s="1" t="s">
        <v>4134</v>
      </c>
      <c r="E5435" t="s">
        <v>4135</v>
      </c>
      <c r="F5435">
        <v>52.798000000000002</v>
      </c>
      <c r="G5435">
        <v>-2.6680000000000001</v>
      </c>
      <c r="H5435">
        <v>0</v>
      </c>
      <c r="I5435">
        <v>75.900000000000006</v>
      </c>
      <c r="J5435" t="str">
        <f>HYPERLINK("https://climate.onebuilding.org/WMO_Region_6_Europe/GBR_United_Kingdom/ENG_England/GBR_ENG_RAF.Shawbury.034140_TMYx.2004-2018.zip")</f>
        <v>https://climate.onebuilding.org/WMO_Region_6_Europe/GBR_United_Kingdom/ENG_England/GBR_ENG_RAF.Shawbury.034140_TMYx.2004-2018.zip</v>
      </c>
    </row>
    <row r="5436" spans="1:10" x14ac:dyDescent="0.25">
      <c r="A5436" t="s">
        <v>3587</v>
      </c>
      <c r="B5436" t="s">
        <v>3630</v>
      </c>
      <c r="C5436" t="s">
        <v>4133</v>
      </c>
      <c r="D5436" s="1" t="s">
        <v>4134</v>
      </c>
      <c r="E5436" t="s">
        <v>14</v>
      </c>
      <c r="F5436">
        <v>52.794699999999999</v>
      </c>
      <c r="G5436">
        <v>-2.6646999999999998</v>
      </c>
      <c r="H5436">
        <v>0</v>
      </c>
      <c r="I5436">
        <v>75.900000000000006</v>
      </c>
      <c r="J5436" t="str">
        <f>HYPERLINK("https://climate.onebuilding.org/WMO_Region_6_Europe/GBR_United_Kingdom/ENG_England/GBR_ENG_RAF.Shawbury.034140_TMYx.2007-2021.zip")</f>
        <v>https://climate.onebuilding.org/WMO_Region_6_Europe/GBR_United_Kingdom/ENG_England/GBR_ENG_RAF.Shawbury.034140_TMYx.2007-2021.zip</v>
      </c>
    </row>
    <row r="5437" spans="1:10" x14ac:dyDescent="0.25">
      <c r="A5437" t="s">
        <v>3587</v>
      </c>
      <c r="B5437" t="s">
        <v>3630</v>
      </c>
      <c r="C5437" t="s">
        <v>4133</v>
      </c>
      <c r="D5437" s="1" t="s">
        <v>4134</v>
      </c>
      <c r="E5437" t="s">
        <v>14</v>
      </c>
      <c r="F5437">
        <v>52.794699999999999</v>
      </c>
      <c r="G5437">
        <v>-2.6646999999999998</v>
      </c>
      <c r="H5437">
        <v>0</v>
      </c>
      <c r="I5437">
        <v>75.900000000000006</v>
      </c>
      <c r="J5437" t="str">
        <f>HYPERLINK("https://climate.onebuilding.org/WMO_Region_6_Europe/GBR_United_Kingdom/ENG_England/GBR_ENG_RAF.Shawbury.034140_TMYx.2009-2023.zip")</f>
        <v>https://climate.onebuilding.org/WMO_Region_6_Europe/GBR_United_Kingdom/ENG_England/GBR_ENG_RAF.Shawbury.034140_TMYx.2009-2023.zip</v>
      </c>
    </row>
    <row r="5438" spans="1:10" x14ac:dyDescent="0.25">
      <c r="A5438" t="s">
        <v>3587</v>
      </c>
      <c r="B5438" t="s">
        <v>3630</v>
      </c>
      <c r="C5438" t="s">
        <v>4133</v>
      </c>
      <c r="D5438" s="1" t="s">
        <v>4134</v>
      </c>
      <c r="E5438" t="s">
        <v>14</v>
      </c>
      <c r="F5438">
        <v>52.794699999999999</v>
      </c>
      <c r="G5438">
        <v>-2.6646999999999998</v>
      </c>
      <c r="H5438">
        <v>0</v>
      </c>
      <c r="I5438">
        <v>75.900000000000006</v>
      </c>
      <c r="J5438" t="str">
        <f>HYPERLINK("https://climate.onebuilding.org/WMO_Region_6_Europe/GBR_United_Kingdom/ENG_England/GBR_ENG_RAF.Shawbury.034140_TMYx.zip")</f>
        <v>https://climate.onebuilding.org/WMO_Region_6_Europe/GBR_United_Kingdom/ENG_England/GBR_ENG_RAF.Shawbury.034140_TMYx.zip</v>
      </c>
    </row>
    <row r="5439" spans="1:10" x14ac:dyDescent="0.25">
      <c r="A5439" t="s">
        <v>3587</v>
      </c>
      <c r="B5439" t="s">
        <v>3630</v>
      </c>
      <c r="C5439" t="s">
        <v>4136</v>
      </c>
      <c r="D5439" s="1" t="s">
        <v>4137</v>
      </c>
      <c r="E5439" t="s">
        <v>14</v>
      </c>
      <c r="F5439">
        <v>52.64</v>
      </c>
      <c r="G5439">
        <v>-2.306</v>
      </c>
      <c r="H5439">
        <v>0</v>
      </c>
      <c r="I5439">
        <v>82.9</v>
      </c>
      <c r="J5439" t="str">
        <f>HYPERLINK("https://climate.onebuilding.org/WMO_Region_6_Europe/GBR_United_Kingdom/ENG_England/GBR_ENG_Cosford.034145_TMYx.2007-2021.zip")</f>
        <v>https://climate.onebuilding.org/WMO_Region_6_Europe/GBR_United_Kingdom/ENG_England/GBR_ENG_Cosford.034145_TMYx.2007-2021.zip</v>
      </c>
    </row>
    <row r="5440" spans="1:10" x14ac:dyDescent="0.25">
      <c r="A5440" t="s">
        <v>3587</v>
      </c>
      <c r="B5440" t="s">
        <v>3630</v>
      </c>
      <c r="C5440" t="s">
        <v>4136</v>
      </c>
      <c r="D5440" s="1" t="s">
        <v>4137</v>
      </c>
      <c r="E5440" t="s">
        <v>14</v>
      </c>
      <c r="F5440">
        <v>52.64</v>
      </c>
      <c r="G5440">
        <v>-2.306</v>
      </c>
      <c r="H5440">
        <v>0</v>
      </c>
      <c r="I5440">
        <v>82.9</v>
      </c>
      <c r="J5440" t="str">
        <f>HYPERLINK("https://climate.onebuilding.org/WMO_Region_6_Europe/GBR_United_Kingdom/ENG_England/GBR_ENG_Cosford.034145_TMYx.2009-2023.zip")</f>
        <v>https://climate.onebuilding.org/WMO_Region_6_Europe/GBR_United_Kingdom/ENG_England/GBR_ENG_Cosford.034145_TMYx.2009-2023.zip</v>
      </c>
    </row>
    <row r="5441" spans="1:10" x14ac:dyDescent="0.25">
      <c r="A5441" t="s">
        <v>3587</v>
      </c>
      <c r="B5441" t="s">
        <v>3630</v>
      </c>
      <c r="C5441" t="s">
        <v>4136</v>
      </c>
      <c r="D5441" s="1" t="s">
        <v>4137</v>
      </c>
      <c r="E5441" t="s">
        <v>14</v>
      </c>
      <c r="F5441">
        <v>52.64</v>
      </c>
      <c r="G5441">
        <v>-2.306</v>
      </c>
      <c r="H5441">
        <v>0</v>
      </c>
      <c r="I5441">
        <v>82.9</v>
      </c>
      <c r="J5441" t="str">
        <f>HYPERLINK("https://climate.onebuilding.org/WMO_Region_6_Europe/GBR_United_Kingdom/ENG_England/GBR_ENG_Cosford.034145_TMYx.zip")</f>
        <v>https://climate.onebuilding.org/WMO_Region_6_Europe/GBR_United_Kingdom/ENG_England/GBR_ENG_Cosford.034145_TMYx.zip</v>
      </c>
    </row>
    <row r="5442" spans="1:10" x14ac:dyDescent="0.25">
      <c r="A5442" t="s">
        <v>3587</v>
      </c>
      <c r="B5442" t="s">
        <v>3630</v>
      </c>
      <c r="C5442" t="s">
        <v>4138</v>
      </c>
      <c r="D5442" s="1" t="s">
        <v>4139</v>
      </c>
      <c r="E5442" t="s">
        <v>14</v>
      </c>
      <c r="F5442">
        <v>52.866999999999997</v>
      </c>
      <c r="G5442">
        <v>-2.5329999999999999</v>
      </c>
      <c r="H5442">
        <v>0</v>
      </c>
      <c r="I5442">
        <v>83</v>
      </c>
      <c r="J5442" t="str">
        <f>HYPERLINK("https://climate.onebuilding.org/WMO_Region_6_Europe/GBR_United_Kingdom/ENG_England/GBR_ENG_Ternhill.Raf.034180_TMYx.zip")</f>
        <v>https://climate.onebuilding.org/WMO_Region_6_Europe/GBR_United_Kingdom/ENG_England/GBR_ENG_Ternhill.Raf.034180_TMYx.zip</v>
      </c>
    </row>
    <row r="5443" spans="1:10" x14ac:dyDescent="0.25">
      <c r="A5443" t="s">
        <v>3587</v>
      </c>
      <c r="B5443" t="s">
        <v>3630</v>
      </c>
      <c r="C5443" t="s">
        <v>4140</v>
      </c>
      <c r="D5443" s="1" t="s">
        <v>4141</v>
      </c>
      <c r="E5443" t="s">
        <v>4142</v>
      </c>
      <c r="F5443">
        <v>52.831000000000003</v>
      </c>
      <c r="G5443">
        <v>-1.3280000000000001</v>
      </c>
      <c r="H5443">
        <v>0</v>
      </c>
      <c r="I5443">
        <v>93.3</v>
      </c>
      <c r="J5443" t="str">
        <f>HYPERLINK("https://climate.onebuilding.org/WMO_Region_6_Europe/GBR_United_Kingdom/ENG_England/GBR_ENG_Nottingham-East.Midlands.AP.034185_TMYx.2004-2018.zip")</f>
        <v>https://climate.onebuilding.org/WMO_Region_6_Europe/GBR_United_Kingdom/ENG_England/GBR_ENG_Nottingham-East.Midlands.AP.034185_TMYx.2004-2018.zip</v>
      </c>
    </row>
    <row r="5444" spans="1:10" x14ac:dyDescent="0.25">
      <c r="A5444" t="s">
        <v>3587</v>
      </c>
      <c r="B5444" t="s">
        <v>3630</v>
      </c>
      <c r="C5444" t="s">
        <v>4140</v>
      </c>
      <c r="D5444" s="1" t="s">
        <v>4141</v>
      </c>
      <c r="E5444" t="s">
        <v>14</v>
      </c>
      <c r="F5444">
        <v>52.831000000000003</v>
      </c>
      <c r="G5444">
        <v>-1.3280000000000001</v>
      </c>
      <c r="H5444">
        <v>0</v>
      </c>
      <c r="I5444">
        <v>93.3</v>
      </c>
      <c r="J5444" t="str">
        <f>HYPERLINK("https://climate.onebuilding.org/WMO_Region_6_Europe/GBR_United_Kingdom/ENG_England/GBR_ENG_Nottingham-East.Midlands.AP.034185_TMYx.2007-2021.zip")</f>
        <v>https://climate.onebuilding.org/WMO_Region_6_Europe/GBR_United_Kingdom/ENG_England/GBR_ENG_Nottingham-East.Midlands.AP.034185_TMYx.2007-2021.zip</v>
      </c>
    </row>
    <row r="5445" spans="1:10" x14ac:dyDescent="0.25">
      <c r="A5445" t="s">
        <v>3587</v>
      </c>
      <c r="B5445" t="s">
        <v>3630</v>
      </c>
      <c r="C5445" t="s">
        <v>4140</v>
      </c>
      <c r="D5445" s="1" t="s">
        <v>4141</v>
      </c>
      <c r="E5445" t="s">
        <v>14</v>
      </c>
      <c r="F5445">
        <v>52.831000000000003</v>
      </c>
      <c r="G5445">
        <v>-1.3280000000000001</v>
      </c>
      <c r="H5445">
        <v>0</v>
      </c>
      <c r="I5445">
        <v>93.3</v>
      </c>
      <c r="J5445" t="str">
        <f>HYPERLINK("https://climate.onebuilding.org/WMO_Region_6_Europe/GBR_United_Kingdom/ENG_England/GBR_ENG_Nottingham-East.Midlands.AP.034185_TMYx.2009-2023.zip")</f>
        <v>https://climate.onebuilding.org/WMO_Region_6_Europe/GBR_United_Kingdom/ENG_England/GBR_ENG_Nottingham-East.Midlands.AP.034185_TMYx.2009-2023.zip</v>
      </c>
    </row>
    <row r="5446" spans="1:10" x14ac:dyDescent="0.25">
      <c r="A5446" t="s">
        <v>3587</v>
      </c>
      <c r="B5446" t="s">
        <v>3630</v>
      </c>
      <c r="C5446" t="s">
        <v>4140</v>
      </c>
      <c r="D5446" s="1" t="s">
        <v>4141</v>
      </c>
      <c r="E5446" t="s">
        <v>14</v>
      </c>
      <c r="F5446">
        <v>52.831000000000003</v>
      </c>
      <c r="G5446">
        <v>-1.3280000000000001</v>
      </c>
      <c r="H5446">
        <v>0</v>
      </c>
      <c r="I5446">
        <v>93.3</v>
      </c>
      <c r="J5446" t="str">
        <f>HYPERLINK("https://climate.onebuilding.org/WMO_Region_6_Europe/GBR_United_Kingdom/ENG_England/GBR_ENG_Nottingham-East.Midlands.AP.034185_TMYx.zip")</f>
        <v>https://climate.onebuilding.org/WMO_Region_6_Europe/GBR_United_Kingdom/ENG_England/GBR_ENG_Nottingham-East.Midlands.AP.034185_TMYx.zip</v>
      </c>
    </row>
    <row r="5447" spans="1:10" x14ac:dyDescent="0.25">
      <c r="A5447" t="s">
        <v>3587</v>
      </c>
      <c r="B5447" t="s">
        <v>3630</v>
      </c>
      <c r="C5447" t="s">
        <v>4143</v>
      </c>
      <c r="D5447" s="1" t="s">
        <v>4144</v>
      </c>
      <c r="E5447" t="s">
        <v>4145</v>
      </c>
      <c r="F5447">
        <v>52.735999999999997</v>
      </c>
      <c r="G5447">
        <v>-0.64900000000000002</v>
      </c>
      <c r="H5447">
        <v>0</v>
      </c>
      <c r="I5447">
        <v>140.5</v>
      </c>
      <c r="J5447" t="str">
        <f>HYPERLINK("https://climate.onebuilding.org/WMO_Region_6_Europe/GBR_United_Kingdom/ENG_England/GBR_ENG_RAF.Cottesmore.034530_TMYx.2004-2018.zip")</f>
        <v>https://climate.onebuilding.org/WMO_Region_6_Europe/GBR_United_Kingdom/ENG_England/GBR_ENG_RAF.Cottesmore.034530_TMYx.2004-2018.zip</v>
      </c>
    </row>
    <row r="5448" spans="1:10" x14ac:dyDescent="0.25">
      <c r="A5448" t="s">
        <v>3587</v>
      </c>
      <c r="B5448" t="s">
        <v>3630</v>
      </c>
      <c r="C5448" t="s">
        <v>4143</v>
      </c>
      <c r="D5448" s="1" t="s">
        <v>4144</v>
      </c>
      <c r="E5448" t="s">
        <v>14</v>
      </c>
      <c r="F5448">
        <v>52.735999999999997</v>
      </c>
      <c r="G5448">
        <v>-0.64900000000000002</v>
      </c>
      <c r="H5448">
        <v>0</v>
      </c>
      <c r="I5448">
        <v>140.5</v>
      </c>
      <c r="J5448" t="str">
        <f>HYPERLINK("https://climate.onebuilding.org/WMO_Region_6_Europe/GBR_United_Kingdom/ENG_England/GBR_ENG_RAF.Cottesmore.034530_TMYx.2007-2021.zip")</f>
        <v>https://climate.onebuilding.org/WMO_Region_6_Europe/GBR_United_Kingdom/ENG_England/GBR_ENG_RAF.Cottesmore.034530_TMYx.2007-2021.zip</v>
      </c>
    </row>
    <row r="5449" spans="1:10" x14ac:dyDescent="0.25">
      <c r="A5449" t="s">
        <v>3587</v>
      </c>
      <c r="B5449" t="s">
        <v>3630</v>
      </c>
      <c r="C5449" t="s">
        <v>4143</v>
      </c>
      <c r="D5449" s="1" t="s">
        <v>4144</v>
      </c>
      <c r="E5449" t="s">
        <v>14</v>
      </c>
      <c r="F5449">
        <v>52.735999999999997</v>
      </c>
      <c r="G5449">
        <v>-0.64900000000000002</v>
      </c>
      <c r="H5449">
        <v>0</v>
      </c>
      <c r="I5449">
        <v>140.5</v>
      </c>
      <c r="J5449" t="str">
        <f>HYPERLINK("https://climate.onebuilding.org/WMO_Region_6_Europe/GBR_United_Kingdom/ENG_England/GBR_ENG_RAF.Cottesmore.034530_TMYx.zip")</f>
        <v>https://climate.onebuilding.org/WMO_Region_6_Europe/GBR_United_Kingdom/ENG_England/GBR_ENG_RAF.Cottesmore.034530_TMYx.zip</v>
      </c>
    </row>
    <row r="5450" spans="1:10" x14ac:dyDescent="0.25">
      <c r="A5450" t="s">
        <v>3587</v>
      </c>
      <c r="B5450" t="s">
        <v>3630</v>
      </c>
      <c r="C5450" t="s">
        <v>4146</v>
      </c>
      <c r="D5450" s="1" t="s">
        <v>4147</v>
      </c>
      <c r="E5450" t="s">
        <v>4148</v>
      </c>
      <c r="F5450">
        <v>52.613</v>
      </c>
      <c r="G5450">
        <v>-0.47599999999999998</v>
      </c>
      <c r="H5450">
        <v>0</v>
      </c>
      <c r="I5450">
        <v>83.2</v>
      </c>
      <c r="J5450" t="str">
        <f>HYPERLINK("https://climate.onebuilding.org/WMO_Region_6_Europe/GBR_United_Kingdom/ENG_England/GBR_ENG_RAF.Wittering.034620_TMYx.2004-2018.zip")</f>
        <v>https://climate.onebuilding.org/WMO_Region_6_Europe/GBR_United_Kingdom/ENG_England/GBR_ENG_RAF.Wittering.034620_TMYx.2004-2018.zip</v>
      </c>
    </row>
    <row r="5451" spans="1:10" x14ac:dyDescent="0.25">
      <c r="A5451" t="s">
        <v>3587</v>
      </c>
      <c r="B5451" t="s">
        <v>3630</v>
      </c>
      <c r="C5451" t="s">
        <v>4146</v>
      </c>
      <c r="D5451" s="1" t="s">
        <v>4147</v>
      </c>
      <c r="E5451" t="s">
        <v>14</v>
      </c>
      <c r="F5451">
        <v>52.611400000000003</v>
      </c>
      <c r="G5451">
        <v>-0.46110000000000001</v>
      </c>
      <c r="H5451">
        <v>0</v>
      </c>
      <c r="I5451">
        <v>83.2</v>
      </c>
      <c r="J5451" t="str">
        <f>HYPERLINK("https://climate.onebuilding.org/WMO_Region_6_Europe/GBR_United_Kingdom/ENG_England/GBR_ENG_RAF.Wittering.034620_TMYx.2007-2021.zip")</f>
        <v>https://climate.onebuilding.org/WMO_Region_6_Europe/GBR_United_Kingdom/ENG_England/GBR_ENG_RAF.Wittering.034620_TMYx.2007-2021.zip</v>
      </c>
    </row>
    <row r="5452" spans="1:10" x14ac:dyDescent="0.25">
      <c r="A5452" t="s">
        <v>3587</v>
      </c>
      <c r="B5452" t="s">
        <v>3630</v>
      </c>
      <c r="C5452" t="s">
        <v>4146</v>
      </c>
      <c r="D5452" s="1" t="s">
        <v>4147</v>
      </c>
      <c r="E5452" t="s">
        <v>14</v>
      </c>
      <c r="F5452">
        <v>52.611400000000003</v>
      </c>
      <c r="G5452">
        <v>-0.46110000000000001</v>
      </c>
      <c r="H5452">
        <v>0</v>
      </c>
      <c r="I5452">
        <v>83.2</v>
      </c>
      <c r="J5452" t="str">
        <f>HYPERLINK("https://climate.onebuilding.org/WMO_Region_6_Europe/GBR_United_Kingdom/ENG_England/GBR_ENG_RAF.Wittering.034620_TMYx.2009-2023.zip")</f>
        <v>https://climate.onebuilding.org/WMO_Region_6_Europe/GBR_United_Kingdom/ENG_England/GBR_ENG_RAF.Wittering.034620_TMYx.2009-2023.zip</v>
      </c>
    </row>
    <row r="5453" spans="1:10" x14ac:dyDescent="0.25">
      <c r="A5453" t="s">
        <v>3587</v>
      </c>
      <c r="B5453" t="s">
        <v>3630</v>
      </c>
      <c r="C5453" t="s">
        <v>4146</v>
      </c>
      <c r="D5453" s="1" t="s">
        <v>4147</v>
      </c>
      <c r="E5453" t="s">
        <v>14</v>
      </c>
      <c r="F5453">
        <v>52.611400000000003</v>
      </c>
      <c r="G5453">
        <v>-0.46110000000000001</v>
      </c>
      <c r="H5453">
        <v>0</v>
      </c>
      <c r="I5453">
        <v>83.2</v>
      </c>
      <c r="J5453" t="str">
        <f>HYPERLINK("https://climate.onebuilding.org/WMO_Region_6_Europe/GBR_United_Kingdom/ENG_England/GBR_ENG_RAF.Wittering.034620_TMYx.zip")</f>
        <v>https://climate.onebuilding.org/WMO_Region_6_Europe/GBR_United_Kingdom/ENG_England/GBR_ENG_RAF.Wittering.034620_TMYx.zip</v>
      </c>
    </row>
    <row r="5454" spans="1:10" x14ac:dyDescent="0.25">
      <c r="A5454" t="s">
        <v>3587</v>
      </c>
      <c r="B5454" t="s">
        <v>3630</v>
      </c>
      <c r="C5454" t="s">
        <v>4149</v>
      </c>
      <c r="D5454" s="1" t="s">
        <v>4150</v>
      </c>
      <c r="E5454" t="s">
        <v>4151</v>
      </c>
      <c r="F5454">
        <v>52.866999999999997</v>
      </c>
      <c r="G5454">
        <v>0.15</v>
      </c>
      <c r="H5454">
        <v>0</v>
      </c>
      <c r="I5454">
        <v>3</v>
      </c>
      <c r="J5454" t="str">
        <f>HYPERLINK("https://climate.onebuilding.org/WMO_Region_6_Europe/GBR_United_Kingdom/ENG_England/GBR_ENG_Holbeach.034690_TMYx.2004-2018.zip")</f>
        <v>https://climate.onebuilding.org/WMO_Region_6_Europe/GBR_United_Kingdom/ENG_England/GBR_ENG_Holbeach.034690_TMYx.2004-2018.zip</v>
      </c>
    </row>
    <row r="5455" spans="1:10" x14ac:dyDescent="0.25">
      <c r="A5455" t="s">
        <v>3587</v>
      </c>
      <c r="B5455" t="s">
        <v>3630</v>
      </c>
      <c r="C5455" t="s">
        <v>4149</v>
      </c>
      <c r="D5455" s="1" t="s">
        <v>4150</v>
      </c>
      <c r="E5455" t="s">
        <v>14</v>
      </c>
      <c r="F5455">
        <v>52.8733</v>
      </c>
      <c r="G5455">
        <v>0.1386</v>
      </c>
      <c r="H5455">
        <v>0</v>
      </c>
      <c r="I5455">
        <v>3</v>
      </c>
      <c r="J5455" t="str">
        <f>HYPERLINK("https://climate.onebuilding.org/WMO_Region_6_Europe/GBR_United_Kingdom/ENG_England/GBR_ENG_Holbeach.034690_TMYx.2007-2021.zip")</f>
        <v>https://climate.onebuilding.org/WMO_Region_6_Europe/GBR_United_Kingdom/ENG_England/GBR_ENG_Holbeach.034690_TMYx.2007-2021.zip</v>
      </c>
    </row>
    <row r="5456" spans="1:10" x14ac:dyDescent="0.25">
      <c r="A5456" t="s">
        <v>3587</v>
      </c>
      <c r="B5456" t="s">
        <v>3630</v>
      </c>
      <c r="C5456" t="s">
        <v>4149</v>
      </c>
      <c r="D5456" s="1" t="s">
        <v>4150</v>
      </c>
      <c r="E5456" t="s">
        <v>14</v>
      </c>
      <c r="F5456">
        <v>52.8733</v>
      </c>
      <c r="G5456">
        <v>0.1386</v>
      </c>
      <c r="H5456">
        <v>0</v>
      </c>
      <c r="I5456">
        <v>3</v>
      </c>
      <c r="J5456" t="str">
        <f>HYPERLINK("https://climate.onebuilding.org/WMO_Region_6_Europe/GBR_United_Kingdom/ENG_England/GBR_ENG_Holbeach.034690_TMYx.2009-2023.zip")</f>
        <v>https://climate.onebuilding.org/WMO_Region_6_Europe/GBR_United_Kingdom/ENG_England/GBR_ENG_Holbeach.034690_TMYx.2009-2023.zip</v>
      </c>
    </row>
    <row r="5457" spans="1:10" x14ac:dyDescent="0.25">
      <c r="A5457" t="s">
        <v>3587</v>
      </c>
      <c r="B5457" t="s">
        <v>3630</v>
      </c>
      <c r="C5457" t="s">
        <v>4149</v>
      </c>
      <c r="D5457" s="1" t="s">
        <v>4150</v>
      </c>
      <c r="E5457" t="s">
        <v>14</v>
      </c>
      <c r="F5457">
        <v>52.8733</v>
      </c>
      <c r="G5457">
        <v>0.1386</v>
      </c>
      <c r="H5457">
        <v>0</v>
      </c>
      <c r="I5457">
        <v>3</v>
      </c>
      <c r="J5457" t="str">
        <f>HYPERLINK("https://climate.onebuilding.org/WMO_Region_6_Europe/GBR_United_Kingdom/ENG_England/GBR_ENG_Holbeach.034690_TMYx.zip")</f>
        <v>https://climate.onebuilding.org/WMO_Region_6_Europe/GBR_United_Kingdom/ENG_England/GBR_ENG_Holbeach.034690_TMYx.zip</v>
      </c>
    </row>
    <row r="5458" spans="1:10" x14ac:dyDescent="0.25">
      <c r="A5458" t="s">
        <v>3587</v>
      </c>
      <c r="B5458" t="s">
        <v>3630</v>
      </c>
      <c r="C5458" t="s">
        <v>4152</v>
      </c>
      <c r="D5458" s="1" t="s">
        <v>4153</v>
      </c>
      <c r="E5458" t="s">
        <v>14</v>
      </c>
      <c r="F5458">
        <v>52.883000000000003</v>
      </c>
      <c r="G5458">
        <v>0.183</v>
      </c>
      <c r="H5458">
        <v>0</v>
      </c>
      <c r="I5458">
        <v>12</v>
      </c>
      <c r="J5458" t="str">
        <f>HYPERLINK("https://climate.onebuilding.org/WMO_Region_6_Europe/GBR_United_Kingdom/ENG_England/GBR_ENG_Holbeach.Raf.Range.034700_TMYx.zip")</f>
        <v>https://climate.onebuilding.org/WMO_Region_6_Europe/GBR_United_Kingdom/ENG_England/GBR_ENG_Holbeach.Raf.Range.034700_TMYx.zip</v>
      </c>
    </row>
    <row r="5459" spans="1:10" x14ac:dyDescent="0.25">
      <c r="A5459" t="s">
        <v>3587</v>
      </c>
      <c r="B5459" t="s">
        <v>3630</v>
      </c>
      <c r="C5459" t="s">
        <v>4154</v>
      </c>
      <c r="D5459" s="1" t="s">
        <v>4155</v>
      </c>
      <c r="E5459" t="s">
        <v>4156</v>
      </c>
      <c r="F5459">
        <v>52.648000000000003</v>
      </c>
      <c r="G5459">
        <v>0.55100000000000005</v>
      </c>
      <c r="H5459">
        <v>0</v>
      </c>
      <c r="I5459">
        <v>22.9</v>
      </c>
      <c r="J5459" t="str">
        <f>HYPERLINK("https://climate.onebuilding.org/WMO_Region_6_Europe/GBR_United_Kingdom/ENG_England/GBR_ENG_RAF.Marham.034820_TMYx.2004-2018.zip")</f>
        <v>https://climate.onebuilding.org/WMO_Region_6_Europe/GBR_United_Kingdom/ENG_England/GBR_ENG_RAF.Marham.034820_TMYx.2004-2018.zip</v>
      </c>
    </row>
    <row r="5460" spans="1:10" x14ac:dyDescent="0.25">
      <c r="A5460" t="s">
        <v>3587</v>
      </c>
      <c r="B5460" t="s">
        <v>3630</v>
      </c>
      <c r="C5460" t="s">
        <v>4154</v>
      </c>
      <c r="D5460" s="1" t="s">
        <v>4155</v>
      </c>
      <c r="E5460" t="s">
        <v>14</v>
      </c>
      <c r="F5460">
        <v>52.651400000000002</v>
      </c>
      <c r="G5460">
        <v>0.56610000000000005</v>
      </c>
      <c r="H5460">
        <v>0</v>
      </c>
      <c r="I5460">
        <v>22.9</v>
      </c>
      <c r="J5460" t="str">
        <f>HYPERLINK("https://climate.onebuilding.org/WMO_Region_6_Europe/GBR_United_Kingdom/ENG_England/GBR_ENG_RAF.Marham.034820_TMYx.2007-2021.zip")</f>
        <v>https://climate.onebuilding.org/WMO_Region_6_Europe/GBR_United_Kingdom/ENG_England/GBR_ENG_RAF.Marham.034820_TMYx.2007-2021.zip</v>
      </c>
    </row>
    <row r="5461" spans="1:10" x14ac:dyDescent="0.25">
      <c r="A5461" t="s">
        <v>3587</v>
      </c>
      <c r="B5461" t="s">
        <v>3630</v>
      </c>
      <c r="C5461" t="s">
        <v>4154</v>
      </c>
      <c r="D5461" s="1" t="s">
        <v>4155</v>
      </c>
      <c r="E5461" t="s">
        <v>14</v>
      </c>
      <c r="F5461">
        <v>52.651400000000002</v>
      </c>
      <c r="G5461">
        <v>0.56610000000000005</v>
      </c>
      <c r="H5461">
        <v>0</v>
      </c>
      <c r="I5461">
        <v>22.9</v>
      </c>
      <c r="J5461" t="str">
        <f>HYPERLINK("https://climate.onebuilding.org/WMO_Region_6_Europe/GBR_United_Kingdom/ENG_England/GBR_ENG_RAF.Marham.034820_TMYx.2009-2023.zip")</f>
        <v>https://climate.onebuilding.org/WMO_Region_6_Europe/GBR_United_Kingdom/ENG_England/GBR_ENG_RAF.Marham.034820_TMYx.2009-2023.zip</v>
      </c>
    </row>
    <row r="5462" spans="1:10" x14ac:dyDescent="0.25">
      <c r="A5462" t="s">
        <v>3587</v>
      </c>
      <c r="B5462" t="s">
        <v>3630</v>
      </c>
      <c r="C5462" t="s">
        <v>4154</v>
      </c>
      <c r="D5462" s="1" t="s">
        <v>4155</v>
      </c>
      <c r="E5462" t="s">
        <v>14</v>
      </c>
      <c r="F5462">
        <v>52.651400000000002</v>
      </c>
      <c r="G5462">
        <v>0.56610000000000005</v>
      </c>
      <c r="H5462">
        <v>0</v>
      </c>
      <c r="I5462">
        <v>22.9</v>
      </c>
      <c r="J5462" t="str">
        <f>HYPERLINK("https://climate.onebuilding.org/WMO_Region_6_Europe/GBR_United_Kingdom/ENG_England/GBR_ENG_RAF.Marham.034820_TMYx.zip")</f>
        <v>https://climate.onebuilding.org/WMO_Region_6_Europe/GBR_United_Kingdom/ENG_England/GBR_ENG_RAF.Marham.034820_TMYx.zip</v>
      </c>
    </row>
    <row r="5463" spans="1:10" x14ac:dyDescent="0.25">
      <c r="A5463" t="s">
        <v>3587</v>
      </c>
      <c r="B5463" t="s">
        <v>3630</v>
      </c>
      <c r="C5463" t="s">
        <v>4157</v>
      </c>
      <c r="D5463" s="1" t="s">
        <v>4158</v>
      </c>
      <c r="E5463" t="s">
        <v>14</v>
      </c>
      <c r="F5463">
        <v>52.85</v>
      </c>
      <c r="G5463">
        <v>0.76700000000000002</v>
      </c>
      <c r="H5463">
        <v>0</v>
      </c>
      <c r="I5463">
        <v>65</v>
      </c>
      <c r="J5463" t="str">
        <f>HYPERLINK("https://climate.onebuilding.org/WMO_Region_6_Europe/GBR_United_Kingdom/ENG_England/GBR_ENG_RAF.Sculthorpe.034870_TMYx.zip")</f>
        <v>https://climate.onebuilding.org/WMO_Region_6_Europe/GBR_United_Kingdom/ENG_England/GBR_ENG_RAF.Sculthorpe.034870_TMYx.zip</v>
      </c>
    </row>
    <row r="5464" spans="1:10" x14ac:dyDescent="0.25">
      <c r="A5464" t="s">
        <v>3587</v>
      </c>
      <c r="B5464" t="s">
        <v>3630</v>
      </c>
      <c r="C5464" t="s">
        <v>4159</v>
      </c>
      <c r="D5464" s="1" t="s">
        <v>4160</v>
      </c>
      <c r="E5464" t="s">
        <v>4161</v>
      </c>
      <c r="F5464">
        <v>52.95</v>
      </c>
      <c r="G5464">
        <v>1.133</v>
      </c>
      <c r="H5464">
        <v>0</v>
      </c>
      <c r="I5464">
        <v>20</v>
      </c>
      <c r="J5464" t="str">
        <f>HYPERLINK("https://climate.onebuilding.org/WMO_Region_6_Europe/GBR_United_Kingdom/ENG_England/GBR_ENG_Weybourne.034880_TMYx.2004-2018.zip")</f>
        <v>https://climate.onebuilding.org/WMO_Region_6_Europe/GBR_United_Kingdom/ENG_England/GBR_ENG_Weybourne.034880_TMYx.2004-2018.zip</v>
      </c>
    </row>
    <row r="5465" spans="1:10" x14ac:dyDescent="0.25">
      <c r="A5465" t="s">
        <v>3587</v>
      </c>
      <c r="B5465" t="s">
        <v>3630</v>
      </c>
      <c r="C5465" t="s">
        <v>4159</v>
      </c>
      <c r="D5465" s="1" t="s">
        <v>4160</v>
      </c>
      <c r="E5465" t="s">
        <v>14</v>
      </c>
      <c r="F5465">
        <v>52.949399999999997</v>
      </c>
      <c r="G5465">
        <v>1.1225000000000001</v>
      </c>
      <c r="H5465">
        <v>0</v>
      </c>
      <c r="I5465">
        <v>20</v>
      </c>
      <c r="J5465" t="str">
        <f>HYPERLINK("https://climate.onebuilding.org/WMO_Region_6_Europe/GBR_United_Kingdom/ENG_England/GBR_ENG_Weybourne.034880_TMYx.2007-2021.zip")</f>
        <v>https://climate.onebuilding.org/WMO_Region_6_Europe/GBR_United_Kingdom/ENG_England/GBR_ENG_Weybourne.034880_TMYx.2007-2021.zip</v>
      </c>
    </row>
    <row r="5466" spans="1:10" x14ac:dyDescent="0.25">
      <c r="A5466" t="s">
        <v>3587</v>
      </c>
      <c r="B5466" t="s">
        <v>3630</v>
      </c>
      <c r="C5466" t="s">
        <v>4159</v>
      </c>
      <c r="D5466" s="1" t="s">
        <v>4160</v>
      </c>
      <c r="E5466" t="s">
        <v>14</v>
      </c>
      <c r="F5466">
        <v>52.949399999999997</v>
      </c>
      <c r="G5466">
        <v>1.1225000000000001</v>
      </c>
      <c r="H5466">
        <v>0</v>
      </c>
      <c r="I5466">
        <v>20</v>
      </c>
      <c r="J5466" t="str">
        <f>HYPERLINK("https://climate.onebuilding.org/WMO_Region_6_Europe/GBR_United_Kingdom/ENG_England/GBR_ENG_Weybourne.034880_TMYx.2009-2023.zip")</f>
        <v>https://climate.onebuilding.org/WMO_Region_6_Europe/GBR_United_Kingdom/ENG_England/GBR_ENG_Weybourne.034880_TMYx.2009-2023.zip</v>
      </c>
    </row>
    <row r="5467" spans="1:10" x14ac:dyDescent="0.25">
      <c r="A5467" t="s">
        <v>3587</v>
      </c>
      <c r="B5467" t="s">
        <v>3630</v>
      </c>
      <c r="C5467" t="s">
        <v>4159</v>
      </c>
      <c r="D5467" s="1" t="s">
        <v>4160</v>
      </c>
      <c r="E5467" t="s">
        <v>14</v>
      </c>
      <c r="F5467">
        <v>52.949399999999997</v>
      </c>
      <c r="G5467">
        <v>1.1225000000000001</v>
      </c>
      <c r="H5467">
        <v>0</v>
      </c>
      <c r="I5467">
        <v>20</v>
      </c>
      <c r="J5467" t="str">
        <f>HYPERLINK("https://climate.onebuilding.org/WMO_Region_6_Europe/GBR_United_Kingdom/ENG_England/GBR_ENG_Weybourne.034880_TMYx.zip")</f>
        <v>https://climate.onebuilding.org/WMO_Region_6_Europe/GBR_United_Kingdom/ENG_England/GBR_ENG_Weybourne.034880_TMYx.zip</v>
      </c>
    </row>
    <row r="5468" spans="1:10" x14ac:dyDescent="0.25">
      <c r="A5468" t="s">
        <v>3587</v>
      </c>
      <c r="B5468" t="s">
        <v>3630</v>
      </c>
      <c r="C5468" t="s">
        <v>4162</v>
      </c>
      <c r="D5468" s="1" t="s">
        <v>4163</v>
      </c>
      <c r="E5468" t="s">
        <v>4164</v>
      </c>
      <c r="F5468">
        <v>52.676000000000002</v>
      </c>
      <c r="G5468">
        <v>1.2829999999999999</v>
      </c>
      <c r="H5468">
        <v>0</v>
      </c>
      <c r="I5468">
        <v>35.700000000000003</v>
      </c>
      <c r="J5468" t="str">
        <f>HYPERLINK("https://climate.onebuilding.org/WMO_Region_6_Europe/GBR_United_Kingdom/ENG_England/GBR_ENG_Norwich.Intl.AP.034920_TMYx.2004-2018.zip")</f>
        <v>https://climate.onebuilding.org/WMO_Region_6_Europe/GBR_United_Kingdom/ENG_England/GBR_ENG_Norwich.Intl.AP.034920_TMYx.2004-2018.zip</v>
      </c>
    </row>
    <row r="5469" spans="1:10" x14ac:dyDescent="0.25">
      <c r="A5469" t="s">
        <v>3587</v>
      </c>
      <c r="B5469" t="s">
        <v>3630</v>
      </c>
      <c r="C5469" t="s">
        <v>4162</v>
      </c>
      <c r="D5469" s="1" t="s">
        <v>4163</v>
      </c>
      <c r="E5469" t="s">
        <v>14</v>
      </c>
      <c r="F5469">
        <v>52.676000000000002</v>
      </c>
      <c r="G5469">
        <v>1.2829999999999999</v>
      </c>
      <c r="H5469">
        <v>0</v>
      </c>
      <c r="I5469">
        <v>35.700000000000003</v>
      </c>
      <c r="J5469" t="str">
        <f>HYPERLINK("https://climate.onebuilding.org/WMO_Region_6_Europe/GBR_United_Kingdom/ENG_England/GBR_ENG_Norwich.Intl.AP.034920_TMYx.2007-2021.zip")</f>
        <v>https://climate.onebuilding.org/WMO_Region_6_Europe/GBR_United_Kingdom/ENG_England/GBR_ENG_Norwich.Intl.AP.034920_TMYx.2007-2021.zip</v>
      </c>
    </row>
    <row r="5470" spans="1:10" x14ac:dyDescent="0.25">
      <c r="A5470" t="s">
        <v>3587</v>
      </c>
      <c r="B5470" t="s">
        <v>3630</v>
      </c>
      <c r="C5470" t="s">
        <v>4162</v>
      </c>
      <c r="D5470" s="1" t="s">
        <v>4163</v>
      </c>
      <c r="E5470" t="s">
        <v>14</v>
      </c>
      <c r="F5470">
        <v>52.676000000000002</v>
      </c>
      <c r="G5470">
        <v>1.2829999999999999</v>
      </c>
      <c r="H5470">
        <v>0</v>
      </c>
      <c r="I5470">
        <v>35.700000000000003</v>
      </c>
      <c r="J5470" t="str">
        <f>HYPERLINK("https://climate.onebuilding.org/WMO_Region_6_Europe/GBR_United_Kingdom/ENG_England/GBR_ENG_Norwich.Intl.AP.034920_TMYx.2009-2023.zip")</f>
        <v>https://climate.onebuilding.org/WMO_Region_6_Europe/GBR_United_Kingdom/ENG_England/GBR_ENG_Norwich.Intl.AP.034920_TMYx.2009-2023.zip</v>
      </c>
    </row>
    <row r="5471" spans="1:10" x14ac:dyDescent="0.25">
      <c r="A5471" t="s">
        <v>3587</v>
      </c>
      <c r="B5471" t="s">
        <v>3630</v>
      </c>
      <c r="C5471" t="s">
        <v>4162</v>
      </c>
      <c r="D5471" s="1" t="s">
        <v>4163</v>
      </c>
      <c r="E5471" t="s">
        <v>14</v>
      </c>
      <c r="F5471">
        <v>52.676000000000002</v>
      </c>
      <c r="G5471">
        <v>1.2829999999999999</v>
      </c>
      <c r="H5471">
        <v>0</v>
      </c>
      <c r="I5471">
        <v>35.700000000000003</v>
      </c>
      <c r="J5471" t="str">
        <f>HYPERLINK("https://climate.onebuilding.org/WMO_Region_6_Europe/GBR_United_Kingdom/ENG_England/GBR_ENG_Norwich.Intl.AP.034920_TMYx.zip")</f>
        <v>https://climate.onebuilding.org/WMO_Region_6_Europe/GBR_United_Kingdom/ENG_England/GBR_ENG_Norwich.Intl.AP.034920_TMYx.zip</v>
      </c>
    </row>
    <row r="5472" spans="1:10" x14ac:dyDescent="0.25">
      <c r="A5472" t="s">
        <v>3587</v>
      </c>
      <c r="B5472" t="s">
        <v>3630</v>
      </c>
      <c r="C5472" t="s">
        <v>4165</v>
      </c>
      <c r="D5472" s="1" t="s">
        <v>4166</v>
      </c>
      <c r="E5472" t="s">
        <v>14</v>
      </c>
      <c r="F5472">
        <v>52.933</v>
      </c>
      <c r="G5472">
        <v>1.3169999999999999</v>
      </c>
      <c r="H5472">
        <v>0</v>
      </c>
      <c r="I5472">
        <v>44</v>
      </c>
      <c r="J5472" t="str">
        <f>HYPERLINK("https://climate.onebuilding.org/WMO_Region_6_Europe/GBR_United_Kingdom/ENG_England/GBR_ENG_Cromer.034940_TMYx.zip")</f>
        <v>https://climate.onebuilding.org/WMO_Region_6_Europe/GBR_United_Kingdom/ENG_England/GBR_ENG_Cromer.034940_TMYx.zip</v>
      </c>
    </row>
    <row r="5473" spans="1:10" x14ac:dyDescent="0.25">
      <c r="A5473" t="s">
        <v>3587</v>
      </c>
      <c r="B5473" t="s">
        <v>3630</v>
      </c>
      <c r="C5473" t="s">
        <v>4167</v>
      </c>
      <c r="D5473" s="1" t="s">
        <v>4168</v>
      </c>
      <c r="E5473" t="s">
        <v>14</v>
      </c>
      <c r="F5473">
        <v>52.755000000000003</v>
      </c>
      <c r="G5473">
        <v>1.3580000000000001</v>
      </c>
      <c r="H5473">
        <v>0</v>
      </c>
      <c r="I5473">
        <v>20.100000000000001</v>
      </c>
      <c r="J5473" t="str">
        <f>HYPERLINK("https://climate.onebuilding.org/WMO_Region_6_Europe/GBR_United_Kingdom/ENG_England/GBR_ENG_RAF.Coltishall.034950_TMYx.zip")</f>
        <v>https://climate.onebuilding.org/WMO_Region_6_Europe/GBR_United_Kingdom/ENG_England/GBR_ENG_RAF.Coltishall.034950_TMYx.zip</v>
      </c>
    </row>
    <row r="5474" spans="1:10" x14ac:dyDescent="0.25">
      <c r="A5474" t="s">
        <v>3587</v>
      </c>
      <c r="B5474" t="s">
        <v>3630</v>
      </c>
      <c r="C5474" t="s">
        <v>4169</v>
      </c>
      <c r="D5474" s="1" t="s">
        <v>4170</v>
      </c>
      <c r="E5474" t="s">
        <v>14</v>
      </c>
      <c r="F5474">
        <v>52.683</v>
      </c>
      <c r="G5474">
        <v>1.6830000000000001</v>
      </c>
      <c r="H5474">
        <v>0</v>
      </c>
      <c r="I5474">
        <v>14</v>
      </c>
      <c r="J5474" t="str">
        <f>HYPERLINK("https://climate.onebuilding.org/WMO_Region_6_Europe/GBR_United_Kingdom/ENG_England/GBR_ENG_Hemsby.034960_TMYx.zip")</f>
        <v>https://climate.onebuilding.org/WMO_Region_6_Europe/GBR_United_Kingdom/ENG_England/GBR_ENG_Hemsby.034960_TMYx.zip</v>
      </c>
    </row>
    <row r="5475" spans="1:10" x14ac:dyDescent="0.25">
      <c r="A5475" t="s">
        <v>3587</v>
      </c>
      <c r="B5475" t="s">
        <v>3630</v>
      </c>
      <c r="C5475" t="s">
        <v>4171</v>
      </c>
      <c r="D5475" s="1" t="s">
        <v>4172</v>
      </c>
      <c r="E5475" t="s">
        <v>14</v>
      </c>
      <c r="F5475">
        <v>52.582999999999998</v>
      </c>
      <c r="G5475">
        <v>1.7170000000000001</v>
      </c>
      <c r="H5475">
        <v>0</v>
      </c>
      <c r="I5475">
        <v>3</v>
      </c>
      <c r="J5475" t="str">
        <f>HYPERLINK("https://climate.onebuilding.org/WMO_Region_6_Europe/GBR_United_Kingdom/ENG_England/GBR_ENG_Gorleston.034970_TMYx.zip")</f>
        <v>https://climate.onebuilding.org/WMO_Region_6_Europe/GBR_United_Kingdom/ENG_England/GBR_ENG_Gorleston.034970_TMYx.zip</v>
      </c>
    </row>
    <row r="5476" spans="1:10" x14ac:dyDescent="0.25">
      <c r="A5476" t="s">
        <v>3587</v>
      </c>
      <c r="B5476" t="s">
        <v>3630</v>
      </c>
      <c r="C5476" t="s">
        <v>4173</v>
      </c>
      <c r="D5476" s="1" t="s">
        <v>4174</v>
      </c>
      <c r="E5476" t="s">
        <v>14</v>
      </c>
      <c r="F5476">
        <v>52.8</v>
      </c>
      <c r="G5476">
        <v>1.833</v>
      </c>
      <c r="H5476">
        <v>0</v>
      </c>
      <c r="I5476">
        <v>5</v>
      </c>
      <c r="J5476" t="str">
        <f>HYPERLINK("https://climate.onebuilding.org/WMO_Region_6_Europe/GBR_United_Kingdom/ENG_England/GBR_ENG_Newarp.Lgt.Vsl.034980_TMYx.zip")</f>
        <v>https://climate.onebuilding.org/WMO_Region_6_Europe/GBR_United_Kingdom/ENG_England/GBR_ENG_Newarp.Lgt.Vsl.034980_TMYx.zip</v>
      </c>
    </row>
    <row r="5477" spans="1:10" x14ac:dyDescent="0.25">
      <c r="A5477" t="s">
        <v>3587</v>
      </c>
      <c r="B5477" t="s">
        <v>391</v>
      </c>
      <c r="C5477" t="s">
        <v>4175</v>
      </c>
      <c r="D5477" s="1" t="s">
        <v>4176</v>
      </c>
      <c r="E5477" t="s">
        <v>14</v>
      </c>
      <c r="F5477">
        <v>52.417000000000002</v>
      </c>
      <c r="G5477">
        <v>-4</v>
      </c>
      <c r="H5477">
        <v>0</v>
      </c>
      <c r="I5477">
        <v>92</v>
      </c>
      <c r="J5477" t="str">
        <f>HYPERLINK("https://climate.onebuilding.org/WMO_Region_6_Europe/GBR_United_Kingdom/WAL_Wales/GBR_WAL_Capel.Dewi.035010_TMYx.zip")</f>
        <v>https://climate.onebuilding.org/WMO_Region_6_Europe/GBR_United_Kingdom/WAL_Wales/GBR_WAL_Capel.Dewi.035010_TMYx.zip</v>
      </c>
    </row>
    <row r="5478" spans="1:10" x14ac:dyDescent="0.25">
      <c r="A5478" t="s">
        <v>3587</v>
      </c>
      <c r="B5478" t="s">
        <v>391</v>
      </c>
      <c r="C5478" t="s">
        <v>4177</v>
      </c>
      <c r="D5478" s="1" t="s">
        <v>4178</v>
      </c>
      <c r="E5478" t="s">
        <v>4179</v>
      </c>
      <c r="F5478">
        <v>52.133000000000003</v>
      </c>
      <c r="G5478">
        <v>-4.5670000000000002</v>
      </c>
      <c r="H5478">
        <v>0</v>
      </c>
      <c r="I5478">
        <v>134</v>
      </c>
      <c r="J5478" t="str">
        <f>HYPERLINK("https://climate.onebuilding.org/WMO_Region_6_Europe/GBR_United_Kingdom/WAL_Wales/GBR_WAL_Aberporth-West.Wales.AP.035020_TMYx.2004-2018.zip")</f>
        <v>https://climate.onebuilding.org/WMO_Region_6_Europe/GBR_United_Kingdom/WAL_Wales/GBR_WAL_Aberporth-West.Wales.AP.035020_TMYx.2004-2018.zip</v>
      </c>
    </row>
    <row r="5479" spans="1:10" x14ac:dyDescent="0.25">
      <c r="A5479" t="s">
        <v>3587</v>
      </c>
      <c r="B5479" t="s">
        <v>391</v>
      </c>
      <c r="C5479" t="s">
        <v>4177</v>
      </c>
      <c r="D5479" s="1" t="s">
        <v>4178</v>
      </c>
      <c r="E5479" t="s">
        <v>14</v>
      </c>
      <c r="F5479">
        <v>52.139000000000003</v>
      </c>
      <c r="G5479">
        <v>-4.5709999999999997</v>
      </c>
      <c r="H5479">
        <v>0</v>
      </c>
      <c r="I5479">
        <v>134</v>
      </c>
      <c r="J5479" t="str">
        <f>HYPERLINK("https://climate.onebuilding.org/WMO_Region_6_Europe/GBR_United_Kingdom/WAL_Wales/GBR_WAL_Aberporth-West.Wales.AP.035020_TMYx.2007-2021.zip")</f>
        <v>https://climate.onebuilding.org/WMO_Region_6_Europe/GBR_United_Kingdom/WAL_Wales/GBR_WAL_Aberporth-West.Wales.AP.035020_TMYx.2007-2021.zip</v>
      </c>
    </row>
    <row r="5480" spans="1:10" x14ac:dyDescent="0.25">
      <c r="A5480" t="s">
        <v>3587</v>
      </c>
      <c r="B5480" t="s">
        <v>391</v>
      </c>
      <c r="C5480" t="s">
        <v>4177</v>
      </c>
      <c r="D5480" s="1" t="s">
        <v>4178</v>
      </c>
      <c r="E5480" t="s">
        <v>14</v>
      </c>
      <c r="F5480">
        <v>52.139000000000003</v>
      </c>
      <c r="G5480">
        <v>-4.5709999999999997</v>
      </c>
      <c r="H5480">
        <v>0</v>
      </c>
      <c r="I5480">
        <v>134</v>
      </c>
      <c r="J5480" t="str">
        <f>HYPERLINK("https://climate.onebuilding.org/WMO_Region_6_Europe/GBR_United_Kingdom/WAL_Wales/GBR_WAL_Aberporth-West.Wales.AP.035020_TMYx.2009-2023.zip")</f>
        <v>https://climate.onebuilding.org/WMO_Region_6_Europe/GBR_United_Kingdom/WAL_Wales/GBR_WAL_Aberporth-West.Wales.AP.035020_TMYx.2009-2023.zip</v>
      </c>
    </row>
    <row r="5481" spans="1:10" x14ac:dyDescent="0.25">
      <c r="A5481" t="s">
        <v>3587</v>
      </c>
      <c r="B5481" t="s">
        <v>391</v>
      </c>
      <c r="C5481" t="s">
        <v>4177</v>
      </c>
      <c r="D5481" s="1" t="s">
        <v>4178</v>
      </c>
      <c r="E5481" t="s">
        <v>14</v>
      </c>
      <c r="F5481">
        <v>52.139000000000003</v>
      </c>
      <c r="G5481">
        <v>-4.5709999999999997</v>
      </c>
      <c r="H5481">
        <v>0</v>
      </c>
      <c r="I5481">
        <v>134</v>
      </c>
      <c r="J5481" t="str">
        <f>HYPERLINK("https://climate.onebuilding.org/WMO_Region_6_Europe/GBR_United_Kingdom/WAL_Wales/GBR_WAL_Aberporth-West.Wales.AP.035020_TMYx.zip")</f>
        <v>https://climate.onebuilding.org/WMO_Region_6_Europe/GBR_United_Kingdom/WAL_Wales/GBR_WAL_Aberporth-West.Wales.AP.035020_TMYx.zip</v>
      </c>
    </row>
    <row r="5482" spans="1:10" x14ac:dyDescent="0.25">
      <c r="A5482" t="s">
        <v>3587</v>
      </c>
      <c r="B5482" t="s">
        <v>391</v>
      </c>
      <c r="C5482" t="s">
        <v>4180</v>
      </c>
      <c r="D5482" s="1" t="s">
        <v>4181</v>
      </c>
      <c r="E5482" t="s">
        <v>4182</v>
      </c>
      <c r="F5482">
        <v>52.35</v>
      </c>
      <c r="G5482">
        <v>-3.95</v>
      </c>
      <c r="H5482">
        <v>0</v>
      </c>
      <c r="I5482">
        <v>62</v>
      </c>
      <c r="J5482" t="str">
        <f>HYPERLINK("https://climate.onebuilding.org/WMO_Region_6_Europe/GBR_United_Kingdom/WAL_Wales/GBR_WAL_Trawsgoed.035030_TMYx.2004-2018.zip")</f>
        <v>https://climate.onebuilding.org/WMO_Region_6_Europe/GBR_United_Kingdom/WAL_Wales/GBR_WAL_Trawsgoed.035030_TMYx.2004-2018.zip</v>
      </c>
    </row>
    <row r="5483" spans="1:10" x14ac:dyDescent="0.25">
      <c r="A5483" t="s">
        <v>3587</v>
      </c>
      <c r="B5483" t="s">
        <v>391</v>
      </c>
      <c r="C5483" t="s">
        <v>4180</v>
      </c>
      <c r="D5483" s="1" t="s">
        <v>4181</v>
      </c>
      <c r="E5483" t="s">
        <v>14</v>
      </c>
      <c r="F5483">
        <v>52.344200000000001</v>
      </c>
      <c r="G5483">
        <v>-3.9481000000000002</v>
      </c>
      <c r="H5483">
        <v>0</v>
      </c>
      <c r="I5483">
        <v>62</v>
      </c>
      <c r="J5483" t="str">
        <f>HYPERLINK("https://climate.onebuilding.org/WMO_Region_6_Europe/GBR_United_Kingdom/WAL_Wales/GBR_WAL_Trawsgoed.035030_TMYx.2007-2021.zip")</f>
        <v>https://climate.onebuilding.org/WMO_Region_6_Europe/GBR_United_Kingdom/WAL_Wales/GBR_WAL_Trawsgoed.035030_TMYx.2007-2021.zip</v>
      </c>
    </row>
    <row r="5484" spans="1:10" x14ac:dyDescent="0.25">
      <c r="A5484" t="s">
        <v>3587</v>
      </c>
      <c r="B5484" t="s">
        <v>391</v>
      </c>
      <c r="C5484" t="s">
        <v>4180</v>
      </c>
      <c r="D5484" s="1" t="s">
        <v>4181</v>
      </c>
      <c r="E5484" t="s">
        <v>14</v>
      </c>
      <c r="F5484">
        <v>52.344200000000001</v>
      </c>
      <c r="G5484">
        <v>-3.9481000000000002</v>
      </c>
      <c r="H5484">
        <v>0</v>
      </c>
      <c r="I5484">
        <v>62</v>
      </c>
      <c r="J5484" t="str">
        <f>HYPERLINK("https://climate.onebuilding.org/WMO_Region_6_Europe/GBR_United_Kingdom/WAL_Wales/GBR_WAL_Trawsgoed.035030_TMYx.2009-2023.zip")</f>
        <v>https://climate.onebuilding.org/WMO_Region_6_Europe/GBR_United_Kingdom/WAL_Wales/GBR_WAL_Trawsgoed.035030_TMYx.2009-2023.zip</v>
      </c>
    </row>
    <row r="5485" spans="1:10" x14ac:dyDescent="0.25">
      <c r="A5485" t="s">
        <v>3587</v>
      </c>
      <c r="B5485" t="s">
        <v>391</v>
      </c>
      <c r="C5485" t="s">
        <v>4180</v>
      </c>
      <c r="D5485" s="1" t="s">
        <v>4181</v>
      </c>
      <c r="E5485" t="s">
        <v>14</v>
      </c>
      <c r="F5485">
        <v>52.344200000000001</v>
      </c>
      <c r="G5485">
        <v>-3.9481000000000002</v>
      </c>
      <c r="H5485">
        <v>0</v>
      </c>
      <c r="I5485">
        <v>62</v>
      </c>
      <c r="J5485" t="str">
        <f>HYPERLINK("https://climate.onebuilding.org/WMO_Region_6_Europe/GBR_United_Kingdom/WAL_Wales/GBR_WAL_Trawsgoed.035030_TMYx.zip")</f>
        <v>https://climate.onebuilding.org/WMO_Region_6_Europe/GBR_United_Kingdom/WAL_Wales/GBR_WAL_Trawsgoed.035030_TMYx.zip</v>
      </c>
    </row>
    <row r="5486" spans="1:10" x14ac:dyDescent="0.25">
      <c r="A5486" t="s">
        <v>3587</v>
      </c>
      <c r="B5486" t="s">
        <v>391</v>
      </c>
      <c r="C5486" t="s">
        <v>4183</v>
      </c>
      <c r="D5486" s="1" t="s">
        <v>4184</v>
      </c>
      <c r="E5486" t="s">
        <v>14</v>
      </c>
      <c r="F5486">
        <v>52.332999999999998</v>
      </c>
      <c r="G5486">
        <v>-3.4830000000000001</v>
      </c>
      <c r="H5486">
        <v>0</v>
      </c>
      <c r="I5486">
        <v>279</v>
      </c>
      <c r="J5486" t="str">
        <f>HYPERLINK("https://climate.onebuilding.org/WMO_Region_6_Europe/GBR_United_Kingdom/WAL_Wales/GBR_WAL_Saint.Harmon.035050_TMYx.zip")</f>
        <v>https://climate.onebuilding.org/WMO_Region_6_Europe/GBR_United_Kingdom/WAL_Wales/GBR_WAL_Saint.Harmon.035050_TMYx.zip</v>
      </c>
    </row>
    <row r="5487" spans="1:10" x14ac:dyDescent="0.25">
      <c r="A5487" t="s">
        <v>3587</v>
      </c>
      <c r="B5487" t="s">
        <v>391</v>
      </c>
      <c r="C5487" t="s">
        <v>4185</v>
      </c>
      <c r="D5487" s="1" t="s">
        <v>4186</v>
      </c>
      <c r="E5487" t="s">
        <v>4187</v>
      </c>
      <c r="F5487">
        <v>52.067</v>
      </c>
      <c r="G5487">
        <v>-3.617</v>
      </c>
      <c r="H5487">
        <v>0</v>
      </c>
      <c r="I5487">
        <v>307</v>
      </c>
      <c r="J5487" t="str">
        <f>HYPERLINK("https://climate.onebuilding.org/WMO_Region_6_Europe/GBR_United_Kingdom/WAL_Wales/GBR_WAL_Sennybridge.035070_TMYx.2004-2018.zip")</f>
        <v>https://climate.onebuilding.org/WMO_Region_6_Europe/GBR_United_Kingdom/WAL_Wales/GBR_WAL_Sennybridge.035070_TMYx.2004-2018.zip</v>
      </c>
    </row>
    <row r="5488" spans="1:10" x14ac:dyDescent="0.25">
      <c r="A5488" t="s">
        <v>3587</v>
      </c>
      <c r="B5488" t="s">
        <v>391</v>
      </c>
      <c r="C5488" t="s">
        <v>4185</v>
      </c>
      <c r="D5488" s="1" t="s">
        <v>4186</v>
      </c>
      <c r="E5488" t="s">
        <v>14</v>
      </c>
      <c r="F5488">
        <v>52.063299999999998</v>
      </c>
      <c r="G5488">
        <v>-3.6147</v>
      </c>
      <c r="H5488">
        <v>0</v>
      </c>
      <c r="I5488">
        <v>307</v>
      </c>
      <c r="J5488" t="str">
        <f>HYPERLINK("https://climate.onebuilding.org/WMO_Region_6_Europe/GBR_United_Kingdom/WAL_Wales/GBR_WAL_Sennybridge.035070_TMYx.2007-2021.zip")</f>
        <v>https://climate.onebuilding.org/WMO_Region_6_Europe/GBR_United_Kingdom/WAL_Wales/GBR_WAL_Sennybridge.035070_TMYx.2007-2021.zip</v>
      </c>
    </row>
    <row r="5489" spans="1:10" x14ac:dyDescent="0.25">
      <c r="A5489" t="s">
        <v>3587</v>
      </c>
      <c r="B5489" t="s">
        <v>391</v>
      </c>
      <c r="C5489" t="s">
        <v>4185</v>
      </c>
      <c r="D5489" s="1" t="s">
        <v>4186</v>
      </c>
      <c r="E5489" t="s">
        <v>14</v>
      </c>
      <c r="F5489">
        <v>52.063299999999998</v>
      </c>
      <c r="G5489">
        <v>-3.6147</v>
      </c>
      <c r="H5489">
        <v>0</v>
      </c>
      <c r="I5489">
        <v>307</v>
      </c>
      <c r="J5489" t="str">
        <f>HYPERLINK("https://climate.onebuilding.org/WMO_Region_6_Europe/GBR_United_Kingdom/WAL_Wales/GBR_WAL_Sennybridge.035070_TMYx.2009-2023.zip")</f>
        <v>https://climate.onebuilding.org/WMO_Region_6_Europe/GBR_United_Kingdom/WAL_Wales/GBR_WAL_Sennybridge.035070_TMYx.2009-2023.zip</v>
      </c>
    </row>
    <row r="5490" spans="1:10" x14ac:dyDescent="0.25">
      <c r="A5490" t="s">
        <v>3587</v>
      </c>
      <c r="B5490" t="s">
        <v>391</v>
      </c>
      <c r="C5490" t="s">
        <v>4185</v>
      </c>
      <c r="D5490" s="1" t="s">
        <v>4186</v>
      </c>
      <c r="E5490" t="s">
        <v>14</v>
      </c>
      <c r="F5490">
        <v>52.063299999999998</v>
      </c>
      <c r="G5490">
        <v>-3.6147</v>
      </c>
      <c r="H5490">
        <v>0</v>
      </c>
      <c r="I5490">
        <v>307</v>
      </c>
      <c r="J5490" t="str">
        <f>HYPERLINK("https://climate.onebuilding.org/WMO_Region_6_Europe/GBR_United_Kingdom/WAL_Wales/GBR_WAL_Sennybridge.035070_TMYx.zip")</f>
        <v>https://climate.onebuilding.org/WMO_Region_6_Europe/GBR_United_Kingdom/WAL_Wales/GBR_WAL_Sennybridge.035070_TMYx.zip</v>
      </c>
    </row>
    <row r="5491" spans="1:10" x14ac:dyDescent="0.25">
      <c r="A5491" t="s">
        <v>3587</v>
      </c>
      <c r="B5491" t="s">
        <v>3630</v>
      </c>
      <c r="C5491" t="s">
        <v>4188</v>
      </c>
      <c r="D5491" s="1" t="s">
        <v>4189</v>
      </c>
      <c r="E5491" t="s">
        <v>14</v>
      </c>
      <c r="F5491">
        <v>52.433</v>
      </c>
      <c r="G5491">
        <v>-3.117</v>
      </c>
      <c r="H5491">
        <v>0</v>
      </c>
      <c r="I5491">
        <v>215</v>
      </c>
      <c r="J5491" t="str">
        <f>HYPERLINK("https://climate.onebuilding.org/WMO_Region_6_Europe/GBR_United_Kingdom/ENG_England/GBR_ENG_Newcastle.on.Clun.035110_TMYx.zip")</f>
        <v>https://climate.onebuilding.org/WMO_Region_6_Europe/GBR_United_Kingdom/ENG_England/GBR_ENG_Newcastle.on.Clun.035110_TMYx.zip</v>
      </c>
    </row>
    <row r="5492" spans="1:10" x14ac:dyDescent="0.25">
      <c r="A5492" t="s">
        <v>3587</v>
      </c>
      <c r="B5492" t="s">
        <v>3630</v>
      </c>
      <c r="C5492" t="s">
        <v>4190</v>
      </c>
      <c r="D5492" s="1" t="s">
        <v>4191</v>
      </c>
      <c r="E5492" t="s">
        <v>4192</v>
      </c>
      <c r="F5492">
        <v>52.25</v>
      </c>
      <c r="G5492">
        <v>-2.883</v>
      </c>
      <c r="H5492">
        <v>0</v>
      </c>
      <c r="I5492">
        <v>99</v>
      </c>
      <c r="J5492" t="str">
        <f>HYPERLINK("https://climate.onebuilding.org/WMO_Region_6_Europe/GBR_United_Kingdom/ENG_England/GBR_ENG_Shobdon.AF.035200_TMYx.2004-2018.zip")</f>
        <v>https://climate.onebuilding.org/WMO_Region_6_Europe/GBR_United_Kingdom/ENG_England/GBR_ENG_Shobdon.AF.035200_TMYx.2004-2018.zip</v>
      </c>
    </row>
    <row r="5493" spans="1:10" x14ac:dyDescent="0.25">
      <c r="A5493" t="s">
        <v>3587</v>
      </c>
      <c r="B5493" t="s">
        <v>3630</v>
      </c>
      <c r="C5493" t="s">
        <v>4190</v>
      </c>
      <c r="D5493" s="1" t="s">
        <v>4191</v>
      </c>
      <c r="E5493" t="s">
        <v>14</v>
      </c>
      <c r="F5493">
        <v>52.243099999999998</v>
      </c>
      <c r="G5493">
        <v>-2.8858000000000001</v>
      </c>
      <c r="H5493">
        <v>0</v>
      </c>
      <c r="I5493">
        <v>99</v>
      </c>
      <c r="J5493" t="str">
        <f>HYPERLINK("https://climate.onebuilding.org/WMO_Region_6_Europe/GBR_United_Kingdom/ENG_England/GBR_ENG_Shobdon.AF.035200_TMYx.2007-2021.zip")</f>
        <v>https://climate.onebuilding.org/WMO_Region_6_Europe/GBR_United_Kingdom/ENG_England/GBR_ENG_Shobdon.AF.035200_TMYx.2007-2021.zip</v>
      </c>
    </row>
    <row r="5494" spans="1:10" x14ac:dyDescent="0.25">
      <c r="A5494" t="s">
        <v>3587</v>
      </c>
      <c r="B5494" t="s">
        <v>3630</v>
      </c>
      <c r="C5494" t="s">
        <v>4190</v>
      </c>
      <c r="D5494" s="1" t="s">
        <v>4191</v>
      </c>
      <c r="E5494" t="s">
        <v>14</v>
      </c>
      <c r="F5494">
        <v>52.243099999999998</v>
      </c>
      <c r="G5494">
        <v>-2.8858000000000001</v>
      </c>
      <c r="H5494">
        <v>0</v>
      </c>
      <c r="I5494">
        <v>99</v>
      </c>
      <c r="J5494" t="str">
        <f>HYPERLINK("https://climate.onebuilding.org/WMO_Region_6_Europe/GBR_United_Kingdom/ENG_England/GBR_ENG_Shobdon.AF.035200_TMYx.2009-2023.zip")</f>
        <v>https://climate.onebuilding.org/WMO_Region_6_Europe/GBR_United_Kingdom/ENG_England/GBR_ENG_Shobdon.AF.035200_TMYx.2009-2023.zip</v>
      </c>
    </row>
    <row r="5495" spans="1:10" x14ac:dyDescent="0.25">
      <c r="A5495" t="s">
        <v>3587</v>
      </c>
      <c r="B5495" t="s">
        <v>3630</v>
      </c>
      <c r="C5495" t="s">
        <v>4190</v>
      </c>
      <c r="D5495" s="1" t="s">
        <v>4191</v>
      </c>
      <c r="E5495" t="s">
        <v>14</v>
      </c>
      <c r="F5495">
        <v>52.243099999999998</v>
      </c>
      <c r="G5495">
        <v>-2.8858000000000001</v>
      </c>
      <c r="H5495">
        <v>0</v>
      </c>
      <c r="I5495">
        <v>99</v>
      </c>
      <c r="J5495" t="str">
        <f>HYPERLINK("https://climate.onebuilding.org/WMO_Region_6_Europe/GBR_United_Kingdom/ENG_England/GBR_ENG_Shobdon.AF.035200_TMYx.zip")</f>
        <v>https://climate.onebuilding.org/WMO_Region_6_Europe/GBR_United_Kingdom/ENG_England/GBR_ENG_Shobdon.AF.035200_TMYx.zip</v>
      </c>
    </row>
    <row r="5496" spans="1:10" x14ac:dyDescent="0.25">
      <c r="A5496" t="s">
        <v>3587</v>
      </c>
      <c r="B5496" t="s">
        <v>3630</v>
      </c>
      <c r="C5496" t="s">
        <v>4193</v>
      </c>
      <c r="D5496" s="1" t="s">
        <v>4194</v>
      </c>
      <c r="E5496" t="s">
        <v>14</v>
      </c>
      <c r="F5496">
        <v>52.033000000000001</v>
      </c>
      <c r="G5496">
        <v>-2.85</v>
      </c>
      <c r="H5496">
        <v>0</v>
      </c>
      <c r="I5496">
        <v>78</v>
      </c>
      <c r="J5496" t="str">
        <f>HYPERLINK("https://climate.onebuilding.org/WMO_Region_6_Europe/GBR_United_Kingdom/ENG_England/GBR_ENG_Madley.AP.035210_TMYx.zip")</f>
        <v>https://climate.onebuilding.org/WMO_Region_6_Europe/GBR_United_Kingdom/ENG_England/GBR_ENG_Madley.AP.035210_TMYx.zip</v>
      </c>
    </row>
    <row r="5497" spans="1:10" x14ac:dyDescent="0.25">
      <c r="A5497" t="s">
        <v>3587</v>
      </c>
      <c r="B5497" t="s">
        <v>3630</v>
      </c>
      <c r="C5497" t="s">
        <v>4195</v>
      </c>
      <c r="D5497" s="1" t="s">
        <v>4196</v>
      </c>
      <c r="E5497" t="s">
        <v>4197</v>
      </c>
      <c r="F5497">
        <v>52.082999999999998</v>
      </c>
      <c r="G5497">
        <v>-2.8</v>
      </c>
      <c r="H5497">
        <v>0</v>
      </c>
      <c r="I5497">
        <v>76</v>
      </c>
      <c r="J5497" t="str">
        <f>HYPERLINK("https://climate.onebuilding.org/WMO_Region_6_Europe/GBR_United_Kingdom/ENG_England/GBR_ENG_Hereford.Credenhill.035220_TMYx.2004-2018.zip")</f>
        <v>https://climate.onebuilding.org/WMO_Region_6_Europe/GBR_United_Kingdom/ENG_England/GBR_ENG_Hereford.Credenhill.035220_TMYx.2004-2018.zip</v>
      </c>
    </row>
    <row r="5498" spans="1:10" x14ac:dyDescent="0.25">
      <c r="A5498" t="s">
        <v>3587</v>
      </c>
      <c r="B5498" t="s">
        <v>3630</v>
      </c>
      <c r="C5498" t="s">
        <v>4195</v>
      </c>
      <c r="D5498" s="1" t="s">
        <v>4196</v>
      </c>
      <c r="E5498" t="s">
        <v>14</v>
      </c>
      <c r="F5498">
        <v>52.08</v>
      </c>
      <c r="G5498">
        <v>-2.8025000000000002</v>
      </c>
      <c r="H5498">
        <v>0</v>
      </c>
      <c r="I5498">
        <v>76</v>
      </c>
      <c r="J5498" t="str">
        <f>HYPERLINK("https://climate.onebuilding.org/WMO_Region_6_Europe/GBR_United_Kingdom/ENG_England/GBR_ENG_Hereford.Credenhill.035220_TMYx.2007-2021.zip")</f>
        <v>https://climate.onebuilding.org/WMO_Region_6_Europe/GBR_United_Kingdom/ENG_England/GBR_ENG_Hereford.Credenhill.035220_TMYx.2007-2021.zip</v>
      </c>
    </row>
    <row r="5499" spans="1:10" x14ac:dyDescent="0.25">
      <c r="A5499" t="s">
        <v>3587</v>
      </c>
      <c r="B5499" t="s">
        <v>3630</v>
      </c>
      <c r="C5499" t="s">
        <v>4195</v>
      </c>
      <c r="D5499" s="1" t="s">
        <v>4196</v>
      </c>
      <c r="E5499" t="s">
        <v>14</v>
      </c>
      <c r="F5499">
        <v>52.08</v>
      </c>
      <c r="G5499">
        <v>-2.8025000000000002</v>
      </c>
      <c r="H5499">
        <v>0</v>
      </c>
      <c r="I5499">
        <v>76</v>
      </c>
      <c r="J5499" t="str">
        <f>HYPERLINK("https://climate.onebuilding.org/WMO_Region_6_Europe/GBR_United_Kingdom/ENG_England/GBR_ENG_Hereford.Credenhill.035220_TMYx.2009-2023.zip")</f>
        <v>https://climate.onebuilding.org/WMO_Region_6_Europe/GBR_United_Kingdom/ENG_England/GBR_ENG_Hereford.Credenhill.035220_TMYx.2009-2023.zip</v>
      </c>
    </row>
    <row r="5500" spans="1:10" x14ac:dyDescent="0.25">
      <c r="A5500" t="s">
        <v>3587</v>
      </c>
      <c r="B5500" t="s">
        <v>3630</v>
      </c>
      <c r="C5500" t="s">
        <v>4195</v>
      </c>
      <c r="D5500" s="1" t="s">
        <v>4196</v>
      </c>
      <c r="E5500" t="s">
        <v>14</v>
      </c>
      <c r="F5500">
        <v>52.08</v>
      </c>
      <c r="G5500">
        <v>-2.8025000000000002</v>
      </c>
      <c r="H5500">
        <v>0</v>
      </c>
      <c r="I5500">
        <v>76</v>
      </c>
      <c r="J5500" t="str">
        <f>HYPERLINK("https://climate.onebuilding.org/WMO_Region_6_Europe/GBR_United_Kingdom/ENG_England/GBR_ENG_Hereford.Credenhill.035220_TMYx.zip")</f>
        <v>https://climate.onebuilding.org/WMO_Region_6_Europe/GBR_United_Kingdom/ENG_England/GBR_ENG_Hereford.Credenhill.035220_TMYx.zip</v>
      </c>
    </row>
    <row r="5501" spans="1:10" x14ac:dyDescent="0.25">
      <c r="A5501" t="s">
        <v>3587</v>
      </c>
      <c r="B5501" t="s">
        <v>3630</v>
      </c>
      <c r="C5501" t="s">
        <v>4198</v>
      </c>
      <c r="D5501" s="1" t="s">
        <v>4199</v>
      </c>
      <c r="E5501" t="s">
        <v>14</v>
      </c>
      <c r="F5501">
        <v>52.2</v>
      </c>
      <c r="G5501">
        <v>-2.2170000000000001</v>
      </c>
      <c r="H5501">
        <v>0</v>
      </c>
      <c r="I5501">
        <v>25</v>
      </c>
      <c r="J5501" t="str">
        <f>HYPERLINK("https://climate.onebuilding.org/WMO_Region_6_Europe/GBR_United_Kingdom/ENG_England/GBR_ENG_Barbourne.035260_TMYx.zip")</f>
        <v>https://climate.onebuilding.org/WMO_Region_6_Europe/GBR_United_Kingdom/ENG_England/GBR_ENG_Barbourne.035260_TMYx.zip</v>
      </c>
    </row>
    <row r="5502" spans="1:10" x14ac:dyDescent="0.25">
      <c r="A5502" t="s">
        <v>3587</v>
      </c>
      <c r="B5502" t="s">
        <v>3630</v>
      </c>
      <c r="C5502" t="s">
        <v>4200</v>
      </c>
      <c r="D5502" s="1" t="s">
        <v>4201</v>
      </c>
      <c r="E5502" t="s">
        <v>4202</v>
      </c>
      <c r="F5502">
        <v>52.116999999999997</v>
      </c>
      <c r="G5502">
        <v>-2.2999999999999998</v>
      </c>
      <c r="H5502">
        <v>0</v>
      </c>
      <c r="I5502">
        <v>44</v>
      </c>
      <c r="J5502" t="str">
        <f>HYPERLINK("https://climate.onebuilding.org/WMO_Region_6_Europe/GBR_United_Kingdom/ENG_England/GBR_ENG_Great.Malvern.035270_TMYx.2004-2018.zip")</f>
        <v>https://climate.onebuilding.org/WMO_Region_6_Europe/GBR_United_Kingdom/ENG_England/GBR_ENG_Great.Malvern.035270_TMYx.2004-2018.zip</v>
      </c>
    </row>
    <row r="5503" spans="1:10" x14ac:dyDescent="0.25">
      <c r="A5503" t="s">
        <v>3587</v>
      </c>
      <c r="B5503" t="s">
        <v>3630</v>
      </c>
      <c r="C5503" t="s">
        <v>4200</v>
      </c>
      <c r="D5503" s="1" t="s">
        <v>4201</v>
      </c>
      <c r="E5503" t="s">
        <v>14</v>
      </c>
      <c r="F5503">
        <v>52.116999999999997</v>
      </c>
      <c r="G5503">
        <v>-2.2999999999999998</v>
      </c>
      <c r="H5503">
        <v>0</v>
      </c>
      <c r="I5503">
        <v>44</v>
      </c>
      <c r="J5503" t="str">
        <f>HYPERLINK("https://climate.onebuilding.org/WMO_Region_6_Europe/GBR_United_Kingdom/ENG_England/GBR_ENG_Great.Malvern.035270_TMYx.zip")</f>
        <v>https://climate.onebuilding.org/WMO_Region_6_Europe/GBR_United_Kingdom/ENG_England/GBR_ENG_Great.Malvern.035270_TMYx.zip</v>
      </c>
    </row>
    <row r="5504" spans="1:10" x14ac:dyDescent="0.25">
      <c r="A5504" t="s">
        <v>3587</v>
      </c>
      <c r="B5504" t="s">
        <v>3630</v>
      </c>
      <c r="C5504" t="s">
        <v>4203</v>
      </c>
      <c r="D5504" s="1" t="s">
        <v>4204</v>
      </c>
      <c r="E5504" t="s">
        <v>4205</v>
      </c>
      <c r="F5504">
        <v>52.15</v>
      </c>
      <c r="G5504">
        <v>-2.0329999999999999</v>
      </c>
      <c r="H5504">
        <v>0</v>
      </c>
      <c r="I5504">
        <v>31</v>
      </c>
      <c r="J5504" t="str">
        <f>HYPERLINK("https://climate.onebuilding.org/WMO_Region_6_Europe/GBR_United_Kingdom/ENG_England/GBR_ENG_Pershore.AP.035290_TMYx.2004-2018.zip")</f>
        <v>https://climate.onebuilding.org/WMO_Region_6_Europe/GBR_United_Kingdom/ENG_England/GBR_ENG_Pershore.AP.035290_TMYx.2004-2018.zip</v>
      </c>
    </row>
    <row r="5505" spans="1:10" x14ac:dyDescent="0.25">
      <c r="A5505" t="s">
        <v>3587</v>
      </c>
      <c r="B5505" t="s">
        <v>3630</v>
      </c>
      <c r="C5505" t="s">
        <v>4203</v>
      </c>
      <c r="D5505" s="1" t="s">
        <v>4204</v>
      </c>
      <c r="E5505" t="s">
        <v>14</v>
      </c>
      <c r="F5505">
        <v>52.148299999999999</v>
      </c>
      <c r="G5505">
        <v>-2.0411000000000001</v>
      </c>
      <c r="H5505">
        <v>0</v>
      </c>
      <c r="I5505">
        <v>31</v>
      </c>
      <c r="J5505" t="str">
        <f>HYPERLINK("https://climate.onebuilding.org/WMO_Region_6_Europe/GBR_United_Kingdom/ENG_England/GBR_ENG_Pershore.AP.035290_TMYx.2007-2021.zip")</f>
        <v>https://climate.onebuilding.org/WMO_Region_6_Europe/GBR_United_Kingdom/ENG_England/GBR_ENG_Pershore.AP.035290_TMYx.2007-2021.zip</v>
      </c>
    </row>
    <row r="5506" spans="1:10" x14ac:dyDescent="0.25">
      <c r="A5506" t="s">
        <v>3587</v>
      </c>
      <c r="B5506" t="s">
        <v>3630</v>
      </c>
      <c r="C5506" t="s">
        <v>4203</v>
      </c>
      <c r="D5506" s="1" t="s">
        <v>4204</v>
      </c>
      <c r="E5506" t="s">
        <v>14</v>
      </c>
      <c r="F5506">
        <v>52.148299999999999</v>
      </c>
      <c r="G5506">
        <v>-2.0411000000000001</v>
      </c>
      <c r="H5506">
        <v>0</v>
      </c>
      <c r="I5506">
        <v>31</v>
      </c>
      <c r="J5506" t="str">
        <f>HYPERLINK("https://climate.onebuilding.org/WMO_Region_6_Europe/GBR_United_Kingdom/ENG_England/GBR_ENG_Pershore.AP.035290_TMYx.2009-2023.zip")</f>
        <v>https://climate.onebuilding.org/WMO_Region_6_Europe/GBR_United_Kingdom/ENG_England/GBR_ENG_Pershore.AP.035290_TMYx.2009-2023.zip</v>
      </c>
    </row>
    <row r="5507" spans="1:10" x14ac:dyDescent="0.25">
      <c r="A5507" t="s">
        <v>3587</v>
      </c>
      <c r="B5507" t="s">
        <v>3630</v>
      </c>
      <c r="C5507" t="s">
        <v>4203</v>
      </c>
      <c r="D5507" s="1" t="s">
        <v>4204</v>
      </c>
      <c r="E5507" t="s">
        <v>14</v>
      </c>
      <c r="F5507">
        <v>52.148299999999999</v>
      </c>
      <c r="G5507">
        <v>-2.0411000000000001</v>
      </c>
      <c r="H5507">
        <v>0</v>
      </c>
      <c r="I5507">
        <v>31</v>
      </c>
      <c r="J5507" t="str">
        <f>HYPERLINK("https://climate.onebuilding.org/WMO_Region_6_Europe/GBR_United_Kingdom/ENG_England/GBR_ENG_Pershore.AP.035290_TMYx.zip")</f>
        <v>https://climate.onebuilding.org/WMO_Region_6_Europe/GBR_United_Kingdom/ENG_England/GBR_ENG_Pershore.AP.035290_TMYx.zip</v>
      </c>
    </row>
    <row r="5508" spans="1:10" x14ac:dyDescent="0.25">
      <c r="A5508" t="s">
        <v>3587</v>
      </c>
      <c r="B5508" t="s">
        <v>3630</v>
      </c>
      <c r="C5508" t="s">
        <v>4206</v>
      </c>
      <c r="D5508" s="1" t="s">
        <v>4207</v>
      </c>
      <c r="E5508" t="s">
        <v>4208</v>
      </c>
      <c r="F5508">
        <v>52.454000000000001</v>
      </c>
      <c r="G5508">
        <v>-1.748</v>
      </c>
      <c r="H5508">
        <v>0</v>
      </c>
      <c r="I5508">
        <v>99.7</v>
      </c>
      <c r="J5508" t="str">
        <f>HYPERLINK("https://climate.onebuilding.org/WMO_Region_6_Europe/GBR_United_Kingdom/ENG_England/GBR_ENG_Birmingham.AP.035340_TMYx.2004-2018.zip")</f>
        <v>https://climate.onebuilding.org/WMO_Region_6_Europe/GBR_United_Kingdom/ENG_England/GBR_ENG_Birmingham.AP.035340_TMYx.2004-2018.zip</v>
      </c>
    </row>
    <row r="5509" spans="1:10" x14ac:dyDescent="0.25">
      <c r="A5509" t="s">
        <v>3587</v>
      </c>
      <c r="B5509" t="s">
        <v>3630</v>
      </c>
      <c r="C5509" t="s">
        <v>4206</v>
      </c>
      <c r="D5509" s="1" t="s">
        <v>4207</v>
      </c>
      <c r="E5509" t="s">
        <v>14</v>
      </c>
      <c r="F5509">
        <v>52.454000000000001</v>
      </c>
      <c r="G5509">
        <v>-1.748</v>
      </c>
      <c r="H5509">
        <v>0</v>
      </c>
      <c r="I5509">
        <v>99.7</v>
      </c>
      <c r="J5509" t="str">
        <f>HYPERLINK("https://climate.onebuilding.org/WMO_Region_6_Europe/GBR_United_Kingdom/ENG_England/GBR_ENG_Birmingham.AP.035340_TMYx.2007-2021.zip")</f>
        <v>https://climate.onebuilding.org/WMO_Region_6_Europe/GBR_United_Kingdom/ENG_England/GBR_ENG_Birmingham.AP.035340_TMYx.2007-2021.zip</v>
      </c>
    </row>
    <row r="5510" spans="1:10" x14ac:dyDescent="0.25">
      <c r="A5510" t="s">
        <v>3587</v>
      </c>
      <c r="B5510" t="s">
        <v>3630</v>
      </c>
      <c r="C5510" t="s">
        <v>4206</v>
      </c>
      <c r="D5510" s="1" t="s">
        <v>4207</v>
      </c>
      <c r="E5510" t="s">
        <v>14</v>
      </c>
      <c r="F5510">
        <v>52.454000000000001</v>
      </c>
      <c r="G5510">
        <v>-1.748</v>
      </c>
      <c r="H5510">
        <v>0</v>
      </c>
      <c r="I5510">
        <v>99.7</v>
      </c>
      <c r="J5510" t="str">
        <f>HYPERLINK("https://climate.onebuilding.org/WMO_Region_6_Europe/GBR_United_Kingdom/ENG_England/GBR_ENG_Birmingham.AP.035340_TMYx.2009-2023.zip")</f>
        <v>https://climate.onebuilding.org/WMO_Region_6_Europe/GBR_United_Kingdom/ENG_England/GBR_ENG_Birmingham.AP.035340_TMYx.2009-2023.zip</v>
      </c>
    </row>
    <row r="5511" spans="1:10" x14ac:dyDescent="0.25">
      <c r="A5511" t="s">
        <v>3587</v>
      </c>
      <c r="B5511" t="s">
        <v>3630</v>
      </c>
      <c r="C5511" t="s">
        <v>4206</v>
      </c>
      <c r="D5511" s="1" t="s">
        <v>4207</v>
      </c>
      <c r="E5511" t="s">
        <v>14</v>
      </c>
      <c r="F5511">
        <v>52.454000000000001</v>
      </c>
      <c r="G5511">
        <v>-1.748</v>
      </c>
      <c r="H5511">
        <v>0</v>
      </c>
      <c r="I5511">
        <v>99.7</v>
      </c>
      <c r="J5511" t="str">
        <f>HYPERLINK("https://climate.onebuilding.org/WMO_Region_6_Europe/GBR_United_Kingdom/ENG_England/GBR_ENG_Birmingham.AP.035340_TMYx.zip")</f>
        <v>https://climate.onebuilding.org/WMO_Region_6_Europe/GBR_United_Kingdom/ENG_England/GBR_ENG_Birmingham.AP.035340_TMYx.zip</v>
      </c>
    </row>
    <row r="5512" spans="1:10" x14ac:dyDescent="0.25">
      <c r="A5512" t="s">
        <v>3587</v>
      </c>
      <c r="B5512" t="s">
        <v>3630</v>
      </c>
      <c r="C5512" t="s">
        <v>4209</v>
      </c>
      <c r="D5512" s="1" t="s">
        <v>4210</v>
      </c>
      <c r="E5512" t="s">
        <v>4211</v>
      </c>
      <c r="F5512">
        <v>52.482999999999997</v>
      </c>
      <c r="G5512">
        <v>-1.6830000000000001</v>
      </c>
      <c r="H5512">
        <v>0</v>
      </c>
      <c r="I5512">
        <v>96</v>
      </c>
      <c r="J5512" t="str">
        <f>HYPERLINK("https://climate.onebuilding.org/WMO_Region_6_Europe/GBR_United_Kingdom/ENG_England/GBR_ENG_Coleshill.035350_TMYx.2004-2018.zip")</f>
        <v>https://climate.onebuilding.org/WMO_Region_6_Europe/GBR_United_Kingdom/ENG_England/GBR_ENG_Coleshill.035350_TMYx.2004-2018.zip</v>
      </c>
    </row>
    <row r="5513" spans="1:10" x14ac:dyDescent="0.25">
      <c r="A5513" t="s">
        <v>3587</v>
      </c>
      <c r="B5513" t="s">
        <v>3630</v>
      </c>
      <c r="C5513" t="s">
        <v>4209</v>
      </c>
      <c r="D5513" s="1" t="s">
        <v>4210</v>
      </c>
      <c r="E5513" t="s">
        <v>14</v>
      </c>
      <c r="F5513">
        <v>52.48</v>
      </c>
      <c r="G5513">
        <v>-1.6908000000000001</v>
      </c>
      <c r="H5513">
        <v>0</v>
      </c>
      <c r="I5513">
        <v>96</v>
      </c>
      <c r="J5513" t="str">
        <f>HYPERLINK("https://climate.onebuilding.org/WMO_Region_6_Europe/GBR_United_Kingdom/ENG_England/GBR_ENG_Coleshill.035350_TMYx.2007-2021.zip")</f>
        <v>https://climate.onebuilding.org/WMO_Region_6_Europe/GBR_United_Kingdom/ENG_England/GBR_ENG_Coleshill.035350_TMYx.2007-2021.zip</v>
      </c>
    </row>
    <row r="5514" spans="1:10" x14ac:dyDescent="0.25">
      <c r="A5514" t="s">
        <v>3587</v>
      </c>
      <c r="B5514" t="s">
        <v>3630</v>
      </c>
      <c r="C5514" t="s">
        <v>4209</v>
      </c>
      <c r="D5514" s="1" t="s">
        <v>4210</v>
      </c>
      <c r="E5514" t="s">
        <v>14</v>
      </c>
      <c r="F5514">
        <v>52.48</v>
      </c>
      <c r="G5514">
        <v>-1.6908000000000001</v>
      </c>
      <c r="H5514">
        <v>0</v>
      </c>
      <c r="I5514">
        <v>96</v>
      </c>
      <c r="J5514" t="str">
        <f>HYPERLINK("https://climate.onebuilding.org/WMO_Region_6_Europe/GBR_United_Kingdom/ENG_England/GBR_ENG_Coleshill.035350_TMYx.2009-2023.zip")</f>
        <v>https://climate.onebuilding.org/WMO_Region_6_Europe/GBR_United_Kingdom/ENG_England/GBR_ENG_Coleshill.035350_TMYx.2009-2023.zip</v>
      </c>
    </row>
    <row r="5515" spans="1:10" x14ac:dyDescent="0.25">
      <c r="A5515" t="s">
        <v>3587</v>
      </c>
      <c r="B5515" t="s">
        <v>3630</v>
      </c>
      <c r="C5515" t="s">
        <v>4209</v>
      </c>
      <c r="D5515" s="1" t="s">
        <v>4210</v>
      </c>
      <c r="E5515" t="s">
        <v>14</v>
      </c>
      <c r="F5515">
        <v>52.48</v>
      </c>
      <c r="G5515">
        <v>-1.6908000000000001</v>
      </c>
      <c r="H5515">
        <v>0</v>
      </c>
      <c r="I5515">
        <v>96</v>
      </c>
      <c r="J5515" t="str">
        <f>HYPERLINK("https://climate.onebuilding.org/WMO_Region_6_Europe/GBR_United_Kingdom/ENG_England/GBR_ENG_Coleshill.035350_TMYx.zip")</f>
        <v>https://climate.onebuilding.org/WMO_Region_6_Europe/GBR_United_Kingdom/ENG_England/GBR_ENG_Coleshill.035350_TMYx.zip</v>
      </c>
    </row>
    <row r="5516" spans="1:10" x14ac:dyDescent="0.25">
      <c r="A5516" t="s">
        <v>3587</v>
      </c>
      <c r="B5516" t="s">
        <v>3630</v>
      </c>
      <c r="C5516" t="s">
        <v>4212</v>
      </c>
      <c r="D5516" s="1" t="s">
        <v>4213</v>
      </c>
      <c r="E5516" t="s">
        <v>4214</v>
      </c>
      <c r="F5516">
        <v>52.366999999999997</v>
      </c>
      <c r="G5516">
        <v>-1.4830000000000001</v>
      </c>
      <c r="H5516">
        <v>0</v>
      </c>
      <c r="I5516">
        <v>85</v>
      </c>
      <c r="J5516" t="str">
        <f>HYPERLINK("https://climate.onebuilding.org/WMO_Region_6_Europe/GBR_United_Kingdom/ENG_England/GBR_ENG_Coventry.AP.035410_TMYx.2004-2018.zip")</f>
        <v>https://climate.onebuilding.org/WMO_Region_6_Europe/GBR_United_Kingdom/ENG_England/GBR_ENG_Coventry.AP.035410_TMYx.2004-2018.zip</v>
      </c>
    </row>
    <row r="5517" spans="1:10" x14ac:dyDescent="0.25">
      <c r="A5517" t="s">
        <v>3587</v>
      </c>
      <c r="B5517" t="s">
        <v>3630</v>
      </c>
      <c r="C5517" t="s">
        <v>4212</v>
      </c>
      <c r="D5517" s="1" t="s">
        <v>4213</v>
      </c>
      <c r="E5517" t="s">
        <v>14</v>
      </c>
      <c r="F5517">
        <v>52.366999999999997</v>
      </c>
      <c r="G5517">
        <v>-1.4830000000000001</v>
      </c>
      <c r="H5517">
        <v>0</v>
      </c>
      <c r="I5517">
        <v>85</v>
      </c>
      <c r="J5517" t="str">
        <f>HYPERLINK("https://climate.onebuilding.org/WMO_Region_6_Europe/GBR_United_Kingdom/ENG_England/GBR_ENG_Coventry.AP.035410_TMYx.2007-2021.zip")</f>
        <v>https://climate.onebuilding.org/WMO_Region_6_Europe/GBR_United_Kingdom/ENG_England/GBR_ENG_Coventry.AP.035410_TMYx.2007-2021.zip</v>
      </c>
    </row>
    <row r="5518" spans="1:10" x14ac:dyDescent="0.25">
      <c r="A5518" t="s">
        <v>3587</v>
      </c>
      <c r="B5518" t="s">
        <v>3630</v>
      </c>
      <c r="C5518" t="s">
        <v>4212</v>
      </c>
      <c r="D5518" s="1" t="s">
        <v>4213</v>
      </c>
      <c r="E5518" t="s">
        <v>14</v>
      </c>
      <c r="F5518">
        <v>52.366999999999997</v>
      </c>
      <c r="G5518">
        <v>-1.4830000000000001</v>
      </c>
      <c r="H5518">
        <v>0</v>
      </c>
      <c r="I5518">
        <v>85</v>
      </c>
      <c r="J5518" t="str">
        <f>HYPERLINK("https://climate.onebuilding.org/WMO_Region_6_Europe/GBR_United_Kingdom/ENG_England/GBR_ENG_Coventry.AP.035410_TMYx.2009-2023.zip")</f>
        <v>https://climate.onebuilding.org/WMO_Region_6_Europe/GBR_United_Kingdom/ENG_England/GBR_ENG_Coventry.AP.035410_TMYx.2009-2023.zip</v>
      </c>
    </row>
    <row r="5519" spans="1:10" x14ac:dyDescent="0.25">
      <c r="A5519" t="s">
        <v>3587</v>
      </c>
      <c r="B5519" t="s">
        <v>3630</v>
      </c>
      <c r="C5519" t="s">
        <v>4212</v>
      </c>
      <c r="D5519" s="1" t="s">
        <v>4213</v>
      </c>
      <c r="E5519" t="s">
        <v>14</v>
      </c>
      <c r="F5519">
        <v>52.366999999999997</v>
      </c>
      <c r="G5519">
        <v>-1.4830000000000001</v>
      </c>
      <c r="H5519">
        <v>0</v>
      </c>
      <c r="I5519">
        <v>85</v>
      </c>
      <c r="J5519" t="str">
        <f>HYPERLINK("https://climate.onebuilding.org/WMO_Region_6_Europe/GBR_United_Kingdom/ENG_England/GBR_ENG_Coventry.AP.035410_TMYx.zip")</f>
        <v>https://climate.onebuilding.org/WMO_Region_6_Europe/GBR_United_Kingdom/ENG_England/GBR_ENG_Coventry.AP.035410_TMYx.zip</v>
      </c>
    </row>
    <row r="5520" spans="1:10" x14ac:dyDescent="0.25">
      <c r="A5520" t="s">
        <v>3587</v>
      </c>
      <c r="B5520" t="s">
        <v>3630</v>
      </c>
      <c r="C5520" t="s">
        <v>4215</v>
      </c>
      <c r="D5520" s="1" t="s">
        <v>4216</v>
      </c>
      <c r="E5520" t="s">
        <v>4217</v>
      </c>
      <c r="F5520">
        <v>52.366999999999997</v>
      </c>
      <c r="G5520">
        <v>-1.333</v>
      </c>
      <c r="H5520">
        <v>0</v>
      </c>
      <c r="I5520">
        <v>106</v>
      </c>
      <c r="J5520" t="str">
        <f>HYPERLINK("https://climate.onebuilding.org/WMO_Region_6_Europe/GBR_United_Kingdom/ENG_England/GBR_ENG_Church.Lawford.035440_TMYx.2004-2018.zip")</f>
        <v>https://climate.onebuilding.org/WMO_Region_6_Europe/GBR_United_Kingdom/ENG_England/GBR_ENG_Church.Lawford.035440_TMYx.2004-2018.zip</v>
      </c>
    </row>
    <row r="5521" spans="1:10" x14ac:dyDescent="0.25">
      <c r="A5521" t="s">
        <v>3587</v>
      </c>
      <c r="B5521" t="s">
        <v>3630</v>
      </c>
      <c r="C5521" t="s">
        <v>4215</v>
      </c>
      <c r="D5521" s="1" t="s">
        <v>4216</v>
      </c>
      <c r="E5521" t="s">
        <v>14</v>
      </c>
      <c r="F5521">
        <v>52.358899999999998</v>
      </c>
      <c r="G5521">
        <v>-1.3313999999999999</v>
      </c>
      <c r="H5521">
        <v>0</v>
      </c>
      <c r="I5521">
        <v>106</v>
      </c>
      <c r="J5521" t="str">
        <f>HYPERLINK("https://climate.onebuilding.org/WMO_Region_6_Europe/GBR_United_Kingdom/ENG_England/GBR_ENG_Church.Lawford.035440_TMYx.2007-2021.zip")</f>
        <v>https://climate.onebuilding.org/WMO_Region_6_Europe/GBR_United_Kingdom/ENG_England/GBR_ENG_Church.Lawford.035440_TMYx.2007-2021.zip</v>
      </c>
    </row>
    <row r="5522" spans="1:10" x14ac:dyDescent="0.25">
      <c r="A5522" t="s">
        <v>3587</v>
      </c>
      <c r="B5522" t="s">
        <v>3630</v>
      </c>
      <c r="C5522" t="s">
        <v>4215</v>
      </c>
      <c r="D5522" s="1" t="s">
        <v>4216</v>
      </c>
      <c r="E5522" t="s">
        <v>14</v>
      </c>
      <c r="F5522">
        <v>52.358899999999998</v>
      </c>
      <c r="G5522">
        <v>-1.3313999999999999</v>
      </c>
      <c r="H5522">
        <v>0</v>
      </c>
      <c r="I5522">
        <v>106</v>
      </c>
      <c r="J5522" t="str">
        <f>HYPERLINK("https://climate.onebuilding.org/WMO_Region_6_Europe/GBR_United_Kingdom/ENG_England/GBR_ENG_Church.Lawford.035440_TMYx.2009-2023.zip")</f>
        <v>https://climate.onebuilding.org/WMO_Region_6_Europe/GBR_United_Kingdom/ENG_England/GBR_ENG_Church.Lawford.035440_TMYx.2009-2023.zip</v>
      </c>
    </row>
    <row r="5523" spans="1:10" x14ac:dyDescent="0.25">
      <c r="A5523" t="s">
        <v>3587</v>
      </c>
      <c r="B5523" t="s">
        <v>3630</v>
      </c>
      <c r="C5523" t="s">
        <v>4215</v>
      </c>
      <c r="D5523" s="1" t="s">
        <v>4216</v>
      </c>
      <c r="E5523" t="s">
        <v>14</v>
      </c>
      <c r="F5523">
        <v>52.358899999999998</v>
      </c>
      <c r="G5523">
        <v>-1.3313999999999999</v>
      </c>
      <c r="H5523">
        <v>0</v>
      </c>
      <c r="I5523">
        <v>106</v>
      </c>
      <c r="J5523" t="str">
        <f>HYPERLINK("https://climate.onebuilding.org/WMO_Region_6_Europe/GBR_United_Kingdom/ENG_England/GBR_ENG_Church.Lawford.035440_TMYx.zip")</f>
        <v>https://climate.onebuilding.org/WMO_Region_6_Europe/GBR_United_Kingdom/ENG_England/GBR_ENG_Church.Lawford.035440_TMYx.zip</v>
      </c>
    </row>
    <row r="5524" spans="1:10" x14ac:dyDescent="0.25">
      <c r="A5524" t="s">
        <v>3587</v>
      </c>
      <c r="B5524" t="s">
        <v>3630</v>
      </c>
      <c r="C5524" t="s">
        <v>4218</v>
      </c>
      <c r="D5524" s="1" t="s">
        <v>4219</v>
      </c>
      <c r="E5524" t="s">
        <v>4220</v>
      </c>
      <c r="F5524">
        <v>52.072000000000003</v>
      </c>
      <c r="G5524">
        <v>-0.61699999999999999</v>
      </c>
      <c r="H5524">
        <v>0</v>
      </c>
      <c r="I5524">
        <v>109.1</v>
      </c>
      <c r="J5524" t="str">
        <f>HYPERLINK("https://climate.onebuilding.org/WMO_Region_6_Europe/GBR_United_Kingdom/ENG_England/GBR_ENG_Cranfield.AP.035573_TMYx.2004-2018.zip")</f>
        <v>https://climate.onebuilding.org/WMO_Region_6_Europe/GBR_United_Kingdom/ENG_England/GBR_ENG_Cranfield.AP.035573_TMYx.2004-2018.zip</v>
      </c>
    </row>
    <row r="5525" spans="1:10" x14ac:dyDescent="0.25">
      <c r="A5525" t="s">
        <v>3587</v>
      </c>
      <c r="B5525" t="s">
        <v>3630</v>
      </c>
      <c r="C5525" t="s">
        <v>4218</v>
      </c>
      <c r="D5525" s="1" t="s">
        <v>4219</v>
      </c>
      <c r="E5525" t="s">
        <v>14</v>
      </c>
      <c r="F5525">
        <v>52.072000000000003</v>
      </c>
      <c r="G5525">
        <v>-0.61699999999999999</v>
      </c>
      <c r="H5525">
        <v>0</v>
      </c>
      <c r="I5525">
        <v>109.1</v>
      </c>
      <c r="J5525" t="str">
        <f>HYPERLINK("https://climate.onebuilding.org/WMO_Region_6_Europe/GBR_United_Kingdom/ENG_England/GBR_ENG_Cranfield.AP.035573_TMYx.2007-2021.zip")</f>
        <v>https://climate.onebuilding.org/WMO_Region_6_Europe/GBR_United_Kingdom/ENG_England/GBR_ENG_Cranfield.AP.035573_TMYx.2007-2021.zip</v>
      </c>
    </row>
    <row r="5526" spans="1:10" x14ac:dyDescent="0.25">
      <c r="A5526" t="s">
        <v>3587</v>
      </c>
      <c r="B5526" t="s">
        <v>3630</v>
      </c>
      <c r="C5526" t="s">
        <v>4218</v>
      </c>
      <c r="D5526" s="1" t="s">
        <v>4219</v>
      </c>
      <c r="E5526" t="s">
        <v>14</v>
      </c>
      <c r="F5526">
        <v>52.072000000000003</v>
      </c>
      <c r="G5526">
        <v>-0.61699999999999999</v>
      </c>
      <c r="H5526">
        <v>0</v>
      </c>
      <c r="I5526">
        <v>109.1</v>
      </c>
      <c r="J5526" t="str">
        <f>HYPERLINK("https://climate.onebuilding.org/WMO_Region_6_Europe/GBR_United_Kingdom/ENG_England/GBR_ENG_Cranfield.AP.035573_TMYx.2009-2023.zip")</f>
        <v>https://climate.onebuilding.org/WMO_Region_6_Europe/GBR_United_Kingdom/ENG_England/GBR_ENG_Cranfield.AP.035573_TMYx.2009-2023.zip</v>
      </c>
    </row>
    <row r="5527" spans="1:10" x14ac:dyDescent="0.25">
      <c r="A5527" t="s">
        <v>3587</v>
      </c>
      <c r="B5527" t="s">
        <v>3630</v>
      </c>
      <c r="C5527" t="s">
        <v>4218</v>
      </c>
      <c r="D5527" s="1" t="s">
        <v>4219</v>
      </c>
      <c r="E5527" t="s">
        <v>14</v>
      </c>
      <c r="F5527">
        <v>52.072000000000003</v>
      </c>
      <c r="G5527">
        <v>-0.61699999999999999</v>
      </c>
      <c r="H5527">
        <v>0</v>
      </c>
      <c r="I5527">
        <v>109.1</v>
      </c>
      <c r="J5527" t="str">
        <f>HYPERLINK("https://climate.onebuilding.org/WMO_Region_6_Europe/GBR_United_Kingdom/ENG_England/GBR_ENG_Cranfield.AP.035573_TMYx.zip")</f>
        <v>https://climate.onebuilding.org/WMO_Region_6_Europe/GBR_United_Kingdom/ENG_England/GBR_ENG_Cranfield.AP.035573_TMYx.zip</v>
      </c>
    </row>
    <row r="5528" spans="1:10" x14ac:dyDescent="0.25">
      <c r="A5528" t="s">
        <v>3587</v>
      </c>
      <c r="B5528" t="s">
        <v>3630</v>
      </c>
      <c r="C5528" t="s">
        <v>4221</v>
      </c>
      <c r="D5528" s="1" t="s">
        <v>4222</v>
      </c>
      <c r="E5528" t="s">
        <v>14</v>
      </c>
      <c r="F5528">
        <v>52.1</v>
      </c>
      <c r="G5528">
        <v>-0.41699999999999998</v>
      </c>
      <c r="H5528">
        <v>0</v>
      </c>
      <c r="I5528">
        <v>29</v>
      </c>
      <c r="J5528" t="str">
        <f>HYPERLINK("https://climate.onebuilding.org/WMO_Region_6_Europe/GBR_United_Kingdom/ENG_England/GBR_ENG_Cardington.035590_TMYx.zip")</f>
        <v>https://climate.onebuilding.org/WMO_Region_6_Europe/GBR_United_Kingdom/ENG_England/GBR_ENG_Cardington.035590_TMYx.zip</v>
      </c>
    </row>
    <row r="5529" spans="1:10" x14ac:dyDescent="0.25">
      <c r="A5529" t="s">
        <v>3587</v>
      </c>
      <c r="B5529" t="s">
        <v>3630</v>
      </c>
      <c r="C5529" t="s">
        <v>4223</v>
      </c>
      <c r="D5529" s="1" t="s">
        <v>4224</v>
      </c>
      <c r="E5529" t="s">
        <v>4225</v>
      </c>
      <c r="F5529">
        <v>52.216999999999999</v>
      </c>
      <c r="G5529">
        <v>-0.48299999999999998</v>
      </c>
      <c r="H5529">
        <v>0</v>
      </c>
      <c r="I5529">
        <v>84</v>
      </c>
      <c r="J5529" t="str">
        <f>HYPERLINK("https://climate.onebuilding.org/WMO_Region_6_Europe/GBR_United_Kingdom/ENG_England/GBR_ENG_RAF.Bedford.035600_TMYx.2004-2018.zip")</f>
        <v>https://climate.onebuilding.org/WMO_Region_6_Europe/GBR_United_Kingdom/ENG_England/GBR_ENG_RAF.Bedford.035600_TMYx.2004-2018.zip</v>
      </c>
    </row>
    <row r="5530" spans="1:10" x14ac:dyDescent="0.25">
      <c r="A5530" t="s">
        <v>3587</v>
      </c>
      <c r="B5530" t="s">
        <v>3630</v>
      </c>
      <c r="C5530" t="s">
        <v>4223</v>
      </c>
      <c r="D5530" s="1" t="s">
        <v>4224</v>
      </c>
      <c r="E5530" t="s">
        <v>14</v>
      </c>
      <c r="F5530">
        <v>52.226900000000001</v>
      </c>
      <c r="G5530">
        <v>-0.46529999999999999</v>
      </c>
      <c r="H5530">
        <v>0</v>
      </c>
      <c r="I5530">
        <v>84</v>
      </c>
      <c r="J5530" t="str">
        <f>HYPERLINK("https://climate.onebuilding.org/WMO_Region_6_Europe/GBR_United_Kingdom/ENG_England/GBR_ENG_RAF.Bedford.035600_TMYx.2007-2021.zip")</f>
        <v>https://climate.onebuilding.org/WMO_Region_6_Europe/GBR_United_Kingdom/ENG_England/GBR_ENG_RAF.Bedford.035600_TMYx.2007-2021.zip</v>
      </c>
    </row>
    <row r="5531" spans="1:10" x14ac:dyDescent="0.25">
      <c r="A5531" t="s">
        <v>3587</v>
      </c>
      <c r="B5531" t="s">
        <v>3630</v>
      </c>
      <c r="C5531" t="s">
        <v>4223</v>
      </c>
      <c r="D5531" s="1" t="s">
        <v>4224</v>
      </c>
      <c r="E5531" t="s">
        <v>14</v>
      </c>
      <c r="F5531">
        <v>52.226900000000001</v>
      </c>
      <c r="G5531">
        <v>-0.46529999999999999</v>
      </c>
      <c r="H5531">
        <v>0</v>
      </c>
      <c r="I5531">
        <v>84</v>
      </c>
      <c r="J5531" t="str">
        <f>HYPERLINK("https://climate.onebuilding.org/WMO_Region_6_Europe/GBR_United_Kingdom/ENG_England/GBR_ENG_RAF.Bedford.035600_TMYx.2009-2023.zip")</f>
        <v>https://climate.onebuilding.org/WMO_Region_6_Europe/GBR_United_Kingdom/ENG_England/GBR_ENG_RAF.Bedford.035600_TMYx.2009-2023.zip</v>
      </c>
    </row>
    <row r="5532" spans="1:10" x14ac:dyDescent="0.25">
      <c r="A5532" t="s">
        <v>3587</v>
      </c>
      <c r="B5532" t="s">
        <v>3630</v>
      </c>
      <c r="C5532" t="s">
        <v>4223</v>
      </c>
      <c r="D5532" s="1" t="s">
        <v>4224</v>
      </c>
      <c r="E5532" t="s">
        <v>14</v>
      </c>
      <c r="F5532">
        <v>52.226900000000001</v>
      </c>
      <c r="G5532">
        <v>-0.46529999999999999</v>
      </c>
      <c r="H5532">
        <v>0</v>
      </c>
      <c r="I5532">
        <v>84</v>
      </c>
      <c r="J5532" t="str">
        <f>HYPERLINK("https://climate.onebuilding.org/WMO_Region_6_Europe/GBR_United_Kingdom/ENG_England/GBR_ENG_RAF.Bedford.035600_TMYx.zip")</f>
        <v>https://climate.onebuilding.org/WMO_Region_6_Europe/GBR_United_Kingdom/ENG_England/GBR_ENG_RAF.Bedford.035600_TMYx.zip</v>
      </c>
    </row>
    <row r="5533" spans="1:10" x14ac:dyDescent="0.25">
      <c r="A5533" t="s">
        <v>3587</v>
      </c>
      <c r="B5533" t="s">
        <v>3630</v>
      </c>
      <c r="C5533" t="s">
        <v>4226</v>
      </c>
      <c r="D5533" s="1" t="s">
        <v>4227</v>
      </c>
      <c r="E5533" t="s">
        <v>14</v>
      </c>
      <c r="F5533">
        <v>52.366999999999997</v>
      </c>
      <c r="G5533">
        <v>-0.217</v>
      </c>
      <c r="H5533">
        <v>0</v>
      </c>
      <c r="I5533">
        <v>47.9</v>
      </c>
      <c r="J5533" t="str">
        <f>HYPERLINK("https://climate.onebuilding.org/WMO_Region_6_Europe/GBR_United_Kingdom/ENG_England/GBR_ENG_RAF.Alconbury.035620_TMYx.zip")</f>
        <v>https://climate.onebuilding.org/WMO_Region_6_Europe/GBR_United_Kingdom/ENG_England/GBR_ENG_RAF.Alconbury.035620_TMYx.zip</v>
      </c>
    </row>
    <row r="5534" spans="1:10" x14ac:dyDescent="0.25">
      <c r="A5534" t="s">
        <v>3587</v>
      </c>
      <c r="B5534" t="s">
        <v>3630</v>
      </c>
      <c r="C5534" t="s">
        <v>4228</v>
      </c>
      <c r="D5534" s="1" t="s">
        <v>4229</v>
      </c>
      <c r="E5534" t="s">
        <v>4230</v>
      </c>
      <c r="F5534">
        <v>52.356999999999999</v>
      </c>
      <c r="G5534">
        <v>-0.108</v>
      </c>
      <c r="H5534">
        <v>0</v>
      </c>
      <c r="I5534">
        <v>41.1</v>
      </c>
      <c r="J5534" t="str">
        <f>HYPERLINK("https://climate.onebuilding.org/WMO_Region_6_Europe/GBR_United_Kingdom/ENG_England/GBR_ENG_Wyton.AP.035660_TMYx.2004-2018.zip")</f>
        <v>https://climate.onebuilding.org/WMO_Region_6_Europe/GBR_United_Kingdom/ENG_England/GBR_ENG_Wyton.AP.035660_TMYx.2004-2018.zip</v>
      </c>
    </row>
    <row r="5535" spans="1:10" x14ac:dyDescent="0.25">
      <c r="A5535" t="s">
        <v>3587</v>
      </c>
      <c r="B5535" t="s">
        <v>3630</v>
      </c>
      <c r="C5535" t="s">
        <v>4228</v>
      </c>
      <c r="D5535" s="1" t="s">
        <v>4229</v>
      </c>
      <c r="E5535" t="s">
        <v>14</v>
      </c>
      <c r="F5535">
        <v>52.356999999999999</v>
      </c>
      <c r="G5535">
        <v>-0.108</v>
      </c>
      <c r="H5535">
        <v>0</v>
      </c>
      <c r="I5535">
        <v>41.1</v>
      </c>
      <c r="J5535" t="str">
        <f>HYPERLINK("https://climate.onebuilding.org/WMO_Region_6_Europe/GBR_United_Kingdom/ENG_England/GBR_ENG_Wyton.AP.035660_TMYx.2007-2021.zip")</f>
        <v>https://climate.onebuilding.org/WMO_Region_6_Europe/GBR_United_Kingdom/ENG_England/GBR_ENG_Wyton.AP.035660_TMYx.2007-2021.zip</v>
      </c>
    </row>
    <row r="5536" spans="1:10" x14ac:dyDescent="0.25">
      <c r="A5536" t="s">
        <v>3587</v>
      </c>
      <c r="B5536" t="s">
        <v>3630</v>
      </c>
      <c r="C5536" t="s">
        <v>4228</v>
      </c>
      <c r="D5536" s="1" t="s">
        <v>4229</v>
      </c>
      <c r="E5536" t="s">
        <v>14</v>
      </c>
      <c r="F5536">
        <v>52.356999999999999</v>
      </c>
      <c r="G5536">
        <v>-0.108</v>
      </c>
      <c r="H5536">
        <v>0</v>
      </c>
      <c r="I5536">
        <v>41.1</v>
      </c>
      <c r="J5536" t="str">
        <f>HYPERLINK("https://climate.onebuilding.org/WMO_Region_6_Europe/GBR_United_Kingdom/ENG_England/GBR_ENG_Wyton.AP.035660_TMYx.2009-2023.zip")</f>
        <v>https://climate.onebuilding.org/WMO_Region_6_Europe/GBR_United_Kingdom/ENG_England/GBR_ENG_Wyton.AP.035660_TMYx.2009-2023.zip</v>
      </c>
    </row>
    <row r="5537" spans="1:10" x14ac:dyDescent="0.25">
      <c r="A5537" t="s">
        <v>3587</v>
      </c>
      <c r="B5537" t="s">
        <v>3630</v>
      </c>
      <c r="C5537" t="s">
        <v>4228</v>
      </c>
      <c r="D5537" s="1" t="s">
        <v>4229</v>
      </c>
      <c r="E5537" t="s">
        <v>14</v>
      </c>
      <c r="F5537">
        <v>52.356999999999999</v>
      </c>
      <c r="G5537">
        <v>-0.108</v>
      </c>
      <c r="H5537">
        <v>0</v>
      </c>
      <c r="I5537">
        <v>41.1</v>
      </c>
      <c r="J5537" t="str">
        <f>HYPERLINK("https://climate.onebuilding.org/WMO_Region_6_Europe/GBR_United_Kingdom/ENG_England/GBR_ENG_Wyton.AP.035660_TMYx.zip")</f>
        <v>https://climate.onebuilding.org/WMO_Region_6_Europe/GBR_United_Kingdom/ENG_England/GBR_ENG_Wyton.AP.035660_TMYx.zip</v>
      </c>
    </row>
    <row r="5538" spans="1:10" x14ac:dyDescent="0.25">
      <c r="A5538" t="s">
        <v>3587</v>
      </c>
      <c r="B5538" t="s">
        <v>3588</v>
      </c>
      <c r="C5538" t="s">
        <v>4231</v>
      </c>
      <c r="D5538" s="1" t="s">
        <v>4232</v>
      </c>
      <c r="E5538" t="s">
        <v>4233</v>
      </c>
      <c r="F5538">
        <v>55.682000000000002</v>
      </c>
      <c r="G5538">
        <v>-6.2569999999999997</v>
      </c>
      <c r="H5538">
        <v>0</v>
      </c>
      <c r="I5538">
        <v>17.100000000000001</v>
      </c>
      <c r="J5538" t="str">
        <f>HYPERLINK("https://climate.onebuilding.org/WMO_Region_6_Europe/GBR_United_Kingdom/SCT_Scotland/GBR_SCT_Islay.AP.035661_TMYx.2004-2018.zip")</f>
        <v>https://climate.onebuilding.org/WMO_Region_6_Europe/GBR_United_Kingdom/SCT_Scotland/GBR_SCT_Islay.AP.035661_TMYx.2004-2018.zip</v>
      </c>
    </row>
    <row r="5539" spans="1:10" x14ac:dyDescent="0.25">
      <c r="A5539" t="s">
        <v>3587</v>
      </c>
      <c r="B5539" t="s">
        <v>3588</v>
      </c>
      <c r="C5539" t="s">
        <v>4231</v>
      </c>
      <c r="D5539" s="1" t="s">
        <v>4232</v>
      </c>
      <c r="E5539" t="s">
        <v>14</v>
      </c>
      <c r="F5539">
        <v>55.682000000000002</v>
      </c>
      <c r="G5539">
        <v>-6.2569999999999997</v>
      </c>
      <c r="H5539">
        <v>0</v>
      </c>
      <c r="I5539">
        <v>17.100000000000001</v>
      </c>
      <c r="J5539" t="str">
        <f>HYPERLINK("https://climate.onebuilding.org/WMO_Region_6_Europe/GBR_United_Kingdom/SCT_Scotland/GBR_SCT_Islay.AP.035661_TMYx.2007-2021.zip")</f>
        <v>https://climate.onebuilding.org/WMO_Region_6_Europe/GBR_United_Kingdom/SCT_Scotland/GBR_SCT_Islay.AP.035661_TMYx.2007-2021.zip</v>
      </c>
    </row>
    <row r="5540" spans="1:10" x14ac:dyDescent="0.25">
      <c r="A5540" t="s">
        <v>3587</v>
      </c>
      <c r="B5540" t="s">
        <v>3588</v>
      </c>
      <c r="C5540" t="s">
        <v>4231</v>
      </c>
      <c r="D5540" s="1" t="s">
        <v>4232</v>
      </c>
      <c r="E5540" t="s">
        <v>14</v>
      </c>
      <c r="F5540">
        <v>55.682000000000002</v>
      </c>
      <c r="G5540">
        <v>-6.2569999999999997</v>
      </c>
      <c r="H5540">
        <v>0</v>
      </c>
      <c r="I5540">
        <v>17.100000000000001</v>
      </c>
      <c r="J5540" t="str">
        <f>HYPERLINK("https://climate.onebuilding.org/WMO_Region_6_Europe/GBR_United_Kingdom/SCT_Scotland/GBR_SCT_Islay.AP.035661_TMYx.2009-2023.zip")</f>
        <v>https://climate.onebuilding.org/WMO_Region_6_Europe/GBR_United_Kingdom/SCT_Scotland/GBR_SCT_Islay.AP.035661_TMYx.2009-2023.zip</v>
      </c>
    </row>
    <row r="5541" spans="1:10" x14ac:dyDescent="0.25">
      <c r="A5541" t="s">
        <v>3587</v>
      </c>
      <c r="B5541" t="s">
        <v>3588</v>
      </c>
      <c r="C5541" t="s">
        <v>4231</v>
      </c>
      <c r="D5541" s="1" t="s">
        <v>4232</v>
      </c>
      <c r="E5541" t="s">
        <v>14</v>
      </c>
      <c r="F5541">
        <v>55.682000000000002</v>
      </c>
      <c r="G5541">
        <v>-6.2569999999999997</v>
      </c>
      <c r="H5541">
        <v>0</v>
      </c>
      <c r="I5541">
        <v>17.100000000000001</v>
      </c>
      <c r="J5541" t="str">
        <f>HYPERLINK("https://climate.onebuilding.org/WMO_Region_6_Europe/GBR_United_Kingdom/SCT_Scotland/GBR_SCT_Islay.AP.035661_TMYx.zip")</f>
        <v>https://climate.onebuilding.org/WMO_Region_6_Europe/GBR_United_Kingdom/SCT_Scotland/GBR_SCT_Islay.AP.035661_TMYx.zip</v>
      </c>
    </row>
    <row r="5542" spans="1:10" x14ac:dyDescent="0.25">
      <c r="A5542" t="s">
        <v>3587</v>
      </c>
      <c r="B5542" t="s">
        <v>3630</v>
      </c>
      <c r="C5542" t="s">
        <v>4234</v>
      </c>
      <c r="D5542" s="1" t="s">
        <v>4235</v>
      </c>
      <c r="E5542" t="s">
        <v>4236</v>
      </c>
      <c r="F5542">
        <v>52.204999999999998</v>
      </c>
      <c r="G5542">
        <v>0.17499999999999999</v>
      </c>
      <c r="H5542">
        <v>0</v>
      </c>
      <c r="I5542">
        <v>14.3</v>
      </c>
      <c r="J5542" t="str">
        <f>HYPERLINK("https://climate.onebuilding.org/WMO_Region_6_Europe/GBR_United_Kingdom/ENG_England/GBR_ENG_Cambridge.AP.035715_TMYx.2004-2018.zip")</f>
        <v>https://climate.onebuilding.org/WMO_Region_6_Europe/GBR_United_Kingdom/ENG_England/GBR_ENG_Cambridge.AP.035715_TMYx.2004-2018.zip</v>
      </c>
    </row>
    <row r="5543" spans="1:10" x14ac:dyDescent="0.25">
      <c r="A5543" t="s">
        <v>3587</v>
      </c>
      <c r="B5543" t="s">
        <v>3630</v>
      </c>
      <c r="C5543" t="s">
        <v>4234</v>
      </c>
      <c r="D5543" s="1" t="s">
        <v>4235</v>
      </c>
      <c r="E5543" t="s">
        <v>14</v>
      </c>
      <c r="F5543">
        <v>52.204999999999998</v>
      </c>
      <c r="G5543">
        <v>0.17499999999999999</v>
      </c>
      <c r="H5543">
        <v>0</v>
      </c>
      <c r="I5543">
        <v>14.3</v>
      </c>
      <c r="J5543" t="str">
        <f>HYPERLINK("https://climate.onebuilding.org/WMO_Region_6_Europe/GBR_United_Kingdom/ENG_England/GBR_ENG_Cambridge.AP.035715_TMYx.2007-2021.zip")</f>
        <v>https://climate.onebuilding.org/WMO_Region_6_Europe/GBR_United_Kingdom/ENG_England/GBR_ENG_Cambridge.AP.035715_TMYx.2007-2021.zip</v>
      </c>
    </row>
    <row r="5544" spans="1:10" x14ac:dyDescent="0.25">
      <c r="A5544" t="s">
        <v>3587</v>
      </c>
      <c r="B5544" t="s">
        <v>3630</v>
      </c>
      <c r="C5544" t="s">
        <v>4234</v>
      </c>
      <c r="D5544" s="1" t="s">
        <v>4235</v>
      </c>
      <c r="E5544" t="s">
        <v>14</v>
      </c>
      <c r="F5544">
        <v>52.204999999999998</v>
      </c>
      <c r="G5544">
        <v>0.17499999999999999</v>
      </c>
      <c r="H5544">
        <v>0</v>
      </c>
      <c r="I5544">
        <v>14.3</v>
      </c>
      <c r="J5544" t="str">
        <f>HYPERLINK("https://climate.onebuilding.org/WMO_Region_6_Europe/GBR_United_Kingdom/ENG_England/GBR_ENG_Cambridge.AP.035715_TMYx.2009-2023.zip")</f>
        <v>https://climate.onebuilding.org/WMO_Region_6_Europe/GBR_United_Kingdom/ENG_England/GBR_ENG_Cambridge.AP.035715_TMYx.2009-2023.zip</v>
      </c>
    </row>
    <row r="5545" spans="1:10" x14ac:dyDescent="0.25">
      <c r="A5545" t="s">
        <v>3587</v>
      </c>
      <c r="B5545" t="s">
        <v>3630</v>
      </c>
      <c r="C5545" t="s">
        <v>4234</v>
      </c>
      <c r="D5545" s="1" t="s">
        <v>4235</v>
      </c>
      <c r="E5545" t="s">
        <v>14</v>
      </c>
      <c r="F5545">
        <v>52.204999999999998</v>
      </c>
      <c r="G5545">
        <v>0.17499999999999999</v>
      </c>
      <c r="H5545">
        <v>0</v>
      </c>
      <c r="I5545">
        <v>14.3</v>
      </c>
      <c r="J5545" t="str">
        <f>HYPERLINK("https://climate.onebuilding.org/WMO_Region_6_Europe/GBR_United_Kingdom/ENG_England/GBR_ENG_Cambridge.AP.035715_TMYx.zip")</f>
        <v>https://climate.onebuilding.org/WMO_Region_6_Europe/GBR_United_Kingdom/ENG_England/GBR_ENG_Cambridge.AP.035715_TMYx.zip</v>
      </c>
    </row>
    <row r="5546" spans="1:10" x14ac:dyDescent="0.25">
      <c r="A5546" t="s">
        <v>3587</v>
      </c>
      <c r="B5546" t="s">
        <v>3630</v>
      </c>
      <c r="C5546" t="s">
        <v>4237</v>
      </c>
      <c r="D5546" s="1" t="s">
        <v>4238</v>
      </c>
      <c r="E5546" t="s">
        <v>4239</v>
      </c>
      <c r="F5546">
        <v>52.362000000000002</v>
      </c>
      <c r="G5546">
        <v>0.48599999999999999</v>
      </c>
      <c r="H5546">
        <v>0</v>
      </c>
      <c r="I5546">
        <v>10.1</v>
      </c>
      <c r="J5546" t="str">
        <f>HYPERLINK("https://climate.onebuilding.org/WMO_Region_6_Europe/GBR_United_Kingdom/ENG_England/GBR_ENG_RAF.Mildenhall.035770_TMYx.2004-2018.zip")</f>
        <v>https://climate.onebuilding.org/WMO_Region_6_Europe/GBR_United_Kingdom/ENG_England/GBR_ENG_RAF.Mildenhall.035770_TMYx.2004-2018.zip</v>
      </c>
    </row>
    <row r="5547" spans="1:10" x14ac:dyDescent="0.25">
      <c r="A5547" t="s">
        <v>3587</v>
      </c>
      <c r="B5547" t="s">
        <v>3630</v>
      </c>
      <c r="C5547" t="s">
        <v>4237</v>
      </c>
      <c r="D5547" s="1" t="s">
        <v>4238</v>
      </c>
      <c r="E5547" t="s">
        <v>14</v>
      </c>
      <c r="F5547">
        <v>52.366999999999997</v>
      </c>
      <c r="G5547">
        <v>0.48299999999999998</v>
      </c>
      <c r="H5547">
        <v>0</v>
      </c>
      <c r="I5547">
        <v>10.1</v>
      </c>
      <c r="J5547" t="str">
        <f>HYPERLINK("https://climate.onebuilding.org/WMO_Region_6_Europe/GBR_United_Kingdom/ENG_England/GBR_ENG_RAF.Mildenhall.035770_TMYx.2007-2021.zip")</f>
        <v>https://climate.onebuilding.org/WMO_Region_6_Europe/GBR_United_Kingdom/ENG_England/GBR_ENG_RAF.Mildenhall.035770_TMYx.2007-2021.zip</v>
      </c>
    </row>
    <row r="5548" spans="1:10" x14ac:dyDescent="0.25">
      <c r="A5548" t="s">
        <v>3587</v>
      </c>
      <c r="B5548" t="s">
        <v>3630</v>
      </c>
      <c r="C5548" t="s">
        <v>4237</v>
      </c>
      <c r="D5548" s="1" t="s">
        <v>4238</v>
      </c>
      <c r="E5548" t="s">
        <v>14</v>
      </c>
      <c r="F5548">
        <v>52.366999999999997</v>
      </c>
      <c r="G5548">
        <v>0.48299999999999998</v>
      </c>
      <c r="H5548">
        <v>0</v>
      </c>
      <c r="I5548">
        <v>10.1</v>
      </c>
      <c r="J5548" t="str">
        <f>HYPERLINK("https://climate.onebuilding.org/WMO_Region_6_Europe/GBR_United_Kingdom/ENG_England/GBR_ENG_RAF.Mildenhall.035770_TMYx.2009-2023.zip")</f>
        <v>https://climate.onebuilding.org/WMO_Region_6_Europe/GBR_United_Kingdom/ENG_England/GBR_ENG_RAF.Mildenhall.035770_TMYx.2009-2023.zip</v>
      </c>
    </row>
    <row r="5549" spans="1:10" x14ac:dyDescent="0.25">
      <c r="A5549" t="s">
        <v>3587</v>
      </c>
      <c r="B5549" t="s">
        <v>3630</v>
      </c>
      <c r="C5549" t="s">
        <v>4237</v>
      </c>
      <c r="D5549" s="1" t="s">
        <v>4238</v>
      </c>
      <c r="E5549" t="s">
        <v>14</v>
      </c>
      <c r="F5549">
        <v>52.366999999999997</v>
      </c>
      <c r="G5549">
        <v>0.48299999999999998</v>
      </c>
      <c r="H5549">
        <v>0</v>
      </c>
      <c r="I5549">
        <v>10.1</v>
      </c>
      <c r="J5549" t="str">
        <f>HYPERLINK("https://climate.onebuilding.org/WMO_Region_6_Europe/GBR_United_Kingdom/ENG_England/GBR_ENG_RAF.Mildenhall.035770_TMYx.zip")</f>
        <v>https://climate.onebuilding.org/WMO_Region_6_Europe/GBR_United_Kingdom/ENG_England/GBR_ENG_RAF.Mildenhall.035770_TMYx.zip</v>
      </c>
    </row>
    <row r="5550" spans="1:10" x14ac:dyDescent="0.25">
      <c r="A5550" t="s">
        <v>3587</v>
      </c>
      <c r="B5550" t="s">
        <v>3630</v>
      </c>
      <c r="C5550" t="s">
        <v>4240</v>
      </c>
      <c r="D5550" s="1" t="s">
        <v>4241</v>
      </c>
      <c r="E5550" t="s">
        <v>4242</v>
      </c>
      <c r="F5550">
        <v>52.408999999999999</v>
      </c>
      <c r="G5550">
        <v>0.56100000000000005</v>
      </c>
      <c r="H5550">
        <v>0</v>
      </c>
      <c r="I5550">
        <v>9.8000000000000007</v>
      </c>
      <c r="J5550" t="str">
        <f>HYPERLINK("https://climate.onebuilding.org/WMO_Region_6_Europe/GBR_United_Kingdom/ENG_England/GBR_ENG_RAF.Lakenheath.035830_TMYx.2004-2018.zip")</f>
        <v>https://climate.onebuilding.org/WMO_Region_6_Europe/GBR_United_Kingdom/ENG_England/GBR_ENG_RAF.Lakenheath.035830_TMYx.2004-2018.zip</v>
      </c>
    </row>
    <row r="5551" spans="1:10" x14ac:dyDescent="0.25">
      <c r="A5551" t="s">
        <v>3587</v>
      </c>
      <c r="B5551" t="s">
        <v>3630</v>
      </c>
      <c r="C5551" t="s">
        <v>4240</v>
      </c>
      <c r="D5551" s="1" t="s">
        <v>4241</v>
      </c>
      <c r="E5551" t="s">
        <v>14</v>
      </c>
      <c r="F5551">
        <v>52.417000000000002</v>
      </c>
      <c r="G5551">
        <v>0.56699999999999995</v>
      </c>
      <c r="H5551">
        <v>0</v>
      </c>
      <c r="I5551">
        <v>9.8000000000000007</v>
      </c>
      <c r="J5551" t="str">
        <f>HYPERLINK("https://climate.onebuilding.org/WMO_Region_6_Europe/GBR_United_Kingdom/ENG_England/GBR_ENG_RAF.Lakenheath.035830_TMYx.2007-2021.zip")</f>
        <v>https://climate.onebuilding.org/WMO_Region_6_Europe/GBR_United_Kingdom/ENG_England/GBR_ENG_RAF.Lakenheath.035830_TMYx.2007-2021.zip</v>
      </c>
    </row>
    <row r="5552" spans="1:10" x14ac:dyDescent="0.25">
      <c r="A5552" t="s">
        <v>3587</v>
      </c>
      <c r="B5552" t="s">
        <v>3630</v>
      </c>
      <c r="C5552" t="s">
        <v>4240</v>
      </c>
      <c r="D5552" s="1" t="s">
        <v>4241</v>
      </c>
      <c r="E5552" t="s">
        <v>14</v>
      </c>
      <c r="F5552">
        <v>52.417000000000002</v>
      </c>
      <c r="G5552">
        <v>0.56699999999999995</v>
      </c>
      <c r="H5552">
        <v>0</v>
      </c>
      <c r="I5552">
        <v>9.8000000000000007</v>
      </c>
      <c r="J5552" t="str">
        <f>HYPERLINK("https://climate.onebuilding.org/WMO_Region_6_Europe/GBR_United_Kingdom/ENG_England/GBR_ENG_RAF.Lakenheath.035830_TMYx.2009-2023.zip")</f>
        <v>https://climate.onebuilding.org/WMO_Region_6_Europe/GBR_United_Kingdom/ENG_England/GBR_ENG_RAF.Lakenheath.035830_TMYx.2009-2023.zip</v>
      </c>
    </row>
    <row r="5553" spans="1:10" x14ac:dyDescent="0.25">
      <c r="A5553" t="s">
        <v>3587</v>
      </c>
      <c r="B5553" t="s">
        <v>3630</v>
      </c>
      <c r="C5553" t="s">
        <v>4240</v>
      </c>
      <c r="D5553" s="1" t="s">
        <v>4241</v>
      </c>
      <c r="E5553" t="s">
        <v>14</v>
      </c>
      <c r="F5553">
        <v>52.417000000000002</v>
      </c>
      <c r="G5553">
        <v>0.56699999999999995</v>
      </c>
      <c r="H5553">
        <v>0</v>
      </c>
      <c r="I5553">
        <v>9.8000000000000007</v>
      </c>
      <c r="J5553" t="str">
        <f>HYPERLINK("https://climate.onebuilding.org/WMO_Region_6_Europe/GBR_United_Kingdom/ENG_England/GBR_ENG_RAF.Lakenheath.035830_TMYx.zip")</f>
        <v>https://climate.onebuilding.org/WMO_Region_6_Europe/GBR_United_Kingdom/ENG_England/GBR_ENG_RAF.Lakenheath.035830_TMYx.zip</v>
      </c>
    </row>
    <row r="5554" spans="1:10" x14ac:dyDescent="0.25">
      <c r="A5554" t="s">
        <v>3587</v>
      </c>
      <c r="B5554" t="s">
        <v>3630</v>
      </c>
      <c r="C5554" t="s">
        <v>4243</v>
      </c>
      <c r="D5554" s="1" t="s">
        <v>4244</v>
      </c>
      <c r="E5554" t="s">
        <v>14</v>
      </c>
      <c r="F5554">
        <v>52.332999999999998</v>
      </c>
      <c r="G5554">
        <v>0.76700000000000002</v>
      </c>
      <c r="H5554">
        <v>0</v>
      </c>
      <c r="I5554">
        <v>53</v>
      </c>
      <c r="J5554" t="str">
        <f>HYPERLINK("https://climate.onebuilding.org/WMO_Region_6_Europe/GBR_United_Kingdom/ENG_England/GBR_ENG_RAF.Honington.035860_TMYx.zip")</f>
        <v>https://climate.onebuilding.org/WMO_Region_6_Europe/GBR_United_Kingdom/ENG_England/GBR_ENG_RAF.Honington.035860_TMYx.zip</v>
      </c>
    </row>
    <row r="5555" spans="1:10" x14ac:dyDescent="0.25">
      <c r="A5555" t="s">
        <v>3587</v>
      </c>
      <c r="B5555" t="s">
        <v>3630</v>
      </c>
      <c r="C5555" t="s">
        <v>4245</v>
      </c>
      <c r="D5555" s="1" t="s">
        <v>4246</v>
      </c>
      <c r="E5555" t="s">
        <v>4247</v>
      </c>
      <c r="F5555">
        <v>52.127000000000002</v>
      </c>
      <c r="G5555">
        <v>0.95599999999999996</v>
      </c>
      <c r="H5555">
        <v>0</v>
      </c>
      <c r="I5555">
        <v>86.6</v>
      </c>
      <c r="J5555" t="str">
        <f>HYPERLINK("https://climate.onebuilding.org/WMO_Region_6_Europe/GBR_United_Kingdom/ENG_England/GBR_ENG_Wattisham.AF.035900_TMYx.2004-2018.zip")</f>
        <v>https://climate.onebuilding.org/WMO_Region_6_Europe/GBR_United_Kingdom/ENG_England/GBR_ENG_Wattisham.AF.035900_TMYx.2004-2018.zip</v>
      </c>
    </row>
    <row r="5556" spans="1:10" x14ac:dyDescent="0.25">
      <c r="A5556" t="s">
        <v>3587</v>
      </c>
      <c r="B5556" t="s">
        <v>3630</v>
      </c>
      <c r="C5556" t="s">
        <v>4245</v>
      </c>
      <c r="D5556" s="1" t="s">
        <v>4246</v>
      </c>
      <c r="E5556" t="s">
        <v>14</v>
      </c>
      <c r="F5556">
        <v>52.123899999999999</v>
      </c>
      <c r="G5556">
        <v>0.95750000000000002</v>
      </c>
      <c r="H5556">
        <v>0</v>
      </c>
      <c r="I5556">
        <v>86.6</v>
      </c>
      <c r="J5556" t="str">
        <f>HYPERLINK("https://climate.onebuilding.org/WMO_Region_6_Europe/GBR_United_Kingdom/ENG_England/GBR_ENG_Wattisham.AF.035900_TMYx.2007-2021.zip")</f>
        <v>https://climate.onebuilding.org/WMO_Region_6_Europe/GBR_United_Kingdom/ENG_England/GBR_ENG_Wattisham.AF.035900_TMYx.2007-2021.zip</v>
      </c>
    </row>
    <row r="5557" spans="1:10" x14ac:dyDescent="0.25">
      <c r="A5557" t="s">
        <v>3587</v>
      </c>
      <c r="B5557" t="s">
        <v>3630</v>
      </c>
      <c r="C5557" t="s">
        <v>4245</v>
      </c>
      <c r="D5557" s="1" t="s">
        <v>4246</v>
      </c>
      <c r="E5557" t="s">
        <v>14</v>
      </c>
      <c r="F5557">
        <v>52.123899999999999</v>
      </c>
      <c r="G5557">
        <v>0.95750000000000002</v>
      </c>
      <c r="H5557">
        <v>0</v>
      </c>
      <c r="I5557">
        <v>86.6</v>
      </c>
      <c r="J5557" t="str">
        <f>HYPERLINK("https://climate.onebuilding.org/WMO_Region_6_Europe/GBR_United_Kingdom/ENG_England/GBR_ENG_Wattisham.AF.035900_TMYx.2009-2023.zip")</f>
        <v>https://climate.onebuilding.org/WMO_Region_6_Europe/GBR_United_Kingdom/ENG_England/GBR_ENG_Wattisham.AF.035900_TMYx.2009-2023.zip</v>
      </c>
    </row>
    <row r="5558" spans="1:10" x14ac:dyDescent="0.25">
      <c r="A5558" t="s">
        <v>3587</v>
      </c>
      <c r="B5558" t="s">
        <v>3630</v>
      </c>
      <c r="C5558" t="s">
        <v>4245</v>
      </c>
      <c r="D5558" s="1" t="s">
        <v>4246</v>
      </c>
      <c r="E5558" t="s">
        <v>14</v>
      </c>
      <c r="F5558">
        <v>52.123899999999999</v>
      </c>
      <c r="G5558">
        <v>0.95750000000000002</v>
      </c>
      <c r="H5558">
        <v>0</v>
      </c>
      <c r="I5558">
        <v>86.6</v>
      </c>
      <c r="J5558" t="str">
        <f>HYPERLINK("https://climate.onebuilding.org/WMO_Region_6_Europe/GBR_United_Kingdom/ENG_England/GBR_ENG_Wattisham.AF.035900_TMYx.zip")</f>
        <v>https://climate.onebuilding.org/WMO_Region_6_Europe/GBR_United_Kingdom/ENG_England/GBR_ENG_Wattisham.AF.035900_TMYx.zip</v>
      </c>
    </row>
    <row r="5559" spans="1:10" x14ac:dyDescent="0.25">
      <c r="A5559" t="s">
        <v>3587</v>
      </c>
      <c r="B5559" t="s">
        <v>3630</v>
      </c>
      <c r="C5559" t="s">
        <v>4248</v>
      </c>
      <c r="D5559" s="1" t="s">
        <v>4249</v>
      </c>
      <c r="E5559" t="s">
        <v>14</v>
      </c>
      <c r="F5559">
        <v>52.433</v>
      </c>
      <c r="G5559">
        <v>1.617</v>
      </c>
      <c r="H5559">
        <v>0</v>
      </c>
      <c r="I5559">
        <v>22</v>
      </c>
      <c r="J5559" t="str">
        <f>HYPERLINK("https://climate.onebuilding.org/WMO_Region_6_Europe/GBR_United_Kingdom/ENG_England/GBR_ENG_Beccles.035930_TMYx.zip")</f>
        <v>https://climate.onebuilding.org/WMO_Region_6_Europe/GBR_United_Kingdom/ENG_England/GBR_ENG_Beccles.035930_TMYx.zip</v>
      </c>
    </row>
    <row r="5560" spans="1:10" x14ac:dyDescent="0.25">
      <c r="A5560" t="s">
        <v>3587</v>
      </c>
      <c r="B5560" t="s">
        <v>3630</v>
      </c>
      <c r="C5560" t="s">
        <v>4250</v>
      </c>
      <c r="D5560" s="1" t="s">
        <v>4251</v>
      </c>
      <c r="E5560" t="s">
        <v>14</v>
      </c>
      <c r="F5560">
        <v>52.082999999999998</v>
      </c>
      <c r="G5560">
        <v>1.4</v>
      </c>
      <c r="H5560">
        <v>0</v>
      </c>
      <c r="I5560">
        <v>29</v>
      </c>
      <c r="J5560" t="str">
        <f>HYPERLINK("https://climate.onebuilding.org/WMO_Region_6_Europe/GBR_United_Kingdom/ENG_England/GBR_ENG_RAF.Woodbridge.035951_TMYx.zip")</f>
        <v>https://climate.onebuilding.org/WMO_Region_6_Europe/GBR_United_Kingdom/ENG_England/GBR_ENG_RAF.Woodbridge.035951_TMYx.zip</v>
      </c>
    </row>
    <row r="5561" spans="1:10" x14ac:dyDescent="0.25">
      <c r="A5561" t="s">
        <v>3587</v>
      </c>
      <c r="B5561" t="s">
        <v>3630</v>
      </c>
      <c r="C5561" t="s">
        <v>4252</v>
      </c>
      <c r="D5561" s="1" t="s">
        <v>4253</v>
      </c>
      <c r="E5561" t="s">
        <v>14</v>
      </c>
      <c r="F5561">
        <v>52.133000000000003</v>
      </c>
      <c r="G5561">
        <v>1.4330000000000001</v>
      </c>
      <c r="H5561">
        <v>0</v>
      </c>
      <c r="I5561">
        <v>26</v>
      </c>
      <c r="J5561" t="str">
        <f>HYPERLINK("https://climate.onebuilding.org/WMO_Region_6_Europe/GBR_United_Kingdom/ENG_England/GBR_ENG_Bentwaters.Park.035961_TMYx.zip")</f>
        <v>https://climate.onebuilding.org/WMO_Region_6_Europe/GBR_United_Kingdom/ENG_England/GBR_ENG_Bentwaters.Park.035961_TMYx.zip</v>
      </c>
    </row>
    <row r="5562" spans="1:10" x14ac:dyDescent="0.25">
      <c r="A5562" t="s">
        <v>3587</v>
      </c>
      <c r="B5562" t="s">
        <v>3630</v>
      </c>
      <c r="C5562" t="s">
        <v>4254</v>
      </c>
      <c r="D5562" s="1" t="s">
        <v>4255</v>
      </c>
      <c r="E5562" t="s">
        <v>14</v>
      </c>
      <c r="F5562">
        <v>52.15</v>
      </c>
      <c r="G5562">
        <v>1.6</v>
      </c>
      <c r="H5562">
        <v>0</v>
      </c>
      <c r="I5562">
        <v>9</v>
      </c>
      <c r="J5562" t="str">
        <f>HYPERLINK("https://climate.onebuilding.org/WMO_Region_6_Europe/GBR_United_Kingdom/ENG_England/GBR_ENG_Aldeburgh.035980_TMYx.zip")</f>
        <v>https://climate.onebuilding.org/WMO_Region_6_Europe/GBR_United_Kingdom/ENG_England/GBR_ENG_Aldeburgh.035980_TMYx.zip</v>
      </c>
    </row>
    <row r="5563" spans="1:10" x14ac:dyDescent="0.25">
      <c r="A5563" t="s">
        <v>3587</v>
      </c>
      <c r="B5563" t="s">
        <v>3630</v>
      </c>
      <c r="C5563" t="s">
        <v>4256</v>
      </c>
      <c r="D5563" s="1" t="s">
        <v>4257</v>
      </c>
      <c r="E5563" t="s">
        <v>14</v>
      </c>
      <c r="F5563">
        <v>52.017000000000003</v>
      </c>
      <c r="G5563">
        <v>-0.26700000000000002</v>
      </c>
      <c r="H5563">
        <v>0</v>
      </c>
      <c r="I5563">
        <v>95</v>
      </c>
      <c r="J5563" t="str">
        <f>HYPERLINK("https://climate.onebuilding.org/WMO_Region_6_Europe/GBR_United_Kingdom/ENG_England/GBR_ENG_RAF.Wynton-Henlow.Camp.035990_TMYx.zip")</f>
        <v>https://climate.onebuilding.org/WMO_Region_6_Europe/GBR_United_Kingdom/ENG_England/GBR_ENG_RAF.Wynton-Henlow.Camp.035990_TMYx.zip</v>
      </c>
    </row>
    <row r="5564" spans="1:10" x14ac:dyDescent="0.25">
      <c r="A5564" t="s">
        <v>3587</v>
      </c>
      <c r="B5564" t="s">
        <v>391</v>
      </c>
      <c r="C5564" t="s">
        <v>4258</v>
      </c>
      <c r="D5564" s="1" t="s">
        <v>4259</v>
      </c>
      <c r="E5564" t="s">
        <v>14</v>
      </c>
      <c r="F5564">
        <v>51.883000000000003</v>
      </c>
      <c r="G5564">
        <v>-5.117</v>
      </c>
      <c r="H5564">
        <v>0</v>
      </c>
      <c r="I5564">
        <v>111</v>
      </c>
      <c r="J5564" t="str">
        <f>HYPERLINK("https://climate.onebuilding.org/WMO_Region_6_Europe/GBR_United_Kingdom/WAL_Wales/GBR_WAL_RAF.Brawdy.036030_TMYx.zip")</f>
        <v>https://climate.onebuilding.org/WMO_Region_6_Europe/GBR_United_Kingdom/WAL_Wales/GBR_WAL_RAF.Brawdy.036030_TMYx.zip</v>
      </c>
    </row>
    <row r="5565" spans="1:10" x14ac:dyDescent="0.25">
      <c r="A5565" t="s">
        <v>3587</v>
      </c>
      <c r="B5565" t="s">
        <v>391</v>
      </c>
      <c r="C5565" t="s">
        <v>4260</v>
      </c>
      <c r="D5565" s="1" t="s">
        <v>4261</v>
      </c>
      <c r="E5565" t="s">
        <v>4262</v>
      </c>
      <c r="F5565">
        <v>51.7</v>
      </c>
      <c r="G5565">
        <v>-5.05</v>
      </c>
      <c r="H5565">
        <v>0</v>
      </c>
      <c r="I5565">
        <v>32</v>
      </c>
      <c r="J5565" t="str">
        <f>HYPERLINK("https://climate.onebuilding.org/WMO_Region_6_Europe/GBR_United_Kingdom/WAL_Wales/GBR_WAL_Milford.Haven.Port.Authority.036040_TMYx.2004-2018.zip")</f>
        <v>https://climate.onebuilding.org/WMO_Region_6_Europe/GBR_United_Kingdom/WAL_Wales/GBR_WAL_Milford.Haven.Port.Authority.036040_TMYx.2004-2018.zip</v>
      </c>
    </row>
    <row r="5566" spans="1:10" x14ac:dyDescent="0.25">
      <c r="A5566" t="s">
        <v>3587</v>
      </c>
      <c r="B5566" t="s">
        <v>391</v>
      </c>
      <c r="C5566" t="s">
        <v>4260</v>
      </c>
      <c r="D5566" s="1" t="s">
        <v>4261</v>
      </c>
      <c r="E5566" t="s">
        <v>14</v>
      </c>
      <c r="F5566">
        <v>51.7</v>
      </c>
      <c r="G5566">
        <v>-5.05</v>
      </c>
      <c r="H5566">
        <v>0</v>
      </c>
      <c r="I5566">
        <v>32</v>
      </c>
      <c r="J5566" t="str">
        <f>HYPERLINK("https://climate.onebuilding.org/WMO_Region_6_Europe/GBR_United_Kingdom/WAL_Wales/GBR_WAL_Milford.Haven.Port.Authority.036040_TMYx.2007-2021.zip")</f>
        <v>https://climate.onebuilding.org/WMO_Region_6_Europe/GBR_United_Kingdom/WAL_Wales/GBR_WAL_Milford.Haven.Port.Authority.036040_TMYx.2007-2021.zip</v>
      </c>
    </row>
    <row r="5567" spans="1:10" x14ac:dyDescent="0.25">
      <c r="A5567" t="s">
        <v>3587</v>
      </c>
      <c r="B5567" t="s">
        <v>391</v>
      </c>
      <c r="C5567" t="s">
        <v>4260</v>
      </c>
      <c r="D5567" s="1" t="s">
        <v>4261</v>
      </c>
      <c r="E5567" t="s">
        <v>14</v>
      </c>
      <c r="F5567">
        <v>51.7</v>
      </c>
      <c r="G5567">
        <v>-5.05</v>
      </c>
      <c r="H5567">
        <v>0</v>
      </c>
      <c r="I5567">
        <v>32</v>
      </c>
      <c r="J5567" t="str">
        <f>HYPERLINK("https://climate.onebuilding.org/WMO_Region_6_Europe/GBR_United_Kingdom/WAL_Wales/GBR_WAL_Milford.Haven.Port.Authority.036040_TMYx.2009-2023.zip")</f>
        <v>https://climate.onebuilding.org/WMO_Region_6_Europe/GBR_United_Kingdom/WAL_Wales/GBR_WAL_Milford.Haven.Port.Authority.036040_TMYx.2009-2023.zip</v>
      </c>
    </row>
    <row r="5568" spans="1:10" x14ac:dyDescent="0.25">
      <c r="A5568" t="s">
        <v>3587</v>
      </c>
      <c r="B5568" t="s">
        <v>391</v>
      </c>
      <c r="C5568" t="s">
        <v>4260</v>
      </c>
      <c r="D5568" s="1" t="s">
        <v>4261</v>
      </c>
      <c r="E5568" t="s">
        <v>14</v>
      </c>
      <c r="F5568">
        <v>51.7</v>
      </c>
      <c r="G5568">
        <v>-5.05</v>
      </c>
      <c r="H5568">
        <v>0</v>
      </c>
      <c r="I5568">
        <v>32</v>
      </c>
      <c r="J5568" t="str">
        <f>HYPERLINK("https://climate.onebuilding.org/WMO_Region_6_Europe/GBR_United_Kingdom/WAL_Wales/GBR_WAL_Milford.Haven.Port.Authority.036040_TMYx.zip")</f>
        <v>https://climate.onebuilding.org/WMO_Region_6_Europe/GBR_United_Kingdom/WAL_Wales/GBR_WAL_Milford.Haven.Port.Authority.036040_TMYx.zip</v>
      </c>
    </row>
    <row r="5569" spans="1:10" x14ac:dyDescent="0.25">
      <c r="A5569" t="s">
        <v>3587</v>
      </c>
      <c r="B5569" t="s">
        <v>3630</v>
      </c>
      <c r="C5569" t="s">
        <v>4263</v>
      </c>
      <c r="D5569" s="1" t="s">
        <v>4264</v>
      </c>
      <c r="E5569" t="s">
        <v>4265</v>
      </c>
      <c r="F5569">
        <v>51.716999999999999</v>
      </c>
      <c r="G5569">
        <v>-4.367</v>
      </c>
      <c r="H5569">
        <v>0</v>
      </c>
      <c r="I5569">
        <v>3</v>
      </c>
      <c r="J5569" t="str">
        <f>HYPERLINK("https://climate.onebuilding.org/WMO_Region_6_Europe/GBR_United_Kingdom/ENG_England/GBR_ENG_Pembry.Sands.036050_TMYx.2004-2018.zip")</f>
        <v>https://climate.onebuilding.org/WMO_Region_6_Europe/GBR_United_Kingdom/ENG_England/GBR_ENG_Pembry.Sands.036050_TMYx.2004-2018.zip</v>
      </c>
    </row>
    <row r="5570" spans="1:10" x14ac:dyDescent="0.25">
      <c r="A5570" t="s">
        <v>3587</v>
      </c>
      <c r="B5570" t="s">
        <v>3630</v>
      </c>
      <c r="C5570" t="s">
        <v>4263</v>
      </c>
      <c r="D5570" s="1" t="s">
        <v>4264</v>
      </c>
      <c r="E5570" t="s">
        <v>14</v>
      </c>
      <c r="F5570">
        <v>51.714399999999998</v>
      </c>
      <c r="G5570">
        <v>-4.3674999999999997</v>
      </c>
      <c r="H5570">
        <v>0</v>
      </c>
      <c r="I5570">
        <v>3</v>
      </c>
      <c r="J5570" t="str">
        <f>HYPERLINK("https://climate.onebuilding.org/WMO_Region_6_Europe/GBR_United_Kingdom/ENG_England/GBR_ENG_Pembry.Sands.036050_TMYx.2007-2021.zip")</f>
        <v>https://climate.onebuilding.org/WMO_Region_6_Europe/GBR_United_Kingdom/ENG_England/GBR_ENG_Pembry.Sands.036050_TMYx.2007-2021.zip</v>
      </c>
    </row>
    <row r="5571" spans="1:10" x14ac:dyDescent="0.25">
      <c r="A5571" t="s">
        <v>3587</v>
      </c>
      <c r="B5571" t="s">
        <v>3630</v>
      </c>
      <c r="C5571" t="s">
        <v>4263</v>
      </c>
      <c r="D5571" s="1" t="s">
        <v>4264</v>
      </c>
      <c r="E5571" t="s">
        <v>14</v>
      </c>
      <c r="F5571">
        <v>51.714399999999998</v>
      </c>
      <c r="G5571">
        <v>-4.3674999999999997</v>
      </c>
      <c r="H5571">
        <v>0</v>
      </c>
      <c r="I5571">
        <v>3</v>
      </c>
      <c r="J5571" t="str">
        <f>HYPERLINK("https://climate.onebuilding.org/WMO_Region_6_Europe/GBR_United_Kingdom/ENG_England/GBR_ENG_Pembry.Sands.036050_TMYx.2009-2023.zip")</f>
        <v>https://climate.onebuilding.org/WMO_Region_6_Europe/GBR_United_Kingdom/ENG_England/GBR_ENG_Pembry.Sands.036050_TMYx.2009-2023.zip</v>
      </c>
    </row>
    <row r="5572" spans="1:10" x14ac:dyDescent="0.25">
      <c r="A5572" t="s">
        <v>3587</v>
      </c>
      <c r="B5572" t="s">
        <v>3630</v>
      </c>
      <c r="C5572" t="s">
        <v>4263</v>
      </c>
      <c r="D5572" s="1" t="s">
        <v>4264</v>
      </c>
      <c r="E5572" t="s">
        <v>14</v>
      </c>
      <c r="F5572">
        <v>51.714399999999998</v>
      </c>
      <c r="G5572">
        <v>-4.3674999999999997</v>
      </c>
      <c r="H5572">
        <v>0</v>
      </c>
      <c r="I5572">
        <v>3</v>
      </c>
      <c r="J5572" t="str">
        <f>HYPERLINK("https://climate.onebuilding.org/WMO_Region_6_Europe/GBR_United_Kingdom/ENG_England/GBR_ENG_Pembry.Sands.036050_TMYx.zip")</f>
        <v>https://climate.onebuilding.org/WMO_Region_6_Europe/GBR_United_Kingdom/ENG_England/GBR_ENG_Pembry.Sands.036050_TMYx.zip</v>
      </c>
    </row>
    <row r="5573" spans="1:10" x14ac:dyDescent="0.25">
      <c r="A5573" t="s">
        <v>3587</v>
      </c>
      <c r="B5573" t="s">
        <v>3630</v>
      </c>
      <c r="C5573" t="s">
        <v>4266</v>
      </c>
      <c r="D5573" s="1" t="s">
        <v>4267</v>
      </c>
      <c r="E5573" t="s">
        <v>14</v>
      </c>
      <c r="F5573">
        <v>51.7</v>
      </c>
      <c r="G5573">
        <v>-4.6669999999999998</v>
      </c>
      <c r="H5573">
        <v>0</v>
      </c>
      <c r="I5573">
        <v>84</v>
      </c>
      <c r="J5573" t="str">
        <f>HYPERLINK("https://climate.onebuilding.org/WMO_Region_6_Europe/GBR_United_Kingdom/ENG_England/GBR_ENG_Monkstone.Pt.036060_TMYx.zip")</f>
        <v>https://climate.onebuilding.org/WMO_Region_6_Europe/GBR_United_Kingdom/ENG_England/GBR_ENG_Monkstone.Pt.036060_TMYx.zip</v>
      </c>
    </row>
    <row r="5574" spans="1:10" x14ac:dyDescent="0.25">
      <c r="A5574" t="s">
        <v>3587</v>
      </c>
      <c r="B5574" t="s">
        <v>3630</v>
      </c>
      <c r="C5574" t="s">
        <v>4268</v>
      </c>
      <c r="D5574" s="1" t="s">
        <v>4269</v>
      </c>
      <c r="E5574" t="s">
        <v>14</v>
      </c>
      <c r="F5574">
        <v>51.75</v>
      </c>
      <c r="G5574">
        <v>-4.5170000000000003</v>
      </c>
      <c r="H5574">
        <v>0</v>
      </c>
      <c r="I5574">
        <v>5</v>
      </c>
      <c r="J5574" t="str">
        <f>HYPERLINK("https://climate.onebuilding.org/WMO_Region_6_Europe/GBR_United_Kingdom/ENG_England/GBR_ENG_Pendine.036080_TMYx.zip")</f>
        <v>https://climate.onebuilding.org/WMO_Region_6_Europe/GBR_United_Kingdom/ENG_England/GBR_ENG_Pendine.036080_TMYx.zip</v>
      </c>
    </row>
    <row r="5575" spans="1:10" x14ac:dyDescent="0.25">
      <c r="A5575" t="s">
        <v>3587</v>
      </c>
      <c r="B5575" t="s">
        <v>391</v>
      </c>
      <c r="C5575" t="s">
        <v>4270</v>
      </c>
      <c r="D5575" s="1" t="s">
        <v>4271</v>
      </c>
      <c r="E5575" t="s">
        <v>4272</v>
      </c>
      <c r="F5575">
        <v>51.567</v>
      </c>
      <c r="G5575">
        <v>-3.9830000000000001</v>
      </c>
      <c r="H5575">
        <v>0</v>
      </c>
      <c r="I5575">
        <v>32</v>
      </c>
      <c r="J5575" t="str">
        <f>HYPERLINK("https://climate.onebuilding.org/WMO_Region_6_Europe/GBR_United_Kingdom/WAL_Wales/GBR_WAL_Mumbles.Head.036090_TMYx.2004-2018.zip")</f>
        <v>https://climate.onebuilding.org/WMO_Region_6_Europe/GBR_United_Kingdom/WAL_Wales/GBR_WAL_Mumbles.Head.036090_TMYx.2004-2018.zip</v>
      </c>
    </row>
    <row r="5576" spans="1:10" x14ac:dyDescent="0.25">
      <c r="A5576" t="s">
        <v>3587</v>
      </c>
      <c r="B5576" t="s">
        <v>391</v>
      </c>
      <c r="C5576" t="s">
        <v>4270</v>
      </c>
      <c r="D5576" s="1" t="s">
        <v>4271</v>
      </c>
      <c r="E5576" t="s">
        <v>14</v>
      </c>
      <c r="F5576">
        <v>51.565600000000003</v>
      </c>
      <c r="G5576">
        <v>-3.9817</v>
      </c>
      <c r="H5576">
        <v>0</v>
      </c>
      <c r="I5576">
        <v>32</v>
      </c>
      <c r="J5576" t="str">
        <f>HYPERLINK("https://climate.onebuilding.org/WMO_Region_6_Europe/GBR_United_Kingdom/WAL_Wales/GBR_WAL_Mumbles.Head.036090_TMYx.2007-2021.zip")</f>
        <v>https://climate.onebuilding.org/WMO_Region_6_Europe/GBR_United_Kingdom/WAL_Wales/GBR_WAL_Mumbles.Head.036090_TMYx.2007-2021.zip</v>
      </c>
    </row>
    <row r="5577" spans="1:10" x14ac:dyDescent="0.25">
      <c r="A5577" t="s">
        <v>3587</v>
      </c>
      <c r="B5577" t="s">
        <v>391</v>
      </c>
      <c r="C5577" t="s">
        <v>4270</v>
      </c>
      <c r="D5577" s="1" t="s">
        <v>4271</v>
      </c>
      <c r="E5577" t="s">
        <v>14</v>
      </c>
      <c r="F5577">
        <v>51.565600000000003</v>
      </c>
      <c r="G5577">
        <v>-3.9817</v>
      </c>
      <c r="H5577">
        <v>0</v>
      </c>
      <c r="I5577">
        <v>32</v>
      </c>
      <c r="J5577" t="str">
        <f>HYPERLINK("https://climate.onebuilding.org/WMO_Region_6_Europe/GBR_United_Kingdom/WAL_Wales/GBR_WAL_Mumbles.Head.036090_TMYx.2009-2023.zip")</f>
        <v>https://climate.onebuilding.org/WMO_Region_6_Europe/GBR_United_Kingdom/WAL_Wales/GBR_WAL_Mumbles.Head.036090_TMYx.2009-2023.zip</v>
      </c>
    </row>
    <row r="5578" spans="1:10" x14ac:dyDescent="0.25">
      <c r="A5578" t="s">
        <v>3587</v>
      </c>
      <c r="B5578" t="s">
        <v>391</v>
      </c>
      <c r="C5578" t="s">
        <v>4270</v>
      </c>
      <c r="D5578" s="1" t="s">
        <v>4271</v>
      </c>
      <c r="E5578" t="s">
        <v>14</v>
      </c>
      <c r="F5578">
        <v>51.565600000000003</v>
      </c>
      <c r="G5578">
        <v>-3.9817</v>
      </c>
      <c r="H5578">
        <v>0</v>
      </c>
      <c r="I5578">
        <v>32</v>
      </c>
      <c r="J5578" t="str">
        <f>HYPERLINK("https://climate.onebuilding.org/WMO_Region_6_Europe/GBR_United_Kingdom/WAL_Wales/GBR_WAL_Mumbles.Head.036090_TMYx.zip")</f>
        <v>https://climate.onebuilding.org/WMO_Region_6_Europe/GBR_United_Kingdom/WAL_Wales/GBR_WAL_Mumbles.Head.036090_TMYx.zip</v>
      </c>
    </row>
    <row r="5579" spans="1:10" x14ac:dyDescent="0.25">
      <c r="A5579" t="s">
        <v>3587</v>
      </c>
      <c r="B5579" t="s">
        <v>391</v>
      </c>
      <c r="C5579" t="s">
        <v>4273</v>
      </c>
      <c r="D5579" s="1" t="s">
        <v>4274</v>
      </c>
      <c r="E5579" t="s">
        <v>14</v>
      </c>
      <c r="F5579">
        <v>51.604999999999997</v>
      </c>
      <c r="G5579">
        <v>-4.0679999999999996</v>
      </c>
      <c r="H5579">
        <v>0</v>
      </c>
      <c r="I5579">
        <v>91.1</v>
      </c>
      <c r="J5579" t="str">
        <f>HYPERLINK("https://climate.onebuilding.org/WMO_Region_6_Europe/GBR_United_Kingdom/WAL_Wales/GBR_WAL_Swansea.AP.036095_TMYx.zip")</f>
        <v>https://climate.onebuilding.org/WMO_Region_6_Europe/GBR_United_Kingdom/WAL_Wales/GBR_WAL_Swansea.AP.036095_TMYx.zip</v>
      </c>
    </row>
    <row r="5580" spans="1:10" x14ac:dyDescent="0.25">
      <c r="A5580" t="s">
        <v>3587</v>
      </c>
      <c r="B5580" t="s">
        <v>391</v>
      </c>
      <c r="C5580" t="s">
        <v>4275</v>
      </c>
      <c r="D5580" s="1" t="s">
        <v>4276</v>
      </c>
      <c r="E5580" t="s">
        <v>14</v>
      </c>
      <c r="F5580">
        <v>51.917000000000002</v>
      </c>
      <c r="G5580">
        <v>-3.3170000000000002</v>
      </c>
      <c r="H5580">
        <v>0</v>
      </c>
      <c r="I5580">
        <v>160</v>
      </c>
      <c r="J5580" t="str">
        <f>HYPERLINK("https://climate.onebuilding.org/WMO_Region_6_Europe/GBR_United_Kingdom/WAL_Wales/GBR_WAL_Pencelli.Aux.036100_TMYx.zip")</f>
        <v>https://climate.onebuilding.org/WMO_Region_6_Europe/GBR_United_Kingdom/WAL_Wales/GBR_WAL_Pencelli.Aux.036100_TMYx.zip</v>
      </c>
    </row>
    <row r="5581" spans="1:10" x14ac:dyDescent="0.25">
      <c r="A5581" t="s">
        <v>3587</v>
      </c>
      <c r="B5581" t="s">
        <v>391</v>
      </c>
      <c r="C5581" t="s">
        <v>4277</v>
      </c>
      <c r="D5581" s="1" t="s">
        <v>4278</v>
      </c>
      <c r="E5581" t="s">
        <v>14</v>
      </c>
      <c r="F5581">
        <v>51.817</v>
      </c>
      <c r="G5581">
        <v>-3.867</v>
      </c>
      <c r="H5581">
        <v>0</v>
      </c>
      <c r="I5581">
        <v>182</v>
      </c>
      <c r="J5581" t="str">
        <f>HYPERLINK("https://climate.onebuilding.org/WMO_Region_6_Europe/GBR_United_Kingdom/WAL_Wales/GBR_WAL_Brynamman.036110_TMYx.zip")</f>
        <v>https://climate.onebuilding.org/WMO_Region_6_Europe/GBR_United_Kingdom/WAL_Wales/GBR_WAL_Brynamman.036110_TMYx.zip</v>
      </c>
    </row>
    <row r="5582" spans="1:10" x14ac:dyDescent="0.25">
      <c r="A5582" t="s">
        <v>3587</v>
      </c>
      <c r="B5582" t="s">
        <v>391</v>
      </c>
      <c r="C5582" t="s">
        <v>4279</v>
      </c>
      <c r="D5582" s="1" t="s">
        <v>4280</v>
      </c>
      <c r="E5582" t="s">
        <v>14</v>
      </c>
      <c r="F5582">
        <v>51.95</v>
      </c>
      <c r="G5582">
        <v>-3.7</v>
      </c>
      <c r="H5582">
        <v>0</v>
      </c>
      <c r="I5582">
        <v>312</v>
      </c>
      <c r="J5582" t="str">
        <f>HYPERLINK("https://climate.onebuilding.org/WMO_Region_6_Europe/GBR_United_Kingdom/WAL_Wales/GBR_WAL_Trecastle.036120_TMYx.zip")</f>
        <v>https://climate.onebuilding.org/WMO_Region_6_Europe/GBR_United_Kingdom/WAL_Wales/GBR_WAL_Trecastle.036120_TMYx.zip</v>
      </c>
    </row>
    <row r="5583" spans="1:10" x14ac:dyDescent="0.25">
      <c r="A5583" t="s">
        <v>3587</v>
      </c>
      <c r="B5583" t="s">
        <v>391</v>
      </c>
      <c r="C5583" t="s">
        <v>4281</v>
      </c>
      <c r="D5583" s="1" t="s">
        <v>4282</v>
      </c>
      <c r="E5583" t="s">
        <v>14</v>
      </c>
      <c r="F5583">
        <v>51.75</v>
      </c>
      <c r="G5583">
        <v>-3.3330000000000002</v>
      </c>
      <c r="H5583">
        <v>0</v>
      </c>
      <c r="I5583">
        <v>372</v>
      </c>
      <c r="J5583" t="str">
        <f>HYPERLINK("https://climate.onebuilding.org/WMO_Region_6_Europe/GBR_United_Kingdom/WAL_Wales/GBR_WAL_Cwmbargoed.036130_TMYx.zip")</f>
        <v>https://climate.onebuilding.org/WMO_Region_6_Europe/GBR_United_Kingdom/WAL_Wales/GBR_WAL_Cwmbargoed.036130_TMYx.zip</v>
      </c>
    </row>
    <row r="5584" spans="1:10" x14ac:dyDescent="0.25">
      <c r="A5584" t="s">
        <v>3587</v>
      </c>
      <c r="B5584" t="s">
        <v>391</v>
      </c>
      <c r="C5584" t="s">
        <v>4283</v>
      </c>
      <c r="D5584" s="1" t="s">
        <v>4284</v>
      </c>
      <c r="E5584" t="s">
        <v>14</v>
      </c>
      <c r="F5584">
        <v>51.633000000000003</v>
      </c>
      <c r="G5584">
        <v>-3.3</v>
      </c>
      <c r="H5584">
        <v>0</v>
      </c>
      <c r="I5584">
        <v>194</v>
      </c>
      <c r="J5584" t="str">
        <f>HYPERLINK("https://climate.onebuilding.org/WMO_Region_6_Europe/GBR_United_Kingdom/WAL_Wales/GBR_WAL_Cilfynydd.036140_TMYx.zip")</f>
        <v>https://climate.onebuilding.org/WMO_Region_6_Europe/GBR_United_Kingdom/WAL_Wales/GBR_WAL_Cilfynydd.036140_TMYx.zip</v>
      </c>
    </row>
    <row r="5585" spans="1:10" x14ac:dyDescent="0.25">
      <c r="A5585" t="s">
        <v>3587</v>
      </c>
      <c r="B5585" t="s">
        <v>391</v>
      </c>
      <c r="C5585" t="s">
        <v>4285</v>
      </c>
      <c r="D5585" s="1" t="s">
        <v>4286</v>
      </c>
      <c r="E5585" t="s">
        <v>14</v>
      </c>
      <c r="F5585">
        <v>51.866999999999997</v>
      </c>
      <c r="G5585">
        <v>-3.4830000000000001</v>
      </c>
      <c r="H5585">
        <v>0</v>
      </c>
      <c r="I5585">
        <v>457</v>
      </c>
      <c r="J5585" t="str">
        <f>HYPERLINK("https://climate.onebuilding.org/WMO_Region_6_Europe/GBR_United_Kingdom/WAL_Wales/GBR_WAL_Storey.Arms.036170_TMYx.zip")</f>
        <v>https://climate.onebuilding.org/WMO_Region_6_Europe/GBR_United_Kingdom/WAL_Wales/GBR_WAL_Storey.Arms.036170_TMYx.zip</v>
      </c>
    </row>
    <row r="5586" spans="1:10" x14ac:dyDescent="0.25">
      <c r="A5586" t="s">
        <v>3587</v>
      </c>
      <c r="B5586" t="s">
        <v>3630</v>
      </c>
      <c r="C5586" t="s">
        <v>4287</v>
      </c>
      <c r="D5586" s="1" t="s">
        <v>4288</v>
      </c>
      <c r="E5586" t="s">
        <v>4289</v>
      </c>
      <c r="F5586">
        <v>51.517000000000003</v>
      </c>
      <c r="G5586">
        <v>-2.5830000000000002</v>
      </c>
      <c r="H5586">
        <v>0</v>
      </c>
      <c r="I5586">
        <v>59</v>
      </c>
      <c r="J5586" t="str">
        <f>HYPERLINK("https://climate.onebuilding.org/WMO_Region_6_Europe/GBR_United_Kingdom/ENG_England/GBR_ENG_Bristol-Filton.AF.036280_TMYx.2004-2018.zip")</f>
        <v>https://climate.onebuilding.org/WMO_Region_6_Europe/GBR_United_Kingdom/ENG_England/GBR_ENG_Bristol-Filton.AF.036280_TMYx.2004-2018.zip</v>
      </c>
    </row>
    <row r="5587" spans="1:10" x14ac:dyDescent="0.25">
      <c r="A5587" t="s">
        <v>3587</v>
      </c>
      <c r="B5587" t="s">
        <v>3630</v>
      </c>
      <c r="C5587" t="s">
        <v>4287</v>
      </c>
      <c r="D5587" s="1" t="s">
        <v>4288</v>
      </c>
      <c r="E5587" t="s">
        <v>14</v>
      </c>
      <c r="F5587">
        <v>51.517000000000003</v>
      </c>
      <c r="G5587">
        <v>-2.5830000000000002</v>
      </c>
      <c r="H5587">
        <v>0</v>
      </c>
      <c r="I5587">
        <v>59</v>
      </c>
      <c r="J5587" t="str">
        <f>HYPERLINK("https://climate.onebuilding.org/WMO_Region_6_Europe/GBR_United_Kingdom/ENG_England/GBR_ENG_Bristol-Filton.AF.036280_TMYx.2007-2021.zip")</f>
        <v>https://climate.onebuilding.org/WMO_Region_6_Europe/GBR_United_Kingdom/ENG_England/GBR_ENG_Bristol-Filton.AF.036280_TMYx.2007-2021.zip</v>
      </c>
    </row>
    <row r="5588" spans="1:10" x14ac:dyDescent="0.25">
      <c r="A5588" t="s">
        <v>3587</v>
      </c>
      <c r="B5588" t="s">
        <v>3630</v>
      </c>
      <c r="C5588" t="s">
        <v>4287</v>
      </c>
      <c r="D5588" s="1" t="s">
        <v>4288</v>
      </c>
      <c r="E5588" t="s">
        <v>14</v>
      </c>
      <c r="F5588">
        <v>51.517000000000003</v>
      </c>
      <c r="G5588">
        <v>-2.5830000000000002</v>
      </c>
      <c r="H5588">
        <v>0</v>
      </c>
      <c r="I5588">
        <v>59</v>
      </c>
      <c r="J5588" t="str">
        <f>HYPERLINK("https://climate.onebuilding.org/WMO_Region_6_Europe/GBR_United_Kingdom/ENG_England/GBR_ENG_Bristol-Filton.AF.036280_TMYx.2009-2023.zip")</f>
        <v>https://climate.onebuilding.org/WMO_Region_6_Europe/GBR_United_Kingdom/ENG_England/GBR_ENG_Bristol-Filton.AF.036280_TMYx.2009-2023.zip</v>
      </c>
    </row>
    <row r="5589" spans="1:10" x14ac:dyDescent="0.25">
      <c r="A5589" t="s">
        <v>3587</v>
      </c>
      <c r="B5589" t="s">
        <v>3630</v>
      </c>
      <c r="C5589" t="s">
        <v>4287</v>
      </c>
      <c r="D5589" s="1" t="s">
        <v>4288</v>
      </c>
      <c r="E5589" t="s">
        <v>14</v>
      </c>
      <c r="F5589">
        <v>51.517000000000003</v>
      </c>
      <c r="G5589">
        <v>-2.5830000000000002</v>
      </c>
      <c r="H5589">
        <v>0</v>
      </c>
      <c r="I5589">
        <v>59</v>
      </c>
      <c r="J5589" t="str">
        <f>HYPERLINK("https://climate.onebuilding.org/WMO_Region_6_Europe/GBR_United_Kingdom/ENG_England/GBR_ENG_Bristol-Filton.AF.036280_TMYx.zip")</f>
        <v>https://climate.onebuilding.org/WMO_Region_6_Europe/GBR_United_Kingdom/ENG_England/GBR_ENG_Bristol-Filton.AF.036280_TMYx.zip</v>
      </c>
    </row>
    <row r="5590" spans="1:10" x14ac:dyDescent="0.25">
      <c r="A5590" t="s">
        <v>3587</v>
      </c>
      <c r="B5590" t="s">
        <v>3630</v>
      </c>
      <c r="C5590" t="s">
        <v>4290</v>
      </c>
      <c r="D5590" s="1" t="s">
        <v>4291</v>
      </c>
      <c r="E5590" t="s">
        <v>14</v>
      </c>
      <c r="F5590">
        <v>51.866999999999997</v>
      </c>
      <c r="G5590">
        <v>-2.2170000000000001</v>
      </c>
      <c r="H5590">
        <v>0</v>
      </c>
      <c r="I5590">
        <v>24</v>
      </c>
      <c r="J5590" t="str">
        <f>HYPERLINK("https://climate.onebuilding.org/WMO_Region_6_Europe/GBR_United_Kingdom/ENG_England/GBR_ENG_Gloucester.036330_TMYx.zip")</f>
        <v>https://climate.onebuilding.org/WMO_Region_6_Europe/GBR_United_Kingdom/ENG_England/GBR_ENG_Gloucester.036330_TMYx.zip</v>
      </c>
    </row>
    <row r="5591" spans="1:10" x14ac:dyDescent="0.25">
      <c r="A5591" t="s">
        <v>3587</v>
      </c>
      <c r="B5591" t="s">
        <v>3630</v>
      </c>
      <c r="C5591" t="s">
        <v>4292</v>
      </c>
      <c r="D5591" s="1" t="s">
        <v>4293</v>
      </c>
      <c r="E5591" t="s">
        <v>4294</v>
      </c>
      <c r="F5591">
        <v>51.893999999999998</v>
      </c>
      <c r="G5591">
        <v>-2.1669999999999998</v>
      </c>
      <c r="H5591">
        <v>0</v>
      </c>
      <c r="I5591">
        <v>30.8</v>
      </c>
      <c r="J5591" t="str">
        <f>HYPERLINK("https://climate.onebuilding.org/WMO_Region_6_Europe/GBR_United_Kingdom/ENG_England/GBR_ENG_Gloucestershire.AP.036333_TMYx.2004-2018.zip")</f>
        <v>https://climate.onebuilding.org/WMO_Region_6_Europe/GBR_United_Kingdom/ENG_England/GBR_ENG_Gloucestershire.AP.036333_TMYx.2004-2018.zip</v>
      </c>
    </row>
    <row r="5592" spans="1:10" x14ac:dyDescent="0.25">
      <c r="A5592" t="s">
        <v>3587</v>
      </c>
      <c r="B5592" t="s">
        <v>3630</v>
      </c>
      <c r="C5592" t="s">
        <v>4292</v>
      </c>
      <c r="D5592" s="1" t="s">
        <v>4293</v>
      </c>
      <c r="E5592" t="s">
        <v>14</v>
      </c>
      <c r="F5592">
        <v>51.893999999999998</v>
      </c>
      <c r="G5592">
        <v>-2.1669999999999998</v>
      </c>
      <c r="H5592">
        <v>0</v>
      </c>
      <c r="I5592">
        <v>30.8</v>
      </c>
      <c r="J5592" t="str">
        <f>HYPERLINK("https://climate.onebuilding.org/WMO_Region_6_Europe/GBR_United_Kingdom/ENG_England/GBR_ENG_Gloucestershire.AP.036333_TMYx.2007-2021.zip")</f>
        <v>https://climate.onebuilding.org/WMO_Region_6_Europe/GBR_United_Kingdom/ENG_England/GBR_ENG_Gloucestershire.AP.036333_TMYx.2007-2021.zip</v>
      </c>
    </row>
    <row r="5593" spans="1:10" x14ac:dyDescent="0.25">
      <c r="A5593" t="s">
        <v>3587</v>
      </c>
      <c r="B5593" t="s">
        <v>3630</v>
      </c>
      <c r="C5593" t="s">
        <v>4292</v>
      </c>
      <c r="D5593" s="1" t="s">
        <v>4293</v>
      </c>
      <c r="E5593" t="s">
        <v>14</v>
      </c>
      <c r="F5593">
        <v>51.893999999999998</v>
      </c>
      <c r="G5593">
        <v>-2.1669999999999998</v>
      </c>
      <c r="H5593">
        <v>0</v>
      </c>
      <c r="I5593">
        <v>30.8</v>
      </c>
      <c r="J5593" t="str">
        <f>HYPERLINK("https://climate.onebuilding.org/WMO_Region_6_Europe/GBR_United_Kingdom/ENG_England/GBR_ENG_Gloucestershire.AP.036333_TMYx.2009-2023.zip")</f>
        <v>https://climate.onebuilding.org/WMO_Region_6_Europe/GBR_United_Kingdom/ENG_England/GBR_ENG_Gloucestershire.AP.036333_TMYx.2009-2023.zip</v>
      </c>
    </row>
    <row r="5594" spans="1:10" x14ac:dyDescent="0.25">
      <c r="A5594" t="s">
        <v>3587</v>
      </c>
      <c r="B5594" t="s">
        <v>3630</v>
      </c>
      <c r="C5594" t="s">
        <v>4292</v>
      </c>
      <c r="D5594" s="1" t="s">
        <v>4293</v>
      </c>
      <c r="E5594" t="s">
        <v>14</v>
      </c>
      <c r="F5594">
        <v>51.893999999999998</v>
      </c>
      <c r="G5594">
        <v>-2.1669999999999998</v>
      </c>
      <c r="H5594">
        <v>0</v>
      </c>
      <c r="I5594">
        <v>30.8</v>
      </c>
      <c r="J5594" t="str">
        <f>HYPERLINK("https://climate.onebuilding.org/WMO_Region_6_Europe/GBR_United_Kingdom/ENG_England/GBR_ENG_Gloucestershire.AP.036333_TMYx.zip")</f>
        <v>https://climate.onebuilding.org/WMO_Region_6_Europe/GBR_United_Kingdom/ENG_England/GBR_ENG_Gloucestershire.AP.036333_TMYx.zip</v>
      </c>
    </row>
    <row r="5595" spans="1:10" x14ac:dyDescent="0.25">
      <c r="A5595" t="s">
        <v>3587</v>
      </c>
      <c r="B5595" t="s">
        <v>3630</v>
      </c>
      <c r="C5595" t="s">
        <v>4295</v>
      </c>
      <c r="D5595" s="1" t="s">
        <v>4296</v>
      </c>
      <c r="E5595" t="s">
        <v>14</v>
      </c>
      <c r="F5595">
        <v>51.667000000000002</v>
      </c>
      <c r="G5595">
        <v>-2.0499999999999998</v>
      </c>
      <c r="H5595">
        <v>0</v>
      </c>
      <c r="I5595">
        <v>133</v>
      </c>
      <c r="J5595" t="str">
        <f>HYPERLINK("https://climate.onebuilding.org/WMO_Region_6_Europe/GBR_United_Kingdom/ENG_England/GBR_ENG_Kemble.RAF.036380_TMYx.zip")</f>
        <v>https://climate.onebuilding.org/WMO_Region_6_Europe/GBR_United_Kingdom/ENG_England/GBR_ENG_Kemble.RAF.036380_TMYx.zip</v>
      </c>
    </row>
    <row r="5596" spans="1:10" x14ac:dyDescent="0.25">
      <c r="A5596" t="s">
        <v>3587</v>
      </c>
      <c r="B5596" t="s">
        <v>3630</v>
      </c>
      <c r="C5596" t="s">
        <v>4297</v>
      </c>
      <c r="D5596" s="1" t="s">
        <v>4298</v>
      </c>
      <c r="E5596" t="s">
        <v>4299</v>
      </c>
      <c r="F5596">
        <v>51.682000000000002</v>
      </c>
      <c r="G5596">
        <v>-1.79</v>
      </c>
      <c r="H5596">
        <v>0</v>
      </c>
      <c r="I5596">
        <v>87.2</v>
      </c>
      <c r="J5596" t="str">
        <f>HYPERLINK("https://climate.onebuilding.org/WMO_Region_6_Europe/GBR_United_Kingdom/ENG_England/GBR_ENG_Fairford.AF.036440_TMYx.2004-2018.zip")</f>
        <v>https://climate.onebuilding.org/WMO_Region_6_Europe/GBR_United_Kingdom/ENG_England/GBR_ENG_Fairford.AF.036440_TMYx.2004-2018.zip</v>
      </c>
    </row>
    <row r="5597" spans="1:10" x14ac:dyDescent="0.25">
      <c r="A5597" t="s">
        <v>3587</v>
      </c>
      <c r="B5597" t="s">
        <v>3630</v>
      </c>
      <c r="C5597" t="s">
        <v>4297</v>
      </c>
      <c r="D5597" s="1" t="s">
        <v>4298</v>
      </c>
      <c r="E5597" t="s">
        <v>14</v>
      </c>
      <c r="F5597">
        <v>51.682000000000002</v>
      </c>
      <c r="G5597">
        <v>-1.79</v>
      </c>
      <c r="H5597">
        <v>0</v>
      </c>
      <c r="I5597">
        <v>87.2</v>
      </c>
      <c r="J5597" t="str">
        <f>HYPERLINK("https://climate.onebuilding.org/WMO_Region_6_Europe/GBR_United_Kingdom/ENG_England/GBR_ENG_Fairford.AF.036440_TMYx.2007-2021.zip")</f>
        <v>https://climate.onebuilding.org/WMO_Region_6_Europe/GBR_United_Kingdom/ENG_England/GBR_ENG_Fairford.AF.036440_TMYx.2007-2021.zip</v>
      </c>
    </row>
    <row r="5598" spans="1:10" x14ac:dyDescent="0.25">
      <c r="A5598" t="s">
        <v>3587</v>
      </c>
      <c r="B5598" t="s">
        <v>3630</v>
      </c>
      <c r="C5598" t="s">
        <v>4297</v>
      </c>
      <c r="D5598" s="1" t="s">
        <v>4298</v>
      </c>
      <c r="E5598" t="s">
        <v>14</v>
      </c>
      <c r="F5598">
        <v>51.682000000000002</v>
      </c>
      <c r="G5598">
        <v>-1.79</v>
      </c>
      <c r="H5598">
        <v>0</v>
      </c>
      <c r="I5598">
        <v>87.2</v>
      </c>
      <c r="J5598" t="str">
        <f>HYPERLINK("https://climate.onebuilding.org/WMO_Region_6_Europe/GBR_United_Kingdom/ENG_England/GBR_ENG_Fairford.AF.036440_TMYx.2009-2023.zip")</f>
        <v>https://climate.onebuilding.org/WMO_Region_6_Europe/GBR_United_Kingdom/ENG_England/GBR_ENG_Fairford.AF.036440_TMYx.2009-2023.zip</v>
      </c>
    </row>
    <row r="5599" spans="1:10" x14ac:dyDescent="0.25">
      <c r="A5599" t="s">
        <v>3587</v>
      </c>
      <c r="B5599" t="s">
        <v>3630</v>
      </c>
      <c r="C5599" t="s">
        <v>4297</v>
      </c>
      <c r="D5599" s="1" t="s">
        <v>4298</v>
      </c>
      <c r="E5599" t="s">
        <v>14</v>
      </c>
      <c r="F5599">
        <v>51.682000000000002</v>
      </c>
      <c r="G5599">
        <v>-1.79</v>
      </c>
      <c r="H5599">
        <v>0</v>
      </c>
      <c r="I5599">
        <v>87.2</v>
      </c>
      <c r="J5599" t="str">
        <f>HYPERLINK("https://climate.onebuilding.org/WMO_Region_6_Europe/GBR_United_Kingdom/ENG_England/GBR_ENG_Fairford.AF.036440_TMYx.zip")</f>
        <v>https://climate.onebuilding.org/WMO_Region_6_Europe/GBR_United_Kingdom/ENG_England/GBR_ENG_Fairford.AF.036440_TMYx.zip</v>
      </c>
    </row>
    <row r="5600" spans="1:10" x14ac:dyDescent="0.25">
      <c r="A5600" t="s">
        <v>3587</v>
      </c>
      <c r="B5600" t="s">
        <v>3630</v>
      </c>
      <c r="C5600" t="s">
        <v>4300</v>
      </c>
      <c r="D5600" s="1" t="s">
        <v>4301</v>
      </c>
      <c r="E5600" t="s">
        <v>4302</v>
      </c>
      <c r="F5600">
        <v>51.866999999999997</v>
      </c>
      <c r="G5600">
        <v>-1.6830000000000001</v>
      </c>
      <c r="H5600">
        <v>0</v>
      </c>
      <c r="I5600">
        <v>210</v>
      </c>
      <c r="J5600" t="str">
        <f>HYPERLINK("https://climate.onebuilding.org/WMO_Region_6_Europe/GBR_United_Kingdom/ENG_England/GBR_ENG_RAF.Little.Rissington.036470_TMYx.2004-2018.zip")</f>
        <v>https://climate.onebuilding.org/WMO_Region_6_Europe/GBR_United_Kingdom/ENG_England/GBR_ENG_RAF.Little.Rissington.036470_TMYx.2004-2018.zip</v>
      </c>
    </row>
    <row r="5601" spans="1:10" x14ac:dyDescent="0.25">
      <c r="A5601" t="s">
        <v>3587</v>
      </c>
      <c r="B5601" t="s">
        <v>3630</v>
      </c>
      <c r="C5601" t="s">
        <v>4300</v>
      </c>
      <c r="D5601" s="1" t="s">
        <v>4301</v>
      </c>
      <c r="E5601" t="s">
        <v>14</v>
      </c>
      <c r="F5601">
        <v>51.860599999999998</v>
      </c>
      <c r="G5601">
        <v>-1.6931</v>
      </c>
      <c r="H5601">
        <v>0</v>
      </c>
      <c r="I5601">
        <v>210</v>
      </c>
      <c r="J5601" t="str">
        <f>HYPERLINK("https://climate.onebuilding.org/WMO_Region_6_Europe/GBR_United_Kingdom/ENG_England/GBR_ENG_RAF.Little.Rissington.036470_TMYx.2007-2021.zip")</f>
        <v>https://climate.onebuilding.org/WMO_Region_6_Europe/GBR_United_Kingdom/ENG_England/GBR_ENG_RAF.Little.Rissington.036470_TMYx.2007-2021.zip</v>
      </c>
    </row>
    <row r="5602" spans="1:10" x14ac:dyDescent="0.25">
      <c r="A5602" t="s">
        <v>3587</v>
      </c>
      <c r="B5602" t="s">
        <v>3630</v>
      </c>
      <c r="C5602" t="s">
        <v>4300</v>
      </c>
      <c r="D5602" s="1" t="s">
        <v>4301</v>
      </c>
      <c r="E5602" t="s">
        <v>14</v>
      </c>
      <c r="F5602">
        <v>51.860599999999998</v>
      </c>
      <c r="G5602">
        <v>-1.6931</v>
      </c>
      <c r="H5602">
        <v>0</v>
      </c>
      <c r="I5602">
        <v>210</v>
      </c>
      <c r="J5602" t="str">
        <f>HYPERLINK("https://climate.onebuilding.org/WMO_Region_6_Europe/GBR_United_Kingdom/ENG_England/GBR_ENG_RAF.Little.Rissington.036470_TMYx.2009-2023.zip")</f>
        <v>https://climate.onebuilding.org/WMO_Region_6_Europe/GBR_United_Kingdom/ENG_England/GBR_ENG_RAF.Little.Rissington.036470_TMYx.2009-2023.zip</v>
      </c>
    </row>
    <row r="5603" spans="1:10" x14ac:dyDescent="0.25">
      <c r="A5603" t="s">
        <v>3587</v>
      </c>
      <c r="B5603" t="s">
        <v>3630</v>
      </c>
      <c r="C5603" t="s">
        <v>4300</v>
      </c>
      <c r="D5603" s="1" t="s">
        <v>4301</v>
      </c>
      <c r="E5603" t="s">
        <v>14</v>
      </c>
      <c r="F5603">
        <v>51.860599999999998</v>
      </c>
      <c r="G5603">
        <v>-1.6931</v>
      </c>
      <c r="H5603">
        <v>0</v>
      </c>
      <c r="I5603">
        <v>210</v>
      </c>
      <c r="J5603" t="str">
        <f>HYPERLINK("https://climate.onebuilding.org/WMO_Region_6_Europe/GBR_United_Kingdom/ENG_England/GBR_ENG_RAF.Little.Rissington.036470_TMYx.zip")</f>
        <v>https://climate.onebuilding.org/WMO_Region_6_Europe/GBR_United_Kingdom/ENG_England/GBR_ENG_RAF.Little.Rissington.036470_TMYx.zip</v>
      </c>
    </row>
    <row r="5604" spans="1:10" x14ac:dyDescent="0.25">
      <c r="A5604" t="s">
        <v>3587</v>
      </c>
      <c r="B5604" t="s">
        <v>3630</v>
      </c>
      <c r="C5604" t="s">
        <v>4303</v>
      </c>
      <c r="D5604" s="1" t="s">
        <v>4304</v>
      </c>
      <c r="E5604" t="s">
        <v>4305</v>
      </c>
      <c r="F5604">
        <v>51.75</v>
      </c>
      <c r="G5604">
        <v>-1.5840000000000001</v>
      </c>
      <c r="H5604">
        <v>0</v>
      </c>
      <c r="I5604">
        <v>87.8</v>
      </c>
      <c r="J5604" t="str">
        <f>HYPERLINK("https://climate.onebuilding.org/WMO_Region_6_Europe/GBR_United_Kingdom/ENG_England/GBR_ENG_RAF.Brize.Norton.036490_TMYx.2004-2018.zip")</f>
        <v>https://climate.onebuilding.org/WMO_Region_6_Europe/GBR_United_Kingdom/ENG_England/GBR_ENG_RAF.Brize.Norton.036490_TMYx.2004-2018.zip</v>
      </c>
    </row>
    <row r="5605" spans="1:10" x14ac:dyDescent="0.25">
      <c r="A5605" t="s">
        <v>3587</v>
      </c>
      <c r="B5605" t="s">
        <v>3630</v>
      </c>
      <c r="C5605" t="s">
        <v>4303</v>
      </c>
      <c r="D5605" s="1" t="s">
        <v>4304</v>
      </c>
      <c r="E5605" t="s">
        <v>14</v>
      </c>
      <c r="F5605">
        <v>51.758299999999998</v>
      </c>
      <c r="G5605">
        <v>-1.5781000000000001</v>
      </c>
      <c r="H5605">
        <v>0</v>
      </c>
      <c r="I5605">
        <v>87.8</v>
      </c>
      <c r="J5605" t="str">
        <f>HYPERLINK("https://climate.onebuilding.org/WMO_Region_6_Europe/GBR_United_Kingdom/ENG_England/GBR_ENG_RAF.Brize.Norton.036490_TMYx.2007-2021.zip")</f>
        <v>https://climate.onebuilding.org/WMO_Region_6_Europe/GBR_United_Kingdom/ENG_England/GBR_ENG_RAF.Brize.Norton.036490_TMYx.2007-2021.zip</v>
      </c>
    </row>
    <row r="5606" spans="1:10" x14ac:dyDescent="0.25">
      <c r="A5606" t="s">
        <v>3587</v>
      </c>
      <c r="B5606" t="s">
        <v>3630</v>
      </c>
      <c r="C5606" t="s">
        <v>4303</v>
      </c>
      <c r="D5606" s="1" t="s">
        <v>4304</v>
      </c>
      <c r="E5606" t="s">
        <v>14</v>
      </c>
      <c r="F5606">
        <v>51.758299999999998</v>
      </c>
      <c r="G5606">
        <v>-1.5781000000000001</v>
      </c>
      <c r="H5606">
        <v>0</v>
      </c>
      <c r="I5606">
        <v>87.8</v>
      </c>
      <c r="J5606" t="str">
        <f>HYPERLINK("https://climate.onebuilding.org/WMO_Region_6_Europe/GBR_United_Kingdom/ENG_England/GBR_ENG_RAF.Brize.Norton.036490_TMYx.2009-2023.zip")</f>
        <v>https://climate.onebuilding.org/WMO_Region_6_Europe/GBR_United_Kingdom/ENG_England/GBR_ENG_RAF.Brize.Norton.036490_TMYx.2009-2023.zip</v>
      </c>
    </row>
    <row r="5607" spans="1:10" x14ac:dyDescent="0.25">
      <c r="A5607" t="s">
        <v>3587</v>
      </c>
      <c r="B5607" t="s">
        <v>3630</v>
      </c>
      <c r="C5607" t="s">
        <v>4303</v>
      </c>
      <c r="D5607" s="1" t="s">
        <v>4304</v>
      </c>
      <c r="E5607" t="s">
        <v>14</v>
      </c>
      <c r="F5607">
        <v>51.758299999999998</v>
      </c>
      <c r="G5607">
        <v>-1.5781000000000001</v>
      </c>
      <c r="H5607">
        <v>0</v>
      </c>
      <c r="I5607">
        <v>87.8</v>
      </c>
      <c r="J5607" t="str">
        <f>HYPERLINK("https://climate.onebuilding.org/WMO_Region_6_Europe/GBR_United_Kingdom/ENG_England/GBR_ENG_RAF.Brize.Norton.036490_TMYx.zip")</f>
        <v>https://climate.onebuilding.org/WMO_Region_6_Europe/GBR_United_Kingdom/ENG_England/GBR_ENG_RAF.Brize.Norton.036490_TMYx.zip</v>
      </c>
    </row>
    <row r="5608" spans="1:10" x14ac:dyDescent="0.25">
      <c r="A5608" t="s">
        <v>3587</v>
      </c>
      <c r="B5608" t="s">
        <v>3630</v>
      </c>
      <c r="C5608" t="s">
        <v>4306</v>
      </c>
      <c r="D5608" s="1" t="s">
        <v>4307</v>
      </c>
      <c r="E5608" t="s">
        <v>14</v>
      </c>
      <c r="F5608">
        <v>51.933</v>
      </c>
      <c r="G5608">
        <v>-1.25</v>
      </c>
      <c r="H5608">
        <v>0</v>
      </c>
      <c r="I5608">
        <v>133</v>
      </c>
      <c r="J5608" t="str">
        <f>HYPERLINK("https://climate.onebuilding.org/WMO_Region_6_Europe/GBR_United_Kingdom/ENG_England/GBR_ENG_Upper.Heyford.AF.036553_TMYx.zip")</f>
        <v>https://climate.onebuilding.org/WMO_Region_6_Europe/GBR_United_Kingdom/ENG_England/GBR_ENG_Upper.Heyford.AF.036553_TMYx.zip</v>
      </c>
    </row>
    <row r="5609" spans="1:10" x14ac:dyDescent="0.25">
      <c r="A5609" t="s">
        <v>3587</v>
      </c>
      <c r="B5609" t="s">
        <v>3630</v>
      </c>
      <c r="C5609" t="s">
        <v>4308</v>
      </c>
      <c r="D5609" s="1" t="s">
        <v>4309</v>
      </c>
      <c r="E5609" t="s">
        <v>4310</v>
      </c>
      <c r="F5609">
        <v>51.616</v>
      </c>
      <c r="G5609">
        <v>-1.0960000000000001</v>
      </c>
      <c r="H5609">
        <v>0</v>
      </c>
      <c r="I5609">
        <v>68.900000000000006</v>
      </c>
      <c r="J5609" t="str">
        <f>HYPERLINK("https://climate.onebuilding.org/WMO_Region_6_Europe/GBR_United_Kingdom/ENG_England/GBR_ENG_RAF.Benson.036580_TMYx.2004-2018.zip")</f>
        <v>https://climate.onebuilding.org/WMO_Region_6_Europe/GBR_United_Kingdom/ENG_England/GBR_ENG_RAF.Benson.036580_TMYx.2004-2018.zip</v>
      </c>
    </row>
    <row r="5610" spans="1:10" x14ac:dyDescent="0.25">
      <c r="A5610" t="s">
        <v>3587</v>
      </c>
      <c r="B5610" t="s">
        <v>3630</v>
      </c>
      <c r="C5610" t="s">
        <v>4308</v>
      </c>
      <c r="D5610" s="1" t="s">
        <v>4309</v>
      </c>
      <c r="E5610" t="s">
        <v>14</v>
      </c>
      <c r="F5610">
        <v>51.6203</v>
      </c>
      <c r="G5610">
        <v>-1.0986</v>
      </c>
      <c r="H5610">
        <v>0</v>
      </c>
      <c r="I5610">
        <v>68.900000000000006</v>
      </c>
      <c r="J5610" t="str">
        <f>HYPERLINK("https://climate.onebuilding.org/WMO_Region_6_Europe/GBR_United_Kingdom/ENG_England/GBR_ENG_RAF.Benson.036580_TMYx.2007-2021.zip")</f>
        <v>https://climate.onebuilding.org/WMO_Region_6_Europe/GBR_United_Kingdom/ENG_England/GBR_ENG_RAF.Benson.036580_TMYx.2007-2021.zip</v>
      </c>
    </row>
    <row r="5611" spans="1:10" x14ac:dyDescent="0.25">
      <c r="A5611" t="s">
        <v>3587</v>
      </c>
      <c r="B5611" t="s">
        <v>3630</v>
      </c>
      <c r="C5611" t="s">
        <v>4308</v>
      </c>
      <c r="D5611" s="1" t="s">
        <v>4309</v>
      </c>
      <c r="E5611" t="s">
        <v>14</v>
      </c>
      <c r="F5611">
        <v>51.6203</v>
      </c>
      <c r="G5611">
        <v>-1.0986</v>
      </c>
      <c r="H5611">
        <v>0</v>
      </c>
      <c r="I5611">
        <v>68.900000000000006</v>
      </c>
      <c r="J5611" t="str">
        <f>HYPERLINK("https://climate.onebuilding.org/WMO_Region_6_Europe/GBR_United_Kingdom/ENG_England/GBR_ENG_RAF.Benson.036580_TMYx.2009-2023.zip")</f>
        <v>https://climate.onebuilding.org/WMO_Region_6_Europe/GBR_United_Kingdom/ENG_England/GBR_ENG_RAF.Benson.036580_TMYx.2009-2023.zip</v>
      </c>
    </row>
    <row r="5612" spans="1:10" x14ac:dyDescent="0.25">
      <c r="A5612" t="s">
        <v>3587</v>
      </c>
      <c r="B5612" t="s">
        <v>3630</v>
      </c>
      <c r="C5612" t="s">
        <v>4308</v>
      </c>
      <c r="D5612" s="1" t="s">
        <v>4309</v>
      </c>
      <c r="E5612" t="s">
        <v>14</v>
      </c>
      <c r="F5612">
        <v>51.6203</v>
      </c>
      <c r="G5612">
        <v>-1.0986</v>
      </c>
      <c r="H5612">
        <v>0</v>
      </c>
      <c r="I5612">
        <v>68.900000000000006</v>
      </c>
      <c r="J5612" t="str">
        <f>HYPERLINK("https://climate.onebuilding.org/WMO_Region_6_Europe/GBR_United_Kingdom/ENG_England/GBR_ENG_RAF.Benson.036580_TMYx.zip")</f>
        <v>https://climate.onebuilding.org/WMO_Region_6_Europe/GBR_United_Kingdom/ENG_England/GBR_ENG_RAF.Benson.036580_TMYx.zip</v>
      </c>
    </row>
    <row r="5613" spans="1:10" x14ac:dyDescent="0.25">
      <c r="A5613" t="s">
        <v>3587</v>
      </c>
      <c r="B5613" t="s">
        <v>3630</v>
      </c>
      <c r="C5613" t="s">
        <v>4311</v>
      </c>
      <c r="D5613" s="1" t="s">
        <v>4312</v>
      </c>
      <c r="E5613" t="s">
        <v>14</v>
      </c>
      <c r="F5613">
        <v>51.439</v>
      </c>
      <c r="G5613">
        <v>-2.286</v>
      </c>
      <c r="H5613">
        <v>0</v>
      </c>
      <c r="I5613">
        <v>180.7</v>
      </c>
      <c r="J5613" t="str">
        <f>HYPERLINK("https://climate.onebuilding.org/WMO_Region_6_Europe/GBR_United_Kingdom/ENG_England/GBR_ENG_Colerne.036584_TMYx.2007-2021.zip")</f>
        <v>https://climate.onebuilding.org/WMO_Region_6_Europe/GBR_United_Kingdom/ENG_England/GBR_ENG_Colerne.036584_TMYx.2007-2021.zip</v>
      </c>
    </row>
    <row r="5614" spans="1:10" x14ac:dyDescent="0.25">
      <c r="A5614" t="s">
        <v>3587</v>
      </c>
      <c r="B5614" t="s">
        <v>3630</v>
      </c>
      <c r="C5614" t="s">
        <v>4311</v>
      </c>
      <c r="D5614" s="1" t="s">
        <v>4312</v>
      </c>
      <c r="E5614" t="s">
        <v>14</v>
      </c>
      <c r="F5614">
        <v>51.439</v>
      </c>
      <c r="G5614">
        <v>-2.286</v>
      </c>
      <c r="H5614">
        <v>0</v>
      </c>
      <c r="I5614">
        <v>180.7</v>
      </c>
      <c r="J5614" t="str">
        <f>HYPERLINK("https://climate.onebuilding.org/WMO_Region_6_Europe/GBR_United_Kingdom/ENG_England/GBR_ENG_Colerne.036584_TMYx.2009-2023.zip")</f>
        <v>https://climate.onebuilding.org/WMO_Region_6_Europe/GBR_United_Kingdom/ENG_England/GBR_ENG_Colerne.036584_TMYx.2009-2023.zip</v>
      </c>
    </row>
    <row r="5615" spans="1:10" x14ac:dyDescent="0.25">
      <c r="A5615" t="s">
        <v>3587</v>
      </c>
      <c r="B5615" t="s">
        <v>3630</v>
      </c>
      <c r="C5615" t="s">
        <v>4311</v>
      </c>
      <c r="D5615" s="1" t="s">
        <v>4312</v>
      </c>
      <c r="E5615" t="s">
        <v>14</v>
      </c>
      <c r="F5615">
        <v>51.439</v>
      </c>
      <c r="G5615">
        <v>-2.286</v>
      </c>
      <c r="H5615">
        <v>0</v>
      </c>
      <c r="I5615">
        <v>180.7</v>
      </c>
      <c r="J5615" t="str">
        <f>HYPERLINK("https://climate.onebuilding.org/WMO_Region_6_Europe/GBR_United_Kingdom/ENG_England/GBR_ENG_Colerne.036584_TMYx.zip")</f>
        <v>https://climate.onebuilding.org/WMO_Region_6_Europe/GBR_United_Kingdom/ENG_England/GBR_ENG_Colerne.036584_TMYx.zip</v>
      </c>
    </row>
    <row r="5616" spans="1:10" x14ac:dyDescent="0.25">
      <c r="A5616" t="s">
        <v>3587</v>
      </c>
      <c r="B5616" t="s">
        <v>3630</v>
      </c>
      <c r="C5616" t="s">
        <v>4313</v>
      </c>
      <c r="D5616" s="1" t="s">
        <v>4314</v>
      </c>
      <c r="E5616" t="s">
        <v>4315</v>
      </c>
      <c r="F5616">
        <v>51.683</v>
      </c>
      <c r="G5616">
        <v>-0.8</v>
      </c>
      <c r="H5616">
        <v>0</v>
      </c>
      <c r="I5616">
        <v>205</v>
      </c>
      <c r="J5616" t="str">
        <f>HYPERLINK("https://climate.onebuilding.org/WMO_Region_6_Europe/GBR_United_Kingdom/ENG_England/GBR_ENG_High.Wycombe.036600_TMYx.2004-2018.zip")</f>
        <v>https://climate.onebuilding.org/WMO_Region_6_Europe/GBR_United_Kingdom/ENG_England/GBR_ENG_High.Wycombe.036600_TMYx.2004-2018.zip</v>
      </c>
    </row>
    <row r="5617" spans="1:10" x14ac:dyDescent="0.25">
      <c r="A5617" t="s">
        <v>3587</v>
      </c>
      <c r="B5617" t="s">
        <v>3630</v>
      </c>
      <c r="C5617" t="s">
        <v>4313</v>
      </c>
      <c r="D5617" s="1" t="s">
        <v>4314</v>
      </c>
      <c r="E5617" t="s">
        <v>14</v>
      </c>
      <c r="F5617">
        <v>51.681699999999999</v>
      </c>
      <c r="G5617">
        <v>-0.80689999999999995</v>
      </c>
      <c r="H5617">
        <v>0</v>
      </c>
      <c r="I5617">
        <v>205</v>
      </c>
      <c r="J5617" t="str">
        <f>HYPERLINK("https://climate.onebuilding.org/WMO_Region_6_Europe/GBR_United_Kingdom/ENG_England/GBR_ENG_High.Wycombe.036600_TMYx.2007-2021.zip")</f>
        <v>https://climate.onebuilding.org/WMO_Region_6_Europe/GBR_United_Kingdom/ENG_England/GBR_ENG_High.Wycombe.036600_TMYx.2007-2021.zip</v>
      </c>
    </row>
    <row r="5618" spans="1:10" x14ac:dyDescent="0.25">
      <c r="A5618" t="s">
        <v>3587</v>
      </c>
      <c r="B5618" t="s">
        <v>3630</v>
      </c>
      <c r="C5618" t="s">
        <v>4313</v>
      </c>
      <c r="D5618" s="1" t="s">
        <v>4314</v>
      </c>
      <c r="E5618" t="s">
        <v>14</v>
      </c>
      <c r="F5618">
        <v>51.681699999999999</v>
      </c>
      <c r="G5618">
        <v>-0.80689999999999995</v>
      </c>
      <c r="H5618">
        <v>0</v>
      </c>
      <c r="I5618">
        <v>205</v>
      </c>
      <c r="J5618" t="str">
        <f>HYPERLINK("https://climate.onebuilding.org/WMO_Region_6_Europe/GBR_United_Kingdom/ENG_England/GBR_ENG_High.Wycombe.036600_TMYx.2009-2023.zip")</f>
        <v>https://climate.onebuilding.org/WMO_Region_6_Europe/GBR_United_Kingdom/ENG_England/GBR_ENG_High.Wycombe.036600_TMYx.2009-2023.zip</v>
      </c>
    </row>
    <row r="5619" spans="1:10" x14ac:dyDescent="0.25">
      <c r="A5619" t="s">
        <v>3587</v>
      </c>
      <c r="B5619" t="s">
        <v>3630</v>
      </c>
      <c r="C5619" t="s">
        <v>4313</v>
      </c>
      <c r="D5619" s="1" t="s">
        <v>4314</v>
      </c>
      <c r="E5619" t="s">
        <v>14</v>
      </c>
      <c r="F5619">
        <v>51.681699999999999</v>
      </c>
      <c r="G5619">
        <v>-0.80689999999999995</v>
      </c>
      <c r="H5619">
        <v>0</v>
      </c>
      <c r="I5619">
        <v>205</v>
      </c>
      <c r="J5619" t="str">
        <f>HYPERLINK("https://climate.onebuilding.org/WMO_Region_6_Europe/GBR_United_Kingdom/ENG_England/GBR_ENG_High.Wycombe.036600_TMYx.zip")</f>
        <v>https://climate.onebuilding.org/WMO_Region_6_Europe/GBR_United_Kingdom/ENG_England/GBR_ENG_High.Wycombe.036600_TMYx.zip</v>
      </c>
    </row>
    <row r="5620" spans="1:10" x14ac:dyDescent="0.25">
      <c r="A5620" t="s">
        <v>3587</v>
      </c>
      <c r="B5620" t="s">
        <v>3630</v>
      </c>
      <c r="C5620" t="s">
        <v>4316</v>
      </c>
      <c r="D5620" s="1" t="s">
        <v>4317</v>
      </c>
      <c r="E5620" t="s">
        <v>4318</v>
      </c>
      <c r="F5620">
        <v>51.552999999999997</v>
      </c>
      <c r="G5620">
        <v>-0.41799999999999998</v>
      </c>
      <c r="H5620">
        <v>0</v>
      </c>
      <c r="I5620">
        <v>37.799999999999997</v>
      </c>
      <c r="J5620" t="str">
        <f>HYPERLINK("https://climate.onebuilding.org/WMO_Region_6_Europe/GBR_United_Kingdom/ENG_England/GBR_ENG_RAF.Northolt.036720_TMYx.2004-2018.zip")</f>
        <v>https://climate.onebuilding.org/WMO_Region_6_Europe/GBR_United_Kingdom/ENG_England/GBR_ENG_RAF.Northolt.036720_TMYx.2004-2018.zip</v>
      </c>
    </row>
    <row r="5621" spans="1:10" x14ac:dyDescent="0.25">
      <c r="A5621" t="s">
        <v>3587</v>
      </c>
      <c r="B5621" t="s">
        <v>3630</v>
      </c>
      <c r="C5621" t="s">
        <v>4316</v>
      </c>
      <c r="D5621" s="1" t="s">
        <v>4317</v>
      </c>
      <c r="E5621" t="s">
        <v>14</v>
      </c>
      <c r="F5621">
        <v>51.5486</v>
      </c>
      <c r="G5621">
        <v>-0.41689999999999999</v>
      </c>
      <c r="H5621">
        <v>0</v>
      </c>
      <c r="I5621">
        <v>37.799999999999997</v>
      </c>
      <c r="J5621" t="str">
        <f>HYPERLINK("https://climate.onebuilding.org/WMO_Region_6_Europe/GBR_United_Kingdom/ENG_England/GBR_ENG_RAF.Northolt.036720_TMYx.2007-2021.zip")</f>
        <v>https://climate.onebuilding.org/WMO_Region_6_Europe/GBR_United_Kingdom/ENG_England/GBR_ENG_RAF.Northolt.036720_TMYx.2007-2021.zip</v>
      </c>
    </row>
    <row r="5622" spans="1:10" x14ac:dyDescent="0.25">
      <c r="A5622" t="s">
        <v>3587</v>
      </c>
      <c r="B5622" t="s">
        <v>3630</v>
      </c>
      <c r="C5622" t="s">
        <v>4316</v>
      </c>
      <c r="D5622" s="1" t="s">
        <v>4317</v>
      </c>
      <c r="E5622" t="s">
        <v>14</v>
      </c>
      <c r="F5622">
        <v>51.5486</v>
      </c>
      <c r="G5622">
        <v>-0.41689999999999999</v>
      </c>
      <c r="H5622">
        <v>0</v>
      </c>
      <c r="I5622">
        <v>37.799999999999997</v>
      </c>
      <c r="J5622" t="str">
        <f>HYPERLINK("https://climate.onebuilding.org/WMO_Region_6_Europe/GBR_United_Kingdom/ENG_England/GBR_ENG_RAF.Northolt.036720_TMYx.2009-2023.zip")</f>
        <v>https://climate.onebuilding.org/WMO_Region_6_Europe/GBR_United_Kingdom/ENG_England/GBR_ENG_RAF.Northolt.036720_TMYx.2009-2023.zip</v>
      </c>
    </row>
    <row r="5623" spans="1:10" x14ac:dyDescent="0.25">
      <c r="A5623" t="s">
        <v>3587</v>
      </c>
      <c r="B5623" t="s">
        <v>3630</v>
      </c>
      <c r="C5623" t="s">
        <v>4316</v>
      </c>
      <c r="D5623" s="1" t="s">
        <v>4317</v>
      </c>
      <c r="E5623" t="s">
        <v>14</v>
      </c>
      <c r="F5623">
        <v>51.5486</v>
      </c>
      <c r="G5623">
        <v>-0.41689999999999999</v>
      </c>
      <c r="H5623">
        <v>0</v>
      </c>
      <c r="I5623">
        <v>37.799999999999997</v>
      </c>
      <c r="J5623" t="str">
        <f>HYPERLINK("https://climate.onebuilding.org/WMO_Region_6_Europe/GBR_United_Kingdom/ENG_England/GBR_ENG_RAF.Northolt.036720_TMYx.zip")</f>
        <v>https://climate.onebuilding.org/WMO_Region_6_Europe/GBR_United_Kingdom/ENG_England/GBR_ENG_RAF.Northolt.036720_TMYx.zip</v>
      </c>
    </row>
    <row r="5624" spans="1:10" x14ac:dyDescent="0.25">
      <c r="A5624" t="s">
        <v>3587</v>
      </c>
      <c r="B5624" t="s">
        <v>3630</v>
      </c>
      <c r="C5624" t="s">
        <v>4319</v>
      </c>
      <c r="D5624" s="1" t="s">
        <v>4320</v>
      </c>
      <c r="E5624" t="s">
        <v>4321</v>
      </c>
      <c r="F5624">
        <v>51.875</v>
      </c>
      <c r="G5624">
        <v>-0.36799999999999999</v>
      </c>
      <c r="H5624">
        <v>0</v>
      </c>
      <c r="I5624">
        <v>160.30000000000001</v>
      </c>
      <c r="J5624" t="str">
        <f>HYPERLINK("https://climate.onebuilding.org/WMO_Region_6_Europe/GBR_United_Kingdom/ENG_England/GBR_ENG_London-Luton.AP.036733_TMYx.2004-2018.zip")</f>
        <v>https://climate.onebuilding.org/WMO_Region_6_Europe/GBR_United_Kingdom/ENG_England/GBR_ENG_London-Luton.AP.036733_TMYx.2004-2018.zip</v>
      </c>
    </row>
    <row r="5625" spans="1:10" x14ac:dyDescent="0.25">
      <c r="A5625" t="s">
        <v>3587</v>
      </c>
      <c r="B5625" t="s">
        <v>3630</v>
      </c>
      <c r="C5625" t="s">
        <v>4319</v>
      </c>
      <c r="D5625" s="1" t="s">
        <v>4320</v>
      </c>
      <c r="E5625" t="s">
        <v>14</v>
      </c>
      <c r="F5625">
        <v>51.875</v>
      </c>
      <c r="G5625">
        <v>-0.36799999999999999</v>
      </c>
      <c r="H5625">
        <v>0</v>
      </c>
      <c r="I5625">
        <v>160.30000000000001</v>
      </c>
      <c r="J5625" t="str">
        <f>HYPERLINK("https://climate.onebuilding.org/WMO_Region_6_Europe/GBR_United_Kingdom/ENG_England/GBR_ENG_London-Luton.AP.036733_TMYx.2007-2021.zip")</f>
        <v>https://climate.onebuilding.org/WMO_Region_6_Europe/GBR_United_Kingdom/ENG_England/GBR_ENG_London-Luton.AP.036733_TMYx.2007-2021.zip</v>
      </c>
    </row>
    <row r="5626" spans="1:10" x14ac:dyDescent="0.25">
      <c r="A5626" t="s">
        <v>3587</v>
      </c>
      <c r="B5626" t="s">
        <v>3630</v>
      </c>
      <c r="C5626" t="s">
        <v>4319</v>
      </c>
      <c r="D5626" s="1" t="s">
        <v>4320</v>
      </c>
      <c r="E5626" t="s">
        <v>14</v>
      </c>
      <c r="F5626">
        <v>51.875</v>
      </c>
      <c r="G5626">
        <v>-0.36799999999999999</v>
      </c>
      <c r="H5626">
        <v>0</v>
      </c>
      <c r="I5626">
        <v>160.30000000000001</v>
      </c>
      <c r="J5626" t="str">
        <f>HYPERLINK("https://climate.onebuilding.org/WMO_Region_6_Europe/GBR_United_Kingdom/ENG_England/GBR_ENG_London-Luton.AP.036733_TMYx.2009-2023.zip")</f>
        <v>https://climate.onebuilding.org/WMO_Region_6_Europe/GBR_United_Kingdom/ENG_England/GBR_ENG_London-Luton.AP.036733_TMYx.2009-2023.zip</v>
      </c>
    </row>
    <row r="5627" spans="1:10" x14ac:dyDescent="0.25">
      <c r="A5627" t="s">
        <v>3587</v>
      </c>
      <c r="B5627" t="s">
        <v>3630</v>
      </c>
      <c r="C5627" t="s">
        <v>4319</v>
      </c>
      <c r="D5627" s="1" t="s">
        <v>4320</v>
      </c>
      <c r="E5627" t="s">
        <v>14</v>
      </c>
      <c r="F5627">
        <v>51.875</v>
      </c>
      <c r="G5627">
        <v>-0.36799999999999999</v>
      </c>
      <c r="H5627">
        <v>0</v>
      </c>
      <c r="I5627">
        <v>160.30000000000001</v>
      </c>
      <c r="J5627" t="str">
        <f>HYPERLINK("https://climate.onebuilding.org/WMO_Region_6_Europe/GBR_United_Kingdom/ENG_England/GBR_ENG_London-Luton.AP.036733_TMYx.zip")</f>
        <v>https://climate.onebuilding.org/WMO_Region_6_Europe/GBR_United_Kingdom/ENG_England/GBR_ENG_London-Luton.AP.036733_TMYx.zip</v>
      </c>
    </row>
    <row r="5628" spans="1:10" x14ac:dyDescent="0.25">
      <c r="A5628" t="s">
        <v>3587</v>
      </c>
      <c r="B5628" t="s">
        <v>3630</v>
      </c>
      <c r="C5628" t="s">
        <v>4322</v>
      </c>
      <c r="D5628" s="1" t="s">
        <v>4323</v>
      </c>
      <c r="E5628" t="s">
        <v>14</v>
      </c>
      <c r="F5628">
        <v>51.683</v>
      </c>
      <c r="G5628">
        <v>-0.53300000000000003</v>
      </c>
      <c r="H5628">
        <v>0</v>
      </c>
      <c r="I5628">
        <v>139</v>
      </c>
      <c r="J5628" t="str">
        <f>HYPERLINK("https://climate.onebuilding.org/WMO_Region_6_Europe/GBR_United_Kingdom/ENG_England/GBR_ENG_Chenies.Auto.036740_TMYx.zip")</f>
        <v>https://climate.onebuilding.org/WMO_Region_6_Europe/GBR_United_Kingdom/ENG_England/GBR_ENG_Chenies.Auto.036740_TMYx.zip</v>
      </c>
    </row>
    <row r="5629" spans="1:10" x14ac:dyDescent="0.25">
      <c r="A5629" t="s">
        <v>3587</v>
      </c>
      <c r="B5629" t="s">
        <v>3630</v>
      </c>
      <c r="C5629" t="s">
        <v>4324</v>
      </c>
      <c r="D5629" s="1" t="s">
        <v>4325</v>
      </c>
      <c r="E5629" t="s">
        <v>4326</v>
      </c>
      <c r="F5629">
        <v>51.8</v>
      </c>
      <c r="G5629">
        <v>0.45</v>
      </c>
      <c r="H5629">
        <v>0</v>
      </c>
      <c r="I5629">
        <v>128</v>
      </c>
      <c r="J5629" t="str">
        <f>HYPERLINK("https://climate.onebuilding.org/WMO_Region_6_Europe/GBR_United_Kingdom/ENG_England/GBR_ENG_Rothamsted.036800_TMYx.2004-2018.zip")</f>
        <v>https://climate.onebuilding.org/WMO_Region_6_Europe/GBR_United_Kingdom/ENG_England/GBR_ENG_Rothamsted.036800_TMYx.2004-2018.zip</v>
      </c>
    </row>
    <row r="5630" spans="1:10" x14ac:dyDescent="0.25">
      <c r="A5630" t="s">
        <v>3587</v>
      </c>
      <c r="B5630" t="s">
        <v>3630</v>
      </c>
      <c r="C5630" t="s">
        <v>4324</v>
      </c>
      <c r="D5630" s="1" t="s">
        <v>4325</v>
      </c>
      <c r="E5630" t="s">
        <v>14</v>
      </c>
      <c r="F5630">
        <v>51.8</v>
      </c>
      <c r="G5630">
        <v>0.45</v>
      </c>
      <c r="H5630">
        <v>0</v>
      </c>
      <c r="I5630">
        <v>128</v>
      </c>
      <c r="J5630" t="str">
        <f>HYPERLINK("https://climate.onebuilding.org/WMO_Region_6_Europe/GBR_United_Kingdom/ENG_England/GBR_ENG_Rothamsted.036800_TMYx.2007-2021.zip")</f>
        <v>https://climate.onebuilding.org/WMO_Region_6_Europe/GBR_United_Kingdom/ENG_England/GBR_ENG_Rothamsted.036800_TMYx.2007-2021.zip</v>
      </c>
    </row>
    <row r="5631" spans="1:10" x14ac:dyDescent="0.25">
      <c r="A5631" t="s">
        <v>3587</v>
      </c>
      <c r="B5631" t="s">
        <v>3630</v>
      </c>
      <c r="C5631" t="s">
        <v>4324</v>
      </c>
      <c r="D5631" s="1" t="s">
        <v>4325</v>
      </c>
      <c r="E5631" t="s">
        <v>14</v>
      </c>
      <c r="F5631">
        <v>51.8</v>
      </c>
      <c r="G5631">
        <v>0.45</v>
      </c>
      <c r="H5631">
        <v>0</v>
      </c>
      <c r="I5631">
        <v>128</v>
      </c>
      <c r="J5631" t="str">
        <f>HYPERLINK("https://climate.onebuilding.org/WMO_Region_6_Europe/GBR_United_Kingdom/ENG_England/GBR_ENG_Rothamsted.036800_TMYx.2009-2023.zip")</f>
        <v>https://climate.onebuilding.org/WMO_Region_6_Europe/GBR_United_Kingdom/ENG_England/GBR_ENG_Rothamsted.036800_TMYx.2009-2023.zip</v>
      </c>
    </row>
    <row r="5632" spans="1:10" x14ac:dyDescent="0.25">
      <c r="A5632" t="s">
        <v>3587</v>
      </c>
      <c r="B5632" t="s">
        <v>3630</v>
      </c>
      <c r="C5632" t="s">
        <v>4324</v>
      </c>
      <c r="D5632" s="1" t="s">
        <v>4325</v>
      </c>
      <c r="E5632" t="s">
        <v>14</v>
      </c>
      <c r="F5632">
        <v>51.8</v>
      </c>
      <c r="G5632">
        <v>0.45</v>
      </c>
      <c r="H5632">
        <v>0</v>
      </c>
      <c r="I5632">
        <v>128</v>
      </c>
      <c r="J5632" t="str">
        <f>HYPERLINK("https://climate.onebuilding.org/WMO_Region_6_Europe/GBR_United_Kingdom/ENG_England/GBR_ENG_Rothamsted.036800_TMYx.zip")</f>
        <v>https://climate.onebuilding.org/WMO_Region_6_Europe/GBR_United_Kingdom/ENG_England/GBR_ENG_Rothamsted.036800_TMYx.zip</v>
      </c>
    </row>
    <row r="5633" spans="1:10" x14ac:dyDescent="0.25">
      <c r="A5633" t="s">
        <v>3587</v>
      </c>
      <c r="B5633" t="s">
        <v>3630</v>
      </c>
      <c r="C5633" t="s">
        <v>4327</v>
      </c>
      <c r="D5633" s="1" t="s">
        <v>4328</v>
      </c>
      <c r="E5633" t="s">
        <v>4329</v>
      </c>
      <c r="F5633">
        <v>51.884999999999998</v>
      </c>
      <c r="G5633">
        <v>0.23499999999999999</v>
      </c>
      <c r="H5633">
        <v>0</v>
      </c>
      <c r="I5633">
        <v>106.1</v>
      </c>
      <c r="J5633" t="str">
        <f>HYPERLINK("https://climate.onebuilding.org/WMO_Region_6_Europe/GBR_United_Kingdom/ENG_England/GBR_ENG_London-Stansted.AP.036830_TMYx.2004-2018.zip")</f>
        <v>https://climate.onebuilding.org/WMO_Region_6_Europe/GBR_United_Kingdom/ENG_England/GBR_ENG_London-Stansted.AP.036830_TMYx.2004-2018.zip</v>
      </c>
    </row>
    <row r="5634" spans="1:10" x14ac:dyDescent="0.25">
      <c r="A5634" t="s">
        <v>3587</v>
      </c>
      <c r="B5634" t="s">
        <v>3630</v>
      </c>
      <c r="C5634" t="s">
        <v>4327</v>
      </c>
      <c r="D5634" s="1" t="s">
        <v>4328</v>
      </c>
      <c r="E5634" t="s">
        <v>14</v>
      </c>
      <c r="F5634">
        <v>51.884999999999998</v>
      </c>
      <c r="G5634">
        <v>0.23499999999999999</v>
      </c>
      <c r="H5634">
        <v>0</v>
      </c>
      <c r="I5634">
        <v>106.1</v>
      </c>
      <c r="J5634" t="str">
        <f>HYPERLINK("https://climate.onebuilding.org/WMO_Region_6_Europe/GBR_United_Kingdom/ENG_England/GBR_ENG_London-Stansted.AP.036830_TMYx.2007-2021.zip")</f>
        <v>https://climate.onebuilding.org/WMO_Region_6_Europe/GBR_United_Kingdom/ENG_England/GBR_ENG_London-Stansted.AP.036830_TMYx.2007-2021.zip</v>
      </c>
    </row>
    <row r="5635" spans="1:10" x14ac:dyDescent="0.25">
      <c r="A5635" t="s">
        <v>3587</v>
      </c>
      <c r="B5635" t="s">
        <v>3630</v>
      </c>
      <c r="C5635" t="s">
        <v>4327</v>
      </c>
      <c r="D5635" s="1" t="s">
        <v>4328</v>
      </c>
      <c r="E5635" t="s">
        <v>14</v>
      </c>
      <c r="F5635">
        <v>51.884999999999998</v>
      </c>
      <c r="G5635">
        <v>0.23499999999999999</v>
      </c>
      <c r="H5635">
        <v>0</v>
      </c>
      <c r="I5635">
        <v>106.1</v>
      </c>
      <c r="J5635" t="str">
        <f>HYPERLINK("https://climate.onebuilding.org/WMO_Region_6_Europe/GBR_United_Kingdom/ENG_England/GBR_ENG_London-Stansted.AP.036830_TMYx.2009-2023.zip")</f>
        <v>https://climate.onebuilding.org/WMO_Region_6_Europe/GBR_United_Kingdom/ENG_England/GBR_ENG_London-Stansted.AP.036830_TMYx.2009-2023.zip</v>
      </c>
    </row>
    <row r="5636" spans="1:10" x14ac:dyDescent="0.25">
      <c r="A5636" t="s">
        <v>3587</v>
      </c>
      <c r="B5636" t="s">
        <v>3630</v>
      </c>
      <c r="C5636" t="s">
        <v>4327</v>
      </c>
      <c r="D5636" s="1" t="s">
        <v>4328</v>
      </c>
      <c r="E5636" t="s">
        <v>14</v>
      </c>
      <c r="F5636">
        <v>51.884999999999998</v>
      </c>
      <c r="G5636">
        <v>0.23499999999999999</v>
      </c>
      <c r="H5636">
        <v>0</v>
      </c>
      <c r="I5636">
        <v>106.1</v>
      </c>
      <c r="J5636" t="str">
        <f>HYPERLINK("https://climate.onebuilding.org/WMO_Region_6_Europe/GBR_United_Kingdom/ENG_England/GBR_ENG_London-Stansted.AP.036830_TMYx.zip")</f>
        <v>https://climate.onebuilding.org/WMO_Region_6_Europe/GBR_United_Kingdom/ENG_England/GBR_ENG_London-Stansted.AP.036830_TMYx.zip</v>
      </c>
    </row>
    <row r="5637" spans="1:10" x14ac:dyDescent="0.25">
      <c r="A5637" t="s">
        <v>3587</v>
      </c>
      <c r="B5637" t="s">
        <v>3630</v>
      </c>
      <c r="C5637" t="s">
        <v>4330</v>
      </c>
      <c r="D5637" s="1" t="s">
        <v>4331</v>
      </c>
      <c r="E5637" t="s">
        <v>4332</v>
      </c>
      <c r="F5637">
        <v>51.883000000000003</v>
      </c>
      <c r="G5637">
        <v>0.45</v>
      </c>
      <c r="H5637">
        <v>0</v>
      </c>
      <c r="I5637">
        <v>87</v>
      </c>
      <c r="J5637" t="str">
        <f>HYPERLINK("https://climate.onebuilding.org/WMO_Region_6_Europe/GBR_United_Kingdom/ENG_England/GBR_ENG_Andrewsfield.AF.036840_TMYx.2004-2018.zip")</f>
        <v>https://climate.onebuilding.org/WMO_Region_6_Europe/GBR_United_Kingdom/ENG_England/GBR_ENG_Andrewsfield.AF.036840_TMYx.2004-2018.zip</v>
      </c>
    </row>
    <row r="5638" spans="1:10" x14ac:dyDescent="0.25">
      <c r="A5638" t="s">
        <v>3587</v>
      </c>
      <c r="B5638" t="s">
        <v>3630</v>
      </c>
      <c r="C5638" t="s">
        <v>4330</v>
      </c>
      <c r="D5638" s="1" t="s">
        <v>4331</v>
      </c>
      <c r="E5638" t="s">
        <v>14</v>
      </c>
      <c r="F5638">
        <v>51.896099999999997</v>
      </c>
      <c r="G5638">
        <v>0.4506</v>
      </c>
      <c r="H5638">
        <v>0</v>
      </c>
      <c r="I5638">
        <v>87</v>
      </c>
      <c r="J5638" t="str">
        <f>HYPERLINK("https://climate.onebuilding.org/WMO_Region_6_Europe/GBR_United_Kingdom/ENG_England/GBR_ENG_Andrewsfield.AF.036840_TMYx.2007-2021.zip")</f>
        <v>https://climate.onebuilding.org/WMO_Region_6_Europe/GBR_United_Kingdom/ENG_England/GBR_ENG_Andrewsfield.AF.036840_TMYx.2007-2021.zip</v>
      </c>
    </row>
    <row r="5639" spans="1:10" x14ac:dyDescent="0.25">
      <c r="A5639" t="s">
        <v>3587</v>
      </c>
      <c r="B5639" t="s">
        <v>3630</v>
      </c>
      <c r="C5639" t="s">
        <v>4330</v>
      </c>
      <c r="D5639" s="1" t="s">
        <v>4331</v>
      </c>
      <c r="E5639" t="s">
        <v>14</v>
      </c>
      <c r="F5639">
        <v>51.896099999999997</v>
      </c>
      <c r="G5639">
        <v>0.4506</v>
      </c>
      <c r="H5639">
        <v>0</v>
      </c>
      <c r="I5639">
        <v>87</v>
      </c>
      <c r="J5639" t="str">
        <f>HYPERLINK("https://climate.onebuilding.org/WMO_Region_6_Europe/GBR_United_Kingdom/ENG_England/GBR_ENG_Andrewsfield.AF.036840_TMYx.2009-2023.zip")</f>
        <v>https://climate.onebuilding.org/WMO_Region_6_Europe/GBR_United_Kingdom/ENG_England/GBR_ENG_Andrewsfield.AF.036840_TMYx.2009-2023.zip</v>
      </c>
    </row>
    <row r="5640" spans="1:10" x14ac:dyDescent="0.25">
      <c r="A5640" t="s">
        <v>3587</v>
      </c>
      <c r="B5640" t="s">
        <v>3630</v>
      </c>
      <c r="C5640" t="s">
        <v>4330</v>
      </c>
      <c r="D5640" s="1" t="s">
        <v>4331</v>
      </c>
      <c r="E5640" t="s">
        <v>14</v>
      </c>
      <c r="F5640">
        <v>51.896099999999997</v>
      </c>
      <c r="G5640">
        <v>0.4506</v>
      </c>
      <c r="H5640">
        <v>0</v>
      </c>
      <c r="I5640">
        <v>87</v>
      </c>
      <c r="J5640" t="str">
        <f>HYPERLINK("https://climate.onebuilding.org/WMO_Region_6_Europe/GBR_United_Kingdom/ENG_England/GBR_ENG_Andrewsfield.AF.036840_TMYx.zip")</f>
        <v>https://climate.onebuilding.org/WMO_Region_6_Europe/GBR_United_Kingdom/ENG_England/GBR_ENG_Andrewsfield.AF.036840_TMYx.zip</v>
      </c>
    </row>
    <row r="5641" spans="1:10" x14ac:dyDescent="0.25">
      <c r="A5641" t="s">
        <v>3587</v>
      </c>
      <c r="B5641" t="s">
        <v>3630</v>
      </c>
      <c r="C5641" t="s">
        <v>4333</v>
      </c>
      <c r="D5641" s="1" t="s">
        <v>4334</v>
      </c>
      <c r="E5641" t="s">
        <v>4335</v>
      </c>
      <c r="F5641">
        <v>51.570999999999998</v>
      </c>
      <c r="G5641">
        <v>0.69599999999999995</v>
      </c>
      <c r="H5641">
        <v>0</v>
      </c>
      <c r="I5641">
        <v>14.9</v>
      </c>
      <c r="J5641" t="str">
        <f>HYPERLINK("https://climate.onebuilding.org/WMO_Region_6_Europe/GBR_United_Kingdom/ENG_England/GBR_ENG_London-Southend.AP.036913_TMYx.2004-2018.zip")</f>
        <v>https://climate.onebuilding.org/WMO_Region_6_Europe/GBR_United_Kingdom/ENG_England/GBR_ENG_London-Southend.AP.036913_TMYx.2004-2018.zip</v>
      </c>
    </row>
    <row r="5642" spans="1:10" x14ac:dyDescent="0.25">
      <c r="A5642" t="s">
        <v>3587</v>
      </c>
      <c r="B5642" t="s">
        <v>3630</v>
      </c>
      <c r="C5642" t="s">
        <v>4333</v>
      </c>
      <c r="D5642" s="1" t="s">
        <v>4334</v>
      </c>
      <c r="E5642" t="s">
        <v>14</v>
      </c>
      <c r="F5642">
        <v>51.570999999999998</v>
      </c>
      <c r="G5642">
        <v>0.69599999999999995</v>
      </c>
      <c r="H5642">
        <v>0</v>
      </c>
      <c r="I5642">
        <v>14.9</v>
      </c>
      <c r="J5642" t="str">
        <f>HYPERLINK("https://climate.onebuilding.org/WMO_Region_6_Europe/GBR_United_Kingdom/ENG_England/GBR_ENG_London-Southend.AP.036913_TMYx.2007-2021.zip")</f>
        <v>https://climate.onebuilding.org/WMO_Region_6_Europe/GBR_United_Kingdom/ENG_England/GBR_ENG_London-Southend.AP.036913_TMYx.2007-2021.zip</v>
      </c>
    </row>
    <row r="5643" spans="1:10" x14ac:dyDescent="0.25">
      <c r="A5643" t="s">
        <v>3587</v>
      </c>
      <c r="B5643" t="s">
        <v>3630</v>
      </c>
      <c r="C5643" t="s">
        <v>4333</v>
      </c>
      <c r="D5643" s="1" t="s">
        <v>4334</v>
      </c>
      <c r="E5643" t="s">
        <v>14</v>
      </c>
      <c r="F5643">
        <v>51.570999999999998</v>
      </c>
      <c r="G5643">
        <v>0.69599999999999995</v>
      </c>
      <c r="H5643">
        <v>0</v>
      </c>
      <c r="I5643">
        <v>14.9</v>
      </c>
      <c r="J5643" t="str">
        <f>HYPERLINK("https://climate.onebuilding.org/WMO_Region_6_Europe/GBR_United_Kingdom/ENG_England/GBR_ENG_London-Southend.AP.036913_TMYx.2009-2023.zip")</f>
        <v>https://climate.onebuilding.org/WMO_Region_6_Europe/GBR_United_Kingdom/ENG_England/GBR_ENG_London-Southend.AP.036913_TMYx.2009-2023.zip</v>
      </c>
    </row>
    <row r="5644" spans="1:10" x14ac:dyDescent="0.25">
      <c r="A5644" t="s">
        <v>3587</v>
      </c>
      <c r="B5644" t="s">
        <v>3630</v>
      </c>
      <c r="C5644" t="s">
        <v>4333</v>
      </c>
      <c r="D5644" s="1" t="s">
        <v>4334</v>
      </c>
      <c r="E5644" t="s">
        <v>14</v>
      </c>
      <c r="F5644">
        <v>51.570999999999998</v>
      </c>
      <c r="G5644">
        <v>0.69599999999999995</v>
      </c>
      <c r="H5644">
        <v>0</v>
      </c>
      <c r="I5644">
        <v>14.9</v>
      </c>
      <c r="J5644" t="str">
        <f>HYPERLINK("https://climate.onebuilding.org/WMO_Region_6_Europe/GBR_United_Kingdom/ENG_England/GBR_ENG_London-Southend.AP.036913_TMYx.zip")</f>
        <v>https://climate.onebuilding.org/WMO_Region_6_Europe/GBR_United_Kingdom/ENG_England/GBR_ENG_London-Southend.AP.036913_TMYx.zip</v>
      </c>
    </row>
    <row r="5645" spans="1:10" x14ac:dyDescent="0.25">
      <c r="A5645" t="s">
        <v>3587</v>
      </c>
      <c r="B5645" t="s">
        <v>3630</v>
      </c>
      <c r="C5645" t="s">
        <v>4336</v>
      </c>
      <c r="D5645" s="1" t="s">
        <v>4337</v>
      </c>
      <c r="E5645" t="s">
        <v>4338</v>
      </c>
      <c r="F5645">
        <v>51.55</v>
      </c>
      <c r="G5645">
        <v>0.83299999999999996</v>
      </c>
      <c r="H5645">
        <v>0</v>
      </c>
      <c r="I5645">
        <v>3</v>
      </c>
      <c r="J5645" t="str">
        <f>HYPERLINK("https://climate.onebuilding.org/WMO_Region_6_Europe/GBR_United_Kingdom/ENG_England/GBR_ENG_Shoeburyness.Landwick.036930_TMYx.2004-2018.zip")</f>
        <v>https://climate.onebuilding.org/WMO_Region_6_Europe/GBR_United_Kingdom/ENG_England/GBR_ENG_Shoeburyness.Landwick.036930_TMYx.2004-2018.zip</v>
      </c>
    </row>
    <row r="5646" spans="1:10" x14ac:dyDescent="0.25">
      <c r="A5646" t="s">
        <v>3587</v>
      </c>
      <c r="B5646" t="s">
        <v>3630</v>
      </c>
      <c r="C5646" t="s">
        <v>4336</v>
      </c>
      <c r="D5646" s="1" t="s">
        <v>4337</v>
      </c>
      <c r="E5646" t="s">
        <v>14</v>
      </c>
      <c r="F5646">
        <v>51.554699999999997</v>
      </c>
      <c r="G5646">
        <v>0.82689999999999997</v>
      </c>
      <c r="H5646">
        <v>0</v>
      </c>
      <c r="I5646">
        <v>3</v>
      </c>
      <c r="J5646" t="str">
        <f>HYPERLINK("https://climate.onebuilding.org/WMO_Region_6_Europe/GBR_United_Kingdom/ENG_England/GBR_ENG_Shoeburyness.Landwick.036930_TMYx.2007-2021.zip")</f>
        <v>https://climate.onebuilding.org/WMO_Region_6_Europe/GBR_United_Kingdom/ENG_England/GBR_ENG_Shoeburyness.Landwick.036930_TMYx.2007-2021.zip</v>
      </c>
    </row>
    <row r="5647" spans="1:10" x14ac:dyDescent="0.25">
      <c r="A5647" t="s">
        <v>3587</v>
      </c>
      <c r="B5647" t="s">
        <v>3630</v>
      </c>
      <c r="C5647" t="s">
        <v>4336</v>
      </c>
      <c r="D5647" s="1" t="s">
        <v>4337</v>
      </c>
      <c r="E5647" t="s">
        <v>14</v>
      </c>
      <c r="F5647">
        <v>51.554699999999997</v>
      </c>
      <c r="G5647">
        <v>0.82689999999999997</v>
      </c>
      <c r="H5647">
        <v>0</v>
      </c>
      <c r="I5647">
        <v>3</v>
      </c>
      <c r="J5647" t="str">
        <f>HYPERLINK("https://climate.onebuilding.org/WMO_Region_6_Europe/GBR_United_Kingdom/ENG_England/GBR_ENG_Shoeburyness.Landwick.036930_TMYx.2009-2023.zip")</f>
        <v>https://climate.onebuilding.org/WMO_Region_6_Europe/GBR_United_Kingdom/ENG_England/GBR_ENG_Shoeburyness.Landwick.036930_TMYx.2009-2023.zip</v>
      </c>
    </row>
    <row r="5648" spans="1:10" x14ac:dyDescent="0.25">
      <c r="A5648" t="s">
        <v>3587</v>
      </c>
      <c r="B5648" t="s">
        <v>3630</v>
      </c>
      <c r="C5648" t="s">
        <v>4336</v>
      </c>
      <c r="D5648" s="1" t="s">
        <v>4337</v>
      </c>
      <c r="E5648" t="s">
        <v>14</v>
      </c>
      <c r="F5648">
        <v>51.554699999999997</v>
      </c>
      <c r="G5648">
        <v>0.82689999999999997</v>
      </c>
      <c r="H5648">
        <v>0</v>
      </c>
      <c r="I5648">
        <v>3</v>
      </c>
      <c r="J5648" t="str">
        <f>HYPERLINK("https://climate.onebuilding.org/WMO_Region_6_Europe/GBR_United_Kingdom/ENG_England/GBR_ENG_Shoeburyness.Landwick.036930_TMYx.zip")</f>
        <v>https://climate.onebuilding.org/WMO_Region_6_Europe/GBR_United_Kingdom/ENG_England/GBR_ENG_Shoeburyness.Landwick.036930_TMYx.zip</v>
      </c>
    </row>
    <row r="5649" spans="1:10" x14ac:dyDescent="0.25">
      <c r="A5649" t="s">
        <v>3587</v>
      </c>
      <c r="B5649" t="s">
        <v>3630</v>
      </c>
      <c r="C5649" t="s">
        <v>4339</v>
      </c>
      <c r="D5649" s="1" t="s">
        <v>4340</v>
      </c>
      <c r="E5649" t="s">
        <v>14</v>
      </c>
      <c r="F5649">
        <v>51.667000000000002</v>
      </c>
      <c r="G5649">
        <v>1.1000000000000001</v>
      </c>
      <c r="H5649">
        <v>0</v>
      </c>
      <c r="I5649">
        <v>8</v>
      </c>
      <c r="J5649" t="str">
        <f>HYPERLINK("https://climate.onebuilding.org/WMO_Region_6_Europe/GBR_United_Kingdom/ENG_England/GBR_ENG_Thames.Tower.036950_TMYx.zip")</f>
        <v>https://climate.onebuilding.org/WMO_Region_6_Europe/GBR_United_Kingdom/ENG_England/GBR_ENG_Thames.Tower.036950_TMYx.zip</v>
      </c>
    </row>
    <row r="5650" spans="1:10" x14ac:dyDescent="0.25">
      <c r="A5650" t="s">
        <v>3587</v>
      </c>
      <c r="B5650" t="s">
        <v>3630</v>
      </c>
      <c r="C5650" t="s">
        <v>4341</v>
      </c>
      <c r="D5650" s="1" t="s">
        <v>4342</v>
      </c>
      <c r="E5650" t="s">
        <v>14</v>
      </c>
      <c r="F5650">
        <v>51.850999999999999</v>
      </c>
      <c r="G5650">
        <v>1.2669999999999999</v>
      </c>
      <c r="H5650">
        <v>0</v>
      </c>
      <c r="I5650">
        <v>5</v>
      </c>
      <c r="J5650" t="str">
        <f>HYPERLINK("https://climate.onebuilding.org/WMO_Region_6_Europe/GBR_United_Kingdom/ENG_England/GBR_ENG_Walton.on.the.Naze.036960_TMYx.zip")</f>
        <v>https://climate.onebuilding.org/WMO_Region_6_Europe/GBR_United_Kingdom/ENG_England/GBR_ENG_Walton.on.the.Naze.036960_TMYx.zip</v>
      </c>
    </row>
    <row r="5651" spans="1:10" x14ac:dyDescent="0.25">
      <c r="A5651" t="s">
        <v>3587</v>
      </c>
      <c r="B5651" t="s">
        <v>3630</v>
      </c>
      <c r="C5651" t="s">
        <v>4343</v>
      </c>
      <c r="D5651" s="1" t="s">
        <v>4344</v>
      </c>
      <c r="E5651" t="s">
        <v>14</v>
      </c>
      <c r="F5651">
        <v>51.517000000000003</v>
      </c>
      <c r="G5651">
        <v>1.383</v>
      </c>
      <c r="H5651">
        <v>0</v>
      </c>
      <c r="I5651">
        <v>15</v>
      </c>
      <c r="J5651" t="str">
        <f>HYPERLINK("https://climate.onebuilding.org/WMO_Region_6_Europe/GBR_United_Kingdom/ENG_England/GBR_ENG_Tongue.Light.036980_TMYx.zip")</f>
        <v>https://climate.onebuilding.org/WMO_Region_6_Europe/GBR_United_Kingdom/ENG_England/GBR_ENG_Tongue.Light.036980_TMYx.zip</v>
      </c>
    </row>
    <row r="5652" spans="1:10" x14ac:dyDescent="0.25">
      <c r="A5652" t="s">
        <v>3587</v>
      </c>
      <c r="B5652" t="s">
        <v>391</v>
      </c>
      <c r="C5652" t="s">
        <v>4345</v>
      </c>
      <c r="D5652" s="1" t="s">
        <v>4346</v>
      </c>
      <c r="E5652" t="s">
        <v>14</v>
      </c>
      <c r="F5652">
        <v>51.5</v>
      </c>
      <c r="G5652">
        <v>-5</v>
      </c>
      <c r="H5652">
        <v>0</v>
      </c>
      <c r="I5652">
        <v>5</v>
      </c>
      <c r="J5652" t="str">
        <f>HYPERLINK("https://climate.onebuilding.org/WMO_Region_6_Europe/GBR_United_Kingdom/WAL_Wales/GBR_WAL_Saint.Gowan.L.V.037000_TMYx.zip")</f>
        <v>https://climate.onebuilding.org/WMO_Region_6_Europe/GBR_United_Kingdom/WAL_Wales/GBR_WAL_Saint.Gowan.L.V.037000_TMYx.zip</v>
      </c>
    </row>
    <row r="5653" spans="1:10" x14ac:dyDescent="0.25">
      <c r="A5653" t="s">
        <v>3587</v>
      </c>
      <c r="B5653" t="s">
        <v>3630</v>
      </c>
      <c r="C5653" t="s">
        <v>4347</v>
      </c>
      <c r="D5653" s="1" t="s">
        <v>4348</v>
      </c>
      <c r="E5653" t="s">
        <v>14</v>
      </c>
      <c r="F5653">
        <v>51.017000000000003</v>
      </c>
      <c r="G5653">
        <v>-4.5</v>
      </c>
      <c r="H5653">
        <v>0</v>
      </c>
      <c r="I5653">
        <v>122</v>
      </c>
      <c r="J5653" t="str">
        <f>HYPERLINK("https://climate.onebuilding.org/WMO_Region_6_Europe/GBR_United_Kingdom/ENG_England/GBR_ENG_Gawlish.037010_TMYx.zip")</f>
        <v>https://climate.onebuilding.org/WMO_Region_6_Europe/GBR_United_Kingdom/ENG_England/GBR_ENG_Gawlish.037010_TMYx.zip</v>
      </c>
    </row>
    <row r="5654" spans="1:10" x14ac:dyDescent="0.25">
      <c r="A5654" t="s">
        <v>3587</v>
      </c>
      <c r="B5654" t="s">
        <v>3630</v>
      </c>
      <c r="C5654" t="s">
        <v>4349</v>
      </c>
      <c r="D5654" s="1" t="s">
        <v>4350</v>
      </c>
      <c r="E5654" t="s">
        <v>14</v>
      </c>
      <c r="F5654">
        <v>51.161999999999999</v>
      </c>
      <c r="G5654">
        <v>-4.6559999999999997</v>
      </c>
      <c r="H5654">
        <v>0</v>
      </c>
      <c r="I5654">
        <v>43</v>
      </c>
      <c r="J5654" t="str">
        <f>HYPERLINK("https://climate.onebuilding.org/WMO_Region_6_Europe/GBR_United_Kingdom/ENG_England/GBR_ENG_Lundy.Island.Lighthouse.037020_TMYx.zip")</f>
        <v>https://climate.onebuilding.org/WMO_Region_6_Europe/GBR_United_Kingdom/ENG_England/GBR_ENG_Lundy.Island.Lighthouse.037020_TMYx.zip</v>
      </c>
    </row>
    <row r="5655" spans="1:10" x14ac:dyDescent="0.25">
      <c r="A5655" t="s">
        <v>3587</v>
      </c>
      <c r="B5655" t="s">
        <v>3630</v>
      </c>
      <c r="C5655" t="s">
        <v>4351</v>
      </c>
      <c r="D5655" s="1" t="s">
        <v>4352</v>
      </c>
      <c r="E5655" t="s">
        <v>14</v>
      </c>
      <c r="F5655">
        <v>51.017000000000003</v>
      </c>
      <c r="G5655">
        <v>-4.5330000000000004</v>
      </c>
      <c r="H5655">
        <v>0</v>
      </c>
      <c r="I5655">
        <v>91</v>
      </c>
      <c r="J5655" t="str">
        <f>HYPERLINK("https://climate.onebuilding.org/WMO_Region_6_Europe/GBR_United_Kingdom/ENG_England/GBR_ENG_Hartland.Point.037030_TMYx.zip")</f>
        <v>https://climate.onebuilding.org/WMO_Region_6_Europe/GBR_United_Kingdom/ENG_England/GBR_ENG_Hartland.Point.037030_TMYx.zip</v>
      </c>
    </row>
    <row r="5656" spans="1:10" x14ac:dyDescent="0.25">
      <c r="A5656" t="s">
        <v>3587</v>
      </c>
      <c r="B5656" t="s">
        <v>3630</v>
      </c>
      <c r="C5656" t="s">
        <v>4353</v>
      </c>
      <c r="D5656" s="1" t="s">
        <v>4354</v>
      </c>
      <c r="E5656" t="s">
        <v>14</v>
      </c>
      <c r="F5656">
        <v>50.982999999999997</v>
      </c>
      <c r="G5656">
        <v>-4.4669999999999996</v>
      </c>
      <c r="H5656">
        <v>0</v>
      </c>
      <c r="I5656">
        <v>142</v>
      </c>
      <c r="J5656" t="str">
        <f>HYPERLINK("https://climate.onebuilding.org/WMO_Region_6_Europe/GBR_United_Kingdom/ENG_England/GBR_ENG_Hartland.037040_TMYx.zip")</f>
        <v>https://climate.onebuilding.org/WMO_Region_6_Europe/GBR_United_Kingdom/ENG_England/GBR_ENG_Hartland.037040_TMYx.zip</v>
      </c>
    </row>
    <row r="5657" spans="1:10" x14ac:dyDescent="0.25">
      <c r="A5657" t="s">
        <v>3587</v>
      </c>
      <c r="B5657" t="s">
        <v>3630</v>
      </c>
      <c r="C5657" t="s">
        <v>4355</v>
      </c>
      <c r="D5657" s="1" t="s">
        <v>4356</v>
      </c>
      <c r="E5657" t="s">
        <v>4357</v>
      </c>
      <c r="F5657">
        <v>51.087000000000003</v>
      </c>
      <c r="G5657">
        <v>-4.1500000000000004</v>
      </c>
      <c r="H5657">
        <v>0</v>
      </c>
      <c r="I5657">
        <v>8.1999999999999993</v>
      </c>
      <c r="J5657" t="str">
        <f>HYPERLINK("https://climate.onebuilding.org/WMO_Region_6_Europe/GBR_United_Kingdom/ENG_England/GBR_ENG_RMB.Chivenor.037070_TMYx.2004-2018.zip")</f>
        <v>https://climate.onebuilding.org/WMO_Region_6_Europe/GBR_United_Kingdom/ENG_England/GBR_ENG_RMB.Chivenor.037070_TMYx.2004-2018.zip</v>
      </c>
    </row>
    <row r="5658" spans="1:10" x14ac:dyDescent="0.25">
      <c r="A5658" t="s">
        <v>3587</v>
      </c>
      <c r="B5658" t="s">
        <v>3630</v>
      </c>
      <c r="C5658" t="s">
        <v>4355</v>
      </c>
      <c r="D5658" s="1" t="s">
        <v>4356</v>
      </c>
      <c r="E5658" t="s">
        <v>14</v>
      </c>
      <c r="F5658">
        <v>51.089199999999998</v>
      </c>
      <c r="G5658">
        <v>-4.1486000000000001</v>
      </c>
      <c r="H5658">
        <v>0</v>
      </c>
      <c r="I5658">
        <v>8.1999999999999993</v>
      </c>
      <c r="J5658" t="str">
        <f>HYPERLINK("https://climate.onebuilding.org/WMO_Region_6_Europe/GBR_United_Kingdom/ENG_England/GBR_ENG_RMB.Chivenor.037070_TMYx.2007-2021.zip")</f>
        <v>https://climate.onebuilding.org/WMO_Region_6_Europe/GBR_United_Kingdom/ENG_England/GBR_ENG_RMB.Chivenor.037070_TMYx.2007-2021.zip</v>
      </c>
    </row>
    <row r="5659" spans="1:10" x14ac:dyDescent="0.25">
      <c r="A5659" t="s">
        <v>3587</v>
      </c>
      <c r="B5659" t="s">
        <v>3630</v>
      </c>
      <c r="C5659" t="s">
        <v>4355</v>
      </c>
      <c r="D5659" s="1" t="s">
        <v>4356</v>
      </c>
      <c r="E5659" t="s">
        <v>14</v>
      </c>
      <c r="F5659">
        <v>51.089199999999998</v>
      </c>
      <c r="G5659">
        <v>-4.1486000000000001</v>
      </c>
      <c r="H5659">
        <v>0</v>
      </c>
      <c r="I5659">
        <v>8.1999999999999993</v>
      </c>
      <c r="J5659" t="str">
        <f>HYPERLINK("https://climate.onebuilding.org/WMO_Region_6_Europe/GBR_United_Kingdom/ENG_England/GBR_ENG_RMB.Chivenor.037070_TMYx.2009-2023.zip")</f>
        <v>https://climate.onebuilding.org/WMO_Region_6_Europe/GBR_United_Kingdom/ENG_England/GBR_ENG_RMB.Chivenor.037070_TMYx.2009-2023.zip</v>
      </c>
    </row>
    <row r="5660" spans="1:10" x14ac:dyDescent="0.25">
      <c r="A5660" t="s">
        <v>3587</v>
      </c>
      <c r="B5660" t="s">
        <v>3630</v>
      </c>
      <c r="C5660" t="s">
        <v>4355</v>
      </c>
      <c r="D5660" s="1" t="s">
        <v>4356</v>
      </c>
      <c r="E5660" t="s">
        <v>14</v>
      </c>
      <c r="F5660">
        <v>51.089199999999998</v>
      </c>
      <c r="G5660">
        <v>-4.1486000000000001</v>
      </c>
      <c r="H5660">
        <v>0</v>
      </c>
      <c r="I5660">
        <v>8.1999999999999993</v>
      </c>
      <c r="J5660" t="str">
        <f>HYPERLINK("https://climate.onebuilding.org/WMO_Region_6_Europe/GBR_United_Kingdom/ENG_England/GBR_ENG_RMB.Chivenor.037070_TMYx.zip")</f>
        <v>https://climate.onebuilding.org/WMO_Region_6_Europe/GBR_United_Kingdom/ENG_England/GBR_ENG_RMB.Chivenor.037070_TMYx.zip</v>
      </c>
    </row>
    <row r="5661" spans="1:10" x14ac:dyDescent="0.25">
      <c r="A5661" t="s">
        <v>3587</v>
      </c>
      <c r="B5661" t="s">
        <v>3630</v>
      </c>
      <c r="C5661" t="s">
        <v>4358</v>
      </c>
      <c r="D5661" s="1" t="s">
        <v>4359</v>
      </c>
      <c r="E5661" t="s">
        <v>14</v>
      </c>
      <c r="F5661">
        <v>51.2</v>
      </c>
      <c r="G5661">
        <v>-3.45</v>
      </c>
      <c r="H5661">
        <v>0</v>
      </c>
      <c r="I5661">
        <v>10</v>
      </c>
      <c r="J5661" t="str">
        <f>HYPERLINK("https://climate.onebuilding.org/WMO_Region_6_Europe/GBR_United_Kingdom/ENG_England/GBR_ENG_Minehead.037090_TMYx.zip")</f>
        <v>https://climate.onebuilding.org/WMO_Region_6_Europe/GBR_United_Kingdom/ENG_England/GBR_ENG_Minehead.037090_TMYx.zip</v>
      </c>
    </row>
    <row r="5662" spans="1:10" x14ac:dyDescent="0.25">
      <c r="A5662" t="s">
        <v>3587</v>
      </c>
      <c r="B5662" t="s">
        <v>3630</v>
      </c>
      <c r="C5662" t="s">
        <v>4360</v>
      </c>
      <c r="D5662" s="1" t="s">
        <v>4361</v>
      </c>
      <c r="E5662" t="s">
        <v>4362</v>
      </c>
      <c r="F5662">
        <v>51.082999999999998</v>
      </c>
      <c r="G5662">
        <v>-3.6</v>
      </c>
      <c r="H5662">
        <v>0</v>
      </c>
      <c r="I5662">
        <v>347</v>
      </c>
      <c r="J5662" t="str">
        <f>HYPERLINK("https://climate.onebuilding.org/WMO_Region_6_Europe/GBR_United_Kingdom/ENG_England/GBR_ENG_Liscombe.037100_TMYx.2004-2018.zip")</f>
        <v>https://climate.onebuilding.org/WMO_Region_6_Europe/GBR_United_Kingdom/ENG_England/GBR_ENG_Liscombe.037100_TMYx.2004-2018.zip</v>
      </c>
    </row>
    <row r="5663" spans="1:10" x14ac:dyDescent="0.25">
      <c r="A5663" t="s">
        <v>3587</v>
      </c>
      <c r="B5663" t="s">
        <v>3630</v>
      </c>
      <c r="C5663" t="s">
        <v>4360</v>
      </c>
      <c r="D5663" s="1" t="s">
        <v>4361</v>
      </c>
      <c r="E5663" t="s">
        <v>14</v>
      </c>
      <c r="F5663">
        <v>51.0869</v>
      </c>
      <c r="G5663">
        <v>-3.6089000000000002</v>
      </c>
      <c r="H5663">
        <v>0</v>
      </c>
      <c r="I5663">
        <v>347</v>
      </c>
      <c r="J5663" t="str">
        <f>HYPERLINK("https://climate.onebuilding.org/WMO_Region_6_Europe/GBR_United_Kingdom/ENG_England/GBR_ENG_Liscombe.037100_TMYx.2007-2021.zip")</f>
        <v>https://climate.onebuilding.org/WMO_Region_6_Europe/GBR_United_Kingdom/ENG_England/GBR_ENG_Liscombe.037100_TMYx.2007-2021.zip</v>
      </c>
    </row>
    <row r="5664" spans="1:10" x14ac:dyDescent="0.25">
      <c r="A5664" t="s">
        <v>3587</v>
      </c>
      <c r="B5664" t="s">
        <v>3630</v>
      </c>
      <c r="C5664" t="s">
        <v>4360</v>
      </c>
      <c r="D5664" s="1" t="s">
        <v>4361</v>
      </c>
      <c r="E5664" t="s">
        <v>14</v>
      </c>
      <c r="F5664">
        <v>51.0869</v>
      </c>
      <c r="G5664">
        <v>-3.6089000000000002</v>
      </c>
      <c r="H5664">
        <v>0</v>
      </c>
      <c r="I5664">
        <v>347</v>
      </c>
      <c r="J5664" t="str">
        <f>HYPERLINK("https://climate.onebuilding.org/WMO_Region_6_Europe/GBR_United_Kingdom/ENG_England/GBR_ENG_Liscombe.037100_TMYx.2009-2023.zip")</f>
        <v>https://climate.onebuilding.org/WMO_Region_6_Europe/GBR_United_Kingdom/ENG_England/GBR_ENG_Liscombe.037100_TMYx.2009-2023.zip</v>
      </c>
    </row>
    <row r="5665" spans="1:10" x14ac:dyDescent="0.25">
      <c r="A5665" t="s">
        <v>3587</v>
      </c>
      <c r="B5665" t="s">
        <v>3630</v>
      </c>
      <c r="C5665" t="s">
        <v>4360</v>
      </c>
      <c r="D5665" s="1" t="s">
        <v>4361</v>
      </c>
      <c r="E5665" t="s">
        <v>14</v>
      </c>
      <c r="F5665">
        <v>51.0869</v>
      </c>
      <c r="G5665">
        <v>-3.6089000000000002</v>
      </c>
      <c r="H5665">
        <v>0</v>
      </c>
      <c r="I5665">
        <v>347</v>
      </c>
      <c r="J5665" t="str">
        <f>HYPERLINK("https://climate.onebuilding.org/WMO_Region_6_Europe/GBR_United_Kingdom/ENG_England/GBR_ENG_Liscombe.037100_TMYx.zip")</f>
        <v>https://climate.onebuilding.org/WMO_Region_6_Europe/GBR_United_Kingdom/ENG_England/GBR_ENG_Liscombe.037100_TMYx.zip</v>
      </c>
    </row>
    <row r="5666" spans="1:10" x14ac:dyDescent="0.25">
      <c r="A5666" t="s">
        <v>3587</v>
      </c>
      <c r="B5666" t="s">
        <v>3630</v>
      </c>
      <c r="C5666" t="s">
        <v>4363</v>
      </c>
      <c r="D5666" s="1" t="s">
        <v>4364</v>
      </c>
      <c r="E5666" t="s">
        <v>14</v>
      </c>
      <c r="F5666">
        <v>51</v>
      </c>
      <c r="G5666">
        <v>-3.4830000000000001</v>
      </c>
      <c r="H5666">
        <v>0</v>
      </c>
      <c r="I5666">
        <v>332</v>
      </c>
      <c r="J5666" t="str">
        <f>HYPERLINK("https://climate.onebuilding.org/WMO_Region_6_Europe/GBR_United_Kingdom/ENG_England/GBR_ENG_Exton.037110_TMYx.zip")</f>
        <v>https://climate.onebuilding.org/WMO_Region_6_Europe/GBR_United_Kingdom/ENG_England/GBR_ENG_Exton.037110_TMYx.zip</v>
      </c>
    </row>
    <row r="5667" spans="1:10" x14ac:dyDescent="0.25">
      <c r="A5667" t="s">
        <v>3587</v>
      </c>
      <c r="B5667" t="s">
        <v>3630</v>
      </c>
      <c r="C5667" t="s">
        <v>4365</v>
      </c>
      <c r="D5667" s="1" t="s">
        <v>4366</v>
      </c>
      <c r="E5667" t="s">
        <v>14</v>
      </c>
      <c r="F5667">
        <v>51.2</v>
      </c>
      <c r="G5667">
        <v>-3.5329999999999999</v>
      </c>
      <c r="H5667">
        <v>0</v>
      </c>
      <c r="I5667">
        <v>83</v>
      </c>
      <c r="J5667" t="str">
        <f>HYPERLINK("https://climate.onebuilding.org/WMO_Region_6_Europe/GBR_United_Kingdom/ENG_England/GBR_ENG_Tivington.037120_TMYx.zip")</f>
        <v>https://climate.onebuilding.org/WMO_Region_6_Europe/GBR_United_Kingdom/ENG_England/GBR_ENG_Tivington.037120_TMYx.zip</v>
      </c>
    </row>
    <row r="5668" spans="1:10" x14ac:dyDescent="0.25">
      <c r="A5668" t="s">
        <v>3587</v>
      </c>
      <c r="B5668" t="s">
        <v>391</v>
      </c>
      <c r="C5668" t="s">
        <v>4367</v>
      </c>
      <c r="D5668" s="1" t="s">
        <v>4368</v>
      </c>
      <c r="E5668" t="s">
        <v>4369</v>
      </c>
      <c r="F5668">
        <v>51.396999999999998</v>
      </c>
      <c r="G5668">
        <v>-3.343</v>
      </c>
      <c r="H5668">
        <v>0</v>
      </c>
      <c r="I5668">
        <v>67.099999999999994</v>
      </c>
      <c r="J5668" t="str">
        <f>HYPERLINK("https://climate.onebuilding.org/WMO_Region_6_Europe/GBR_United_Kingdom/WAL_Wales/GBR_WAL_Cardiff.AP.037150_TMYx.2004-2018.zip")</f>
        <v>https://climate.onebuilding.org/WMO_Region_6_Europe/GBR_United_Kingdom/WAL_Wales/GBR_WAL_Cardiff.AP.037150_TMYx.2004-2018.zip</v>
      </c>
    </row>
    <row r="5669" spans="1:10" x14ac:dyDescent="0.25">
      <c r="A5669" t="s">
        <v>3587</v>
      </c>
      <c r="B5669" t="s">
        <v>391</v>
      </c>
      <c r="C5669" t="s">
        <v>4367</v>
      </c>
      <c r="D5669" s="1" t="s">
        <v>4368</v>
      </c>
      <c r="E5669" t="s">
        <v>14</v>
      </c>
      <c r="F5669">
        <v>51.396999999999998</v>
      </c>
      <c r="G5669">
        <v>-3.343</v>
      </c>
      <c r="H5669">
        <v>0</v>
      </c>
      <c r="I5669">
        <v>67.099999999999994</v>
      </c>
      <c r="J5669" t="str">
        <f>HYPERLINK("https://climate.onebuilding.org/WMO_Region_6_Europe/GBR_United_Kingdom/WAL_Wales/GBR_WAL_Cardiff.AP.037150_TMYx.2007-2021.zip")</f>
        <v>https://climate.onebuilding.org/WMO_Region_6_Europe/GBR_United_Kingdom/WAL_Wales/GBR_WAL_Cardiff.AP.037150_TMYx.2007-2021.zip</v>
      </c>
    </row>
    <row r="5670" spans="1:10" x14ac:dyDescent="0.25">
      <c r="A5670" t="s">
        <v>3587</v>
      </c>
      <c r="B5670" t="s">
        <v>391</v>
      </c>
      <c r="C5670" t="s">
        <v>4367</v>
      </c>
      <c r="D5670" s="1" t="s">
        <v>4368</v>
      </c>
      <c r="E5670" t="s">
        <v>14</v>
      </c>
      <c r="F5670">
        <v>51.396999999999998</v>
      </c>
      <c r="G5670">
        <v>-3.343</v>
      </c>
      <c r="H5670">
        <v>0</v>
      </c>
      <c r="I5670">
        <v>67.099999999999994</v>
      </c>
      <c r="J5670" t="str">
        <f>HYPERLINK("https://climate.onebuilding.org/WMO_Region_6_Europe/GBR_United_Kingdom/WAL_Wales/GBR_WAL_Cardiff.AP.037150_TMYx.2009-2023.zip")</f>
        <v>https://climate.onebuilding.org/WMO_Region_6_Europe/GBR_United_Kingdom/WAL_Wales/GBR_WAL_Cardiff.AP.037150_TMYx.2009-2023.zip</v>
      </c>
    </row>
    <row r="5671" spans="1:10" x14ac:dyDescent="0.25">
      <c r="A5671" t="s">
        <v>3587</v>
      </c>
      <c r="B5671" t="s">
        <v>391</v>
      </c>
      <c r="C5671" t="s">
        <v>4367</v>
      </c>
      <c r="D5671" s="1" t="s">
        <v>4368</v>
      </c>
      <c r="E5671" t="s">
        <v>14</v>
      </c>
      <c r="F5671">
        <v>51.396999999999998</v>
      </c>
      <c r="G5671">
        <v>-3.343</v>
      </c>
      <c r="H5671">
        <v>0</v>
      </c>
      <c r="I5671">
        <v>67.099999999999994</v>
      </c>
      <c r="J5671" t="str">
        <f>HYPERLINK("https://climate.onebuilding.org/WMO_Region_6_Europe/GBR_United_Kingdom/WAL_Wales/GBR_WAL_Cardiff.AP.037150_TMYx.zip")</f>
        <v>https://climate.onebuilding.org/WMO_Region_6_Europe/GBR_United_Kingdom/WAL_Wales/GBR_WAL_Cardiff.AP.037150_TMYx.zip</v>
      </c>
    </row>
    <row r="5672" spans="1:10" x14ac:dyDescent="0.25">
      <c r="A5672" t="s">
        <v>3587</v>
      </c>
      <c r="B5672" t="s">
        <v>391</v>
      </c>
      <c r="C5672" t="s">
        <v>4370</v>
      </c>
      <c r="D5672" s="1" t="s">
        <v>4371</v>
      </c>
      <c r="E5672" t="s">
        <v>4372</v>
      </c>
      <c r="F5672">
        <v>51.405000000000001</v>
      </c>
      <c r="G5672">
        <v>-3.4359999999999999</v>
      </c>
      <c r="H5672">
        <v>0</v>
      </c>
      <c r="I5672">
        <v>49.7</v>
      </c>
      <c r="J5672" t="str">
        <f>HYPERLINK("https://climate.onebuilding.org/WMO_Region_6_Europe/GBR_United_Kingdom/WAL_Wales/GBR_WAL_St.Athan.AP.037160_TMYx.2004-2018.zip")</f>
        <v>https://climate.onebuilding.org/WMO_Region_6_Europe/GBR_United_Kingdom/WAL_Wales/GBR_WAL_St.Athan.AP.037160_TMYx.2004-2018.zip</v>
      </c>
    </row>
    <row r="5673" spans="1:10" x14ac:dyDescent="0.25">
      <c r="A5673" t="s">
        <v>3587</v>
      </c>
      <c r="B5673" t="s">
        <v>391</v>
      </c>
      <c r="C5673" t="s">
        <v>4370</v>
      </c>
      <c r="D5673" s="1" t="s">
        <v>4371</v>
      </c>
      <c r="E5673" t="s">
        <v>14</v>
      </c>
      <c r="F5673">
        <v>51.405299999999997</v>
      </c>
      <c r="G5673">
        <v>-3.4407999999999999</v>
      </c>
      <c r="H5673">
        <v>0</v>
      </c>
      <c r="I5673">
        <v>49.7</v>
      </c>
      <c r="J5673" t="str">
        <f>HYPERLINK("https://climate.onebuilding.org/WMO_Region_6_Europe/GBR_United_Kingdom/WAL_Wales/GBR_WAL_St.Athan.AP.037160_TMYx.2007-2021.zip")</f>
        <v>https://climate.onebuilding.org/WMO_Region_6_Europe/GBR_United_Kingdom/WAL_Wales/GBR_WAL_St.Athan.AP.037160_TMYx.2007-2021.zip</v>
      </c>
    </row>
    <row r="5674" spans="1:10" x14ac:dyDescent="0.25">
      <c r="A5674" t="s">
        <v>3587</v>
      </c>
      <c r="B5674" t="s">
        <v>391</v>
      </c>
      <c r="C5674" t="s">
        <v>4370</v>
      </c>
      <c r="D5674" s="1" t="s">
        <v>4371</v>
      </c>
      <c r="E5674" t="s">
        <v>14</v>
      </c>
      <c r="F5674">
        <v>51.405299999999997</v>
      </c>
      <c r="G5674">
        <v>-3.4407999999999999</v>
      </c>
      <c r="H5674">
        <v>0</v>
      </c>
      <c r="I5674">
        <v>49.7</v>
      </c>
      <c r="J5674" t="str">
        <f>HYPERLINK("https://climate.onebuilding.org/WMO_Region_6_Europe/GBR_United_Kingdom/WAL_Wales/GBR_WAL_St.Athan.AP.037160_TMYx.2009-2023.zip")</f>
        <v>https://climate.onebuilding.org/WMO_Region_6_Europe/GBR_United_Kingdom/WAL_Wales/GBR_WAL_St.Athan.AP.037160_TMYx.2009-2023.zip</v>
      </c>
    </row>
    <row r="5675" spans="1:10" x14ac:dyDescent="0.25">
      <c r="A5675" t="s">
        <v>3587</v>
      </c>
      <c r="B5675" t="s">
        <v>391</v>
      </c>
      <c r="C5675" t="s">
        <v>4370</v>
      </c>
      <c r="D5675" s="1" t="s">
        <v>4371</v>
      </c>
      <c r="E5675" t="s">
        <v>14</v>
      </c>
      <c r="F5675">
        <v>51.405299999999997</v>
      </c>
      <c r="G5675">
        <v>-3.4407999999999999</v>
      </c>
      <c r="H5675">
        <v>0</v>
      </c>
      <c r="I5675">
        <v>49.7</v>
      </c>
      <c r="J5675" t="str">
        <f>HYPERLINK("https://climate.onebuilding.org/WMO_Region_6_Europe/GBR_United_Kingdom/WAL_Wales/GBR_WAL_St.Athan.AP.037160_TMYx.zip")</f>
        <v>https://climate.onebuilding.org/WMO_Region_6_Europe/GBR_United_Kingdom/WAL_Wales/GBR_WAL_St.Athan.AP.037160_TMYx.zip</v>
      </c>
    </row>
    <row r="5676" spans="1:10" x14ac:dyDescent="0.25">
      <c r="A5676" t="s">
        <v>3587</v>
      </c>
      <c r="B5676" t="s">
        <v>391</v>
      </c>
      <c r="C5676" t="s">
        <v>4373</v>
      </c>
      <c r="D5676" s="1" t="s">
        <v>4374</v>
      </c>
      <c r="E5676" t="s">
        <v>14</v>
      </c>
      <c r="F5676">
        <v>51.482999999999997</v>
      </c>
      <c r="G5676">
        <v>-3.1829999999999998</v>
      </c>
      <c r="H5676">
        <v>0</v>
      </c>
      <c r="I5676">
        <v>52</v>
      </c>
      <c r="J5676" t="str">
        <f>HYPERLINK("https://climate.onebuilding.org/WMO_Region_6_Europe/GBR_United_Kingdom/WAL_Wales/GBR_WAL_Cardiff.Wea.Ctr.037170_TMYx.zip")</f>
        <v>https://climate.onebuilding.org/WMO_Region_6_Europe/GBR_United_Kingdom/WAL_Wales/GBR_WAL_Cardiff.Wea.Ctr.037170_TMYx.zip</v>
      </c>
    </row>
    <row r="5677" spans="1:10" x14ac:dyDescent="0.25">
      <c r="A5677" t="s">
        <v>3587</v>
      </c>
      <c r="B5677" t="s">
        <v>3630</v>
      </c>
      <c r="C5677" t="s">
        <v>4375</v>
      </c>
      <c r="D5677" s="1" t="s">
        <v>4376</v>
      </c>
      <c r="E5677" t="s">
        <v>4377</v>
      </c>
      <c r="F5677">
        <v>51.383000000000003</v>
      </c>
      <c r="G5677">
        <v>-2.7189999999999999</v>
      </c>
      <c r="H5677">
        <v>0</v>
      </c>
      <c r="I5677">
        <v>189.6</v>
      </c>
      <c r="J5677" t="str">
        <f>HYPERLINK("https://climate.onebuilding.org/WMO_Region_6_Europe/GBR_United_Kingdom/ENG_England/GBR_ENG_Bristol.AP.037243_TMYx.2004-2018.zip")</f>
        <v>https://climate.onebuilding.org/WMO_Region_6_Europe/GBR_United_Kingdom/ENG_England/GBR_ENG_Bristol.AP.037243_TMYx.2004-2018.zip</v>
      </c>
    </row>
    <row r="5678" spans="1:10" x14ac:dyDescent="0.25">
      <c r="A5678" t="s">
        <v>3587</v>
      </c>
      <c r="B5678" t="s">
        <v>3630</v>
      </c>
      <c r="C5678" t="s">
        <v>4375</v>
      </c>
      <c r="D5678" s="1" t="s">
        <v>4376</v>
      </c>
      <c r="E5678" t="s">
        <v>14</v>
      </c>
      <c r="F5678">
        <v>51.383000000000003</v>
      </c>
      <c r="G5678">
        <v>-2.7189999999999999</v>
      </c>
      <c r="H5678">
        <v>0</v>
      </c>
      <c r="I5678">
        <v>189.6</v>
      </c>
      <c r="J5678" t="str">
        <f>HYPERLINK("https://climate.onebuilding.org/WMO_Region_6_Europe/GBR_United_Kingdom/ENG_England/GBR_ENG_Bristol.AP.037243_TMYx.2007-2021.zip")</f>
        <v>https://climate.onebuilding.org/WMO_Region_6_Europe/GBR_United_Kingdom/ENG_England/GBR_ENG_Bristol.AP.037243_TMYx.2007-2021.zip</v>
      </c>
    </row>
    <row r="5679" spans="1:10" x14ac:dyDescent="0.25">
      <c r="A5679" t="s">
        <v>3587</v>
      </c>
      <c r="B5679" t="s">
        <v>3630</v>
      </c>
      <c r="C5679" t="s">
        <v>4375</v>
      </c>
      <c r="D5679" s="1" t="s">
        <v>4376</v>
      </c>
      <c r="E5679" t="s">
        <v>14</v>
      </c>
      <c r="F5679">
        <v>51.383000000000003</v>
      </c>
      <c r="G5679">
        <v>-2.7189999999999999</v>
      </c>
      <c r="H5679">
        <v>0</v>
      </c>
      <c r="I5679">
        <v>189.6</v>
      </c>
      <c r="J5679" t="str">
        <f>HYPERLINK("https://climate.onebuilding.org/WMO_Region_6_Europe/GBR_United_Kingdom/ENG_England/GBR_ENG_Bristol.AP.037243_TMYx.2009-2023.zip")</f>
        <v>https://climate.onebuilding.org/WMO_Region_6_Europe/GBR_United_Kingdom/ENG_England/GBR_ENG_Bristol.AP.037243_TMYx.2009-2023.zip</v>
      </c>
    </row>
    <row r="5680" spans="1:10" x14ac:dyDescent="0.25">
      <c r="A5680" t="s">
        <v>3587</v>
      </c>
      <c r="B5680" t="s">
        <v>3630</v>
      </c>
      <c r="C5680" t="s">
        <v>4375</v>
      </c>
      <c r="D5680" s="1" t="s">
        <v>4376</v>
      </c>
      <c r="E5680" t="s">
        <v>14</v>
      </c>
      <c r="F5680">
        <v>51.383000000000003</v>
      </c>
      <c r="G5680">
        <v>-2.7189999999999999</v>
      </c>
      <c r="H5680">
        <v>0</v>
      </c>
      <c r="I5680">
        <v>189.6</v>
      </c>
      <c r="J5680" t="str">
        <f>HYPERLINK("https://climate.onebuilding.org/WMO_Region_6_Europe/GBR_United_Kingdom/ENG_England/GBR_ENG_Bristol.AP.037243_TMYx.zip")</f>
        <v>https://climate.onebuilding.org/WMO_Region_6_Europe/GBR_United_Kingdom/ENG_England/GBR_ENG_Bristol.AP.037243_TMYx.zip</v>
      </c>
    </row>
    <row r="5681" spans="1:10" x14ac:dyDescent="0.25">
      <c r="A5681" t="s">
        <v>3587</v>
      </c>
      <c r="B5681" t="s">
        <v>3630</v>
      </c>
      <c r="C5681" t="s">
        <v>4378</v>
      </c>
      <c r="D5681" s="1" t="s">
        <v>4379</v>
      </c>
      <c r="E5681" t="s">
        <v>14</v>
      </c>
      <c r="F5681">
        <v>51.466999999999999</v>
      </c>
      <c r="G5681">
        <v>-2.6</v>
      </c>
      <c r="H5681">
        <v>0</v>
      </c>
      <c r="I5681">
        <v>11</v>
      </c>
      <c r="J5681" t="str">
        <f>HYPERLINK("https://climate.onebuilding.org/WMO_Region_6_Europe/GBR_United_Kingdom/ENG_England/GBR_ENG_Bristol.Wea.Ctr.037260_TMYx.zip")</f>
        <v>https://climate.onebuilding.org/WMO_Region_6_Europe/GBR_United_Kingdom/ENG_England/GBR_ENG_Bristol.Wea.Ctr.037260_TMYx.zip</v>
      </c>
    </row>
    <row r="5682" spans="1:10" x14ac:dyDescent="0.25">
      <c r="A5682" t="s">
        <v>3587</v>
      </c>
      <c r="B5682" t="s">
        <v>3630</v>
      </c>
      <c r="C5682" t="s">
        <v>4380</v>
      </c>
      <c r="D5682" s="1" t="s">
        <v>4381</v>
      </c>
      <c r="E5682" t="s">
        <v>4382</v>
      </c>
      <c r="F5682">
        <v>51.505000000000003</v>
      </c>
      <c r="G5682">
        <v>-1.9930000000000001</v>
      </c>
      <c r="H5682">
        <v>0</v>
      </c>
      <c r="I5682">
        <v>156.4</v>
      </c>
      <c r="J5682" t="str">
        <f>HYPERLINK("https://climate.onebuilding.org/WMO_Region_6_Europe/GBR_United_Kingdom/ENG_England/GBR_ENG_RAF.Lyneham.037400_TMYx.2004-2018.zip")</f>
        <v>https://climate.onebuilding.org/WMO_Region_6_Europe/GBR_United_Kingdom/ENG_England/GBR_ENG_RAF.Lyneham.037400_TMYx.2004-2018.zip</v>
      </c>
    </row>
    <row r="5683" spans="1:10" x14ac:dyDescent="0.25">
      <c r="A5683" t="s">
        <v>3587</v>
      </c>
      <c r="B5683" t="s">
        <v>3630</v>
      </c>
      <c r="C5683" t="s">
        <v>4380</v>
      </c>
      <c r="D5683" s="1" t="s">
        <v>4381</v>
      </c>
      <c r="E5683" t="s">
        <v>14</v>
      </c>
      <c r="F5683">
        <v>51.503100000000003</v>
      </c>
      <c r="G5683">
        <v>-1.9922</v>
      </c>
      <c r="H5683">
        <v>0</v>
      </c>
      <c r="I5683">
        <v>156.4</v>
      </c>
      <c r="J5683" t="str">
        <f>HYPERLINK("https://climate.onebuilding.org/WMO_Region_6_Europe/GBR_United_Kingdom/ENG_England/GBR_ENG_RAF.Lyneham.037400_TMYx.2007-2021.zip")</f>
        <v>https://climate.onebuilding.org/WMO_Region_6_Europe/GBR_United_Kingdom/ENG_England/GBR_ENG_RAF.Lyneham.037400_TMYx.2007-2021.zip</v>
      </c>
    </row>
    <row r="5684" spans="1:10" x14ac:dyDescent="0.25">
      <c r="A5684" t="s">
        <v>3587</v>
      </c>
      <c r="B5684" t="s">
        <v>3630</v>
      </c>
      <c r="C5684" t="s">
        <v>4380</v>
      </c>
      <c r="D5684" s="1" t="s">
        <v>4381</v>
      </c>
      <c r="E5684" t="s">
        <v>14</v>
      </c>
      <c r="F5684">
        <v>51.503100000000003</v>
      </c>
      <c r="G5684">
        <v>-1.9922</v>
      </c>
      <c r="H5684">
        <v>0</v>
      </c>
      <c r="I5684">
        <v>156.4</v>
      </c>
      <c r="J5684" t="str">
        <f>HYPERLINK("https://climate.onebuilding.org/WMO_Region_6_Europe/GBR_United_Kingdom/ENG_England/GBR_ENG_RAF.Lyneham.037400_TMYx.2009-2023.zip")</f>
        <v>https://climate.onebuilding.org/WMO_Region_6_Europe/GBR_United_Kingdom/ENG_England/GBR_ENG_RAF.Lyneham.037400_TMYx.2009-2023.zip</v>
      </c>
    </row>
    <row r="5685" spans="1:10" x14ac:dyDescent="0.25">
      <c r="A5685" t="s">
        <v>3587</v>
      </c>
      <c r="B5685" t="s">
        <v>3630</v>
      </c>
      <c r="C5685" t="s">
        <v>4380</v>
      </c>
      <c r="D5685" s="1" t="s">
        <v>4381</v>
      </c>
      <c r="E5685" t="s">
        <v>14</v>
      </c>
      <c r="F5685">
        <v>51.503100000000003</v>
      </c>
      <c r="G5685">
        <v>-1.9922</v>
      </c>
      <c r="H5685">
        <v>0</v>
      </c>
      <c r="I5685">
        <v>156.4</v>
      </c>
      <c r="J5685" t="str">
        <f>HYPERLINK("https://climate.onebuilding.org/WMO_Region_6_Europe/GBR_United_Kingdom/ENG_England/GBR_ENG_RAF.Lyneham.037400_TMYx.zip")</f>
        <v>https://climate.onebuilding.org/WMO_Region_6_Europe/GBR_United_Kingdom/ENG_England/GBR_ENG_RAF.Lyneham.037400_TMYx.zip</v>
      </c>
    </row>
    <row r="5686" spans="1:10" x14ac:dyDescent="0.25">
      <c r="A5686" t="s">
        <v>3587</v>
      </c>
      <c r="B5686" t="s">
        <v>3630</v>
      </c>
      <c r="C5686" t="s">
        <v>4383</v>
      </c>
      <c r="D5686" s="1" t="s">
        <v>4384</v>
      </c>
      <c r="E5686" t="s">
        <v>4385</v>
      </c>
      <c r="F5686">
        <v>51.2</v>
      </c>
      <c r="G5686">
        <v>-1.8</v>
      </c>
      <c r="H5686">
        <v>0</v>
      </c>
      <c r="I5686">
        <v>133</v>
      </c>
      <c r="J5686" t="str">
        <f>HYPERLINK("https://climate.onebuilding.org/WMO_Region_6_Europe/GBR_United_Kingdom/ENG_England/GBR_ENG_Larkhill.037430_TMYx.2004-2018.zip")</f>
        <v>https://climate.onebuilding.org/WMO_Region_6_Europe/GBR_United_Kingdom/ENG_England/GBR_ENG_Larkhill.037430_TMYx.2004-2018.zip</v>
      </c>
    </row>
    <row r="5687" spans="1:10" x14ac:dyDescent="0.25">
      <c r="A5687" t="s">
        <v>3587</v>
      </c>
      <c r="B5687" t="s">
        <v>3630</v>
      </c>
      <c r="C5687" t="s">
        <v>4383</v>
      </c>
      <c r="D5687" s="1" t="s">
        <v>4384</v>
      </c>
      <c r="E5687" t="s">
        <v>14</v>
      </c>
      <c r="F5687">
        <v>51.201700000000002</v>
      </c>
      <c r="G5687">
        <v>-1.8058000000000001</v>
      </c>
      <c r="H5687">
        <v>0</v>
      </c>
      <c r="I5687">
        <v>133</v>
      </c>
      <c r="J5687" t="str">
        <f>HYPERLINK("https://climate.onebuilding.org/WMO_Region_6_Europe/GBR_United_Kingdom/ENG_England/GBR_ENG_Larkhill.037430_TMYx.2007-2021.zip")</f>
        <v>https://climate.onebuilding.org/WMO_Region_6_Europe/GBR_United_Kingdom/ENG_England/GBR_ENG_Larkhill.037430_TMYx.2007-2021.zip</v>
      </c>
    </row>
    <row r="5688" spans="1:10" x14ac:dyDescent="0.25">
      <c r="A5688" t="s">
        <v>3587</v>
      </c>
      <c r="B5688" t="s">
        <v>3630</v>
      </c>
      <c r="C5688" t="s">
        <v>4383</v>
      </c>
      <c r="D5688" s="1" t="s">
        <v>4384</v>
      </c>
      <c r="E5688" t="s">
        <v>14</v>
      </c>
      <c r="F5688">
        <v>51.201700000000002</v>
      </c>
      <c r="G5688">
        <v>-1.8058000000000001</v>
      </c>
      <c r="H5688">
        <v>0</v>
      </c>
      <c r="I5688">
        <v>133</v>
      </c>
      <c r="J5688" t="str">
        <f>HYPERLINK("https://climate.onebuilding.org/WMO_Region_6_Europe/GBR_United_Kingdom/ENG_England/GBR_ENG_Larkhill.037430_TMYx.2009-2023.zip")</f>
        <v>https://climate.onebuilding.org/WMO_Region_6_Europe/GBR_United_Kingdom/ENG_England/GBR_ENG_Larkhill.037430_TMYx.2009-2023.zip</v>
      </c>
    </row>
    <row r="5689" spans="1:10" x14ac:dyDescent="0.25">
      <c r="A5689" t="s">
        <v>3587</v>
      </c>
      <c r="B5689" t="s">
        <v>3630</v>
      </c>
      <c r="C5689" t="s">
        <v>4383</v>
      </c>
      <c r="D5689" s="1" t="s">
        <v>4384</v>
      </c>
      <c r="E5689" t="s">
        <v>14</v>
      </c>
      <c r="F5689">
        <v>51.201700000000002</v>
      </c>
      <c r="G5689">
        <v>-1.8058000000000001</v>
      </c>
      <c r="H5689">
        <v>0</v>
      </c>
      <c r="I5689">
        <v>133</v>
      </c>
      <c r="J5689" t="str">
        <f>HYPERLINK("https://climate.onebuilding.org/WMO_Region_6_Europe/GBR_United_Kingdom/ENG_England/GBR_ENG_Larkhill.037430_TMYx.zip")</f>
        <v>https://climate.onebuilding.org/WMO_Region_6_Europe/GBR_United_Kingdom/ENG_England/GBR_ENG_Larkhill.037430_TMYx.zip</v>
      </c>
    </row>
    <row r="5690" spans="1:10" x14ac:dyDescent="0.25">
      <c r="A5690" t="s">
        <v>3587</v>
      </c>
      <c r="B5690" t="s">
        <v>3630</v>
      </c>
      <c r="C5690" t="s">
        <v>4386</v>
      </c>
      <c r="D5690" s="1" t="s">
        <v>4387</v>
      </c>
      <c r="E5690" t="s">
        <v>14</v>
      </c>
      <c r="F5690">
        <v>51.3</v>
      </c>
      <c r="G5690">
        <v>-1.7669999999999999</v>
      </c>
      <c r="H5690">
        <v>0</v>
      </c>
      <c r="I5690">
        <v>175</v>
      </c>
      <c r="J5690" t="str">
        <f>HYPERLINK("https://climate.onebuilding.org/WMO_Region_6_Europe/GBR_United_Kingdom/ENG_England/GBR_ENG_Upavon.037440_TMYx.zip")</f>
        <v>https://climate.onebuilding.org/WMO_Region_6_Europe/GBR_United_Kingdom/ENG_England/GBR_ENG_Upavon.037440_TMYx.zip</v>
      </c>
    </row>
    <row r="5691" spans="1:10" x14ac:dyDescent="0.25">
      <c r="A5691" t="s">
        <v>3587</v>
      </c>
      <c r="B5691" t="s">
        <v>3630</v>
      </c>
      <c r="C5691" t="s">
        <v>4388</v>
      </c>
      <c r="D5691" s="1" t="s">
        <v>4389</v>
      </c>
      <c r="E5691" t="s">
        <v>14</v>
      </c>
      <c r="F5691">
        <v>51.25</v>
      </c>
      <c r="G5691">
        <v>-1.7669999999999999</v>
      </c>
      <c r="H5691">
        <v>0</v>
      </c>
      <c r="I5691">
        <v>139</v>
      </c>
      <c r="J5691" t="str">
        <f>HYPERLINK("https://climate.onebuilding.org/WMO_Region_6_Europe/GBR_United_Kingdom/ENG_England/GBR_ENG_Netheravon.Ra.037450_TMYx.zip")</f>
        <v>https://climate.onebuilding.org/WMO_Region_6_Europe/GBR_United_Kingdom/ENG_England/GBR_ENG_Netheravon.Ra.037450_TMYx.zip</v>
      </c>
    </row>
    <row r="5692" spans="1:10" x14ac:dyDescent="0.25">
      <c r="A5692" t="s">
        <v>3587</v>
      </c>
      <c r="B5692" t="s">
        <v>3630</v>
      </c>
      <c r="C5692" t="s">
        <v>4390</v>
      </c>
      <c r="D5692" s="1" t="s">
        <v>4391</v>
      </c>
      <c r="E5692" t="s">
        <v>4392</v>
      </c>
      <c r="F5692">
        <v>51.152000000000001</v>
      </c>
      <c r="G5692">
        <v>-1.7470000000000001</v>
      </c>
      <c r="H5692">
        <v>0</v>
      </c>
      <c r="I5692">
        <v>124.1</v>
      </c>
      <c r="J5692" t="str">
        <f>HYPERLINK("https://climate.onebuilding.org/WMO_Region_6_Europe/GBR_United_Kingdom/ENG_England/GBR_ENG_Boscombe.Down.AF.037460_TMYx.2004-2018.zip")</f>
        <v>https://climate.onebuilding.org/WMO_Region_6_Europe/GBR_United_Kingdom/ENG_England/GBR_ENG_Boscombe.Down.AF.037460_TMYx.2004-2018.zip</v>
      </c>
    </row>
    <row r="5693" spans="1:10" x14ac:dyDescent="0.25">
      <c r="A5693" t="s">
        <v>3587</v>
      </c>
      <c r="B5693" t="s">
        <v>3630</v>
      </c>
      <c r="C5693" t="s">
        <v>4390</v>
      </c>
      <c r="D5693" s="1" t="s">
        <v>4391</v>
      </c>
      <c r="E5693" t="s">
        <v>14</v>
      </c>
      <c r="F5693">
        <v>51.161999999999999</v>
      </c>
      <c r="G5693">
        <v>-1.7549999999999999</v>
      </c>
      <c r="H5693">
        <v>0</v>
      </c>
      <c r="I5693">
        <v>124.1</v>
      </c>
      <c r="J5693" t="str">
        <f>HYPERLINK("https://climate.onebuilding.org/WMO_Region_6_Europe/GBR_United_Kingdom/ENG_England/GBR_ENG_Boscombe.Down.AF.037460_TMYx.2007-2021.zip")</f>
        <v>https://climate.onebuilding.org/WMO_Region_6_Europe/GBR_United_Kingdom/ENG_England/GBR_ENG_Boscombe.Down.AF.037460_TMYx.2007-2021.zip</v>
      </c>
    </row>
    <row r="5694" spans="1:10" x14ac:dyDescent="0.25">
      <c r="A5694" t="s">
        <v>3587</v>
      </c>
      <c r="B5694" t="s">
        <v>3630</v>
      </c>
      <c r="C5694" t="s">
        <v>4390</v>
      </c>
      <c r="D5694" s="1" t="s">
        <v>4391</v>
      </c>
      <c r="E5694" t="s">
        <v>14</v>
      </c>
      <c r="F5694">
        <v>51.161999999999999</v>
      </c>
      <c r="G5694">
        <v>-1.7549999999999999</v>
      </c>
      <c r="H5694">
        <v>0</v>
      </c>
      <c r="I5694">
        <v>124.1</v>
      </c>
      <c r="J5694" t="str">
        <f>HYPERLINK("https://climate.onebuilding.org/WMO_Region_6_Europe/GBR_United_Kingdom/ENG_England/GBR_ENG_Boscombe.Down.AF.037460_TMYx.2009-2023.zip")</f>
        <v>https://climate.onebuilding.org/WMO_Region_6_Europe/GBR_United_Kingdom/ENG_England/GBR_ENG_Boscombe.Down.AF.037460_TMYx.2009-2023.zip</v>
      </c>
    </row>
    <row r="5695" spans="1:10" x14ac:dyDescent="0.25">
      <c r="A5695" t="s">
        <v>3587</v>
      </c>
      <c r="B5695" t="s">
        <v>3630</v>
      </c>
      <c r="C5695" t="s">
        <v>4390</v>
      </c>
      <c r="D5695" s="1" t="s">
        <v>4391</v>
      </c>
      <c r="E5695" t="s">
        <v>14</v>
      </c>
      <c r="F5695">
        <v>51.161999999999999</v>
      </c>
      <c r="G5695">
        <v>-1.7549999999999999</v>
      </c>
      <c r="H5695">
        <v>0</v>
      </c>
      <c r="I5695">
        <v>124.1</v>
      </c>
      <c r="J5695" t="str">
        <f>HYPERLINK("https://climate.onebuilding.org/WMO_Region_6_Europe/GBR_United_Kingdom/ENG_England/GBR_ENG_Boscombe.Down.AF.037460_TMYx.zip")</f>
        <v>https://climate.onebuilding.org/WMO_Region_6_Europe/GBR_United_Kingdom/ENG_England/GBR_ENG_Boscombe.Down.AF.037460_TMYx.zip</v>
      </c>
    </row>
    <row r="5696" spans="1:10" x14ac:dyDescent="0.25">
      <c r="A5696" t="s">
        <v>3587</v>
      </c>
      <c r="B5696" t="s">
        <v>3630</v>
      </c>
      <c r="C5696" t="s">
        <v>4393</v>
      </c>
      <c r="D5696" s="1" t="s">
        <v>4394</v>
      </c>
      <c r="E5696" t="s">
        <v>4395</v>
      </c>
      <c r="F5696">
        <v>51.15</v>
      </c>
      <c r="G5696">
        <v>-1.5669999999999999</v>
      </c>
      <c r="H5696">
        <v>0</v>
      </c>
      <c r="I5696">
        <v>91</v>
      </c>
      <c r="J5696" t="str">
        <f>HYPERLINK("https://climate.onebuilding.org/WMO_Region_6_Europe/GBR_United_Kingdom/ENG_England/GBR_ENG_Middle.Wallop.AF.037490_TMYx.2004-2018.zip")</f>
        <v>https://climate.onebuilding.org/WMO_Region_6_Europe/GBR_United_Kingdom/ENG_England/GBR_ENG_Middle.Wallop.AF.037490_TMYx.2004-2018.zip</v>
      </c>
    </row>
    <row r="5697" spans="1:10" x14ac:dyDescent="0.25">
      <c r="A5697" t="s">
        <v>3587</v>
      </c>
      <c r="B5697" t="s">
        <v>3630</v>
      </c>
      <c r="C5697" t="s">
        <v>4393</v>
      </c>
      <c r="D5697" s="1" t="s">
        <v>4394</v>
      </c>
      <c r="E5697" t="s">
        <v>14</v>
      </c>
      <c r="F5697">
        <v>51.149700000000003</v>
      </c>
      <c r="G5697">
        <v>-1.57</v>
      </c>
      <c r="H5697">
        <v>0</v>
      </c>
      <c r="I5697">
        <v>91</v>
      </c>
      <c r="J5697" t="str">
        <f>HYPERLINK("https://climate.onebuilding.org/WMO_Region_6_Europe/GBR_United_Kingdom/ENG_England/GBR_ENG_Middle.Wallop.AF.037490_TMYx.2007-2021.zip")</f>
        <v>https://climate.onebuilding.org/WMO_Region_6_Europe/GBR_United_Kingdom/ENG_England/GBR_ENG_Middle.Wallop.AF.037490_TMYx.2007-2021.zip</v>
      </c>
    </row>
    <row r="5698" spans="1:10" x14ac:dyDescent="0.25">
      <c r="A5698" t="s">
        <v>3587</v>
      </c>
      <c r="B5698" t="s">
        <v>3630</v>
      </c>
      <c r="C5698" t="s">
        <v>4393</v>
      </c>
      <c r="D5698" s="1" t="s">
        <v>4394</v>
      </c>
      <c r="E5698" t="s">
        <v>14</v>
      </c>
      <c r="F5698">
        <v>51.149700000000003</v>
      </c>
      <c r="G5698">
        <v>-1.57</v>
      </c>
      <c r="H5698">
        <v>0</v>
      </c>
      <c r="I5698">
        <v>91</v>
      </c>
      <c r="J5698" t="str">
        <f>HYPERLINK("https://climate.onebuilding.org/WMO_Region_6_Europe/GBR_United_Kingdom/ENG_England/GBR_ENG_Middle.Wallop.AF.037490_TMYx.2009-2023.zip")</f>
        <v>https://climate.onebuilding.org/WMO_Region_6_Europe/GBR_United_Kingdom/ENG_England/GBR_ENG_Middle.Wallop.AF.037490_TMYx.2009-2023.zip</v>
      </c>
    </row>
    <row r="5699" spans="1:10" x14ac:dyDescent="0.25">
      <c r="A5699" t="s">
        <v>3587</v>
      </c>
      <c r="B5699" t="s">
        <v>3630</v>
      </c>
      <c r="C5699" t="s">
        <v>4393</v>
      </c>
      <c r="D5699" s="1" t="s">
        <v>4394</v>
      </c>
      <c r="E5699" t="s">
        <v>14</v>
      </c>
      <c r="F5699">
        <v>51.149700000000003</v>
      </c>
      <c r="G5699">
        <v>-1.57</v>
      </c>
      <c r="H5699">
        <v>0</v>
      </c>
      <c r="I5699">
        <v>91</v>
      </c>
      <c r="J5699" t="str">
        <f>HYPERLINK("https://climate.onebuilding.org/WMO_Region_6_Europe/GBR_United_Kingdom/ENG_England/GBR_ENG_Middle.Wallop.AF.037490_TMYx.zip")</f>
        <v>https://climate.onebuilding.org/WMO_Region_6_Europe/GBR_United_Kingdom/ENG_England/GBR_ENG_Middle.Wallop.AF.037490_TMYx.zip</v>
      </c>
    </row>
    <row r="5700" spans="1:10" x14ac:dyDescent="0.25">
      <c r="A5700" t="s">
        <v>3587</v>
      </c>
      <c r="B5700" t="s">
        <v>3630</v>
      </c>
      <c r="C5700" t="s">
        <v>4396</v>
      </c>
      <c r="D5700" s="1" t="s">
        <v>4397</v>
      </c>
      <c r="E5700" t="s">
        <v>4398</v>
      </c>
      <c r="F5700">
        <v>51.234000000000002</v>
      </c>
      <c r="G5700">
        <v>-0.94299999999999995</v>
      </c>
      <c r="H5700">
        <v>0</v>
      </c>
      <c r="I5700">
        <v>123.4</v>
      </c>
      <c r="J5700" t="str">
        <f>HYPERLINK("https://climate.onebuilding.org/WMO_Region_6_Europe/GBR_United_Kingdom/ENG_England/GBR_ENG_RAF.Odiham.037610_TMYx.2004-2018.zip")</f>
        <v>https://climate.onebuilding.org/WMO_Region_6_Europe/GBR_United_Kingdom/ENG_England/GBR_ENG_RAF.Odiham.037610_TMYx.2004-2018.zip</v>
      </c>
    </row>
    <row r="5701" spans="1:10" x14ac:dyDescent="0.25">
      <c r="A5701" t="s">
        <v>3587</v>
      </c>
      <c r="B5701" t="s">
        <v>3630</v>
      </c>
      <c r="C5701" t="s">
        <v>4396</v>
      </c>
      <c r="D5701" s="1" t="s">
        <v>4397</v>
      </c>
      <c r="E5701" t="s">
        <v>14</v>
      </c>
      <c r="F5701">
        <v>51.238900000000001</v>
      </c>
      <c r="G5701">
        <v>-0.94499999999999995</v>
      </c>
      <c r="H5701">
        <v>0</v>
      </c>
      <c r="I5701">
        <v>123.4</v>
      </c>
      <c r="J5701" t="str">
        <f>HYPERLINK("https://climate.onebuilding.org/WMO_Region_6_Europe/GBR_United_Kingdom/ENG_England/GBR_ENG_RAF.Odiham.037610_TMYx.2007-2021.zip")</f>
        <v>https://climate.onebuilding.org/WMO_Region_6_Europe/GBR_United_Kingdom/ENG_England/GBR_ENG_RAF.Odiham.037610_TMYx.2007-2021.zip</v>
      </c>
    </row>
    <row r="5702" spans="1:10" x14ac:dyDescent="0.25">
      <c r="A5702" t="s">
        <v>3587</v>
      </c>
      <c r="B5702" t="s">
        <v>3630</v>
      </c>
      <c r="C5702" t="s">
        <v>4396</v>
      </c>
      <c r="D5702" s="1" t="s">
        <v>4397</v>
      </c>
      <c r="E5702" t="s">
        <v>14</v>
      </c>
      <c r="F5702">
        <v>51.238900000000001</v>
      </c>
      <c r="G5702">
        <v>-0.94499999999999995</v>
      </c>
      <c r="H5702">
        <v>0</v>
      </c>
      <c r="I5702">
        <v>123.4</v>
      </c>
      <c r="J5702" t="str">
        <f>HYPERLINK("https://climate.onebuilding.org/WMO_Region_6_Europe/GBR_United_Kingdom/ENG_England/GBR_ENG_RAF.Odiham.037610_TMYx.2009-2023.zip")</f>
        <v>https://climate.onebuilding.org/WMO_Region_6_Europe/GBR_United_Kingdom/ENG_England/GBR_ENG_RAF.Odiham.037610_TMYx.2009-2023.zip</v>
      </c>
    </row>
    <row r="5703" spans="1:10" x14ac:dyDescent="0.25">
      <c r="A5703" t="s">
        <v>3587</v>
      </c>
      <c r="B5703" t="s">
        <v>3630</v>
      </c>
      <c r="C5703" t="s">
        <v>4396</v>
      </c>
      <c r="D5703" s="1" t="s">
        <v>4397</v>
      </c>
      <c r="E5703" t="s">
        <v>14</v>
      </c>
      <c r="F5703">
        <v>51.238900000000001</v>
      </c>
      <c r="G5703">
        <v>-0.94499999999999995</v>
      </c>
      <c r="H5703">
        <v>0</v>
      </c>
      <c r="I5703">
        <v>123.4</v>
      </c>
      <c r="J5703" t="str">
        <f>HYPERLINK("https://climate.onebuilding.org/WMO_Region_6_Europe/GBR_United_Kingdom/ENG_England/GBR_ENG_RAF.Odiham.037610_TMYx.zip")</f>
        <v>https://climate.onebuilding.org/WMO_Region_6_Europe/GBR_United_Kingdom/ENG_England/GBR_ENG_RAF.Odiham.037610_TMYx.zip</v>
      </c>
    </row>
    <row r="5704" spans="1:10" x14ac:dyDescent="0.25">
      <c r="A5704" t="s">
        <v>3587</v>
      </c>
      <c r="B5704" t="s">
        <v>3630</v>
      </c>
      <c r="C5704" t="s">
        <v>4399</v>
      </c>
      <c r="D5704" s="1" t="s">
        <v>4400</v>
      </c>
      <c r="E5704" t="s">
        <v>14</v>
      </c>
      <c r="F5704">
        <v>51.383000000000003</v>
      </c>
      <c r="G5704">
        <v>-0.78300000000000003</v>
      </c>
      <c r="H5704">
        <v>0</v>
      </c>
      <c r="I5704">
        <v>74</v>
      </c>
      <c r="J5704" t="str">
        <f>HYPERLINK("https://climate.onebuilding.org/WMO_Region_6_Europe/GBR_United_Kingdom/ENG_England/GBR_ENG_Bracknell.Beaufort.037630_TMYx.zip")</f>
        <v>https://climate.onebuilding.org/WMO_Region_6_Europe/GBR_United_Kingdom/ENG_England/GBR_ENG_Bracknell.Beaufort.037630_TMYx.zip</v>
      </c>
    </row>
    <row r="5705" spans="1:10" x14ac:dyDescent="0.25">
      <c r="A5705" t="s">
        <v>3587</v>
      </c>
      <c r="B5705" t="s">
        <v>3630</v>
      </c>
      <c r="C5705" t="s">
        <v>4401</v>
      </c>
      <c r="D5705" s="1" t="s">
        <v>4402</v>
      </c>
      <c r="E5705" t="s">
        <v>4403</v>
      </c>
      <c r="F5705">
        <v>51.331000000000003</v>
      </c>
      <c r="G5705" s="1" t="s">
        <v>4404</v>
      </c>
      <c r="H5705">
        <v>0</v>
      </c>
      <c r="I5705">
        <v>182.3</v>
      </c>
      <c r="J5705" t="str">
        <f>HYPERLINK("https://climate.onebuilding.org/WMO_Region_6_Europe/GBR_United_Kingdom/ENG_England/GBR_ENG_London-Biggin.Hill.AP.037663_TMYx.2004-2018.zip")</f>
        <v>https://climate.onebuilding.org/WMO_Region_6_Europe/GBR_United_Kingdom/ENG_England/GBR_ENG_London-Biggin.Hill.AP.037663_TMYx.2004-2018.zip</v>
      </c>
    </row>
    <row r="5706" spans="1:10" x14ac:dyDescent="0.25">
      <c r="A5706" t="s">
        <v>3587</v>
      </c>
      <c r="B5706" t="s">
        <v>3630</v>
      </c>
      <c r="C5706" t="s">
        <v>4401</v>
      </c>
      <c r="D5706" s="1" t="s">
        <v>4402</v>
      </c>
      <c r="E5706" t="s">
        <v>14</v>
      </c>
      <c r="F5706">
        <v>51.331000000000003</v>
      </c>
      <c r="G5706" s="1" t="s">
        <v>4404</v>
      </c>
      <c r="H5706">
        <v>0</v>
      </c>
      <c r="I5706">
        <v>182.3</v>
      </c>
      <c r="J5706" t="str">
        <f>HYPERLINK("https://climate.onebuilding.org/WMO_Region_6_Europe/GBR_United_Kingdom/ENG_England/GBR_ENG_London-Biggin.Hill.AP.037663_TMYx.2007-2021.zip")</f>
        <v>https://climate.onebuilding.org/WMO_Region_6_Europe/GBR_United_Kingdom/ENG_England/GBR_ENG_London-Biggin.Hill.AP.037663_TMYx.2007-2021.zip</v>
      </c>
    </row>
    <row r="5707" spans="1:10" x14ac:dyDescent="0.25">
      <c r="A5707" t="s">
        <v>3587</v>
      </c>
      <c r="B5707" t="s">
        <v>3630</v>
      </c>
      <c r="C5707" t="s">
        <v>4401</v>
      </c>
      <c r="D5707" s="1" t="s">
        <v>4402</v>
      </c>
      <c r="E5707" t="s">
        <v>14</v>
      </c>
      <c r="F5707">
        <v>51.331000000000003</v>
      </c>
      <c r="G5707" s="1" t="s">
        <v>4404</v>
      </c>
      <c r="H5707">
        <v>0</v>
      </c>
      <c r="I5707">
        <v>182.3</v>
      </c>
      <c r="J5707" t="str">
        <f>HYPERLINK("https://climate.onebuilding.org/WMO_Region_6_Europe/GBR_United_Kingdom/ENG_England/GBR_ENG_London-Biggin.Hill.AP.037663_TMYx.2009-2023.zip")</f>
        <v>https://climate.onebuilding.org/WMO_Region_6_Europe/GBR_United_Kingdom/ENG_England/GBR_ENG_London-Biggin.Hill.AP.037663_TMYx.2009-2023.zip</v>
      </c>
    </row>
    <row r="5708" spans="1:10" x14ac:dyDescent="0.25">
      <c r="A5708" t="s">
        <v>3587</v>
      </c>
      <c r="B5708" t="s">
        <v>3630</v>
      </c>
      <c r="C5708" t="s">
        <v>4401</v>
      </c>
      <c r="D5708" s="1" t="s">
        <v>4402</v>
      </c>
      <c r="E5708" t="s">
        <v>14</v>
      </c>
      <c r="F5708">
        <v>51.331000000000003</v>
      </c>
      <c r="G5708" s="1" t="s">
        <v>4404</v>
      </c>
      <c r="H5708">
        <v>0</v>
      </c>
      <c r="I5708">
        <v>182.3</v>
      </c>
      <c r="J5708" t="str">
        <f>HYPERLINK("https://climate.onebuilding.org/WMO_Region_6_Europe/GBR_United_Kingdom/ENG_England/GBR_ENG_London-Biggin.Hill.AP.037663_TMYx.zip")</f>
        <v>https://climate.onebuilding.org/WMO_Region_6_Europe/GBR_United_Kingdom/ENG_England/GBR_ENG_London-Biggin.Hill.AP.037663_TMYx.zip</v>
      </c>
    </row>
    <row r="5709" spans="1:10" x14ac:dyDescent="0.25">
      <c r="A5709" t="s">
        <v>3587</v>
      </c>
      <c r="B5709" t="s">
        <v>3630</v>
      </c>
      <c r="C5709" t="s">
        <v>4405</v>
      </c>
      <c r="D5709" s="1" t="s">
        <v>4406</v>
      </c>
      <c r="E5709" t="s">
        <v>14</v>
      </c>
      <c r="F5709">
        <v>51.082999999999998</v>
      </c>
      <c r="G5709">
        <v>-0.81699999999999995</v>
      </c>
      <c r="H5709">
        <v>0</v>
      </c>
      <c r="I5709">
        <v>98</v>
      </c>
      <c r="J5709" t="str">
        <f>HYPERLINK("https://climate.onebuilding.org/WMO_Region_6_Europe/GBR_United_Kingdom/ENG_England/GBR_ENG_Liphook.037670_TMYx.zip")</f>
        <v>https://climate.onebuilding.org/WMO_Region_6_Europe/GBR_United_Kingdom/ENG_England/GBR_ENG_Liphook.037670_TMYx.zip</v>
      </c>
    </row>
    <row r="5710" spans="1:10" x14ac:dyDescent="0.25">
      <c r="A5710" t="s">
        <v>3587</v>
      </c>
      <c r="B5710" t="s">
        <v>3630</v>
      </c>
      <c r="C5710" t="s">
        <v>4407</v>
      </c>
      <c r="D5710" s="1" t="s">
        <v>4408</v>
      </c>
      <c r="E5710" t="s">
        <v>4409</v>
      </c>
      <c r="F5710">
        <v>51.276000000000003</v>
      </c>
      <c r="G5710">
        <v>-0.77600000000000002</v>
      </c>
      <c r="H5710">
        <v>0</v>
      </c>
      <c r="I5710">
        <v>72.5</v>
      </c>
      <c r="J5710" t="str">
        <f>HYPERLINK("https://climate.onebuilding.org/WMO_Region_6_Europe/GBR_United_Kingdom/ENG_England/GBR_ENG_Farnborough.AP.037680_TMYx.2004-2018.zip")</f>
        <v>https://climate.onebuilding.org/WMO_Region_6_Europe/GBR_United_Kingdom/ENG_England/GBR_ENG_Farnborough.AP.037680_TMYx.2004-2018.zip</v>
      </c>
    </row>
    <row r="5711" spans="1:10" x14ac:dyDescent="0.25">
      <c r="A5711" t="s">
        <v>3587</v>
      </c>
      <c r="B5711" t="s">
        <v>3630</v>
      </c>
      <c r="C5711" t="s">
        <v>4407</v>
      </c>
      <c r="D5711" s="1" t="s">
        <v>4408</v>
      </c>
      <c r="E5711" t="s">
        <v>14</v>
      </c>
      <c r="F5711">
        <v>51.28</v>
      </c>
      <c r="G5711">
        <v>-0.77249999999999996</v>
      </c>
      <c r="H5711">
        <v>0</v>
      </c>
      <c r="I5711">
        <v>72.5</v>
      </c>
      <c r="J5711" t="str">
        <f>HYPERLINK("https://climate.onebuilding.org/WMO_Region_6_Europe/GBR_United_Kingdom/ENG_England/GBR_ENG_Farnborough.AP.037680_TMYx.2007-2021.zip")</f>
        <v>https://climate.onebuilding.org/WMO_Region_6_Europe/GBR_United_Kingdom/ENG_England/GBR_ENG_Farnborough.AP.037680_TMYx.2007-2021.zip</v>
      </c>
    </row>
    <row r="5712" spans="1:10" x14ac:dyDescent="0.25">
      <c r="A5712" t="s">
        <v>3587</v>
      </c>
      <c r="B5712" t="s">
        <v>3630</v>
      </c>
      <c r="C5712" t="s">
        <v>4407</v>
      </c>
      <c r="D5712" s="1" t="s">
        <v>4408</v>
      </c>
      <c r="E5712" t="s">
        <v>14</v>
      </c>
      <c r="F5712">
        <v>51.28</v>
      </c>
      <c r="G5712">
        <v>-0.77249999999999996</v>
      </c>
      <c r="H5712">
        <v>0</v>
      </c>
      <c r="I5712">
        <v>72.5</v>
      </c>
      <c r="J5712" t="str">
        <f>HYPERLINK("https://climate.onebuilding.org/WMO_Region_6_Europe/GBR_United_Kingdom/ENG_England/GBR_ENG_Farnborough.AP.037680_TMYx.2009-2023.zip")</f>
        <v>https://climate.onebuilding.org/WMO_Region_6_Europe/GBR_United_Kingdom/ENG_England/GBR_ENG_Farnborough.AP.037680_TMYx.2009-2023.zip</v>
      </c>
    </row>
    <row r="5713" spans="1:10" x14ac:dyDescent="0.25">
      <c r="A5713" t="s">
        <v>3587</v>
      </c>
      <c r="B5713" t="s">
        <v>3630</v>
      </c>
      <c r="C5713" t="s">
        <v>4407</v>
      </c>
      <c r="D5713" s="1" t="s">
        <v>4408</v>
      </c>
      <c r="E5713" t="s">
        <v>14</v>
      </c>
      <c r="F5713">
        <v>51.28</v>
      </c>
      <c r="G5713">
        <v>-0.77249999999999996</v>
      </c>
      <c r="H5713">
        <v>0</v>
      </c>
      <c r="I5713">
        <v>72.5</v>
      </c>
      <c r="J5713" t="str">
        <f>HYPERLINK("https://climate.onebuilding.org/WMO_Region_6_Europe/GBR_United_Kingdom/ENG_England/GBR_ENG_Farnborough.AP.037680_TMYx.zip")</f>
        <v>https://climate.onebuilding.org/WMO_Region_6_Europe/GBR_United_Kingdom/ENG_England/GBR_ENG_Farnborough.AP.037680_TMYx.zip</v>
      </c>
    </row>
    <row r="5714" spans="1:10" x14ac:dyDescent="0.25">
      <c r="A5714" t="s">
        <v>3587</v>
      </c>
      <c r="B5714" t="s">
        <v>3630</v>
      </c>
      <c r="C5714" t="s">
        <v>4410</v>
      </c>
      <c r="D5714" s="1" t="s">
        <v>4411</v>
      </c>
      <c r="E5714" t="s">
        <v>4412</v>
      </c>
      <c r="F5714">
        <v>51.505000000000003</v>
      </c>
      <c r="G5714" s="1" t="s">
        <v>4413</v>
      </c>
      <c r="H5714">
        <v>0</v>
      </c>
      <c r="I5714">
        <v>5.8</v>
      </c>
      <c r="J5714" t="str">
        <f>HYPERLINK("https://climate.onebuilding.org/WMO_Region_6_Europe/GBR_United_Kingdom/ENG_England/GBR_ENG_London.City.AP.037683_TMYx.2004-2018.zip")</f>
        <v>https://climate.onebuilding.org/WMO_Region_6_Europe/GBR_United_Kingdom/ENG_England/GBR_ENG_London.City.AP.037683_TMYx.2004-2018.zip</v>
      </c>
    </row>
    <row r="5715" spans="1:10" x14ac:dyDescent="0.25">
      <c r="A5715" t="s">
        <v>3587</v>
      </c>
      <c r="B5715" t="s">
        <v>3630</v>
      </c>
      <c r="C5715" t="s">
        <v>4410</v>
      </c>
      <c r="D5715" s="1" t="s">
        <v>4411</v>
      </c>
      <c r="E5715" t="s">
        <v>14</v>
      </c>
      <c r="F5715">
        <v>51.505000000000003</v>
      </c>
      <c r="G5715" s="1" t="s">
        <v>4413</v>
      </c>
      <c r="H5715">
        <v>0</v>
      </c>
      <c r="I5715">
        <v>5.8</v>
      </c>
      <c r="J5715" t="str">
        <f>HYPERLINK("https://climate.onebuilding.org/WMO_Region_6_Europe/GBR_United_Kingdom/ENG_England/GBR_ENG_London.City.AP.037683_TMYx.2007-2021.zip")</f>
        <v>https://climate.onebuilding.org/WMO_Region_6_Europe/GBR_United_Kingdom/ENG_England/GBR_ENG_London.City.AP.037683_TMYx.2007-2021.zip</v>
      </c>
    </row>
    <row r="5716" spans="1:10" x14ac:dyDescent="0.25">
      <c r="A5716" t="s">
        <v>3587</v>
      </c>
      <c r="B5716" t="s">
        <v>3630</v>
      </c>
      <c r="C5716" t="s">
        <v>4410</v>
      </c>
      <c r="D5716" s="1" t="s">
        <v>4411</v>
      </c>
      <c r="E5716" t="s">
        <v>14</v>
      </c>
      <c r="F5716">
        <v>51.505000000000003</v>
      </c>
      <c r="G5716" s="1" t="s">
        <v>4413</v>
      </c>
      <c r="H5716">
        <v>0</v>
      </c>
      <c r="I5716">
        <v>5.8</v>
      </c>
      <c r="J5716" t="str">
        <f>HYPERLINK("https://climate.onebuilding.org/WMO_Region_6_Europe/GBR_United_Kingdom/ENG_England/GBR_ENG_London.City.AP.037683_TMYx.2009-2023.zip")</f>
        <v>https://climate.onebuilding.org/WMO_Region_6_Europe/GBR_United_Kingdom/ENG_England/GBR_ENG_London.City.AP.037683_TMYx.2009-2023.zip</v>
      </c>
    </row>
    <row r="5717" spans="1:10" x14ac:dyDescent="0.25">
      <c r="A5717" t="s">
        <v>3587</v>
      </c>
      <c r="B5717" t="s">
        <v>3630</v>
      </c>
      <c r="C5717" t="s">
        <v>4410</v>
      </c>
      <c r="D5717" s="1" t="s">
        <v>4411</v>
      </c>
      <c r="E5717" t="s">
        <v>14</v>
      </c>
      <c r="F5717">
        <v>51.505000000000003</v>
      </c>
      <c r="G5717" s="1" t="s">
        <v>4413</v>
      </c>
      <c r="H5717">
        <v>0</v>
      </c>
      <c r="I5717">
        <v>5.8</v>
      </c>
      <c r="J5717" t="str">
        <f>HYPERLINK("https://climate.onebuilding.org/WMO_Region_6_Europe/GBR_United_Kingdom/ENG_England/GBR_ENG_London.City.AP.037683_TMYx.zip")</f>
        <v>https://climate.onebuilding.org/WMO_Region_6_Europe/GBR_United_Kingdom/ENG_England/GBR_ENG_London.City.AP.037683_TMYx.zip</v>
      </c>
    </row>
    <row r="5718" spans="1:10" x14ac:dyDescent="0.25">
      <c r="A5718" t="s">
        <v>3587</v>
      </c>
      <c r="B5718" t="s">
        <v>3630</v>
      </c>
      <c r="C5718" t="s">
        <v>4414</v>
      </c>
      <c r="D5718" s="1" t="s">
        <v>4415</v>
      </c>
      <c r="E5718" t="s">
        <v>4416</v>
      </c>
      <c r="F5718">
        <v>51.232999999999997</v>
      </c>
      <c r="G5718">
        <v>-0.38300000000000001</v>
      </c>
      <c r="H5718">
        <v>0</v>
      </c>
      <c r="I5718">
        <v>68</v>
      </c>
      <c r="J5718" t="str">
        <f>HYPERLINK("https://climate.onebuilding.org/WMO_Region_6_Europe/GBR_United_Kingdom/ENG_England/GBR_ENG_Charlwood.037690_TMYx.2004-2018.zip")</f>
        <v>https://climate.onebuilding.org/WMO_Region_6_Europe/GBR_United_Kingdom/ENG_England/GBR_ENG_Charlwood.037690_TMYx.2004-2018.zip</v>
      </c>
    </row>
    <row r="5719" spans="1:10" x14ac:dyDescent="0.25">
      <c r="A5719" t="s">
        <v>3587</v>
      </c>
      <c r="B5719" t="s">
        <v>3630</v>
      </c>
      <c r="C5719" t="s">
        <v>4414</v>
      </c>
      <c r="D5719" s="1" t="s">
        <v>4415</v>
      </c>
      <c r="E5719" t="s">
        <v>14</v>
      </c>
      <c r="F5719">
        <v>51.143999999999998</v>
      </c>
      <c r="G5719">
        <v>-0.22900000000000001</v>
      </c>
      <c r="H5719">
        <v>0</v>
      </c>
      <c r="I5719">
        <v>68</v>
      </c>
      <c r="J5719" t="str">
        <f>HYPERLINK("https://climate.onebuilding.org/WMO_Region_6_Europe/GBR_United_Kingdom/ENG_England/GBR_ENG_Charlwood.037690_TMYx.2007-2021.zip")</f>
        <v>https://climate.onebuilding.org/WMO_Region_6_Europe/GBR_United_Kingdom/ENG_England/GBR_ENG_Charlwood.037690_TMYx.2007-2021.zip</v>
      </c>
    </row>
    <row r="5720" spans="1:10" x14ac:dyDescent="0.25">
      <c r="A5720" t="s">
        <v>3587</v>
      </c>
      <c r="B5720" t="s">
        <v>3630</v>
      </c>
      <c r="C5720" t="s">
        <v>4414</v>
      </c>
      <c r="D5720" s="1" t="s">
        <v>4415</v>
      </c>
      <c r="E5720" t="s">
        <v>14</v>
      </c>
      <c r="F5720">
        <v>51.143999999999998</v>
      </c>
      <c r="G5720">
        <v>-0.22900000000000001</v>
      </c>
      <c r="H5720">
        <v>0</v>
      </c>
      <c r="I5720">
        <v>68</v>
      </c>
      <c r="J5720" t="str">
        <f>HYPERLINK("https://climate.onebuilding.org/WMO_Region_6_Europe/GBR_United_Kingdom/ENG_England/GBR_ENG_Charlwood.037690_TMYx.2009-2023.zip")</f>
        <v>https://climate.onebuilding.org/WMO_Region_6_Europe/GBR_United_Kingdom/ENG_England/GBR_ENG_Charlwood.037690_TMYx.2009-2023.zip</v>
      </c>
    </row>
    <row r="5721" spans="1:10" x14ac:dyDescent="0.25">
      <c r="A5721" t="s">
        <v>3587</v>
      </c>
      <c r="B5721" t="s">
        <v>3630</v>
      </c>
      <c r="C5721" t="s">
        <v>4414</v>
      </c>
      <c r="D5721" s="1" t="s">
        <v>4415</v>
      </c>
      <c r="E5721" t="s">
        <v>14</v>
      </c>
      <c r="F5721">
        <v>51.143999999999998</v>
      </c>
      <c r="G5721">
        <v>-0.22900000000000001</v>
      </c>
      <c r="H5721">
        <v>0</v>
      </c>
      <c r="I5721">
        <v>68</v>
      </c>
      <c r="J5721" t="str">
        <f>HYPERLINK("https://climate.onebuilding.org/WMO_Region_6_Europe/GBR_United_Kingdom/ENG_England/GBR_ENG_Charlwood.037690_TMYx.zip")</f>
        <v>https://climate.onebuilding.org/WMO_Region_6_Europe/GBR_United_Kingdom/ENG_England/GBR_ENG_Charlwood.037690_TMYx.zip</v>
      </c>
    </row>
    <row r="5722" spans="1:10" x14ac:dyDescent="0.25">
      <c r="A5722" t="s">
        <v>3587</v>
      </c>
      <c r="B5722" t="s">
        <v>3630</v>
      </c>
      <c r="C5722" t="s">
        <v>4417</v>
      </c>
      <c r="D5722" s="1" t="s">
        <v>4418</v>
      </c>
      <c r="E5722" t="s">
        <v>4419</v>
      </c>
      <c r="F5722">
        <v>51.5</v>
      </c>
      <c r="G5722">
        <v>-0.11700000000000001</v>
      </c>
      <c r="H5722">
        <v>0</v>
      </c>
      <c r="I5722">
        <v>5</v>
      </c>
      <c r="J5722" t="str">
        <f>HYPERLINK("https://climate.onebuilding.org/WMO_Region_6_Europe/GBR_United_Kingdom/ENG_England/GBR_ENG_London.Wea.Ctr-St.James.Park.037700_TMYx.2004-2018.zip")</f>
        <v>https://climate.onebuilding.org/WMO_Region_6_Europe/GBR_United_Kingdom/ENG_England/GBR_ENG_London.Wea.Ctr-St.James.Park.037700_TMYx.2004-2018.zip</v>
      </c>
    </row>
    <row r="5723" spans="1:10" x14ac:dyDescent="0.25">
      <c r="A5723" t="s">
        <v>3587</v>
      </c>
      <c r="B5723" t="s">
        <v>3630</v>
      </c>
      <c r="C5723" t="s">
        <v>4417</v>
      </c>
      <c r="D5723" s="1" t="s">
        <v>4418</v>
      </c>
      <c r="E5723" t="s">
        <v>14</v>
      </c>
      <c r="F5723">
        <v>51.504899999999999</v>
      </c>
      <c r="G5723">
        <v>-0.13100000000000001</v>
      </c>
      <c r="H5723">
        <v>0</v>
      </c>
      <c r="I5723">
        <v>5</v>
      </c>
      <c r="J5723" t="str">
        <f>HYPERLINK("https://climate.onebuilding.org/WMO_Region_6_Europe/GBR_United_Kingdom/ENG_England/GBR_ENG_London.Wea.Ctr-St.James.Park.037700_TMYx.2007-2021.zip")</f>
        <v>https://climate.onebuilding.org/WMO_Region_6_Europe/GBR_United_Kingdom/ENG_England/GBR_ENG_London.Wea.Ctr-St.James.Park.037700_TMYx.2007-2021.zip</v>
      </c>
    </row>
    <row r="5724" spans="1:10" x14ac:dyDescent="0.25">
      <c r="A5724" t="s">
        <v>3587</v>
      </c>
      <c r="B5724" t="s">
        <v>3630</v>
      </c>
      <c r="C5724" t="s">
        <v>4417</v>
      </c>
      <c r="D5724" s="1" t="s">
        <v>4418</v>
      </c>
      <c r="E5724" t="s">
        <v>14</v>
      </c>
      <c r="F5724">
        <v>51.504899999999999</v>
      </c>
      <c r="G5724">
        <v>-0.13100000000000001</v>
      </c>
      <c r="H5724">
        <v>0</v>
      </c>
      <c r="I5724">
        <v>5</v>
      </c>
      <c r="J5724" t="str">
        <f>HYPERLINK("https://climate.onebuilding.org/WMO_Region_6_Europe/GBR_United_Kingdom/ENG_England/GBR_ENG_London.Wea.Ctr-St.James.Park.037700_TMYx.2009-2023.zip")</f>
        <v>https://climate.onebuilding.org/WMO_Region_6_Europe/GBR_United_Kingdom/ENG_England/GBR_ENG_London.Wea.Ctr-St.James.Park.037700_TMYx.2009-2023.zip</v>
      </c>
    </row>
    <row r="5725" spans="1:10" x14ac:dyDescent="0.25">
      <c r="A5725" t="s">
        <v>3587</v>
      </c>
      <c r="B5725" t="s">
        <v>3630</v>
      </c>
      <c r="C5725" t="s">
        <v>4417</v>
      </c>
      <c r="D5725" s="1" t="s">
        <v>4418</v>
      </c>
      <c r="E5725" t="s">
        <v>14</v>
      </c>
      <c r="F5725">
        <v>51.504899999999999</v>
      </c>
      <c r="G5725">
        <v>-0.13100000000000001</v>
      </c>
      <c r="H5725">
        <v>0</v>
      </c>
      <c r="I5725">
        <v>5</v>
      </c>
      <c r="J5725" t="str">
        <f>HYPERLINK("https://climate.onebuilding.org/WMO_Region_6_Europe/GBR_United_Kingdom/ENG_England/GBR_ENG_London.Wea.Ctr-St.James.Park.037700_TMYx.zip")</f>
        <v>https://climate.onebuilding.org/WMO_Region_6_Europe/GBR_United_Kingdom/ENG_England/GBR_ENG_London.Wea.Ctr-St.James.Park.037700_TMYx.zip</v>
      </c>
    </row>
    <row r="5726" spans="1:10" x14ac:dyDescent="0.25">
      <c r="A5726" t="s">
        <v>3587</v>
      </c>
      <c r="B5726" t="s">
        <v>3630</v>
      </c>
      <c r="C5726" t="s">
        <v>4420</v>
      </c>
      <c r="D5726" s="1" t="s">
        <v>4421</v>
      </c>
      <c r="E5726" t="s">
        <v>4422</v>
      </c>
      <c r="F5726">
        <v>51.478000000000002</v>
      </c>
      <c r="G5726">
        <v>-0.46100000000000002</v>
      </c>
      <c r="H5726">
        <v>0</v>
      </c>
      <c r="I5726">
        <v>25.3</v>
      </c>
      <c r="J5726" t="str">
        <f>HYPERLINK("https://climate.onebuilding.org/WMO_Region_6_Europe/GBR_United_Kingdom/ENG_England/GBR_ENG_London-Heathrow.Intl.AP.037720_TMYx.2004-2018.zip")</f>
        <v>https://climate.onebuilding.org/WMO_Region_6_Europe/GBR_United_Kingdom/ENG_England/GBR_ENG_London-Heathrow.Intl.AP.037720_TMYx.2004-2018.zip</v>
      </c>
    </row>
    <row r="5727" spans="1:10" x14ac:dyDescent="0.25">
      <c r="A5727" t="s">
        <v>3587</v>
      </c>
      <c r="B5727" t="s">
        <v>3630</v>
      </c>
      <c r="C5727" t="s">
        <v>4420</v>
      </c>
      <c r="D5727" s="1" t="s">
        <v>4421</v>
      </c>
      <c r="E5727" t="s">
        <v>14</v>
      </c>
      <c r="F5727">
        <v>51.479199999999999</v>
      </c>
      <c r="G5727">
        <v>-0.4506</v>
      </c>
      <c r="H5727">
        <v>0</v>
      </c>
      <c r="I5727">
        <v>25.3</v>
      </c>
      <c r="J5727" t="str">
        <f>HYPERLINK("https://climate.onebuilding.org/WMO_Region_6_Europe/GBR_United_Kingdom/ENG_England/GBR_ENG_London-Heathrow.Intl.AP.037720_TMYx.2007-2021.zip")</f>
        <v>https://climate.onebuilding.org/WMO_Region_6_Europe/GBR_United_Kingdom/ENG_England/GBR_ENG_London-Heathrow.Intl.AP.037720_TMYx.2007-2021.zip</v>
      </c>
    </row>
    <row r="5728" spans="1:10" x14ac:dyDescent="0.25">
      <c r="A5728" t="s">
        <v>3587</v>
      </c>
      <c r="B5728" t="s">
        <v>3630</v>
      </c>
      <c r="C5728" t="s">
        <v>4420</v>
      </c>
      <c r="D5728" s="1" t="s">
        <v>4421</v>
      </c>
      <c r="E5728" t="s">
        <v>14</v>
      </c>
      <c r="F5728">
        <v>51.479199999999999</v>
      </c>
      <c r="G5728">
        <v>-0.4506</v>
      </c>
      <c r="H5728">
        <v>0</v>
      </c>
      <c r="I5728">
        <v>25.3</v>
      </c>
      <c r="J5728" t="str">
        <f>HYPERLINK("https://climate.onebuilding.org/WMO_Region_6_Europe/GBR_United_Kingdom/ENG_England/GBR_ENG_London-Heathrow.Intl.AP.037720_TMYx.2009-2023.zip")</f>
        <v>https://climate.onebuilding.org/WMO_Region_6_Europe/GBR_United_Kingdom/ENG_England/GBR_ENG_London-Heathrow.Intl.AP.037720_TMYx.2009-2023.zip</v>
      </c>
    </row>
    <row r="5729" spans="1:10" x14ac:dyDescent="0.25">
      <c r="A5729" t="s">
        <v>3587</v>
      </c>
      <c r="B5729" t="s">
        <v>3630</v>
      </c>
      <c r="C5729" t="s">
        <v>4420</v>
      </c>
      <c r="D5729" s="1" t="s">
        <v>4421</v>
      </c>
      <c r="E5729" t="s">
        <v>14</v>
      </c>
      <c r="F5729">
        <v>51.479199999999999</v>
      </c>
      <c r="G5729">
        <v>-0.4506</v>
      </c>
      <c r="H5729">
        <v>0</v>
      </c>
      <c r="I5729">
        <v>25.3</v>
      </c>
      <c r="J5729" t="str">
        <f>HYPERLINK("https://climate.onebuilding.org/WMO_Region_6_Europe/GBR_United_Kingdom/ENG_England/GBR_ENG_London-Heathrow.Intl.AP.037720_TMYx.zip")</f>
        <v>https://climate.onebuilding.org/WMO_Region_6_Europe/GBR_United_Kingdom/ENG_England/GBR_ENG_London-Heathrow.Intl.AP.037720_TMYx.zip</v>
      </c>
    </row>
    <row r="5730" spans="1:10" x14ac:dyDescent="0.25">
      <c r="A5730" t="s">
        <v>3587</v>
      </c>
      <c r="B5730" t="s">
        <v>3630</v>
      </c>
      <c r="C5730" t="s">
        <v>4423</v>
      </c>
      <c r="D5730" s="1" t="s">
        <v>4424</v>
      </c>
      <c r="E5730" t="s">
        <v>14</v>
      </c>
      <c r="F5730">
        <v>51.466999999999999</v>
      </c>
      <c r="G5730">
        <v>-0.317</v>
      </c>
      <c r="H5730">
        <v>0</v>
      </c>
      <c r="I5730">
        <v>5</v>
      </c>
      <c r="J5730" t="str">
        <f>HYPERLINK("https://climate.onebuilding.org/WMO_Region_6_Europe/GBR_United_Kingdom/ENG_England/GBR_ENG_Kew.Observatory.037750_TMYx.zip")</f>
        <v>https://climate.onebuilding.org/WMO_Region_6_Europe/GBR_United_Kingdom/ENG_England/GBR_ENG_Kew.Observatory.037750_TMYx.zip</v>
      </c>
    </row>
    <row r="5731" spans="1:10" x14ac:dyDescent="0.25">
      <c r="A5731" t="s">
        <v>3587</v>
      </c>
      <c r="B5731" t="s">
        <v>3630</v>
      </c>
      <c r="C5731" t="s">
        <v>4425</v>
      </c>
      <c r="D5731" s="1" t="s">
        <v>4426</v>
      </c>
      <c r="E5731" t="s">
        <v>4427</v>
      </c>
      <c r="F5731">
        <v>51.148000000000003</v>
      </c>
      <c r="G5731">
        <v>-0.19</v>
      </c>
      <c r="H5731">
        <v>0</v>
      </c>
      <c r="I5731">
        <v>61.6</v>
      </c>
      <c r="J5731" t="str">
        <f>HYPERLINK("https://climate.onebuilding.org/WMO_Region_6_Europe/GBR_United_Kingdom/ENG_England/GBR_ENG_London-Gatwick.AP.037760_TMYx.2004-2018.zip")</f>
        <v>https://climate.onebuilding.org/WMO_Region_6_Europe/GBR_United_Kingdom/ENG_England/GBR_ENG_London-Gatwick.AP.037760_TMYx.2004-2018.zip</v>
      </c>
    </row>
    <row r="5732" spans="1:10" x14ac:dyDescent="0.25">
      <c r="A5732" t="s">
        <v>3587</v>
      </c>
      <c r="B5732" t="s">
        <v>3630</v>
      </c>
      <c r="C5732" t="s">
        <v>4425</v>
      </c>
      <c r="D5732" s="1" t="s">
        <v>4426</v>
      </c>
      <c r="E5732" t="s">
        <v>14</v>
      </c>
      <c r="F5732">
        <v>51.148000000000003</v>
      </c>
      <c r="G5732">
        <v>-0.19</v>
      </c>
      <c r="H5732">
        <v>0</v>
      </c>
      <c r="I5732">
        <v>61.6</v>
      </c>
      <c r="J5732" t="str">
        <f>HYPERLINK("https://climate.onebuilding.org/WMO_Region_6_Europe/GBR_United_Kingdom/ENG_England/GBR_ENG_London-Gatwick.AP.037760_TMYx.2007-2021.zip")</f>
        <v>https://climate.onebuilding.org/WMO_Region_6_Europe/GBR_United_Kingdom/ENG_England/GBR_ENG_London-Gatwick.AP.037760_TMYx.2007-2021.zip</v>
      </c>
    </row>
    <row r="5733" spans="1:10" x14ac:dyDescent="0.25">
      <c r="A5733" t="s">
        <v>3587</v>
      </c>
      <c r="B5733" t="s">
        <v>3630</v>
      </c>
      <c r="C5733" t="s">
        <v>4425</v>
      </c>
      <c r="D5733" s="1" t="s">
        <v>4426</v>
      </c>
      <c r="E5733" t="s">
        <v>14</v>
      </c>
      <c r="F5733">
        <v>51.148000000000003</v>
      </c>
      <c r="G5733">
        <v>-0.19</v>
      </c>
      <c r="H5733">
        <v>0</v>
      </c>
      <c r="I5733">
        <v>61.6</v>
      </c>
      <c r="J5733" t="str">
        <f>HYPERLINK("https://climate.onebuilding.org/WMO_Region_6_Europe/GBR_United_Kingdom/ENG_England/GBR_ENG_London-Gatwick.AP.037760_TMYx.2009-2023.zip")</f>
        <v>https://climate.onebuilding.org/WMO_Region_6_Europe/GBR_United_Kingdom/ENG_England/GBR_ENG_London-Gatwick.AP.037760_TMYx.2009-2023.zip</v>
      </c>
    </row>
    <row r="5734" spans="1:10" x14ac:dyDescent="0.25">
      <c r="A5734" t="s">
        <v>3587</v>
      </c>
      <c r="B5734" t="s">
        <v>3630</v>
      </c>
      <c r="C5734" t="s">
        <v>4425</v>
      </c>
      <c r="D5734" s="1" t="s">
        <v>4426</v>
      </c>
      <c r="E5734" t="s">
        <v>14</v>
      </c>
      <c r="F5734">
        <v>51.148000000000003</v>
      </c>
      <c r="G5734">
        <v>-0.19</v>
      </c>
      <c r="H5734">
        <v>0</v>
      </c>
      <c r="I5734">
        <v>61.6</v>
      </c>
      <c r="J5734" t="str">
        <f>HYPERLINK("https://climate.onebuilding.org/WMO_Region_6_Europe/GBR_United_Kingdom/ENG_England/GBR_ENG_London-Gatwick.AP.037760_TMYx.zip")</f>
        <v>https://climate.onebuilding.org/WMO_Region_6_Europe/GBR_United_Kingdom/ENG_England/GBR_ENG_London-Gatwick.AP.037760_TMYx.zip</v>
      </c>
    </row>
    <row r="5735" spans="1:10" x14ac:dyDescent="0.25">
      <c r="A5735" t="s">
        <v>3587</v>
      </c>
      <c r="B5735" t="s">
        <v>3630</v>
      </c>
      <c r="C5735" t="s">
        <v>4428</v>
      </c>
      <c r="D5735" s="1" t="s">
        <v>4429</v>
      </c>
      <c r="E5735" t="s">
        <v>4430</v>
      </c>
      <c r="F5735">
        <v>51.3</v>
      </c>
      <c r="G5735" s="2">
        <v>-8.3000000000000004E-2</v>
      </c>
      <c r="H5735">
        <v>0</v>
      </c>
      <c r="I5735">
        <v>170</v>
      </c>
      <c r="J5735" t="str">
        <f>HYPERLINK("https://climate.onebuilding.org/WMO_Region_6_Europe/GBR_United_Kingdom/ENG_England/GBR_ENG_Kenley.AF.037810_TMYx.2004-2018.zip")</f>
        <v>https://climate.onebuilding.org/WMO_Region_6_Europe/GBR_United_Kingdom/ENG_England/GBR_ENG_Kenley.AF.037810_TMYx.2004-2018.zip</v>
      </c>
    </row>
    <row r="5736" spans="1:10" x14ac:dyDescent="0.25">
      <c r="A5736" t="s">
        <v>3587</v>
      </c>
      <c r="B5736" t="s">
        <v>3630</v>
      </c>
      <c r="C5736" t="s">
        <v>4428</v>
      </c>
      <c r="D5736" s="1" t="s">
        <v>4429</v>
      </c>
      <c r="E5736" t="s">
        <v>14</v>
      </c>
      <c r="F5736">
        <v>51.303899999999999</v>
      </c>
      <c r="G5736" s="2">
        <v>-9.1399999999999995E-2</v>
      </c>
      <c r="H5736">
        <v>0</v>
      </c>
      <c r="I5736">
        <v>170</v>
      </c>
      <c r="J5736" t="str">
        <f>HYPERLINK("https://climate.onebuilding.org/WMO_Region_6_Europe/GBR_United_Kingdom/ENG_England/GBR_ENG_Kenley.AF.037810_TMYx.2007-2021.zip")</f>
        <v>https://climate.onebuilding.org/WMO_Region_6_Europe/GBR_United_Kingdom/ENG_England/GBR_ENG_Kenley.AF.037810_TMYx.2007-2021.zip</v>
      </c>
    </row>
    <row r="5737" spans="1:10" x14ac:dyDescent="0.25">
      <c r="A5737" t="s">
        <v>3587</v>
      </c>
      <c r="B5737" t="s">
        <v>3630</v>
      </c>
      <c r="C5737" t="s">
        <v>4428</v>
      </c>
      <c r="D5737" s="1" t="s">
        <v>4429</v>
      </c>
      <c r="E5737" t="s">
        <v>14</v>
      </c>
      <c r="F5737">
        <v>51.303899999999999</v>
      </c>
      <c r="G5737" s="2">
        <v>-9.1399999999999995E-2</v>
      </c>
      <c r="H5737">
        <v>0</v>
      </c>
      <c r="I5737">
        <v>170</v>
      </c>
      <c r="J5737" t="str">
        <f>HYPERLINK("https://climate.onebuilding.org/WMO_Region_6_Europe/GBR_United_Kingdom/ENG_England/GBR_ENG_Kenley.AF.037810_TMYx.2009-2023.zip")</f>
        <v>https://climate.onebuilding.org/WMO_Region_6_Europe/GBR_United_Kingdom/ENG_England/GBR_ENG_Kenley.AF.037810_TMYx.2009-2023.zip</v>
      </c>
    </row>
    <row r="5738" spans="1:10" x14ac:dyDescent="0.25">
      <c r="A5738" t="s">
        <v>3587</v>
      </c>
      <c r="B5738" t="s">
        <v>3630</v>
      </c>
      <c r="C5738" t="s">
        <v>4428</v>
      </c>
      <c r="D5738" s="1" t="s">
        <v>4429</v>
      </c>
      <c r="E5738" t="s">
        <v>14</v>
      </c>
      <c r="F5738">
        <v>51.303899999999999</v>
      </c>
      <c r="G5738" s="2">
        <v>-9.1399999999999995E-2</v>
      </c>
      <c r="H5738">
        <v>0</v>
      </c>
      <c r="I5738">
        <v>170</v>
      </c>
      <c r="J5738" t="str">
        <f>HYPERLINK("https://climate.onebuilding.org/WMO_Region_6_Europe/GBR_United_Kingdom/ENG_England/GBR_ENG_Kenley.AF.037810_TMYx.zip")</f>
        <v>https://climate.onebuilding.org/WMO_Region_6_Europe/GBR_United_Kingdom/ENG_England/GBR_ENG_Kenley.AF.037810_TMYx.zip</v>
      </c>
    </row>
    <row r="5739" spans="1:10" x14ac:dyDescent="0.25">
      <c r="A5739" t="s">
        <v>3587</v>
      </c>
      <c r="B5739" t="s">
        <v>3630</v>
      </c>
      <c r="C5739" t="s">
        <v>4431</v>
      </c>
      <c r="D5739" s="1" t="s">
        <v>4432</v>
      </c>
      <c r="E5739" t="s">
        <v>14</v>
      </c>
      <c r="F5739">
        <v>51.683</v>
      </c>
      <c r="G5739">
        <v>-0.41699999999999998</v>
      </c>
      <c r="H5739">
        <v>0</v>
      </c>
      <c r="I5739">
        <v>102</v>
      </c>
      <c r="J5739" t="str">
        <f>HYPERLINK("https://climate.onebuilding.org/WMO_Region_6_Europe/GBR_United_Kingdom/ENG_England/GBR_ENG_Leavesden.037815_TMYx.zip")</f>
        <v>https://climate.onebuilding.org/WMO_Region_6_Europe/GBR_United_Kingdom/ENG_England/GBR_ENG_Leavesden.037815_TMYx.zip</v>
      </c>
    </row>
    <row r="5740" spans="1:10" x14ac:dyDescent="0.25">
      <c r="A5740" t="s">
        <v>3587</v>
      </c>
      <c r="B5740" t="s">
        <v>3630</v>
      </c>
      <c r="C5740" t="s">
        <v>4433</v>
      </c>
      <c r="D5740" s="1" t="s">
        <v>4434</v>
      </c>
      <c r="E5740" t="s">
        <v>14</v>
      </c>
      <c r="F5740">
        <v>51.517000000000003</v>
      </c>
      <c r="G5740" s="1" t="s">
        <v>4435</v>
      </c>
      <c r="H5740">
        <v>0</v>
      </c>
      <c r="I5740">
        <v>5</v>
      </c>
      <c r="J5740" t="str">
        <f>HYPERLINK("https://climate.onebuilding.org/WMO_Region_6_Europe/GBR_United_Kingdom/ENG_England/GBR_ENG_Blackwall.037820_TMYx.zip")</f>
        <v>https://climate.onebuilding.org/WMO_Region_6_Europe/GBR_United_Kingdom/ENG_England/GBR_ENG_Blackwall.037820_TMYx.zip</v>
      </c>
    </row>
    <row r="5741" spans="1:10" x14ac:dyDescent="0.25">
      <c r="A5741" t="s">
        <v>3587</v>
      </c>
      <c r="B5741" t="s">
        <v>3630</v>
      </c>
      <c r="C5741" t="s">
        <v>4436</v>
      </c>
      <c r="D5741" s="1" t="s">
        <v>4437</v>
      </c>
      <c r="E5741" t="s">
        <v>4438</v>
      </c>
      <c r="F5741">
        <v>51.466999999999999</v>
      </c>
      <c r="G5741">
        <v>0.3</v>
      </c>
      <c r="H5741">
        <v>0</v>
      </c>
      <c r="I5741">
        <v>3</v>
      </c>
      <c r="J5741" t="str">
        <f>HYPERLINK("https://climate.onebuilding.org/WMO_Region_6_Europe/GBR_United_Kingdom/ENG_England/GBR_ENG_Gravesend.Broadness.037840_TMYx.2004-2018.zip")</f>
        <v>https://climate.onebuilding.org/WMO_Region_6_Europe/GBR_United_Kingdom/ENG_England/GBR_ENG_Gravesend.Broadness.037840_TMYx.2004-2018.zip</v>
      </c>
    </row>
    <row r="5742" spans="1:10" x14ac:dyDescent="0.25">
      <c r="A5742" t="s">
        <v>3587</v>
      </c>
      <c r="B5742" t="s">
        <v>3630</v>
      </c>
      <c r="C5742" t="s">
        <v>4436</v>
      </c>
      <c r="D5742" s="1" t="s">
        <v>4437</v>
      </c>
      <c r="E5742" t="s">
        <v>14</v>
      </c>
      <c r="F5742">
        <v>51.464500000000001</v>
      </c>
      <c r="G5742">
        <v>0.31130000000000002</v>
      </c>
      <c r="H5742">
        <v>0</v>
      </c>
      <c r="I5742">
        <v>3</v>
      </c>
      <c r="J5742" t="str">
        <f>HYPERLINK("https://climate.onebuilding.org/WMO_Region_6_Europe/GBR_United_Kingdom/ENG_England/GBR_ENG_Gravesend.Broadness.037840_TMYx.2007-2021.zip")</f>
        <v>https://climate.onebuilding.org/WMO_Region_6_Europe/GBR_United_Kingdom/ENG_England/GBR_ENG_Gravesend.Broadness.037840_TMYx.2007-2021.zip</v>
      </c>
    </row>
    <row r="5743" spans="1:10" x14ac:dyDescent="0.25">
      <c r="A5743" t="s">
        <v>3587</v>
      </c>
      <c r="B5743" t="s">
        <v>3630</v>
      </c>
      <c r="C5743" t="s">
        <v>4436</v>
      </c>
      <c r="D5743" s="1" t="s">
        <v>4437</v>
      </c>
      <c r="E5743" t="s">
        <v>14</v>
      </c>
      <c r="F5743">
        <v>51.464500000000001</v>
      </c>
      <c r="G5743">
        <v>0.31130000000000002</v>
      </c>
      <c r="H5743">
        <v>0</v>
      </c>
      <c r="I5743">
        <v>3</v>
      </c>
      <c r="J5743" t="str">
        <f>HYPERLINK("https://climate.onebuilding.org/WMO_Region_6_Europe/GBR_United_Kingdom/ENG_England/GBR_ENG_Gravesend.Broadness.037840_TMYx.2009-2023.zip")</f>
        <v>https://climate.onebuilding.org/WMO_Region_6_Europe/GBR_United_Kingdom/ENG_England/GBR_ENG_Gravesend.Broadness.037840_TMYx.2009-2023.zip</v>
      </c>
    </row>
    <row r="5744" spans="1:10" x14ac:dyDescent="0.25">
      <c r="A5744" t="s">
        <v>3587</v>
      </c>
      <c r="B5744" t="s">
        <v>3630</v>
      </c>
      <c r="C5744" t="s">
        <v>4436</v>
      </c>
      <c r="D5744" s="1" t="s">
        <v>4437</v>
      </c>
      <c r="E5744" t="s">
        <v>14</v>
      </c>
      <c r="F5744">
        <v>51.464500000000001</v>
      </c>
      <c r="G5744">
        <v>0.31130000000000002</v>
      </c>
      <c r="H5744">
        <v>0</v>
      </c>
      <c r="I5744">
        <v>3</v>
      </c>
      <c r="J5744" t="str">
        <f>HYPERLINK("https://climate.onebuilding.org/WMO_Region_6_Europe/GBR_United_Kingdom/ENG_England/GBR_ENG_Gravesend.Broadness.037840_TMYx.zip")</f>
        <v>https://climate.onebuilding.org/WMO_Region_6_Europe/GBR_United_Kingdom/ENG_England/GBR_ENG_Gravesend.Broadness.037840_TMYx.zip</v>
      </c>
    </row>
    <row r="5745" spans="1:10" x14ac:dyDescent="0.25">
      <c r="A5745" t="s">
        <v>3587</v>
      </c>
      <c r="B5745" t="s">
        <v>3630</v>
      </c>
      <c r="C5745" t="s">
        <v>4439</v>
      </c>
      <c r="D5745" s="1" t="s">
        <v>4440</v>
      </c>
      <c r="E5745" t="s">
        <v>14</v>
      </c>
      <c r="F5745">
        <v>51.2</v>
      </c>
      <c r="G5745">
        <v>0.78300000000000003</v>
      </c>
      <c r="H5745">
        <v>0</v>
      </c>
      <c r="I5745">
        <v>91</v>
      </c>
      <c r="J5745" t="str">
        <f>HYPERLINK("https://climate.onebuilding.org/WMO_Region_6_Europe/GBR_United_Kingdom/ENG_England/GBR_ENG_Charing.037850_TMYx.zip")</f>
        <v>https://climate.onebuilding.org/WMO_Region_6_Europe/GBR_United_Kingdom/ENG_England/GBR_ENG_Charing.037850_TMYx.zip</v>
      </c>
    </row>
    <row r="5746" spans="1:10" x14ac:dyDescent="0.25">
      <c r="A5746" t="s">
        <v>3587</v>
      </c>
      <c r="B5746" t="s">
        <v>3630</v>
      </c>
      <c r="C5746" t="s">
        <v>4441</v>
      </c>
      <c r="D5746" s="1" t="s">
        <v>4442</v>
      </c>
      <c r="E5746" t="s">
        <v>14</v>
      </c>
      <c r="F5746">
        <v>51.433</v>
      </c>
      <c r="G5746">
        <v>0.38300000000000001</v>
      </c>
      <c r="H5746">
        <v>0</v>
      </c>
      <c r="I5746">
        <v>5</v>
      </c>
      <c r="J5746" t="str">
        <f>HYPERLINK("https://climate.onebuilding.org/WMO_Region_6_Europe/GBR_United_Kingdom/ENG_England/GBR_ENG_Gravesend.037860_TMYx.zip")</f>
        <v>https://climate.onebuilding.org/WMO_Region_6_Europe/GBR_United_Kingdom/ENG_England/GBR_ENG_Gravesend.037860_TMYx.zip</v>
      </c>
    </row>
    <row r="5747" spans="1:10" x14ac:dyDescent="0.25">
      <c r="A5747" t="s">
        <v>3587</v>
      </c>
      <c r="B5747" t="s">
        <v>3630</v>
      </c>
      <c r="C5747" t="s">
        <v>4443</v>
      </c>
      <c r="D5747" s="1" t="s">
        <v>4444</v>
      </c>
      <c r="E5747" t="s">
        <v>14</v>
      </c>
      <c r="F5747">
        <v>51.183</v>
      </c>
      <c r="G5747">
        <v>0.63300000000000001</v>
      </c>
      <c r="H5747">
        <v>0</v>
      </c>
      <c r="I5747">
        <v>47</v>
      </c>
      <c r="J5747" t="str">
        <f>HYPERLINK("https://climate.onebuilding.org/WMO_Region_6_Europe/GBR_United_Kingdom/ENG_England/GBR_ENG_Jubilee.Corner.037890_TMYx.zip")</f>
        <v>https://climate.onebuilding.org/WMO_Region_6_Europe/GBR_United_Kingdom/ENG_England/GBR_ENG_Jubilee.Corner.037890_TMYx.zip</v>
      </c>
    </row>
    <row r="5748" spans="1:10" x14ac:dyDescent="0.25">
      <c r="A5748" t="s">
        <v>3587</v>
      </c>
      <c r="B5748" t="s">
        <v>3630</v>
      </c>
      <c r="C5748" t="s">
        <v>4445</v>
      </c>
      <c r="D5748" s="1" t="s">
        <v>4446</v>
      </c>
      <c r="E5748" t="s">
        <v>14</v>
      </c>
      <c r="F5748">
        <v>51.283000000000001</v>
      </c>
      <c r="G5748">
        <v>0.45</v>
      </c>
      <c r="H5748">
        <v>0</v>
      </c>
      <c r="I5748">
        <v>32</v>
      </c>
      <c r="J5748" t="str">
        <f>HYPERLINK("https://climate.onebuilding.org/WMO_Region_6_Europe/GBR_United_Kingdom/ENG_England/GBR_ENG_East.Malling.037900_TMYx.zip")</f>
        <v>https://climate.onebuilding.org/WMO_Region_6_Europe/GBR_United_Kingdom/ENG_England/GBR_ENG_East.Malling.037900_TMYx.zip</v>
      </c>
    </row>
    <row r="5749" spans="1:10" x14ac:dyDescent="0.25">
      <c r="A5749" t="s">
        <v>3587</v>
      </c>
      <c r="B5749" t="s">
        <v>3630</v>
      </c>
      <c r="C5749" t="s">
        <v>4447</v>
      </c>
      <c r="D5749" s="1" t="s">
        <v>4448</v>
      </c>
      <c r="E5749" t="s">
        <v>14</v>
      </c>
      <c r="F5749">
        <v>51.445999999999998</v>
      </c>
      <c r="G5749">
        <v>0.746</v>
      </c>
      <c r="H5749">
        <v>0</v>
      </c>
      <c r="I5749">
        <v>25</v>
      </c>
      <c r="J5749" t="str">
        <f>HYPERLINK("https://climate.onebuilding.org/WMO_Region_6_Europe/GBR_United_Kingdom/ENG_England/GBR_ENG_Sheerness.037910_TMYx.zip")</f>
        <v>https://climate.onebuilding.org/WMO_Region_6_Europe/GBR_United_Kingdom/ENG_England/GBR_ENG_Sheerness.037910_TMYx.zip</v>
      </c>
    </row>
    <row r="5750" spans="1:10" x14ac:dyDescent="0.25">
      <c r="A5750" t="s">
        <v>3587</v>
      </c>
      <c r="B5750" t="s">
        <v>3630</v>
      </c>
      <c r="C5750" t="s">
        <v>4449</v>
      </c>
      <c r="D5750" s="1" t="s">
        <v>4450</v>
      </c>
      <c r="E5750" t="s">
        <v>14</v>
      </c>
      <c r="F5750">
        <v>51.283000000000001</v>
      </c>
      <c r="G5750">
        <v>0.78300000000000003</v>
      </c>
      <c r="H5750">
        <v>0</v>
      </c>
      <c r="I5750">
        <v>91</v>
      </c>
      <c r="J5750" t="str">
        <f>HYPERLINK("https://climate.onebuilding.org/WMO_Region_6_Europe/GBR_United_Kingdom/ENG_England/GBR_ENG_Doddington.037920_TMYx.zip")</f>
        <v>https://climate.onebuilding.org/WMO_Region_6_Europe/GBR_United_Kingdom/ENG_England/GBR_ENG_Doddington.037920_TMYx.zip</v>
      </c>
    </row>
    <row r="5751" spans="1:10" x14ac:dyDescent="0.25">
      <c r="A5751" t="s">
        <v>3587</v>
      </c>
      <c r="B5751" t="s">
        <v>3630</v>
      </c>
      <c r="C5751" t="s">
        <v>4451</v>
      </c>
      <c r="D5751" s="1" t="s">
        <v>4452</v>
      </c>
      <c r="E5751" t="s">
        <v>14</v>
      </c>
      <c r="F5751">
        <v>51.2</v>
      </c>
      <c r="G5751">
        <v>1.0169999999999999</v>
      </c>
      <c r="H5751">
        <v>0</v>
      </c>
      <c r="I5751">
        <v>139</v>
      </c>
      <c r="J5751" t="str">
        <f>HYPERLINK("https://climate.onebuilding.org/WMO_Region_6_Europe/GBR_United_Kingdom/ENG_England/GBR_ENG_Anvil.Green.037930_TMYx.zip")</f>
        <v>https://climate.onebuilding.org/WMO_Region_6_Europe/GBR_United_Kingdom/ENG_England/GBR_ENG_Anvil.Green.037930_TMYx.zip</v>
      </c>
    </row>
    <row r="5752" spans="1:10" x14ac:dyDescent="0.25">
      <c r="A5752" t="s">
        <v>3587</v>
      </c>
      <c r="B5752" t="s">
        <v>3630</v>
      </c>
      <c r="C5752" t="s">
        <v>4453</v>
      </c>
      <c r="D5752" s="1" t="s">
        <v>4454</v>
      </c>
      <c r="E5752" t="s">
        <v>4455</v>
      </c>
      <c r="F5752">
        <v>51.133000000000003</v>
      </c>
      <c r="G5752">
        <v>1.35</v>
      </c>
      <c r="H5752">
        <v>0</v>
      </c>
      <c r="I5752">
        <v>117</v>
      </c>
      <c r="J5752" t="str">
        <f>HYPERLINK("https://climate.onebuilding.org/WMO_Region_6_Europe/GBR_United_Kingdom/ENG_England/GBR_ENG_Langdon.Bay.037960_TMYx.2004-2018.zip")</f>
        <v>https://climate.onebuilding.org/WMO_Region_6_Europe/GBR_United_Kingdom/ENG_England/GBR_ENG_Langdon.Bay.037960_TMYx.2004-2018.zip</v>
      </c>
    </row>
    <row r="5753" spans="1:10" x14ac:dyDescent="0.25">
      <c r="A5753" t="s">
        <v>3587</v>
      </c>
      <c r="B5753" t="s">
        <v>3630</v>
      </c>
      <c r="C5753" t="s">
        <v>4453</v>
      </c>
      <c r="D5753" s="1" t="s">
        <v>4454</v>
      </c>
      <c r="E5753" t="s">
        <v>14</v>
      </c>
      <c r="F5753">
        <v>51.134</v>
      </c>
      <c r="G5753">
        <v>1.343</v>
      </c>
      <c r="H5753">
        <v>0</v>
      </c>
      <c r="I5753">
        <v>117</v>
      </c>
      <c r="J5753" t="str">
        <f>HYPERLINK("https://climate.onebuilding.org/WMO_Region_6_Europe/GBR_United_Kingdom/ENG_England/GBR_ENG_Langdon.Bay.037960_TMYx.2007-2021.zip")</f>
        <v>https://climate.onebuilding.org/WMO_Region_6_Europe/GBR_United_Kingdom/ENG_England/GBR_ENG_Langdon.Bay.037960_TMYx.2007-2021.zip</v>
      </c>
    </row>
    <row r="5754" spans="1:10" x14ac:dyDescent="0.25">
      <c r="A5754" t="s">
        <v>3587</v>
      </c>
      <c r="B5754" t="s">
        <v>3630</v>
      </c>
      <c r="C5754" t="s">
        <v>4453</v>
      </c>
      <c r="D5754" s="1" t="s">
        <v>4454</v>
      </c>
      <c r="E5754" t="s">
        <v>14</v>
      </c>
      <c r="F5754">
        <v>51.134</v>
      </c>
      <c r="G5754">
        <v>1.343</v>
      </c>
      <c r="H5754">
        <v>0</v>
      </c>
      <c r="I5754">
        <v>117</v>
      </c>
      <c r="J5754" t="str">
        <f>HYPERLINK("https://climate.onebuilding.org/WMO_Region_6_Europe/GBR_United_Kingdom/ENG_England/GBR_ENG_Langdon.Bay.037960_TMYx.2009-2023.zip")</f>
        <v>https://climate.onebuilding.org/WMO_Region_6_Europe/GBR_United_Kingdom/ENG_England/GBR_ENG_Langdon.Bay.037960_TMYx.2009-2023.zip</v>
      </c>
    </row>
    <row r="5755" spans="1:10" x14ac:dyDescent="0.25">
      <c r="A5755" t="s">
        <v>3587</v>
      </c>
      <c r="B5755" t="s">
        <v>3630</v>
      </c>
      <c r="C5755" t="s">
        <v>4453</v>
      </c>
      <c r="D5755" s="1" t="s">
        <v>4454</v>
      </c>
      <c r="E5755" t="s">
        <v>14</v>
      </c>
      <c r="F5755">
        <v>51.134</v>
      </c>
      <c r="G5755">
        <v>1.343</v>
      </c>
      <c r="H5755">
        <v>0</v>
      </c>
      <c r="I5755">
        <v>117</v>
      </c>
      <c r="J5755" t="str">
        <f>HYPERLINK("https://climate.onebuilding.org/WMO_Region_6_Europe/GBR_United_Kingdom/ENG_England/GBR_ENG_Langdon.Bay.037960_TMYx.zip")</f>
        <v>https://climate.onebuilding.org/WMO_Region_6_Europe/GBR_United_Kingdom/ENG_England/GBR_ENG_Langdon.Bay.037960_TMYx.zip</v>
      </c>
    </row>
    <row r="5756" spans="1:10" x14ac:dyDescent="0.25">
      <c r="A5756" t="s">
        <v>3587</v>
      </c>
      <c r="B5756" t="s">
        <v>3630</v>
      </c>
      <c r="C5756" t="s">
        <v>4456</v>
      </c>
      <c r="D5756" s="1" t="s">
        <v>4457</v>
      </c>
      <c r="E5756" t="s">
        <v>4458</v>
      </c>
      <c r="F5756">
        <v>51.341999999999999</v>
      </c>
      <c r="G5756">
        <v>1.3460000000000001</v>
      </c>
      <c r="H5756">
        <v>0</v>
      </c>
      <c r="I5756">
        <v>54.3</v>
      </c>
      <c r="J5756" t="str">
        <f>HYPERLINK("https://climate.onebuilding.org/WMO_Region_6_Europe/GBR_United_Kingdom/ENG_England/GBR_ENG_Manston.AP.037970_TMYx.2004-2018.zip")</f>
        <v>https://climate.onebuilding.org/WMO_Region_6_Europe/GBR_United_Kingdom/ENG_England/GBR_ENG_Manston.AP.037970_TMYx.2004-2018.zip</v>
      </c>
    </row>
    <row r="5757" spans="1:10" x14ac:dyDescent="0.25">
      <c r="A5757" t="s">
        <v>3587</v>
      </c>
      <c r="B5757" t="s">
        <v>3630</v>
      </c>
      <c r="C5757" t="s">
        <v>4456</v>
      </c>
      <c r="D5757" s="1" t="s">
        <v>4457</v>
      </c>
      <c r="E5757" t="s">
        <v>14</v>
      </c>
      <c r="F5757">
        <v>51.346400000000003</v>
      </c>
      <c r="G5757">
        <v>1.3355999999999999</v>
      </c>
      <c r="H5757">
        <v>0</v>
      </c>
      <c r="I5757">
        <v>54.3</v>
      </c>
      <c r="J5757" t="str">
        <f>HYPERLINK("https://climate.onebuilding.org/WMO_Region_6_Europe/GBR_United_Kingdom/ENG_England/GBR_ENG_Manston.AP.037970_TMYx.2007-2021.zip")</f>
        <v>https://climate.onebuilding.org/WMO_Region_6_Europe/GBR_United_Kingdom/ENG_England/GBR_ENG_Manston.AP.037970_TMYx.2007-2021.zip</v>
      </c>
    </row>
    <row r="5758" spans="1:10" x14ac:dyDescent="0.25">
      <c r="A5758" t="s">
        <v>3587</v>
      </c>
      <c r="B5758" t="s">
        <v>3630</v>
      </c>
      <c r="C5758" t="s">
        <v>4456</v>
      </c>
      <c r="D5758" s="1" t="s">
        <v>4457</v>
      </c>
      <c r="E5758" t="s">
        <v>14</v>
      </c>
      <c r="F5758">
        <v>51.346400000000003</v>
      </c>
      <c r="G5758">
        <v>1.3355999999999999</v>
      </c>
      <c r="H5758">
        <v>0</v>
      </c>
      <c r="I5758">
        <v>54.3</v>
      </c>
      <c r="J5758" t="str">
        <f>HYPERLINK("https://climate.onebuilding.org/WMO_Region_6_Europe/GBR_United_Kingdom/ENG_England/GBR_ENG_Manston.AP.037970_TMYx.2009-2023.zip")</f>
        <v>https://climate.onebuilding.org/WMO_Region_6_Europe/GBR_United_Kingdom/ENG_England/GBR_ENG_Manston.AP.037970_TMYx.2009-2023.zip</v>
      </c>
    </row>
    <row r="5759" spans="1:10" x14ac:dyDescent="0.25">
      <c r="A5759" t="s">
        <v>3587</v>
      </c>
      <c r="B5759" t="s">
        <v>3630</v>
      </c>
      <c r="C5759" t="s">
        <v>4456</v>
      </c>
      <c r="D5759" s="1" t="s">
        <v>4457</v>
      </c>
      <c r="E5759" t="s">
        <v>14</v>
      </c>
      <c r="F5759">
        <v>51.346400000000003</v>
      </c>
      <c r="G5759">
        <v>1.3355999999999999</v>
      </c>
      <c r="H5759">
        <v>0</v>
      </c>
      <c r="I5759">
        <v>54.3</v>
      </c>
      <c r="J5759" t="str">
        <f>HYPERLINK("https://climate.onebuilding.org/WMO_Region_6_Europe/GBR_United_Kingdom/ENG_England/GBR_ENG_Manston.AP.037970_TMYx.zip")</f>
        <v>https://climate.onebuilding.org/WMO_Region_6_Europe/GBR_United_Kingdom/ENG_England/GBR_ENG_Manston.AP.037970_TMYx.zip</v>
      </c>
    </row>
    <row r="5760" spans="1:10" x14ac:dyDescent="0.25">
      <c r="A5760" t="s">
        <v>3587</v>
      </c>
      <c r="B5760" t="s">
        <v>3630</v>
      </c>
      <c r="C5760" t="s">
        <v>4459</v>
      </c>
      <c r="D5760" s="1" t="s">
        <v>4460</v>
      </c>
      <c r="E5760" t="s">
        <v>14</v>
      </c>
      <c r="F5760">
        <v>51.3</v>
      </c>
      <c r="G5760">
        <v>1.8169999999999999</v>
      </c>
      <c r="H5760">
        <v>0</v>
      </c>
      <c r="I5760">
        <v>5</v>
      </c>
      <c r="J5760" t="str">
        <f>HYPERLINK("https://climate.onebuilding.org/WMO_Region_6_Europe/GBR_United_Kingdom/ENG_England/GBR_ENG_Falls.Light.037980_TMYx.zip")</f>
        <v>https://climate.onebuilding.org/WMO_Region_6_Europe/GBR_United_Kingdom/ENG_England/GBR_ENG_Falls.Light.037980_TMYx.zip</v>
      </c>
    </row>
    <row r="5761" spans="1:10" x14ac:dyDescent="0.25">
      <c r="A5761" t="s">
        <v>3587</v>
      </c>
      <c r="B5761" t="s">
        <v>3630</v>
      </c>
      <c r="C5761" t="s">
        <v>4461</v>
      </c>
      <c r="D5761" s="1" t="s">
        <v>4462</v>
      </c>
      <c r="E5761" t="s">
        <v>14</v>
      </c>
      <c r="F5761">
        <v>51.216999999999999</v>
      </c>
      <c r="G5761">
        <v>1.6</v>
      </c>
      <c r="H5761">
        <v>0</v>
      </c>
      <c r="I5761">
        <v>5</v>
      </c>
      <c r="J5761" t="str">
        <f>HYPERLINK("https://climate.onebuilding.org/WMO_Region_6_Europe/GBR_United_Kingdom/ENG_England/GBR_ENG_East.Goodwin.Light.037990_TMYx.zip")</f>
        <v>https://climate.onebuilding.org/WMO_Region_6_Europe/GBR_United_Kingdom/ENG_England/GBR_ENG_East.Goodwin.Light.037990_TMYx.zip</v>
      </c>
    </row>
    <row r="5762" spans="1:10" x14ac:dyDescent="0.25">
      <c r="A5762" t="s">
        <v>3587</v>
      </c>
      <c r="B5762" t="s">
        <v>3630</v>
      </c>
      <c r="C5762" t="s">
        <v>4463</v>
      </c>
      <c r="D5762" s="1" t="s">
        <v>4464</v>
      </c>
      <c r="E5762" t="s">
        <v>14</v>
      </c>
      <c r="F5762">
        <v>49.982999999999997</v>
      </c>
      <c r="G5762">
        <v>-6.3170000000000002</v>
      </c>
      <c r="H5762">
        <v>0</v>
      </c>
      <c r="I5762">
        <v>38</v>
      </c>
      <c r="J5762" t="str">
        <f>HYPERLINK("https://climate.onebuilding.org/WMO_Region_6_Europe/GBR_United_Kingdom/ENG_England/GBR_ENG_Round.Island-Scilly.038020_TMYx.zip")</f>
        <v>https://climate.onebuilding.org/WMO_Region_6_Europe/GBR_United_Kingdom/ENG_England/GBR_ENG_Round.Island-Scilly.038020_TMYx.zip</v>
      </c>
    </row>
    <row r="5763" spans="1:10" x14ac:dyDescent="0.25">
      <c r="A5763" t="s">
        <v>3587</v>
      </c>
      <c r="B5763" t="s">
        <v>3630</v>
      </c>
      <c r="C5763" t="s">
        <v>4465</v>
      </c>
      <c r="D5763" s="1" t="s">
        <v>4466</v>
      </c>
      <c r="E5763" t="s">
        <v>4467</v>
      </c>
      <c r="F5763">
        <v>49.917000000000002</v>
      </c>
      <c r="G5763">
        <v>-6.3</v>
      </c>
      <c r="H5763">
        <v>0</v>
      </c>
      <c r="I5763">
        <v>31</v>
      </c>
      <c r="J5763" t="str">
        <f>HYPERLINK("https://climate.onebuilding.org/WMO_Region_6_Europe/GBR_United_Kingdom/ENG_England/GBR_ENG_St.Marys.AP-Scilly.038030_TMYx.2004-2018.zip")</f>
        <v>https://climate.onebuilding.org/WMO_Region_6_Europe/GBR_United_Kingdom/ENG_England/GBR_ENG_St.Marys.AP-Scilly.038030_TMYx.2004-2018.zip</v>
      </c>
    </row>
    <row r="5764" spans="1:10" x14ac:dyDescent="0.25">
      <c r="A5764" t="s">
        <v>3587</v>
      </c>
      <c r="B5764" t="s">
        <v>3630</v>
      </c>
      <c r="C5764" t="s">
        <v>4465</v>
      </c>
      <c r="D5764" s="1" t="s">
        <v>4466</v>
      </c>
      <c r="E5764" t="s">
        <v>14</v>
      </c>
      <c r="F5764">
        <v>49.914400000000001</v>
      </c>
      <c r="G5764">
        <v>-6.2957999999999998</v>
      </c>
      <c r="H5764">
        <v>0</v>
      </c>
      <c r="I5764">
        <v>31</v>
      </c>
      <c r="J5764" t="str">
        <f>HYPERLINK("https://climate.onebuilding.org/WMO_Region_6_Europe/GBR_United_Kingdom/ENG_England/GBR_ENG_St.Marys.AP-Scilly.038030_TMYx.2007-2021.zip")</f>
        <v>https://climate.onebuilding.org/WMO_Region_6_Europe/GBR_United_Kingdom/ENG_England/GBR_ENG_St.Marys.AP-Scilly.038030_TMYx.2007-2021.zip</v>
      </c>
    </row>
    <row r="5765" spans="1:10" x14ac:dyDescent="0.25">
      <c r="A5765" t="s">
        <v>3587</v>
      </c>
      <c r="B5765" t="s">
        <v>3630</v>
      </c>
      <c r="C5765" t="s">
        <v>4465</v>
      </c>
      <c r="D5765" s="1" t="s">
        <v>4466</v>
      </c>
      <c r="E5765" t="s">
        <v>14</v>
      </c>
      <c r="F5765">
        <v>49.914400000000001</v>
      </c>
      <c r="G5765">
        <v>-6.2957999999999998</v>
      </c>
      <c r="H5765">
        <v>0</v>
      </c>
      <c r="I5765">
        <v>31</v>
      </c>
      <c r="J5765" t="str">
        <f>HYPERLINK("https://climate.onebuilding.org/WMO_Region_6_Europe/GBR_United_Kingdom/ENG_England/GBR_ENG_St.Marys.AP-Scilly.038030_TMYx.2009-2023.zip")</f>
        <v>https://climate.onebuilding.org/WMO_Region_6_Europe/GBR_United_Kingdom/ENG_England/GBR_ENG_St.Marys.AP-Scilly.038030_TMYx.2009-2023.zip</v>
      </c>
    </row>
    <row r="5766" spans="1:10" x14ac:dyDescent="0.25">
      <c r="A5766" t="s">
        <v>3587</v>
      </c>
      <c r="B5766" t="s">
        <v>3630</v>
      </c>
      <c r="C5766" t="s">
        <v>4465</v>
      </c>
      <c r="D5766" s="1" t="s">
        <v>4466</v>
      </c>
      <c r="E5766" t="s">
        <v>14</v>
      </c>
      <c r="F5766">
        <v>49.914400000000001</v>
      </c>
      <c r="G5766">
        <v>-6.2957999999999998</v>
      </c>
      <c r="H5766">
        <v>0</v>
      </c>
      <c r="I5766">
        <v>31</v>
      </c>
      <c r="J5766" t="str">
        <f>HYPERLINK("https://climate.onebuilding.org/WMO_Region_6_Europe/GBR_United_Kingdom/ENG_England/GBR_ENG_St.Marys.AP-Scilly.038030_TMYx.zip")</f>
        <v>https://climate.onebuilding.org/WMO_Region_6_Europe/GBR_United_Kingdom/ENG_England/GBR_ENG_St.Marys.AP-Scilly.038030_TMYx.zip</v>
      </c>
    </row>
    <row r="5767" spans="1:10" x14ac:dyDescent="0.25">
      <c r="A5767" t="s">
        <v>3587</v>
      </c>
      <c r="B5767" t="s">
        <v>3630</v>
      </c>
      <c r="C5767" t="s">
        <v>4468</v>
      </c>
      <c r="D5767" s="1" t="s">
        <v>4469</v>
      </c>
      <c r="E5767" t="s">
        <v>14</v>
      </c>
      <c r="F5767">
        <v>49.933</v>
      </c>
      <c r="G5767">
        <v>-6.3</v>
      </c>
      <c r="H5767">
        <v>0</v>
      </c>
      <c r="I5767">
        <v>51</v>
      </c>
      <c r="J5767" t="str">
        <f>HYPERLINK("https://climate.onebuilding.org/WMO_Region_6_Europe/GBR_United_Kingdom/ENG_England/GBR_ENG_St.Marys-Scilly.038040_TMYx.zip")</f>
        <v>https://climate.onebuilding.org/WMO_Region_6_Europe/GBR_United_Kingdom/ENG_England/GBR_ENG_St.Marys-Scilly.038040_TMYx.zip</v>
      </c>
    </row>
    <row r="5768" spans="1:10" x14ac:dyDescent="0.25">
      <c r="A5768" t="s">
        <v>3587</v>
      </c>
      <c r="B5768" t="s">
        <v>3630</v>
      </c>
      <c r="C5768" t="s">
        <v>4470</v>
      </c>
      <c r="D5768" s="1" t="s">
        <v>4471</v>
      </c>
      <c r="E5768" t="s">
        <v>14</v>
      </c>
      <c r="F5768">
        <v>50.05</v>
      </c>
      <c r="G5768">
        <v>-6.0670000000000002</v>
      </c>
      <c r="H5768">
        <v>0</v>
      </c>
      <c r="I5768">
        <v>5</v>
      </c>
      <c r="J5768" t="str">
        <f>HYPERLINK("https://climate.onebuilding.org/WMO_Region_6_Europe/GBR_United_Kingdom/ENG_England/GBR_ENG_Seven.Stones.L.V.038050_TMYx.zip")</f>
        <v>https://climate.onebuilding.org/WMO_Region_6_Europe/GBR_United_Kingdom/ENG_England/GBR_ENG_Seven.Stones.L.V.038050_TMYx.zip</v>
      </c>
    </row>
    <row r="5769" spans="1:10" x14ac:dyDescent="0.25">
      <c r="A5769" t="s">
        <v>3587</v>
      </c>
      <c r="B5769" t="s">
        <v>3630</v>
      </c>
      <c r="C5769" t="s">
        <v>4472</v>
      </c>
      <c r="D5769" s="1" t="s">
        <v>4473</v>
      </c>
      <c r="E5769" t="s">
        <v>14</v>
      </c>
      <c r="F5769">
        <v>50.036900000000003</v>
      </c>
      <c r="G5769">
        <v>-5.6805000000000003</v>
      </c>
      <c r="H5769">
        <v>0</v>
      </c>
      <c r="I5769">
        <v>63</v>
      </c>
      <c r="J5769" t="str">
        <f>HYPERLINK("https://climate.onebuilding.org/WMO_Region_6_Europe/GBR_United_Kingdom/ENG_England/GBR_ENG_Gwennap.Head.038060_TMYx.2007-2021.zip")</f>
        <v>https://climate.onebuilding.org/WMO_Region_6_Europe/GBR_United_Kingdom/ENG_England/GBR_ENG_Gwennap.Head.038060_TMYx.2007-2021.zip</v>
      </c>
    </row>
    <row r="5770" spans="1:10" x14ac:dyDescent="0.25">
      <c r="A5770" t="s">
        <v>3587</v>
      </c>
      <c r="B5770" t="s">
        <v>3630</v>
      </c>
      <c r="C5770" t="s">
        <v>4472</v>
      </c>
      <c r="D5770" s="1" t="s">
        <v>4473</v>
      </c>
      <c r="E5770" t="s">
        <v>14</v>
      </c>
      <c r="F5770">
        <v>50.036900000000003</v>
      </c>
      <c r="G5770">
        <v>-5.6805000000000003</v>
      </c>
      <c r="H5770">
        <v>0</v>
      </c>
      <c r="I5770">
        <v>63</v>
      </c>
      <c r="J5770" t="str">
        <f>HYPERLINK("https://climate.onebuilding.org/WMO_Region_6_Europe/GBR_United_Kingdom/ENG_England/GBR_ENG_Gwennap.Head.038060_TMYx.2009-2023.zip")</f>
        <v>https://climate.onebuilding.org/WMO_Region_6_Europe/GBR_United_Kingdom/ENG_England/GBR_ENG_Gwennap.Head.038060_TMYx.2009-2023.zip</v>
      </c>
    </row>
    <row r="5771" spans="1:10" x14ac:dyDescent="0.25">
      <c r="A5771" t="s">
        <v>3587</v>
      </c>
      <c r="B5771" t="s">
        <v>3630</v>
      </c>
      <c r="C5771" t="s">
        <v>4472</v>
      </c>
      <c r="D5771" s="1" t="s">
        <v>4473</v>
      </c>
      <c r="E5771" t="s">
        <v>14</v>
      </c>
      <c r="F5771">
        <v>50.036900000000003</v>
      </c>
      <c r="G5771">
        <v>-5.6805000000000003</v>
      </c>
      <c r="H5771">
        <v>0</v>
      </c>
      <c r="I5771">
        <v>63</v>
      </c>
      <c r="J5771" t="str">
        <f>HYPERLINK("https://climate.onebuilding.org/WMO_Region_6_Europe/GBR_United_Kingdom/ENG_England/GBR_ENG_Gwennap.Head.038060_TMYx.zip")</f>
        <v>https://climate.onebuilding.org/WMO_Region_6_Europe/GBR_United_Kingdom/ENG_England/GBR_ENG_Gwennap.Head.038060_TMYx.zip</v>
      </c>
    </row>
    <row r="5772" spans="1:10" x14ac:dyDescent="0.25">
      <c r="A5772" t="s">
        <v>3587</v>
      </c>
      <c r="B5772" t="s">
        <v>3630</v>
      </c>
      <c r="C5772" t="s">
        <v>4474</v>
      </c>
      <c r="D5772" s="1" t="s">
        <v>4475</v>
      </c>
      <c r="E5772" t="s">
        <v>4476</v>
      </c>
      <c r="F5772">
        <v>50.216999999999999</v>
      </c>
      <c r="G5772">
        <v>-5.3170000000000002</v>
      </c>
      <c r="H5772">
        <v>0</v>
      </c>
      <c r="I5772">
        <v>88</v>
      </c>
      <c r="J5772" t="str">
        <f>HYPERLINK("https://climate.onebuilding.org/WMO_Region_6_Europe/GBR_United_Kingdom/ENG_England/GBR_ENG_Camborne.038080_TMYx.2004-2018.zip")</f>
        <v>https://climate.onebuilding.org/WMO_Region_6_Europe/GBR_United_Kingdom/ENG_England/GBR_ENG_Camborne.038080_TMYx.2004-2018.zip</v>
      </c>
    </row>
    <row r="5773" spans="1:10" x14ac:dyDescent="0.25">
      <c r="A5773" t="s">
        <v>3587</v>
      </c>
      <c r="B5773" t="s">
        <v>3630</v>
      </c>
      <c r="C5773" t="s">
        <v>4474</v>
      </c>
      <c r="D5773" s="1" t="s">
        <v>4475</v>
      </c>
      <c r="E5773" t="s">
        <v>14</v>
      </c>
      <c r="F5773">
        <v>50.218299999999999</v>
      </c>
      <c r="G5773">
        <v>-5.3274999999999997</v>
      </c>
      <c r="H5773">
        <v>0</v>
      </c>
      <c r="I5773">
        <v>88</v>
      </c>
      <c r="J5773" t="str">
        <f>HYPERLINK("https://climate.onebuilding.org/WMO_Region_6_Europe/GBR_United_Kingdom/ENG_England/GBR_ENG_Camborne.038080_TMYx.2007-2021.zip")</f>
        <v>https://climate.onebuilding.org/WMO_Region_6_Europe/GBR_United_Kingdom/ENG_England/GBR_ENG_Camborne.038080_TMYx.2007-2021.zip</v>
      </c>
    </row>
    <row r="5774" spans="1:10" x14ac:dyDescent="0.25">
      <c r="A5774" t="s">
        <v>3587</v>
      </c>
      <c r="B5774" t="s">
        <v>3630</v>
      </c>
      <c r="C5774" t="s">
        <v>4474</v>
      </c>
      <c r="D5774" s="1" t="s">
        <v>4475</v>
      </c>
      <c r="E5774" t="s">
        <v>14</v>
      </c>
      <c r="F5774">
        <v>50.218299999999999</v>
      </c>
      <c r="G5774">
        <v>-5.3274999999999997</v>
      </c>
      <c r="H5774">
        <v>0</v>
      </c>
      <c r="I5774">
        <v>88</v>
      </c>
      <c r="J5774" t="str">
        <f>HYPERLINK("https://climate.onebuilding.org/WMO_Region_6_Europe/GBR_United_Kingdom/ENG_England/GBR_ENG_Camborne.038080_TMYx.2009-2023.zip")</f>
        <v>https://climate.onebuilding.org/WMO_Region_6_Europe/GBR_United_Kingdom/ENG_England/GBR_ENG_Camborne.038080_TMYx.2009-2023.zip</v>
      </c>
    </row>
    <row r="5775" spans="1:10" x14ac:dyDescent="0.25">
      <c r="A5775" t="s">
        <v>3587</v>
      </c>
      <c r="B5775" t="s">
        <v>3630</v>
      </c>
      <c r="C5775" t="s">
        <v>4474</v>
      </c>
      <c r="D5775" s="1" t="s">
        <v>4475</v>
      </c>
      <c r="E5775" t="s">
        <v>14</v>
      </c>
      <c r="F5775">
        <v>50.218299999999999</v>
      </c>
      <c r="G5775">
        <v>-5.3274999999999997</v>
      </c>
      <c r="H5775">
        <v>0</v>
      </c>
      <c r="I5775">
        <v>88</v>
      </c>
      <c r="J5775" t="str">
        <f>HYPERLINK("https://climate.onebuilding.org/WMO_Region_6_Europe/GBR_United_Kingdom/ENG_England/GBR_ENG_Camborne.038080_TMYx.zip")</f>
        <v>https://climate.onebuilding.org/WMO_Region_6_Europe/GBR_United_Kingdom/ENG_England/GBR_ENG_Camborne.038080_TMYx.zip</v>
      </c>
    </row>
    <row r="5776" spans="1:10" x14ac:dyDescent="0.25">
      <c r="A5776" t="s">
        <v>3587</v>
      </c>
      <c r="B5776" t="s">
        <v>3630</v>
      </c>
      <c r="C5776" t="s">
        <v>4477</v>
      </c>
      <c r="D5776" s="1" t="s">
        <v>4478</v>
      </c>
      <c r="E5776" t="s">
        <v>4479</v>
      </c>
      <c r="F5776">
        <v>50.085999999999999</v>
      </c>
      <c r="G5776">
        <v>-5.2560000000000002</v>
      </c>
      <c r="H5776">
        <v>0</v>
      </c>
      <c r="I5776">
        <v>81.400000000000006</v>
      </c>
      <c r="J5776" t="str">
        <f>HYPERLINK("https://climate.onebuilding.org/WMO_Region_6_Europe/GBR_United_Kingdom/ENG_England/GBR_ENG_Culdrose.AF.038090_TMYx.2004-2018.zip")</f>
        <v>https://climate.onebuilding.org/WMO_Region_6_Europe/GBR_United_Kingdom/ENG_England/GBR_ENG_Culdrose.AF.038090_TMYx.2004-2018.zip</v>
      </c>
    </row>
    <row r="5777" spans="1:10" x14ac:dyDescent="0.25">
      <c r="A5777" t="s">
        <v>3587</v>
      </c>
      <c r="B5777" t="s">
        <v>3630</v>
      </c>
      <c r="C5777" t="s">
        <v>4477</v>
      </c>
      <c r="D5777" s="1" t="s">
        <v>4478</v>
      </c>
      <c r="E5777" t="s">
        <v>14</v>
      </c>
      <c r="F5777">
        <v>50.084400000000002</v>
      </c>
      <c r="G5777">
        <v>-5.2572000000000001</v>
      </c>
      <c r="H5777">
        <v>0</v>
      </c>
      <c r="I5777">
        <v>81.400000000000006</v>
      </c>
      <c r="J5777" t="str">
        <f>HYPERLINK("https://climate.onebuilding.org/WMO_Region_6_Europe/GBR_United_Kingdom/ENG_England/GBR_ENG_Culdrose.AF.038090_TMYx.2007-2021.zip")</f>
        <v>https://climate.onebuilding.org/WMO_Region_6_Europe/GBR_United_Kingdom/ENG_England/GBR_ENG_Culdrose.AF.038090_TMYx.2007-2021.zip</v>
      </c>
    </row>
    <row r="5778" spans="1:10" x14ac:dyDescent="0.25">
      <c r="A5778" t="s">
        <v>3587</v>
      </c>
      <c r="B5778" t="s">
        <v>3630</v>
      </c>
      <c r="C5778" t="s">
        <v>4477</v>
      </c>
      <c r="D5778" s="1" t="s">
        <v>4478</v>
      </c>
      <c r="E5778" t="s">
        <v>14</v>
      </c>
      <c r="F5778">
        <v>50.084400000000002</v>
      </c>
      <c r="G5778">
        <v>-5.2572000000000001</v>
      </c>
      <c r="H5778">
        <v>0</v>
      </c>
      <c r="I5778">
        <v>81.400000000000006</v>
      </c>
      <c r="J5778" t="str">
        <f>HYPERLINK("https://climate.onebuilding.org/WMO_Region_6_Europe/GBR_United_Kingdom/ENG_England/GBR_ENG_Culdrose.AF.038090_TMYx.2009-2023.zip")</f>
        <v>https://climate.onebuilding.org/WMO_Region_6_Europe/GBR_United_Kingdom/ENG_England/GBR_ENG_Culdrose.AF.038090_TMYx.2009-2023.zip</v>
      </c>
    </row>
    <row r="5779" spans="1:10" x14ac:dyDescent="0.25">
      <c r="A5779" t="s">
        <v>3587</v>
      </c>
      <c r="B5779" t="s">
        <v>3630</v>
      </c>
      <c r="C5779" t="s">
        <v>4477</v>
      </c>
      <c r="D5779" s="1" t="s">
        <v>4478</v>
      </c>
      <c r="E5779" t="s">
        <v>14</v>
      </c>
      <c r="F5779">
        <v>50.084400000000002</v>
      </c>
      <c r="G5779">
        <v>-5.2572000000000001</v>
      </c>
      <c r="H5779">
        <v>0</v>
      </c>
      <c r="I5779">
        <v>81.400000000000006</v>
      </c>
      <c r="J5779" t="str">
        <f>HYPERLINK("https://climate.onebuilding.org/WMO_Region_6_Europe/GBR_United_Kingdom/ENG_England/GBR_ENG_Culdrose.AF.038090_TMYx.zip")</f>
        <v>https://climate.onebuilding.org/WMO_Region_6_Europe/GBR_United_Kingdom/ENG_England/GBR_ENG_Culdrose.AF.038090_TMYx.zip</v>
      </c>
    </row>
    <row r="5780" spans="1:10" x14ac:dyDescent="0.25">
      <c r="A5780" t="s">
        <v>3587</v>
      </c>
      <c r="B5780" t="s">
        <v>3630</v>
      </c>
      <c r="C5780" t="s">
        <v>4480</v>
      </c>
      <c r="D5780" s="1" t="s">
        <v>4481</v>
      </c>
      <c r="E5780" t="s">
        <v>14</v>
      </c>
      <c r="F5780">
        <v>50.145200000000003</v>
      </c>
      <c r="G5780">
        <v>-5.0453999999999999</v>
      </c>
      <c r="H5780">
        <v>0</v>
      </c>
      <c r="I5780">
        <v>42</v>
      </c>
      <c r="J5780" t="str">
        <f>HYPERLINK("https://climate.onebuilding.org/WMO_Region_6_Europe/GBR_United_Kingdom/ENG_England/GBR_ENG_Falmouth-Pendennis.Point.038100_TMYx.zip")</f>
        <v>https://climate.onebuilding.org/WMO_Region_6_Europe/GBR_United_Kingdom/ENG_England/GBR_ENG_Falmouth-Pendennis.Point.038100_TMYx.zip</v>
      </c>
    </row>
    <row r="5781" spans="1:10" x14ac:dyDescent="0.25">
      <c r="A5781" t="s">
        <v>3587</v>
      </c>
      <c r="B5781" t="s">
        <v>3630</v>
      </c>
      <c r="C5781" t="s">
        <v>4482</v>
      </c>
      <c r="D5781" s="1" t="s">
        <v>4483</v>
      </c>
      <c r="E5781" t="s">
        <v>14</v>
      </c>
      <c r="F5781">
        <v>49.95</v>
      </c>
      <c r="G5781">
        <v>-5.1829999999999998</v>
      </c>
      <c r="H5781">
        <v>0</v>
      </c>
      <c r="I5781">
        <v>57</v>
      </c>
      <c r="J5781" t="str">
        <f>HYPERLINK("https://climate.onebuilding.org/WMO_Region_6_Europe/GBR_United_Kingdom/ENG_England/GBR_ENG_Lizard.Light.038140_TMYx.zip")</f>
        <v>https://climate.onebuilding.org/WMO_Region_6_Europe/GBR_United_Kingdom/ENG_England/GBR_ENG_Lizard.Light.038140_TMYx.zip</v>
      </c>
    </row>
    <row r="5782" spans="1:10" x14ac:dyDescent="0.25">
      <c r="A5782" t="s">
        <v>3587</v>
      </c>
      <c r="B5782" t="s">
        <v>3630</v>
      </c>
      <c r="C5782" t="s">
        <v>4484</v>
      </c>
      <c r="D5782" s="1" t="s">
        <v>4485</v>
      </c>
      <c r="E5782" t="s">
        <v>14</v>
      </c>
      <c r="F5782">
        <v>49.966999999999999</v>
      </c>
      <c r="G5782">
        <v>-5.2</v>
      </c>
      <c r="H5782">
        <v>0</v>
      </c>
      <c r="I5782">
        <v>60</v>
      </c>
      <c r="J5782" t="str">
        <f>HYPERLINK("https://climate.onebuilding.org/WMO_Region_6_Europe/GBR_United_Kingdom/ENG_England/GBR_ENG_Lizard.Lighthouse.038150_TMYx.zip")</f>
        <v>https://climate.onebuilding.org/WMO_Region_6_Europe/GBR_United_Kingdom/ENG_England/GBR_ENG_Lizard.Lighthouse.038150_TMYx.zip</v>
      </c>
    </row>
    <row r="5783" spans="1:10" x14ac:dyDescent="0.25">
      <c r="A5783" t="s">
        <v>3587</v>
      </c>
      <c r="B5783" t="s">
        <v>3630</v>
      </c>
      <c r="C5783" t="s">
        <v>4486</v>
      </c>
      <c r="D5783" s="1" t="s">
        <v>4487</v>
      </c>
      <c r="E5783" t="s">
        <v>14</v>
      </c>
      <c r="F5783">
        <v>50.633000000000003</v>
      </c>
      <c r="G5783">
        <v>-4.5999999999999996</v>
      </c>
      <c r="H5783">
        <v>0</v>
      </c>
      <c r="I5783">
        <v>291</v>
      </c>
      <c r="J5783" t="str">
        <f>HYPERLINK("https://climate.onebuilding.org/WMO_Region_6_Europe/GBR_United_Kingdom/ENG_England/GBR_ENG_Davidstow.Moor.038200_TMYx.zip")</f>
        <v>https://climate.onebuilding.org/WMO_Region_6_Europe/GBR_United_Kingdom/ENG_England/GBR_ENG_Davidstow.Moor.038200_TMYx.zip</v>
      </c>
    </row>
    <row r="5784" spans="1:10" x14ac:dyDescent="0.25">
      <c r="A5784" t="s">
        <v>3587</v>
      </c>
      <c r="B5784" t="s">
        <v>3630</v>
      </c>
      <c r="C5784" t="s">
        <v>4488</v>
      </c>
      <c r="D5784" s="1" t="s">
        <v>4489</v>
      </c>
      <c r="E5784" t="s">
        <v>4490</v>
      </c>
      <c r="F5784">
        <v>50.5</v>
      </c>
      <c r="G5784">
        <v>-4.6669999999999998</v>
      </c>
      <c r="H5784">
        <v>0</v>
      </c>
      <c r="I5784">
        <v>199</v>
      </c>
      <c r="J5784" t="str">
        <f>HYPERLINK("https://climate.onebuilding.org/WMO_Region_6_Europe/GBR_United_Kingdom/ENG_England/GBR_ENG_Cardinham-Bodmin.AF.038230_TMYx.2004-2018.zip")</f>
        <v>https://climate.onebuilding.org/WMO_Region_6_Europe/GBR_United_Kingdom/ENG_England/GBR_ENG_Cardinham-Bodmin.AF.038230_TMYx.2004-2018.zip</v>
      </c>
    </row>
    <row r="5785" spans="1:10" x14ac:dyDescent="0.25">
      <c r="A5785" t="s">
        <v>3587</v>
      </c>
      <c r="B5785" t="s">
        <v>3630</v>
      </c>
      <c r="C5785" t="s">
        <v>4488</v>
      </c>
      <c r="D5785" s="1" t="s">
        <v>4489</v>
      </c>
      <c r="E5785" t="s">
        <v>14</v>
      </c>
      <c r="F5785">
        <v>50.502200000000002</v>
      </c>
      <c r="G5785">
        <v>-4.6669</v>
      </c>
      <c r="H5785">
        <v>0</v>
      </c>
      <c r="I5785">
        <v>199</v>
      </c>
      <c r="J5785" t="str">
        <f>HYPERLINK("https://climate.onebuilding.org/WMO_Region_6_Europe/GBR_United_Kingdom/ENG_England/GBR_ENG_Cardinham-Bodmin.AF.038230_TMYx.2007-2021.zip")</f>
        <v>https://climate.onebuilding.org/WMO_Region_6_Europe/GBR_United_Kingdom/ENG_England/GBR_ENG_Cardinham-Bodmin.AF.038230_TMYx.2007-2021.zip</v>
      </c>
    </row>
    <row r="5786" spans="1:10" x14ac:dyDescent="0.25">
      <c r="A5786" t="s">
        <v>3587</v>
      </c>
      <c r="B5786" t="s">
        <v>3630</v>
      </c>
      <c r="C5786" t="s">
        <v>4488</v>
      </c>
      <c r="D5786" s="1" t="s">
        <v>4489</v>
      </c>
      <c r="E5786" t="s">
        <v>14</v>
      </c>
      <c r="F5786">
        <v>50.502200000000002</v>
      </c>
      <c r="G5786">
        <v>-4.6669</v>
      </c>
      <c r="H5786">
        <v>0</v>
      </c>
      <c r="I5786">
        <v>199</v>
      </c>
      <c r="J5786" t="str">
        <f>HYPERLINK("https://climate.onebuilding.org/WMO_Region_6_Europe/GBR_United_Kingdom/ENG_England/GBR_ENG_Cardinham-Bodmin.AF.038230_TMYx.2009-2023.zip")</f>
        <v>https://climate.onebuilding.org/WMO_Region_6_Europe/GBR_United_Kingdom/ENG_England/GBR_ENG_Cardinham-Bodmin.AF.038230_TMYx.2009-2023.zip</v>
      </c>
    </row>
    <row r="5787" spans="1:10" x14ac:dyDescent="0.25">
      <c r="A5787" t="s">
        <v>3587</v>
      </c>
      <c r="B5787" t="s">
        <v>3630</v>
      </c>
      <c r="C5787" t="s">
        <v>4488</v>
      </c>
      <c r="D5787" s="1" t="s">
        <v>4489</v>
      </c>
      <c r="E5787" t="s">
        <v>14</v>
      </c>
      <c r="F5787">
        <v>50.502200000000002</v>
      </c>
      <c r="G5787">
        <v>-4.6669</v>
      </c>
      <c r="H5787">
        <v>0</v>
      </c>
      <c r="I5787">
        <v>199</v>
      </c>
      <c r="J5787" t="str">
        <f>HYPERLINK("https://climate.onebuilding.org/WMO_Region_6_Europe/GBR_United_Kingdom/ENG_England/GBR_ENG_Cardinham-Bodmin.AF.038230_TMYx.zip")</f>
        <v>https://climate.onebuilding.org/WMO_Region_6_Europe/GBR_United_Kingdom/ENG_England/GBR_ENG_Cardinham-Bodmin.AF.038230_TMYx.zip</v>
      </c>
    </row>
    <row r="5788" spans="1:10" x14ac:dyDescent="0.25">
      <c r="A5788" t="s">
        <v>3587</v>
      </c>
      <c r="B5788" t="s">
        <v>3630</v>
      </c>
      <c r="C5788" t="s">
        <v>4491</v>
      </c>
      <c r="D5788" s="1" t="s">
        <v>4492</v>
      </c>
      <c r="E5788" t="s">
        <v>14</v>
      </c>
      <c r="F5788">
        <v>50.567</v>
      </c>
      <c r="G5788">
        <v>-4.4829999999999997</v>
      </c>
      <c r="H5788">
        <v>0</v>
      </c>
      <c r="I5788">
        <v>238</v>
      </c>
      <c r="J5788" t="str">
        <f>HYPERLINK("https://climate.onebuilding.org/WMO_Region_6_Europe/GBR_United_Kingdom/ENG_England/GBR_ENG_Bastreet.038240_TMYx.zip")</f>
        <v>https://climate.onebuilding.org/WMO_Region_6_Europe/GBR_United_Kingdom/ENG_England/GBR_ENG_Bastreet.038240_TMYx.zip</v>
      </c>
    </row>
    <row r="5789" spans="1:10" x14ac:dyDescent="0.25">
      <c r="A5789" t="s">
        <v>3587</v>
      </c>
      <c r="B5789" t="s">
        <v>3630</v>
      </c>
      <c r="C5789" t="s">
        <v>4493</v>
      </c>
      <c r="D5789" s="1" t="s">
        <v>4494</v>
      </c>
      <c r="E5789" t="s">
        <v>4495</v>
      </c>
      <c r="F5789">
        <v>50.35</v>
      </c>
      <c r="G5789">
        <v>-4.117</v>
      </c>
      <c r="H5789">
        <v>0</v>
      </c>
      <c r="I5789">
        <v>27</v>
      </c>
      <c r="J5789" t="str">
        <f>HYPERLINK("https://climate.onebuilding.org/WMO_Region_6_Europe/GBR_United_Kingdom/ENG_England/GBR_ENG_Plymouth-Mount.Batten.038270_TMYx.2004-2018.zip")</f>
        <v>https://climate.onebuilding.org/WMO_Region_6_Europe/GBR_United_Kingdom/ENG_England/GBR_ENG_Plymouth-Mount.Batten.038270_TMYx.2004-2018.zip</v>
      </c>
    </row>
    <row r="5790" spans="1:10" x14ac:dyDescent="0.25">
      <c r="A5790" t="s">
        <v>3587</v>
      </c>
      <c r="B5790" t="s">
        <v>3630</v>
      </c>
      <c r="C5790" t="s">
        <v>4493</v>
      </c>
      <c r="D5790" s="1" t="s">
        <v>4494</v>
      </c>
      <c r="E5790" t="s">
        <v>14</v>
      </c>
      <c r="F5790">
        <v>50.354999999999997</v>
      </c>
      <c r="G5790">
        <v>-4.1211000000000002</v>
      </c>
      <c r="H5790">
        <v>0</v>
      </c>
      <c r="I5790">
        <v>27</v>
      </c>
      <c r="J5790" t="str">
        <f>HYPERLINK("https://climate.onebuilding.org/WMO_Region_6_Europe/GBR_United_Kingdom/ENG_England/GBR_ENG_Plymouth-Mount.Batten.038270_TMYx.2007-2021.zip")</f>
        <v>https://climate.onebuilding.org/WMO_Region_6_Europe/GBR_United_Kingdom/ENG_England/GBR_ENG_Plymouth-Mount.Batten.038270_TMYx.2007-2021.zip</v>
      </c>
    </row>
    <row r="5791" spans="1:10" x14ac:dyDescent="0.25">
      <c r="A5791" t="s">
        <v>3587</v>
      </c>
      <c r="B5791" t="s">
        <v>3630</v>
      </c>
      <c r="C5791" t="s">
        <v>4493</v>
      </c>
      <c r="D5791" s="1" t="s">
        <v>4494</v>
      </c>
      <c r="E5791" t="s">
        <v>14</v>
      </c>
      <c r="F5791">
        <v>50.354999999999997</v>
      </c>
      <c r="G5791">
        <v>-4.1211000000000002</v>
      </c>
      <c r="H5791">
        <v>0</v>
      </c>
      <c r="I5791">
        <v>27</v>
      </c>
      <c r="J5791" t="str">
        <f>HYPERLINK("https://climate.onebuilding.org/WMO_Region_6_Europe/GBR_United_Kingdom/ENG_England/GBR_ENG_Plymouth-Mount.Batten.038270_TMYx.2009-2023.zip")</f>
        <v>https://climate.onebuilding.org/WMO_Region_6_Europe/GBR_United_Kingdom/ENG_England/GBR_ENG_Plymouth-Mount.Batten.038270_TMYx.2009-2023.zip</v>
      </c>
    </row>
    <row r="5792" spans="1:10" x14ac:dyDescent="0.25">
      <c r="A5792" t="s">
        <v>3587</v>
      </c>
      <c r="B5792" t="s">
        <v>3630</v>
      </c>
      <c r="C5792" t="s">
        <v>4493</v>
      </c>
      <c r="D5792" s="1" t="s">
        <v>4494</v>
      </c>
      <c r="E5792" t="s">
        <v>14</v>
      </c>
      <c r="F5792">
        <v>50.354999999999997</v>
      </c>
      <c r="G5792">
        <v>-4.1211000000000002</v>
      </c>
      <c r="H5792">
        <v>0</v>
      </c>
      <c r="I5792">
        <v>27</v>
      </c>
      <c r="J5792" t="str">
        <f>HYPERLINK("https://climate.onebuilding.org/WMO_Region_6_Europe/GBR_United_Kingdom/ENG_England/GBR_ENG_Plymouth-Mount.Batten.038270_TMYx.zip")</f>
        <v>https://climate.onebuilding.org/WMO_Region_6_Europe/GBR_United_Kingdom/ENG_England/GBR_ENG_Plymouth-Mount.Batten.038270_TMYx.zip</v>
      </c>
    </row>
    <row r="5793" spans="1:10" x14ac:dyDescent="0.25">
      <c r="A5793" t="s">
        <v>3587</v>
      </c>
      <c r="B5793" t="s">
        <v>3630</v>
      </c>
      <c r="C5793" t="s">
        <v>4496</v>
      </c>
      <c r="D5793" s="1" t="s">
        <v>4497</v>
      </c>
      <c r="E5793" t="s">
        <v>4498</v>
      </c>
      <c r="F5793">
        <v>50.423000000000002</v>
      </c>
      <c r="G5793">
        <v>-4.1059999999999999</v>
      </c>
      <c r="H5793">
        <v>0</v>
      </c>
      <c r="I5793">
        <v>145.1</v>
      </c>
      <c r="J5793" t="str">
        <f>HYPERLINK("https://climate.onebuilding.org/WMO_Region_6_Europe/GBR_United_Kingdom/ENG_England/GBR_ENG_Plymouth.AF.038273_TMYx.2004-2018.zip")</f>
        <v>https://climate.onebuilding.org/WMO_Region_6_Europe/GBR_United_Kingdom/ENG_England/GBR_ENG_Plymouth.AF.038273_TMYx.2004-2018.zip</v>
      </c>
    </row>
    <row r="5794" spans="1:10" x14ac:dyDescent="0.25">
      <c r="A5794" t="s">
        <v>3587</v>
      </c>
      <c r="B5794" t="s">
        <v>3630</v>
      </c>
      <c r="C5794" t="s">
        <v>4496</v>
      </c>
      <c r="D5794" s="1" t="s">
        <v>4497</v>
      </c>
      <c r="E5794" t="s">
        <v>14</v>
      </c>
      <c r="F5794">
        <v>50.423000000000002</v>
      </c>
      <c r="G5794">
        <v>-4.1059999999999999</v>
      </c>
      <c r="H5794">
        <v>0</v>
      </c>
      <c r="I5794">
        <v>145.1</v>
      </c>
      <c r="J5794" t="str">
        <f>HYPERLINK("https://climate.onebuilding.org/WMO_Region_6_Europe/GBR_United_Kingdom/ENG_England/GBR_ENG_Plymouth.AF.038273_TMYx.2007-2021.zip")</f>
        <v>https://climate.onebuilding.org/WMO_Region_6_Europe/GBR_United_Kingdom/ENG_England/GBR_ENG_Plymouth.AF.038273_TMYx.2007-2021.zip</v>
      </c>
    </row>
    <row r="5795" spans="1:10" x14ac:dyDescent="0.25">
      <c r="A5795" t="s">
        <v>3587</v>
      </c>
      <c r="B5795" t="s">
        <v>3630</v>
      </c>
      <c r="C5795" t="s">
        <v>4496</v>
      </c>
      <c r="D5795" s="1" t="s">
        <v>4497</v>
      </c>
      <c r="E5795" t="s">
        <v>14</v>
      </c>
      <c r="F5795">
        <v>50.423000000000002</v>
      </c>
      <c r="G5795">
        <v>-4.1059999999999999</v>
      </c>
      <c r="H5795">
        <v>0</v>
      </c>
      <c r="I5795">
        <v>145.1</v>
      </c>
      <c r="J5795" t="str">
        <f>HYPERLINK("https://climate.onebuilding.org/WMO_Region_6_Europe/GBR_United_Kingdom/ENG_England/GBR_ENG_Plymouth.AF.038273_TMYx.zip")</f>
        <v>https://climate.onebuilding.org/WMO_Region_6_Europe/GBR_United_Kingdom/ENG_England/GBR_ENG_Plymouth.AF.038273_TMYx.zip</v>
      </c>
    </row>
    <row r="5796" spans="1:10" x14ac:dyDescent="0.25">
      <c r="A5796" t="s">
        <v>3587</v>
      </c>
      <c r="B5796" t="s">
        <v>3630</v>
      </c>
      <c r="C5796" t="s">
        <v>4499</v>
      </c>
      <c r="D5796" s="1" t="s">
        <v>4500</v>
      </c>
      <c r="E5796" t="s">
        <v>14</v>
      </c>
      <c r="F5796">
        <v>50.933</v>
      </c>
      <c r="G5796">
        <v>-3.9830000000000001</v>
      </c>
      <c r="H5796">
        <v>0</v>
      </c>
      <c r="I5796">
        <v>199</v>
      </c>
      <c r="J5796" t="str">
        <f>HYPERLINK("https://climate.onebuilding.org/WMO_Region_6_Europe/GBR_United_Kingdom/ENG_England/GBR_ENG_Burrington-Eaglescott.AF.038300_TMYx.zip")</f>
        <v>https://climate.onebuilding.org/WMO_Region_6_Europe/GBR_United_Kingdom/ENG_England/GBR_ENG_Burrington-Eaglescott.AF.038300_TMYx.zip</v>
      </c>
    </row>
    <row r="5797" spans="1:10" x14ac:dyDescent="0.25">
      <c r="A5797" t="s">
        <v>3587</v>
      </c>
      <c r="B5797" t="s">
        <v>3630</v>
      </c>
      <c r="C5797" t="s">
        <v>4501</v>
      </c>
      <c r="D5797" s="1" t="s">
        <v>4502</v>
      </c>
      <c r="E5797" t="s">
        <v>14</v>
      </c>
      <c r="F5797">
        <v>50.55</v>
      </c>
      <c r="G5797">
        <v>-4</v>
      </c>
      <c r="H5797">
        <v>0</v>
      </c>
      <c r="I5797">
        <v>510</v>
      </c>
      <c r="J5797" t="str">
        <f>HYPERLINK("https://climate.onebuilding.org/WMO_Region_6_Europe/GBR_United_Kingdom/ENG_England/GBR_ENG_North.Hessary.Tor.038310_TMYx.zip")</f>
        <v>https://climate.onebuilding.org/WMO_Region_6_Europe/GBR_United_Kingdom/ENG_England/GBR_ENG_North.Hessary.Tor.038310_TMYx.zip</v>
      </c>
    </row>
    <row r="5798" spans="1:10" x14ac:dyDescent="0.25">
      <c r="A5798" t="s">
        <v>3587</v>
      </c>
      <c r="B5798" t="s">
        <v>3630</v>
      </c>
      <c r="C5798" t="s">
        <v>4503</v>
      </c>
      <c r="D5798" s="1" t="s">
        <v>4504</v>
      </c>
      <c r="E5798" t="s">
        <v>14</v>
      </c>
      <c r="F5798">
        <v>50.716999999999999</v>
      </c>
      <c r="G5798">
        <v>-4</v>
      </c>
      <c r="H5798">
        <v>0</v>
      </c>
      <c r="I5798">
        <v>372</v>
      </c>
      <c r="J5798" t="str">
        <f>HYPERLINK("https://climate.onebuilding.org/WMO_Region_6_Europe/GBR_United_Kingdom/ENG_England/GBR_ENG_Okehampton.038320_TMYx.zip")</f>
        <v>https://climate.onebuilding.org/WMO_Region_6_Europe/GBR_United_Kingdom/ENG_England/GBR_ENG_Okehampton.038320_TMYx.zip</v>
      </c>
    </row>
    <row r="5799" spans="1:10" x14ac:dyDescent="0.25">
      <c r="A5799" t="s">
        <v>3587</v>
      </c>
      <c r="B5799" t="s">
        <v>3630</v>
      </c>
      <c r="C5799" t="s">
        <v>4505</v>
      </c>
      <c r="D5799" s="1" t="s">
        <v>4506</v>
      </c>
      <c r="E5799" t="s">
        <v>14</v>
      </c>
      <c r="F5799">
        <v>50.9</v>
      </c>
      <c r="G5799">
        <v>-3.8</v>
      </c>
      <c r="H5799">
        <v>0</v>
      </c>
      <c r="I5799">
        <v>160</v>
      </c>
      <c r="J5799" t="str">
        <f>HYPERLINK("https://climate.onebuilding.org/WMO_Region_6_Europe/GBR_United_Kingdom/ENG_England/GBR_ENG_Chawleigh.038330_TMYx.zip")</f>
        <v>https://climate.onebuilding.org/WMO_Region_6_Europe/GBR_United_Kingdom/ENG_England/GBR_ENG_Chawleigh.038330_TMYx.zip</v>
      </c>
    </row>
    <row r="5800" spans="1:10" x14ac:dyDescent="0.25">
      <c r="A5800" t="s">
        <v>3587</v>
      </c>
      <c r="B5800" t="s">
        <v>3630</v>
      </c>
      <c r="C5800" t="s">
        <v>4507</v>
      </c>
      <c r="D5800" s="1" t="s">
        <v>4508</v>
      </c>
      <c r="E5800" t="s">
        <v>14</v>
      </c>
      <c r="F5800">
        <v>50.4</v>
      </c>
      <c r="G5800">
        <v>-3.4830000000000001</v>
      </c>
      <c r="H5800">
        <v>0</v>
      </c>
      <c r="I5800">
        <v>8</v>
      </c>
      <c r="J5800" t="str">
        <f>HYPERLINK("https://climate.onebuilding.org/WMO_Region_6_Europe/GBR_United_Kingdom/ENG_England/GBR_ENG_Brixham.038370_TMYx.zip")</f>
        <v>https://climate.onebuilding.org/WMO_Region_6_Europe/GBR_United_Kingdom/ENG_England/GBR_ENG_Brixham.038370_TMYx.zip</v>
      </c>
    </row>
    <row r="5801" spans="1:10" x14ac:dyDescent="0.25">
      <c r="A5801" t="s">
        <v>3587</v>
      </c>
      <c r="B5801" t="s">
        <v>3630</v>
      </c>
      <c r="C5801" t="s">
        <v>4509</v>
      </c>
      <c r="D5801" s="1" t="s">
        <v>4510</v>
      </c>
      <c r="E5801" t="s">
        <v>4511</v>
      </c>
      <c r="F5801">
        <v>50.734000000000002</v>
      </c>
      <c r="G5801">
        <v>-3.4140000000000001</v>
      </c>
      <c r="H5801">
        <v>0</v>
      </c>
      <c r="I5801">
        <v>31.1</v>
      </c>
      <c r="J5801" t="str">
        <f>HYPERLINK("https://climate.onebuilding.org/WMO_Region_6_Europe/GBR_United_Kingdom/ENG_England/GBR_ENG_Exeter.AP.038390_TMYx.2004-2018.zip")</f>
        <v>https://climate.onebuilding.org/WMO_Region_6_Europe/GBR_United_Kingdom/ENG_England/GBR_ENG_Exeter.AP.038390_TMYx.2004-2018.zip</v>
      </c>
    </row>
    <row r="5802" spans="1:10" x14ac:dyDescent="0.25">
      <c r="A5802" t="s">
        <v>3587</v>
      </c>
      <c r="B5802" t="s">
        <v>3630</v>
      </c>
      <c r="C5802" t="s">
        <v>4509</v>
      </c>
      <c r="D5802" s="1" t="s">
        <v>4510</v>
      </c>
      <c r="E5802" t="s">
        <v>14</v>
      </c>
      <c r="F5802">
        <v>50.737000000000002</v>
      </c>
      <c r="G5802">
        <v>-3.4039999999999999</v>
      </c>
      <c r="H5802">
        <v>0</v>
      </c>
      <c r="I5802">
        <v>31.1</v>
      </c>
      <c r="J5802" t="str">
        <f>HYPERLINK("https://climate.onebuilding.org/WMO_Region_6_Europe/GBR_United_Kingdom/ENG_England/GBR_ENG_Exeter.AP.038390_TMYx.2007-2021.zip")</f>
        <v>https://climate.onebuilding.org/WMO_Region_6_Europe/GBR_United_Kingdom/ENG_England/GBR_ENG_Exeter.AP.038390_TMYx.2007-2021.zip</v>
      </c>
    </row>
    <row r="5803" spans="1:10" x14ac:dyDescent="0.25">
      <c r="A5803" t="s">
        <v>3587</v>
      </c>
      <c r="B5803" t="s">
        <v>3630</v>
      </c>
      <c r="C5803" t="s">
        <v>4509</v>
      </c>
      <c r="D5803" s="1" t="s">
        <v>4510</v>
      </c>
      <c r="E5803" t="s">
        <v>14</v>
      </c>
      <c r="F5803">
        <v>50.737000000000002</v>
      </c>
      <c r="G5803">
        <v>-3.4039999999999999</v>
      </c>
      <c r="H5803">
        <v>0</v>
      </c>
      <c r="I5803">
        <v>31.1</v>
      </c>
      <c r="J5803" t="str">
        <f>HYPERLINK("https://climate.onebuilding.org/WMO_Region_6_Europe/GBR_United_Kingdom/ENG_England/GBR_ENG_Exeter.AP.038390_TMYx.2009-2023.zip")</f>
        <v>https://climate.onebuilding.org/WMO_Region_6_Europe/GBR_United_Kingdom/ENG_England/GBR_ENG_Exeter.AP.038390_TMYx.2009-2023.zip</v>
      </c>
    </row>
    <row r="5804" spans="1:10" x14ac:dyDescent="0.25">
      <c r="A5804" t="s">
        <v>3587</v>
      </c>
      <c r="B5804" t="s">
        <v>3630</v>
      </c>
      <c r="C5804" t="s">
        <v>4509</v>
      </c>
      <c r="D5804" s="1" t="s">
        <v>4510</v>
      </c>
      <c r="E5804" t="s">
        <v>14</v>
      </c>
      <c r="F5804">
        <v>50.737000000000002</v>
      </c>
      <c r="G5804">
        <v>-3.4039999999999999</v>
      </c>
      <c r="H5804">
        <v>0</v>
      </c>
      <c r="I5804">
        <v>31.1</v>
      </c>
      <c r="J5804" t="str">
        <f>HYPERLINK("https://climate.onebuilding.org/WMO_Region_6_Europe/GBR_United_Kingdom/ENG_England/GBR_ENG_Exeter.AP.038390_TMYx.zip")</f>
        <v>https://climate.onebuilding.org/WMO_Region_6_Europe/GBR_United_Kingdom/ENG_England/GBR_ENG_Exeter.AP.038390_TMYx.zip</v>
      </c>
    </row>
    <row r="5805" spans="1:10" x14ac:dyDescent="0.25">
      <c r="A5805" t="s">
        <v>3587</v>
      </c>
      <c r="B5805" t="s">
        <v>3630</v>
      </c>
      <c r="C5805" t="s">
        <v>4512</v>
      </c>
      <c r="D5805" s="1" t="s">
        <v>4513</v>
      </c>
      <c r="E5805" t="s">
        <v>4514</v>
      </c>
      <c r="F5805">
        <v>50.866999999999997</v>
      </c>
      <c r="G5805">
        <v>-3.2330000000000001</v>
      </c>
      <c r="H5805">
        <v>0</v>
      </c>
      <c r="I5805">
        <v>253</v>
      </c>
      <c r="J5805" t="str">
        <f>HYPERLINK("https://climate.onebuilding.org/WMO_Region_6_Europe/GBR_United_Kingdom/ENG_England/GBR_ENG_Dunkeswell.AF.038400_TMYx.2004-2018.zip")</f>
        <v>https://climate.onebuilding.org/WMO_Region_6_Europe/GBR_United_Kingdom/ENG_England/GBR_ENG_Dunkeswell.AF.038400_TMYx.2004-2018.zip</v>
      </c>
    </row>
    <row r="5806" spans="1:10" x14ac:dyDescent="0.25">
      <c r="A5806" t="s">
        <v>3587</v>
      </c>
      <c r="B5806" t="s">
        <v>3630</v>
      </c>
      <c r="C5806" t="s">
        <v>4512</v>
      </c>
      <c r="D5806" s="1" t="s">
        <v>4513</v>
      </c>
      <c r="E5806" t="s">
        <v>14</v>
      </c>
      <c r="F5806">
        <v>50.860300000000002</v>
      </c>
      <c r="G5806">
        <v>-3.2403</v>
      </c>
      <c r="H5806">
        <v>0</v>
      </c>
      <c r="I5806">
        <v>253</v>
      </c>
      <c r="J5806" t="str">
        <f>HYPERLINK("https://climate.onebuilding.org/WMO_Region_6_Europe/GBR_United_Kingdom/ENG_England/GBR_ENG_Dunkeswell.AF.038400_TMYx.2007-2021.zip")</f>
        <v>https://climate.onebuilding.org/WMO_Region_6_Europe/GBR_United_Kingdom/ENG_England/GBR_ENG_Dunkeswell.AF.038400_TMYx.2007-2021.zip</v>
      </c>
    </row>
    <row r="5807" spans="1:10" x14ac:dyDescent="0.25">
      <c r="A5807" t="s">
        <v>3587</v>
      </c>
      <c r="B5807" t="s">
        <v>3630</v>
      </c>
      <c r="C5807" t="s">
        <v>4512</v>
      </c>
      <c r="D5807" s="1" t="s">
        <v>4513</v>
      </c>
      <c r="E5807" t="s">
        <v>14</v>
      </c>
      <c r="F5807">
        <v>50.860300000000002</v>
      </c>
      <c r="G5807">
        <v>-3.2403</v>
      </c>
      <c r="H5807">
        <v>0</v>
      </c>
      <c r="I5807">
        <v>253</v>
      </c>
      <c r="J5807" t="str">
        <f>HYPERLINK("https://climate.onebuilding.org/WMO_Region_6_Europe/GBR_United_Kingdom/ENG_England/GBR_ENG_Dunkeswell.AF.038400_TMYx.2009-2023.zip")</f>
        <v>https://climate.onebuilding.org/WMO_Region_6_Europe/GBR_United_Kingdom/ENG_England/GBR_ENG_Dunkeswell.AF.038400_TMYx.2009-2023.zip</v>
      </c>
    </row>
    <row r="5808" spans="1:10" x14ac:dyDescent="0.25">
      <c r="A5808" t="s">
        <v>3587</v>
      </c>
      <c r="B5808" t="s">
        <v>3630</v>
      </c>
      <c r="C5808" t="s">
        <v>4512</v>
      </c>
      <c r="D5808" s="1" t="s">
        <v>4513</v>
      </c>
      <c r="E5808" t="s">
        <v>14</v>
      </c>
      <c r="F5808">
        <v>50.860300000000002</v>
      </c>
      <c r="G5808">
        <v>-3.2403</v>
      </c>
      <c r="H5808">
        <v>0</v>
      </c>
      <c r="I5808">
        <v>253</v>
      </c>
      <c r="J5808" t="str">
        <f>HYPERLINK("https://climate.onebuilding.org/WMO_Region_6_Europe/GBR_United_Kingdom/ENG_England/GBR_ENG_Dunkeswell.AF.038400_TMYx.zip")</f>
        <v>https://climate.onebuilding.org/WMO_Region_6_Europe/GBR_United_Kingdom/ENG_England/GBR_ENG_Dunkeswell.AF.038400_TMYx.zip</v>
      </c>
    </row>
    <row r="5809" spans="1:10" x14ac:dyDescent="0.25">
      <c r="A5809" t="s">
        <v>3587</v>
      </c>
      <c r="B5809" t="s">
        <v>3630</v>
      </c>
      <c r="C5809" t="s">
        <v>4515</v>
      </c>
      <c r="D5809" s="1" t="s">
        <v>4516</v>
      </c>
      <c r="E5809" t="s">
        <v>14</v>
      </c>
      <c r="F5809">
        <v>50.7</v>
      </c>
      <c r="G5809">
        <v>-3.1</v>
      </c>
      <c r="H5809">
        <v>0</v>
      </c>
      <c r="I5809">
        <v>52</v>
      </c>
      <c r="J5809" t="str">
        <f>HYPERLINK("https://climate.onebuilding.org/WMO_Region_6_Europe/GBR_United_Kingdom/ENG_England/GBR_ENG_Beer.038450_TMYx.zip")</f>
        <v>https://climate.onebuilding.org/WMO_Region_6_Europe/GBR_United_Kingdom/ENG_England/GBR_ENG_Beer.038450_TMYx.zip</v>
      </c>
    </row>
    <row r="5810" spans="1:10" x14ac:dyDescent="0.25">
      <c r="A5810" t="s">
        <v>3587</v>
      </c>
      <c r="B5810" t="s">
        <v>3630</v>
      </c>
      <c r="C5810" t="s">
        <v>4517</v>
      </c>
      <c r="D5810" s="1" t="s">
        <v>4518</v>
      </c>
      <c r="E5810" t="s">
        <v>4519</v>
      </c>
      <c r="F5810">
        <v>51.009</v>
      </c>
      <c r="G5810">
        <v>-2.6389999999999998</v>
      </c>
      <c r="H5810">
        <v>0</v>
      </c>
      <c r="I5810">
        <v>22.9</v>
      </c>
      <c r="J5810" t="str">
        <f>HYPERLINK("https://climate.onebuilding.org/WMO_Region_6_Europe/GBR_United_Kingdom/ENG_England/GBR_ENG_Yeovilton.AF.038530_TMYx.2004-2018.zip")</f>
        <v>https://climate.onebuilding.org/WMO_Region_6_Europe/GBR_United_Kingdom/ENG_England/GBR_ENG_Yeovilton.AF.038530_TMYx.2004-2018.zip</v>
      </c>
    </row>
    <row r="5811" spans="1:10" x14ac:dyDescent="0.25">
      <c r="A5811" t="s">
        <v>3587</v>
      </c>
      <c r="B5811" t="s">
        <v>3630</v>
      </c>
      <c r="C5811" t="s">
        <v>4517</v>
      </c>
      <c r="D5811" s="1" t="s">
        <v>4518</v>
      </c>
      <c r="E5811" t="s">
        <v>14</v>
      </c>
      <c r="F5811">
        <v>51.006399999999999</v>
      </c>
      <c r="G5811">
        <v>-2.6427999999999998</v>
      </c>
      <c r="H5811">
        <v>0</v>
      </c>
      <c r="I5811">
        <v>22.9</v>
      </c>
      <c r="J5811" t="str">
        <f>HYPERLINK("https://climate.onebuilding.org/WMO_Region_6_Europe/GBR_United_Kingdom/ENG_England/GBR_ENG_Yeovilton.AF.038530_TMYx.2007-2021.zip")</f>
        <v>https://climate.onebuilding.org/WMO_Region_6_Europe/GBR_United_Kingdom/ENG_England/GBR_ENG_Yeovilton.AF.038530_TMYx.2007-2021.zip</v>
      </c>
    </row>
    <row r="5812" spans="1:10" x14ac:dyDescent="0.25">
      <c r="A5812" t="s">
        <v>3587</v>
      </c>
      <c r="B5812" t="s">
        <v>3630</v>
      </c>
      <c r="C5812" t="s">
        <v>4517</v>
      </c>
      <c r="D5812" s="1" t="s">
        <v>4518</v>
      </c>
      <c r="E5812" t="s">
        <v>14</v>
      </c>
      <c r="F5812">
        <v>51.006399999999999</v>
      </c>
      <c r="G5812">
        <v>-2.6427999999999998</v>
      </c>
      <c r="H5812">
        <v>0</v>
      </c>
      <c r="I5812">
        <v>22.9</v>
      </c>
      <c r="J5812" t="str">
        <f>HYPERLINK("https://climate.onebuilding.org/WMO_Region_6_Europe/GBR_United_Kingdom/ENG_England/GBR_ENG_Yeovilton.AF.038530_TMYx.2009-2023.zip")</f>
        <v>https://climate.onebuilding.org/WMO_Region_6_Europe/GBR_United_Kingdom/ENG_England/GBR_ENG_Yeovilton.AF.038530_TMYx.2009-2023.zip</v>
      </c>
    </row>
    <row r="5813" spans="1:10" x14ac:dyDescent="0.25">
      <c r="A5813" t="s">
        <v>3587</v>
      </c>
      <c r="B5813" t="s">
        <v>3630</v>
      </c>
      <c r="C5813" t="s">
        <v>4517</v>
      </c>
      <c r="D5813" s="1" t="s">
        <v>4518</v>
      </c>
      <c r="E5813" t="s">
        <v>14</v>
      </c>
      <c r="F5813">
        <v>51.006399999999999</v>
      </c>
      <c r="G5813">
        <v>-2.6427999999999998</v>
      </c>
      <c r="H5813">
        <v>0</v>
      </c>
      <c r="I5813">
        <v>22.9</v>
      </c>
      <c r="J5813" t="str">
        <f>HYPERLINK("https://climate.onebuilding.org/WMO_Region_6_Europe/GBR_United_Kingdom/ENG_England/GBR_ENG_Yeovilton.AF.038530_TMYx.zip")</f>
        <v>https://climate.onebuilding.org/WMO_Region_6_Europe/GBR_United_Kingdom/ENG_England/GBR_ENG_Yeovilton.AF.038530_TMYx.zip</v>
      </c>
    </row>
    <row r="5814" spans="1:10" x14ac:dyDescent="0.25">
      <c r="A5814" t="s">
        <v>3587</v>
      </c>
      <c r="B5814" t="s">
        <v>3630</v>
      </c>
      <c r="C5814" t="s">
        <v>4520</v>
      </c>
      <c r="D5814" s="1" t="s">
        <v>4521</v>
      </c>
      <c r="E5814" t="s">
        <v>4522</v>
      </c>
      <c r="F5814">
        <v>50.517000000000003</v>
      </c>
      <c r="G5814">
        <v>-2.4500000000000002</v>
      </c>
      <c r="H5814">
        <v>0</v>
      </c>
      <c r="I5814">
        <v>52</v>
      </c>
      <c r="J5814" t="str">
        <f>HYPERLINK("https://climate.onebuilding.org/WMO_Region_6_Europe/GBR_United_Kingdom/ENG_England/GBR_ENG_Isle.of.Portland.038570_TMYx.2004-2018.zip")</f>
        <v>https://climate.onebuilding.org/WMO_Region_6_Europe/GBR_United_Kingdom/ENG_England/GBR_ENG_Isle.of.Portland.038570_TMYx.2004-2018.zip</v>
      </c>
    </row>
    <row r="5815" spans="1:10" x14ac:dyDescent="0.25">
      <c r="A5815" t="s">
        <v>3587</v>
      </c>
      <c r="B5815" t="s">
        <v>3630</v>
      </c>
      <c r="C5815" t="s">
        <v>4520</v>
      </c>
      <c r="D5815" s="1" t="s">
        <v>4521</v>
      </c>
      <c r="E5815" t="s">
        <v>14</v>
      </c>
      <c r="F5815">
        <v>50.521799999999999</v>
      </c>
      <c r="G5815">
        <v>-2.4573</v>
      </c>
      <c r="H5815">
        <v>0</v>
      </c>
      <c r="I5815">
        <v>52</v>
      </c>
      <c r="J5815" t="str">
        <f>HYPERLINK("https://climate.onebuilding.org/WMO_Region_6_Europe/GBR_United_Kingdom/ENG_England/GBR_ENG_Isle.of.Portland.038570_TMYx.2007-2021.zip")</f>
        <v>https://climate.onebuilding.org/WMO_Region_6_Europe/GBR_United_Kingdom/ENG_England/GBR_ENG_Isle.of.Portland.038570_TMYx.2007-2021.zip</v>
      </c>
    </row>
    <row r="5816" spans="1:10" x14ac:dyDescent="0.25">
      <c r="A5816" t="s">
        <v>3587</v>
      </c>
      <c r="B5816" t="s">
        <v>3630</v>
      </c>
      <c r="C5816" t="s">
        <v>4520</v>
      </c>
      <c r="D5816" s="1" t="s">
        <v>4521</v>
      </c>
      <c r="E5816" t="s">
        <v>14</v>
      </c>
      <c r="F5816">
        <v>50.521799999999999</v>
      </c>
      <c r="G5816">
        <v>-2.4573</v>
      </c>
      <c r="H5816">
        <v>0</v>
      </c>
      <c r="I5816">
        <v>52</v>
      </c>
      <c r="J5816" t="str">
        <f>HYPERLINK("https://climate.onebuilding.org/WMO_Region_6_Europe/GBR_United_Kingdom/ENG_England/GBR_ENG_Isle.of.Portland.038570_TMYx.2009-2023.zip")</f>
        <v>https://climate.onebuilding.org/WMO_Region_6_Europe/GBR_United_Kingdom/ENG_England/GBR_ENG_Isle.of.Portland.038570_TMYx.2009-2023.zip</v>
      </c>
    </row>
    <row r="5817" spans="1:10" x14ac:dyDescent="0.25">
      <c r="A5817" t="s">
        <v>3587</v>
      </c>
      <c r="B5817" t="s">
        <v>3630</v>
      </c>
      <c r="C5817" t="s">
        <v>4520</v>
      </c>
      <c r="D5817" s="1" t="s">
        <v>4521</v>
      </c>
      <c r="E5817" t="s">
        <v>14</v>
      </c>
      <c r="F5817">
        <v>50.521799999999999</v>
      </c>
      <c r="G5817">
        <v>-2.4573</v>
      </c>
      <c r="H5817">
        <v>0</v>
      </c>
      <c r="I5817">
        <v>52</v>
      </c>
      <c r="J5817" t="str">
        <f>HYPERLINK("https://climate.onebuilding.org/WMO_Region_6_Europe/GBR_United_Kingdom/ENG_England/GBR_ENG_Isle.of.Portland.038570_TMYx.zip")</f>
        <v>https://climate.onebuilding.org/WMO_Region_6_Europe/GBR_United_Kingdom/ENG_England/GBR_ENG_Isle.of.Portland.038570_TMYx.zip</v>
      </c>
    </row>
    <row r="5818" spans="1:10" x14ac:dyDescent="0.25">
      <c r="A5818" t="s">
        <v>3587</v>
      </c>
      <c r="B5818" t="s">
        <v>3630</v>
      </c>
      <c r="C5818" t="s">
        <v>4523</v>
      </c>
      <c r="D5818" s="1" t="s">
        <v>4524</v>
      </c>
      <c r="E5818" t="s">
        <v>14</v>
      </c>
      <c r="F5818">
        <v>50.564999999999998</v>
      </c>
      <c r="G5818">
        <v>-2.4489999999999998</v>
      </c>
      <c r="H5818">
        <v>0</v>
      </c>
      <c r="I5818">
        <v>3</v>
      </c>
      <c r="J5818" t="str">
        <f>HYPERLINK("https://climate.onebuilding.org/WMO_Region_6_Europe/GBR_United_Kingdom/ENG_England/GBR_ENG_Portland.Helo.038580_TMYx.zip")</f>
        <v>https://climate.onebuilding.org/WMO_Region_6_Europe/GBR_United_Kingdom/ENG_England/GBR_ENG_Portland.Helo.038580_TMYx.zip</v>
      </c>
    </row>
    <row r="5819" spans="1:10" x14ac:dyDescent="0.25">
      <c r="A5819" t="s">
        <v>3587</v>
      </c>
      <c r="B5819" t="s">
        <v>3630</v>
      </c>
      <c r="C5819" t="s">
        <v>4525</v>
      </c>
      <c r="D5819" s="1" t="s">
        <v>4526</v>
      </c>
      <c r="E5819" t="s">
        <v>14</v>
      </c>
      <c r="F5819">
        <v>50.7</v>
      </c>
      <c r="G5819">
        <v>-1.667</v>
      </c>
      <c r="H5819">
        <v>0</v>
      </c>
      <c r="I5819">
        <v>7</v>
      </c>
      <c r="J5819" t="str">
        <f>HYPERLINK("https://climate.onebuilding.org/WMO_Region_6_Europe/GBR_United_Kingdom/ENG_England/GBR_ENG_Christchurch.Bay.038610_TMYx.zip")</f>
        <v>https://climate.onebuilding.org/WMO_Region_6_Europe/GBR_United_Kingdom/ENG_England/GBR_ENG_Christchurch.Bay.038610_TMYx.zip</v>
      </c>
    </row>
    <row r="5820" spans="1:10" x14ac:dyDescent="0.25">
      <c r="A5820" t="s">
        <v>3587</v>
      </c>
      <c r="B5820" t="s">
        <v>3630</v>
      </c>
      <c r="C5820" t="s">
        <v>4527</v>
      </c>
      <c r="D5820" s="1" t="s">
        <v>4528</v>
      </c>
      <c r="E5820" t="s">
        <v>4529</v>
      </c>
      <c r="F5820">
        <v>50.78</v>
      </c>
      <c r="G5820">
        <v>-1.843</v>
      </c>
      <c r="H5820">
        <v>0</v>
      </c>
      <c r="I5820">
        <v>11.6</v>
      </c>
      <c r="J5820" t="str">
        <f>HYPERLINK("https://climate.onebuilding.org/WMO_Region_6_Europe/GBR_United_Kingdom/ENG_England/GBR_ENG_Bournemouth.Intl.AP.038620_TMYx.2004-2018.zip")</f>
        <v>https://climate.onebuilding.org/WMO_Region_6_Europe/GBR_United_Kingdom/ENG_England/GBR_ENG_Bournemouth.Intl.AP.038620_TMYx.2004-2018.zip</v>
      </c>
    </row>
    <row r="5821" spans="1:10" x14ac:dyDescent="0.25">
      <c r="A5821" t="s">
        <v>3587</v>
      </c>
      <c r="B5821" t="s">
        <v>3630</v>
      </c>
      <c r="C5821" t="s">
        <v>4527</v>
      </c>
      <c r="D5821" s="1" t="s">
        <v>4528</v>
      </c>
      <c r="E5821" t="s">
        <v>14</v>
      </c>
      <c r="F5821">
        <v>50.779400000000003</v>
      </c>
      <c r="G5821">
        <v>-1.8361000000000001</v>
      </c>
      <c r="H5821">
        <v>0</v>
      </c>
      <c r="I5821">
        <v>11.6</v>
      </c>
      <c r="J5821" t="str">
        <f>HYPERLINK("https://climate.onebuilding.org/WMO_Region_6_Europe/GBR_United_Kingdom/ENG_England/GBR_ENG_Bournemouth.Intl.AP.038620_TMYx.2007-2021.zip")</f>
        <v>https://climate.onebuilding.org/WMO_Region_6_Europe/GBR_United_Kingdom/ENG_England/GBR_ENG_Bournemouth.Intl.AP.038620_TMYx.2007-2021.zip</v>
      </c>
    </row>
    <row r="5822" spans="1:10" x14ac:dyDescent="0.25">
      <c r="A5822" t="s">
        <v>3587</v>
      </c>
      <c r="B5822" t="s">
        <v>3630</v>
      </c>
      <c r="C5822" t="s">
        <v>4527</v>
      </c>
      <c r="D5822" s="1" t="s">
        <v>4528</v>
      </c>
      <c r="E5822" t="s">
        <v>14</v>
      </c>
      <c r="F5822">
        <v>50.779400000000003</v>
      </c>
      <c r="G5822">
        <v>-1.8361000000000001</v>
      </c>
      <c r="H5822">
        <v>0</v>
      </c>
      <c r="I5822">
        <v>11.6</v>
      </c>
      <c r="J5822" t="str">
        <f>HYPERLINK("https://climate.onebuilding.org/WMO_Region_6_Europe/GBR_United_Kingdom/ENG_England/GBR_ENG_Bournemouth.Intl.AP.038620_TMYx.2009-2023.zip")</f>
        <v>https://climate.onebuilding.org/WMO_Region_6_Europe/GBR_United_Kingdom/ENG_England/GBR_ENG_Bournemouth.Intl.AP.038620_TMYx.2009-2023.zip</v>
      </c>
    </row>
    <row r="5823" spans="1:10" x14ac:dyDescent="0.25">
      <c r="A5823" t="s">
        <v>3587</v>
      </c>
      <c r="B5823" t="s">
        <v>3630</v>
      </c>
      <c r="C5823" t="s">
        <v>4527</v>
      </c>
      <c r="D5823" s="1" t="s">
        <v>4528</v>
      </c>
      <c r="E5823" t="s">
        <v>14</v>
      </c>
      <c r="F5823">
        <v>50.779400000000003</v>
      </c>
      <c r="G5823">
        <v>-1.8361000000000001</v>
      </c>
      <c r="H5823">
        <v>0</v>
      </c>
      <c r="I5823">
        <v>11.6</v>
      </c>
      <c r="J5823" t="str">
        <f>HYPERLINK("https://climate.onebuilding.org/WMO_Region_6_Europe/GBR_United_Kingdom/ENG_England/GBR_ENG_Bournemouth.Intl.AP.038620_TMYx.zip")</f>
        <v>https://climate.onebuilding.org/WMO_Region_6_Europe/GBR_United_Kingdom/ENG_England/GBR_ENG_Bournemouth.Intl.AP.038620_TMYx.zip</v>
      </c>
    </row>
    <row r="5824" spans="1:10" x14ac:dyDescent="0.25">
      <c r="A5824" t="s">
        <v>3587</v>
      </c>
      <c r="B5824" t="s">
        <v>3630</v>
      </c>
      <c r="C5824" t="s">
        <v>4530</v>
      </c>
      <c r="D5824" s="1" t="s">
        <v>4531</v>
      </c>
      <c r="E5824" t="s">
        <v>14</v>
      </c>
      <c r="F5824">
        <v>50.667000000000002</v>
      </c>
      <c r="G5824">
        <v>-1.583</v>
      </c>
      <c r="H5824">
        <v>0</v>
      </c>
      <c r="I5824">
        <v>86</v>
      </c>
      <c r="J5824" t="str">
        <f>HYPERLINK("https://climate.onebuilding.org/WMO_Region_6_Europe/GBR_United_Kingdom/ENG_England/GBR_ENG_The.Needles.Cape.038630_TMYx.zip")</f>
        <v>https://climate.onebuilding.org/WMO_Region_6_Europe/GBR_United_Kingdom/ENG_England/GBR_ENG_The.Needles.Cape.038630_TMYx.zip</v>
      </c>
    </row>
    <row r="5825" spans="1:10" x14ac:dyDescent="0.25">
      <c r="A5825" t="s">
        <v>3587</v>
      </c>
      <c r="B5825" t="s">
        <v>3630</v>
      </c>
      <c r="C5825" t="s">
        <v>4532</v>
      </c>
      <c r="D5825" s="1" t="s">
        <v>4533</v>
      </c>
      <c r="E5825" t="s">
        <v>4534</v>
      </c>
      <c r="F5825">
        <v>50.95</v>
      </c>
      <c r="G5825">
        <v>-1.357</v>
      </c>
      <c r="H5825">
        <v>0</v>
      </c>
      <c r="I5825">
        <v>13.4</v>
      </c>
      <c r="J5825" t="str">
        <f>HYPERLINK("https://climate.onebuilding.org/WMO_Region_6_Europe/GBR_United_Kingdom/ENG_England/GBR_ENG_Southampton.AP.038650_TMYx.2004-2018.zip")</f>
        <v>https://climate.onebuilding.org/WMO_Region_6_Europe/GBR_United_Kingdom/ENG_England/GBR_ENG_Southampton.AP.038650_TMYx.2004-2018.zip</v>
      </c>
    </row>
    <row r="5826" spans="1:10" x14ac:dyDescent="0.25">
      <c r="A5826" t="s">
        <v>3587</v>
      </c>
      <c r="B5826" t="s">
        <v>3630</v>
      </c>
      <c r="C5826" t="s">
        <v>4532</v>
      </c>
      <c r="D5826" s="1" t="s">
        <v>4533</v>
      </c>
      <c r="E5826" t="s">
        <v>14</v>
      </c>
      <c r="F5826">
        <v>50.95</v>
      </c>
      <c r="G5826">
        <v>-1.357</v>
      </c>
      <c r="H5826">
        <v>0</v>
      </c>
      <c r="I5826">
        <v>13.4</v>
      </c>
      <c r="J5826" t="str">
        <f>HYPERLINK("https://climate.onebuilding.org/WMO_Region_6_Europe/GBR_United_Kingdom/ENG_England/GBR_ENG_Southampton.AP.038650_TMYx.2007-2021.zip")</f>
        <v>https://climate.onebuilding.org/WMO_Region_6_Europe/GBR_United_Kingdom/ENG_England/GBR_ENG_Southampton.AP.038650_TMYx.2007-2021.zip</v>
      </c>
    </row>
    <row r="5827" spans="1:10" x14ac:dyDescent="0.25">
      <c r="A5827" t="s">
        <v>3587</v>
      </c>
      <c r="B5827" t="s">
        <v>3630</v>
      </c>
      <c r="C5827" t="s">
        <v>4532</v>
      </c>
      <c r="D5827" s="1" t="s">
        <v>4533</v>
      </c>
      <c r="E5827" t="s">
        <v>14</v>
      </c>
      <c r="F5827">
        <v>50.95</v>
      </c>
      <c r="G5827">
        <v>-1.357</v>
      </c>
      <c r="H5827">
        <v>0</v>
      </c>
      <c r="I5827">
        <v>13.4</v>
      </c>
      <c r="J5827" t="str">
        <f>HYPERLINK("https://climate.onebuilding.org/WMO_Region_6_Europe/GBR_United_Kingdom/ENG_England/GBR_ENG_Southampton.AP.038650_TMYx.2009-2023.zip")</f>
        <v>https://climate.onebuilding.org/WMO_Region_6_Europe/GBR_United_Kingdom/ENG_England/GBR_ENG_Southampton.AP.038650_TMYx.2009-2023.zip</v>
      </c>
    </row>
    <row r="5828" spans="1:10" x14ac:dyDescent="0.25">
      <c r="A5828" t="s">
        <v>3587</v>
      </c>
      <c r="B5828" t="s">
        <v>3630</v>
      </c>
      <c r="C5828" t="s">
        <v>4532</v>
      </c>
      <c r="D5828" s="1" t="s">
        <v>4533</v>
      </c>
      <c r="E5828" t="s">
        <v>14</v>
      </c>
      <c r="F5828">
        <v>50.95</v>
      </c>
      <c r="G5828">
        <v>-1.357</v>
      </c>
      <c r="H5828">
        <v>0</v>
      </c>
      <c r="I5828">
        <v>13.4</v>
      </c>
      <c r="J5828" t="str">
        <f>HYPERLINK("https://climate.onebuilding.org/WMO_Region_6_Europe/GBR_United_Kingdom/ENG_England/GBR_ENG_Southampton.AP.038650_TMYx.zip")</f>
        <v>https://climate.onebuilding.org/WMO_Region_6_Europe/GBR_United_Kingdom/ENG_England/GBR_ENG_Southampton.AP.038650_TMYx.zip</v>
      </c>
    </row>
    <row r="5829" spans="1:10" x14ac:dyDescent="0.25">
      <c r="A5829" t="s">
        <v>3587</v>
      </c>
      <c r="B5829" t="s">
        <v>3630</v>
      </c>
      <c r="C5829" t="s">
        <v>4535</v>
      </c>
      <c r="D5829" s="1" t="s">
        <v>4536</v>
      </c>
      <c r="E5829" t="s">
        <v>4537</v>
      </c>
      <c r="F5829">
        <v>50.582999999999998</v>
      </c>
      <c r="G5829">
        <v>-1.3</v>
      </c>
      <c r="H5829">
        <v>0</v>
      </c>
      <c r="I5829">
        <v>24</v>
      </c>
      <c r="J5829" t="str">
        <f>HYPERLINK("https://climate.onebuilding.org/WMO_Region_6_Europe/GBR_United_Kingdom/ENG_England/GBR_ENG_St.Catherines.Point-Isle.of.Wight.038660_TMYx.2004-2018.zip")</f>
        <v>https://climate.onebuilding.org/WMO_Region_6_Europe/GBR_United_Kingdom/ENG_England/GBR_ENG_St.Catherines.Point-Isle.of.Wight.038660_TMYx.2004-2018.zip</v>
      </c>
    </row>
    <row r="5830" spans="1:10" x14ac:dyDescent="0.25">
      <c r="A5830" t="s">
        <v>3587</v>
      </c>
      <c r="B5830" t="s">
        <v>3630</v>
      </c>
      <c r="C5830" t="s">
        <v>4535</v>
      </c>
      <c r="D5830" s="1" t="s">
        <v>4536</v>
      </c>
      <c r="E5830" t="s">
        <v>14</v>
      </c>
      <c r="F5830">
        <v>50.575600000000001</v>
      </c>
      <c r="G5830">
        <v>-1.2968999999999999</v>
      </c>
      <c r="H5830">
        <v>0</v>
      </c>
      <c r="I5830">
        <v>24</v>
      </c>
      <c r="J5830" t="str">
        <f>HYPERLINK("https://climate.onebuilding.org/WMO_Region_6_Europe/GBR_United_Kingdom/ENG_England/GBR_ENG_St.Catherines.Point-Isle.of.Wight.038660_TMYx.2007-2021.zip")</f>
        <v>https://climate.onebuilding.org/WMO_Region_6_Europe/GBR_United_Kingdom/ENG_England/GBR_ENG_St.Catherines.Point-Isle.of.Wight.038660_TMYx.2007-2021.zip</v>
      </c>
    </row>
    <row r="5831" spans="1:10" x14ac:dyDescent="0.25">
      <c r="A5831" t="s">
        <v>3587</v>
      </c>
      <c r="B5831" t="s">
        <v>3630</v>
      </c>
      <c r="C5831" t="s">
        <v>4535</v>
      </c>
      <c r="D5831" s="1" t="s">
        <v>4536</v>
      </c>
      <c r="E5831" t="s">
        <v>14</v>
      </c>
      <c r="F5831">
        <v>50.575600000000001</v>
      </c>
      <c r="G5831">
        <v>-1.2968999999999999</v>
      </c>
      <c r="H5831">
        <v>0</v>
      </c>
      <c r="I5831">
        <v>24</v>
      </c>
      <c r="J5831" t="str">
        <f>HYPERLINK("https://climate.onebuilding.org/WMO_Region_6_Europe/GBR_United_Kingdom/ENG_England/GBR_ENG_St.Catherines.Point-Isle.of.Wight.038660_TMYx.2009-2023.zip")</f>
        <v>https://climate.onebuilding.org/WMO_Region_6_Europe/GBR_United_Kingdom/ENG_England/GBR_ENG_St.Catherines.Point-Isle.of.Wight.038660_TMYx.2009-2023.zip</v>
      </c>
    </row>
    <row r="5832" spans="1:10" x14ac:dyDescent="0.25">
      <c r="A5832" t="s">
        <v>3587</v>
      </c>
      <c r="B5832" t="s">
        <v>3630</v>
      </c>
      <c r="C5832" t="s">
        <v>4535</v>
      </c>
      <c r="D5832" s="1" t="s">
        <v>4536</v>
      </c>
      <c r="E5832" t="s">
        <v>14</v>
      </c>
      <c r="F5832">
        <v>50.575600000000001</v>
      </c>
      <c r="G5832">
        <v>-1.2968999999999999</v>
      </c>
      <c r="H5832">
        <v>0</v>
      </c>
      <c r="I5832">
        <v>24</v>
      </c>
      <c r="J5832" t="str">
        <f>HYPERLINK("https://climate.onebuilding.org/WMO_Region_6_Europe/GBR_United_Kingdom/ENG_England/GBR_ENG_St.Catherines.Point-Isle.of.Wight.038660_TMYx.zip")</f>
        <v>https://climate.onebuilding.org/WMO_Region_6_Europe/GBR_United_Kingdom/ENG_England/GBR_ENG_St.Catherines.Point-Isle.of.Wight.038660_TMYx.zip</v>
      </c>
    </row>
    <row r="5833" spans="1:10" x14ac:dyDescent="0.25">
      <c r="A5833" t="s">
        <v>3587</v>
      </c>
      <c r="B5833" t="s">
        <v>3630</v>
      </c>
      <c r="C5833" t="s">
        <v>4538</v>
      </c>
      <c r="D5833" s="1" t="s">
        <v>4539</v>
      </c>
      <c r="E5833" t="s">
        <v>14</v>
      </c>
      <c r="F5833">
        <v>50.817</v>
      </c>
      <c r="G5833">
        <v>-1.3</v>
      </c>
      <c r="H5833">
        <v>0</v>
      </c>
      <c r="I5833">
        <v>3</v>
      </c>
      <c r="J5833" t="str">
        <f>HYPERLINK("https://climate.onebuilding.org/WMO_Region_6_Europe/GBR_United_Kingdom/ENG_England/GBR_ENG_Calshot.038690_TMYx.zip")</f>
        <v>https://climate.onebuilding.org/WMO_Region_6_Europe/GBR_United_Kingdom/ENG_England/GBR_ENG_Calshot.038690_TMYx.zip</v>
      </c>
    </row>
    <row r="5834" spans="1:10" x14ac:dyDescent="0.25">
      <c r="A5834" t="s">
        <v>3587</v>
      </c>
      <c r="B5834" t="s">
        <v>3630</v>
      </c>
      <c r="C5834" t="s">
        <v>4540</v>
      </c>
      <c r="D5834" s="1" t="s">
        <v>4541</v>
      </c>
      <c r="E5834" t="s">
        <v>4542</v>
      </c>
      <c r="F5834">
        <v>50.817</v>
      </c>
      <c r="G5834">
        <v>-0.91700000000000004</v>
      </c>
      <c r="H5834">
        <v>0</v>
      </c>
      <c r="I5834">
        <v>3</v>
      </c>
      <c r="J5834" t="str">
        <f>HYPERLINK("https://climate.onebuilding.org/WMO_Region_6_Europe/GBR_United_Kingdom/ENG_England/GBR_ENG_Thorney.Island.AF.038720_TMYx.2004-2018.zip")</f>
        <v>https://climate.onebuilding.org/WMO_Region_6_Europe/GBR_United_Kingdom/ENG_England/GBR_ENG_Thorney.Island.AF.038720_TMYx.2004-2018.zip</v>
      </c>
    </row>
    <row r="5835" spans="1:10" x14ac:dyDescent="0.25">
      <c r="A5835" t="s">
        <v>3587</v>
      </c>
      <c r="B5835" t="s">
        <v>3630</v>
      </c>
      <c r="C5835" t="s">
        <v>4540</v>
      </c>
      <c r="D5835" s="1" t="s">
        <v>4541</v>
      </c>
      <c r="E5835" t="s">
        <v>14</v>
      </c>
      <c r="F5835">
        <v>50.814700000000002</v>
      </c>
      <c r="G5835">
        <v>-0.92249999999999999</v>
      </c>
      <c r="H5835">
        <v>0</v>
      </c>
      <c r="I5835">
        <v>3</v>
      </c>
      <c r="J5835" t="str">
        <f>HYPERLINK("https://climate.onebuilding.org/WMO_Region_6_Europe/GBR_United_Kingdom/ENG_England/GBR_ENG_Thorney.Island.AF.038720_TMYx.2007-2021.zip")</f>
        <v>https://climate.onebuilding.org/WMO_Region_6_Europe/GBR_United_Kingdom/ENG_England/GBR_ENG_Thorney.Island.AF.038720_TMYx.2007-2021.zip</v>
      </c>
    </row>
    <row r="5836" spans="1:10" x14ac:dyDescent="0.25">
      <c r="A5836" t="s">
        <v>3587</v>
      </c>
      <c r="B5836" t="s">
        <v>3630</v>
      </c>
      <c r="C5836" t="s">
        <v>4540</v>
      </c>
      <c r="D5836" s="1" t="s">
        <v>4541</v>
      </c>
      <c r="E5836" t="s">
        <v>14</v>
      </c>
      <c r="F5836">
        <v>50.814700000000002</v>
      </c>
      <c r="G5836">
        <v>-0.92249999999999999</v>
      </c>
      <c r="H5836">
        <v>0</v>
      </c>
      <c r="I5836">
        <v>3</v>
      </c>
      <c r="J5836" t="str">
        <f>HYPERLINK("https://climate.onebuilding.org/WMO_Region_6_Europe/GBR_United_Kingdom/ENG_England/GBR_ENG_Thorney.Island.AF.038720_TMYx.2009-2023.zip")</f>
        <v>https://climate.onebuilding.org/WMO_Region_6_Europe/GBR_United_Kingdom/ENG_England/GBR_ENG_Thorney.Island.AF.038720_TMYx.2009-2023.zip</v>
      </c>
    </row>
    <row r="5837" spans="1:10" x14ac:dyDescent="0.25">
      <c r="A5837" t="s">
        <v>3587</v>
      </c>
      <c r="B5837" t="s">
        <v>3630</v>
      </c>
      <c r="C5837" t="s">
        <v>4540</v>
      </c>
      <c r="D5837" s="1" t="s">
        <v>4541</v>
      </c>
      <c r="E5837" t="s">
        <v>14</v>
      </c>
      <c r="F5837">
        <v>50.814700000000002</v>
      </c>
      <c r="G5837">
        <v>-0.92249999999999999</v>
      </c>
      <c r="H5837">
        <v>0</v>
      </c>
      <c r="I5837">
        <v>3</v>
      </c>
      <c r="J5837" t="str">
        <f>HYPERLINK("https://climate.onebuilding.org/WMO_Region_6_Europe/GBR_United_Kingdom/ENG_England/GBR_ENG_Thorney.Island.AF.038720_TMYx.zip")</f>
        <v>https://climate.onebuilding.org/WMO_Region_6_Europe/GBR_United_Kingdom/ENG_England/GBR_ENG_Thorney.Island.AF.038720_TMYx.zip</v>
      </c>
    </row>
    <row r="5838" spans="1:10" x14ac:dyDescent="0.25">
      <c r="A5838" t="s">
        <v>3587</v>
      </c>
      <c r="B5838" t="s">
        <v>3630</v>
      </c>
      <c r="C5838" t="s">
        <v>4543</v>
      </c>
      <c r="D5838" s="1" t="s">
        <v>4544</v>
      </c>
      <c r="E5838" t="s">
        <v>14</v>
      </c>
      <c r="F5838">
        <v>50.683</v>
      </c>
      <c r="G5838">
        <v>-1.5329999999999999</v>
      </c>
      <c r="H5838">
        <v>0</v>
      </c>
      <c r="I5838">
        <v>20</v>
      </c>
      <c r="J5838" t="str">
        <f>HYPERLINK("https://climate.onebuilding.org/WMO_Region_6_Europe/GBR_United_Kingdom/ENG_England/GBR_ENG_Totland.038730_TMYx.zip")</f>
        <v>https://climate.onebuilding.org/WMO_Region_6_Europe/GBR_United_Kingdom/ENG_England/GBR_ENG_Totland.038730_TMYx.zip</v>
      </c>
    </row>
    <row r="5839" spans="1:10" x14ac:dyDescent="0.25">
      <c r="A5839" t="s">
        <v>3587</v>
      </c>
      <c r="B5839" t="s">
        <v>3630</v>
      </c>
      <c r="C5839" t="s">
        <v>4545</v>
      </c>
      <c r="D5839" s="1" t="s">
        <v>4546</v>
      </c>
      <c r="E5839" t="s">
        <v>4547</v>
      </c>
      <c r="F5839">
        <v>50.8</v>
      </c>
      <c r="G5839">
        <v>-1.2170000000000001</v>
      </c>
      <c r="H5839">
        <v>0</v>
      </c>
      <c r="I5839">
        <v>13</v>
      </c>
      <c r="J5839" t="str">
        <f>HYPERLINK("https://climate.onebuilding.org/WMO_Region_6_Europe/GBR_United_Kingdom/ENG_England/GBR_ENG_Lee.On.Solent.038740_TMYx.2004-2018.zip")</f>
        <v>https://climate.onebuilding.org/WMO_Region_6_Europe/GBR_United_Kingdom/ENG_England/GBR_ENG_Lee.On.Solent.038740_TMYx.2004-2018.zip</v>
      </c>
    </row>
    <row r="5840" spans="1:10" x14ac:dyDescent="0.25">
      <c r="A5840" t="s">
        <v>3587</v>
      </c>
      <c r="B5840" t="s">
        <v>3630</v>
      </c>
      <c r="C5840" t="s">
        <v>4545</v>
      </c>
      <c r="D5840" s="1" t="s">
        <v>4546</v>
      </c>
      <c r="E5840" t="s">
        <v>14</v>
      </c>
      <c r="F5840">
        <v>50.807000000000002</v>
      </c>
      <c r="G5840">
        <v>-1.2090000000000001</v>
      </c>
      <c r="H5840">
        <v>0</v>
      </c>
      <c r="I5840">
        <v>13</v>
      </c>
      <c r="J5840" t="str">
        <f>HYPERLINK("https://climate.onebuilding.org/WMO_Region_6_Europe/GBR_United_Kingdom/ENG_England/GBR_ENG_Lee.On.Solent.038740_TMYx.2007-2021.zip")</f>
        <v>https://climate.onebuilding.org/WMO_Region_6_Europe/GBR_United_Kingdom/ENG_England/GBR_ENG_Lee.On.Solent.038740_TMYx.2007-2021.zip</v>
      </c>
    </row>
    <row r="5841" spans="1:10" x14ac:dyDescent="0.25">
      <c r="A5841" t="s">
        <v>3587</v>
      </c>
      <c r="B5841" t="s">
        <v>3630</v>
      </c>
      <c r="C5841" t="s">
        <v>4545</v>
      </c>
      <c r="D5841" s="1" t="s">
        <v>4546</v>
      </c>
      <c r="E5841" t="s">
        <v>14</v>
      </c>
      <c r="F5841">
        <v>50.807000000000002</v>
      </c>
      <c r="G5841">
        <v>-1.2090000000000001</v>
      </c>
      <c r="H5841">
        <v>0</v>
      </c>
      <c r="I5841">
        <v>13</v>
      </c>
      <c r="J5841" t="str">
        <f>HYPERLINK("https://climate.onebuilding.org/WMO_Region_6_Europe/GBR_United_Kingdom/ENG_England/GBR_ENG_Lee.On.Solent.038740_TMYx.2009-2023.zip")</f>
        <v>https://climate.onebuilding.org/WMO_Region_6_Europe/GBR_United_Kingdom/ENG_England/GBR_ENG_Lee.On.Solent.038740_TMYx.2009-2023.zip</v>
      </c>
    </row>
    <row r="5842" spans="1:10" x14ac:dyDescent="0.25">
      <c r="A5842" t="s">
        <v>3587</v>
      </c>
      <c r="B5842" t="s">
        <v>3630</v>
      </c>
      <c r="C5842" t="s">
        <v>4545</v>
      </c>
      <c r="D5842" s="1" t="s">
        <v>4546</v>
      </c>
      <c r="E5842" t="s">
        <v>14</v>
      </c>
      <c r="F5842">
        <v>50.807000000000002</v>
      </c>
      <c r="G5842">
        <v>-1.2090000000000001</v>
      </c>
      <c r="H5842">
        <v>0</v>
      </c>
      <c r="I5842">
        <v>13</v>
      </c>
      <c r="J5842" t="str">
        <f>HYPERLINK("https://climate.onebuilding.org/WMO_Region_6_Europe/GBR_United_Kingdom/ENG_England/GBR_ENG_Lee.On.Solent.038740_TMYx.zip")</f>
        <v>https://climate.onebuilding.org/WMO_Region_6_Europe/GBR_United_Kingdom/ENG_England/GBR_ENG_Lee.On.Solent.038740_TMYx.zip</v>
      </c>
    </row>
    <row r="5843" spans="1:10" x14ac:dyDescent="0.25">
      <c r="A5843" t="s">
        <v>3587</v>
      </c>
      <c r="B5843" t="s">
        <v>3630</v>
      </c>
      <c r="C5843" t="s">
        <v>4548</v>
      </c>
      <c r="D5843" s="1" t="s">
        <v>4549</v>
      </c>
      <c r="E5843" t="s">
        <v>14</v>
      </c>
      <c r="F5843">
        <v>50.683</v>
      </c>
      <c r="G5843">
        <v>-1.45</v>
      </c>
      <c r="H5843">
        <v>0</v>
      </c>
      <c r="I5843">
        <v>25</v>
      </c>
      <c r="J5843" t="str">
        <f>HYPERLINK("https://climate.onebuilding.org/WMO_Region_6_Europe/GBR_United_Kingdom/ENG_England/GBR_ENG_Wellow.038750_TMYx.zip")</f>
        <v>https://climate.onebuilding.org/WMO_Region_6_Europe/GBR_United_Kingdom/ENG_England/GBR_ENG_Wellow.038750_TMYx.zip</v>
      </c>
    </row>
    <row r="5844" spans="1:10" x14ac:dyDescent="0.25">
      <c r="A5844" t="s">
        <v>3587</v>
      </c>
      <c r="B5844" t="s">
        <v>3630</v>
      </c>
      <c r="C5844" t="s">
        <v>4550</v>
      </c>
      <c r="D5844" s="1" t="s">
        <v>4551</v>
      </c>
      <c r="E5844" t="s">
        <v>4552</v>
      </c>
      <c r="F5844">
        <v>50.835999999999999</v>
      </c>
      <c r="G5844">
        <v>-0.29699999999999999</v>
      </c>
      <c r="H5844">
        <v>0</v>
      </c>
      <c r="I5844">
        <v>2.1</v>
      </c>
      <c r="J5844" t="str">
        <f>HYPERLINK("https://climate.onebuilding.org/WMO_Region_6_Europe/GBR_United_Kingdom/ENG_England/GBR_ENG_Brighton.City.AP.038760_TMYx.2004-2018.zip")</f>
        <v>https://climate.onebuilding.org/WMO_Region_6_Europe/GBR_United_Kingdom/ENG_England/GBR_ENG_Brighton.City.AP.038760_TMYx.2004-2018.zip</v>
      </c>
    </row>
    <row r="5845" spans="1:10" x14ac:dyDescent="0.25">
      <c r="A5845" t="s">
        <v>3587</v>
      </c>
      <c r="B5845" t="s">
        <v>3630</v>
      </c>
      <c r="C5845" t="s">
        <v>4550</v>
      </c>
      <c r="D5845" s="1" t="s">
        <v>4551</v>
      </c>
      <c r="E5845" t="s">
        <v>14</v>
      </c>
      <c r="F5845">
        <v>50.836100000000002</v>
      </c>
      <c r="G5845">
        <v>-0.29360000000000003</v>
      </c>
      <c r="H5845">
        <v>0</v>
      </c>
      <c r="I5845">
        <v>2.1</v>
      </c>
      <c r="J5845" t="str">
        <f>HYPERLINK("https://climate.onebuilding.org/WMO_Region_6_Europe/GBR_United_Kingdom/ENG_England/GBR_ENG_Brighton.City.AP.038760_TMYx.2007-2021.zip")</f>
        <v>https://climate.onebuilding.org/WMO_Region_6_Europe/GBR_United_Kingdom/ENG_England/GBR_ENG_Brighton.City.AP.038760_TMYx.2007-2021.zip</v>
      </c>
    </row>
    <row r="5846" spans="1:10" x14ac:dyDescent="0.25">
      <c r="A5846" t="s">
        <v>3587</v>
      </c>
      <c r="B5846" t="s">
        <v>3630</v>
      </c>
      <c r="C5846" t="s">
        <v>4550</v>
      </c>
      <c r="D5846" s="1" t="s">
        <v>4551</v>
      </c>
      <c r="E5846" t="s">
        <v>14</v>
      </c>
      <c r="F5846">
        <v>50.836100000000002</v>
      </c>
      <c r="G5846">
        <v>-0.29360000000000003</v>
      </c>
      <c r="H5846">
        <v>0</v>
      </c>
      <c r="I5846">
        <v>2.1</v>
      </c>
      <c r="J5846" t="str">
        <f>HYPERLINK("https://climate.onebuilding.org/WMO_Region_6_Europe/GBR_United_Kingdom/ENG_England/GBR_ENG_Brighton.City.AP.038760_TMYx.2009-2023.zip")</f>
        <v>https://climate.onebuilding.org/WMO_Region_6_Europe/GBR_United_Kingdom/ENG_England/GBR_ENG_Brighton.City.AP.038760_TMYx.2009-2023.zip</v>
      </c>
    </row>
    <row r="5847" spans="1:10" x14ac:dyDescent="0.25">
      <c r="A5847" t="s">
        <v>3587</v>
      </c>
      <c r="B5847" t="s">
        <v>3630</v>
      </c>
      <c r="C5847" t="s">
        <v>4550</v>
      </c>
      <c r="D5847" s="1" t="s">
        <v>4551</v>
      </c>
      <c r="E5847" t="s">
        <v>14</v>
      </c>
      <c r="F5847">
        <v>50.836100000000002</v>
      </c>
      <c r="G5847">
        <v>-0.29360000000000003</v>
      </c>
      <c r="H5847">
        <v>0</v>
      </c>
      <c r="I5847">
        <v>2.1</v>
      </c>
      <c r="J5847" t="str">
        <f>HYPERLINK("https://climate.onebuilding.org/WMO_Region_6_Europe/GBR_United_Kingdom/ENG_England/GBR_ENG_Brighton.City.AP.038760_TMYx.zip")</f>
        <v>https://climate.onebuilding.org/WMO_Region_6_Europe/GBR_United_Kingdom/ENG_England/GBR_ENG_Brighton.City.AP.038760_TMYx.zip</v>
      </c>
    </row>
    <row r="5848" spans="1:10" x14ac:dyDescent="0.25">
      <c r="A5848" t="s">
        <v>3587</v>
      </c>
      <c r="B5848" t="s">
        <v>3630</v>
      </c>
      <c r="C5848" t="s">
        <v>4553</v>
      </c>
      <c r="D5848" s="1" t="s">
        <v>4554</v>
      </c>
      <c r="E5848" t="s">
        <v>14</v>
      </c>
      <c r="F5848">
        <v>50.917000000000002</v>
      </c>
      <c r="G5848">
        <v>0.15</v>
      </c>
      <c r="H5848">
        <v>0</v>
      </c>
      <c r="I5848">
        <v>38</v>
      </c>
      <c r="J5848" t="str">
        <f>HYPERLINK("https://climate.onebuilding.org/WMO_Region_6_Europe/GBR_United_Kingdom/ENG_England/GBR_ENG_East.Hoathly.038770_TMYx.zip")</f>
        <v>https://climate.onebuilding.org/WMO_Region_6_Europe/GBR_United_Kingdom/ENG_England/GBR_ENG_East.Hoathly.038770_TMYx.zip</v>
      </c>
    </row>
    <row r="5849" spans="1:10" x14ac:dyDescent="0.25">
      <c r="A5849" t="s">
        <v>3587</v>
      </c>
      <c r="B5849" t="s">
        <v>3630</v>
      </c>
      <c r="C5849" t="s">
        <v>4555</v>
      </c>
      <c r="D5849" s="1" t="s">
        <v>4556</v>
      </c>
      <c r="E5849" t="s">
        <v>14</v>
      </c>
      <c r="F5849">
        <v>50.817</v>
      </c>
      <c r="G5849">
        <v>-0.25</v>
      </c>
      <c r="H5849">
        <v>0</v>
      </c>
      <c r="I5849">
        <v>5</v>
      </c>
      <c r="J5849" t="str">
        <f>HYPERLINK("https://climate.onebuilding.org/WMO_Region_6_Europe/GBR_United_Kingdom/ENG_England/GBR_ENG_Shoreham.by.Sea.038790_TMYx.zip")</f>
        <v>https://climate.onebuilding.org/WMO_Region_6_Europe/GBR_United_Kingdom/ENG_England/GBR_ENG_Shoreham.by.Sea.038790_TMYx.zip</v>
      </c>
    </row>
    <row r="5850" spans="1:10" x14ac:dyDescent="0.25">
      <c r="A5850" t="s">
        <v>3587</v>
      </c>
      <c r="B5850" t="s">
        <v>3630</v>
      </c>
      <c r="C5850" t="s">
        <v>4557</v>
      </c>
      <c r="D5850" s="1" t="s">
        <v>4558</v>
      </c>
      <c r="E5850" t="s">
        <v>14</v>
      </c>
      <c r="F5850">
        <v>50.781799999999997</v>
      </c>
      <c r="G5850" s="1" t="s">
        <v>4559</v>
      </c>
      <c r="H5850">
        <v>0</v>
      </c>
      <c r="I5850">
        <v>5</v>
      </c>
      <c r="J5850" t="str">
        <f>HYPERLINK("https://climate.onebuilding.org/WMO_Region_6_Europe/GBR_United_Kingdom/ENG_England/GBR_ENG_Newhaven.Lighthouse.038800_TMYx.zip")</f>
        <v>https://climate.onebuilding.org/WMO_Region_6_Europe/GBR_United_Kingdom/ENG_England/GBR_ENG_Newhaven.Lighthouse.038800_TMYx.zip</v>
      </c>
    </row>
    <row r="5851" spans="1:10" x14ac:dyDescent="0.25">
      <c r="A5851" t="s">
        <v>3587</v>
      </c>
      <c r="B5851" t="s">
        <v>3630</v>
      </c>
      <c r="C5851" t="s">
        <v>4560</v>
      </c>
      <c r="D5851" s="1" t="s">
        <v>4561</v>
      </c>
      <c r="E5851" t="s">
        <v>14</v>
      </c>
      <c r="F5851">
        <v>50.933</v>
      </c>
      <c r="G5851">
        <v>0.6</v>
      </c>
      <c r="H5851">
        <v>0</v>
      </c>
      <c r="I5851">
        <v>82</v>
      </c>
      <c r="J5851" t="str">
        <f>HYPERLINK("https://climate.onebuilding.org/WMO_Region_6_Europe/GBR_United_Kingdom/ENG_England/GBR_ENG_Brede.038810_TMYx.zip")</f>
        <v>https://climate.onebuilding.org/WMO_Region_6_Europe/GBR_United_Kingdom/ENG_England/GBR_ENG_Brede.038810_TMYx.zip</v>
      </c>
    </row>
    <row r="5852" spans="1:10" x14ac:dyDescent="0.25">
      <c r="A5852" t="s">
        <v>3587</v>
      </c>
      <c r="B5852" t="s">
        <v>3630</v>
      </c>
      <c r="C5852" t="s">
        <v>4562</v>
      </c>
      <c r="D5852" s="1" t="s">
        <v>4563</v>
      </c>
      <c r="E5852" t="s">
        <v>4564</v>
      </c>
      <c r="F5852">
        <v>50.9</v>
      </c>
      <c r="G5852">
        <v>0.317</v>
      </c>
      <c r="H5852">
        <v>0</v>
      </c>
      <c r="I5852">
        <v>52</v>
      </c>
      <c r="J5852" t="str">
        <f>HYPERLINK("https://climate.onebuilding.org/WMO_Region_6_Europe/GBR_United_Kingdom/ENG_England/GBR_ENG_Herstmonceux-West.End.038820_TMYx.2004-2018.zip")</f>
        <v>https://climate.onebuilding.org/WMO_Region_6_Europe/GBR_United_Kingdom/ENG_England/GBR_ENG_Herstmonceux-West.End.038820_TMYx.2004-2018.zip</v>
      </c>
    </row>
    <row r="5853" spans="1:10" x14ac:dyDescent="0.25">
      <c r="A5853" t="s">
        <v>3587</v>
      </c>
      <c r="B5853" t="s">
        <v>3630</v>
      </c>
      <c r="C5853" t="s">
        <v>4562</v>
      </c>
      <c r="D5853" s="1" t="s">
        <v>4563</v>
      </c>
      <c r="E5853" t="s">
        <v>14</v>
      </c>
      <c r="F5853">
        <v>50.890999999999998</v>
      </c>
      <c r="G5853">
        <v>0.3165</v>
      </c>
      <c r="H5853">
        <v>0</v>
      </c>
      <c r="I5853">
        <v>52</v>
      </c>
      <c r="J5853" t="str">
        <f>HYPERLINK("https://climate.onebuilding.org/WMO_Region_6_Europe/GBR_United_Kingdom/ENG_England/GBR_ENG_Herstmonceux-West.End.038820_TMYx.2007-2021.zip")</f>
        <v>https://climate.onebuilding.org/WMO_Region_6_Europe/GBR_United_Kingdom/ENG_England/GBR_ENG_Herstmonceux-West.End.038820_TMYx.2007-2021.zip</v>
      </c>
    </row>
    <row r="5854" spans="1:10" x14ac:dyDescent="0.25">
      <c r="A5854" t="s">
        <v>3587</v>
      </c>
      <c r="B5854" t="s">
        <v>3630</v>
      </c>
      <c r="C5854" t="s">
        <v>4562</v>
      </c>
      <c r="D5854" s="1" t="s">
        <v>4563</v>
      </c>
      <c r="E5854" t="s">
        <v>14</v>
      </c>
      <c r="F5854">
        <v>50.890999999999998</v>
      </c>
      <c r="G5854">
        <v>0.3165</v>
      </c>
      <c r="H5854">
        <v>0</v>
      </c>
      <c r="I5854">
        <v>52</v>
      </c>
      <c r="J5854" t="str">
        <f>HYPERLINK("https://climate.onebuilding.org/WMO_Region_6_Europe/GBR_United_Kingdom/ENG_England/GBR_ENG_Herstmonceux-West.End.038820_TMYx.2009-2023.zip")</f>
        <v>https://climate.onebuilding.org/WMO_Region_6_Europe/GBR_United_Kingdom/ENG_England/GBR_ENG_Herstmonceux-West.End.038820_TMYx.2009-2023.zip</v>
      </c>
    </row>
    <row r="5855" spans="1:10" x14ac:dyDescent="0.25">
      <c r="A5855" t="s">
        <v>3587</v>
      </c>
      <c r="B5855" t="s">
        <v>3630</v>
      </c>
      <c r="C5855" t="s">
        <v>4562</v>
      </c>
      <c r="D5855" s="1" t="s">
        <v>4563</v>
      </c>
      <c r="E5855" t="s">
        <v>14</v>
      </c>
      <c r="F5855">
        <v>50.890999999999998</v>
      </c>
      <c r="G5855">
        <v>0.3165</v>
      </c>
      <c r="H5855">
        <v>0</v>
      </c>
      <c r="I5855">
        <v>52</v>
      </c>
      <c r="J5855" t="str">
        <f>HYPERLINK("https://climate.onebuilding.org/WMO_Region_6_Europe/GBR_United_Kingdom/ENG_England/GBR_ENG_Herstmonceux-West.End.038820_TMYx.zip")</f>
        <v>https://climate.onebuilding.org/WMO_Region_6_Europe/GBR_United_Kingdom/ENG_England/GBR_ENG_Herstmonceux-West.End.038820_TMYx.zip</v>
      </c>
    </row>
    <row r="5856" spans="1:10" x14ac:dyDescent="0.25">
      <c r="A5856" t="s">
        <v>3587</v>
      </c>
      <c r="B5856" t="s">
        <v>3630</v>
      </c>
      <c r="C5856" t="s">
        <v>4565</v>
      </c>
      <c r="D5856" s="1" t="s">
        <v>4566</v>
      </c>
      <c r="E5856" t="s">
        <v>14</v>
      </c>
      <c r="F5856">
        <v>50.783000000000001</v>
      </c>
      <c r="G5856">
        <v>0.3</v>
      </c>
      <c r="H5856">
        <v>0</v>
      </c>
      <c r="I5856">
        <v>3</v>
      </c>
      <c r="J5856" t="str">
        <f>HYPERLINK("https://climate.onebuilding.org/WMO_Region_6_Europe/GBR_United_Kingdom/ENG_England/GBR_ENG_Eastbourne.038830_TMYx.zip")</f>
        <v>https://climate.onebuilding.org/WMO_Region_6_Europe/GBR_United_Kingdom/ENG_England/GBR_ENG_Eastbourne.038830_TMYx.zip</v>
      </c>
    </row>
    <row r="5857" spans="1:10" x14ac:dyDescent="0.25">
      <c r="A5857" t="s">
        <v>3587</v>
      </c>
      <c r="B5857" t="s">
        <v>3630</v>
      </c>
      <c r="C5857" t="s">
        <v>4567</v>
      </c>
      <c r="D5857" s="1" t="s">
        <v>4568</v>
      </c>
      <c r="E5857" t="s">
        <v>14</v>
      </c>
      <c r="F5857">
        <v>50.87</v>
      </c>
      <c r="G5857">
        <v>0.34660000000000002</v>
      </c>
      <c r="H5857">
        <v>0</v>
      </c>
      <c r="I5857">
        <v>17</v>
      </c>
      <c r="J5857" t="str">
        <f>HYPERLINK("https://climate.onebuilding.org/WMO_Region_6_Europe/GBR_United_Kingdom/ENG_England/GBR_ENG_Herstmonceux.Obs.038840_TMYx.zip")</f>
        <v>https://climate.onebuilding.org/WMO_Region_6_Europe/GBR_United_Kingdom/ENG_England/GBR_ENG_Herstmonceux.Obs.038840_TMYx.zip</v>
      </c>
    </row>
    <row r="5858" spans="1:10" x14ac:dyDescent="0.25">
      <c r="A5858" t="s">
        <v>3587</v>
      </c>
      <c r="B5858" t="s">
        <v>3630</v>
      </c>
      <c r="C5858" t="s">
        <v>4569</v>
      </c>
      <c r="D5858" s="1" t="s">
        <v>4570</v>
      </c>
      <c r="E5858" t="s">
        <v>14</v>
      </c>
      <c r="F5858">
        <v>50.723329999999997</v>
      </c>
      <c r="G5858">
        <v>0.4355</v>
      </c>
      <c r="H5858">
        <v>0</v>
      </c>
      <c r="I5858">
        <v>23</v>
      </c>
      <c r="J5858" t="str">
        <f>HYPERLINK("https://climate.onebuilding.org/WMO_Region_6_Europe/GBR_United_Kingdom/ENG_England/GBR_ENG_Royal.Sovereign.Lighthouse.038850_TMYx.zip")</f>
        <v>https://climate.onebuilding.org/WMO_Region_6_Europe/GBR_United_Kingdom/ENG_England/GBR_ENG_Royal.Sovereign.Lighthouse.038850_TMYx.zip</v>
      </c>
    </row>
    <row r="5859" spans="1:10" x14ac:dyDescent="0.25">
      <c r="A5859" t="s">
        <v>3587</v>
      </c>
      <c r="B5859" t="s">
        <v>3630</v>
      </c>
      <c r="C5859" t="s">
        <v>4571</v>
      </c>
      <c r="D5859" s="1" t="s">
        <v>4572</v>
      </c>
      <c r="E5859" t="s">
        <v>14</v>
      </c>
      <c r="F5859">
        <v>50.866999999999997</v>
      </c>
      <c r="G5859">
        <v>0.63300000000000001</v>
      </c>
      <c r="H5859">
        <v>0</v>
      </c>
      <c r="I5859">
        <v>143</v>
      </c>
      <c r="J5859" t="str">
        <f>HYPERLINK("https://climate.onebuilding.org/WMO_Region_6_Europe/GBR_United_Kingdom/ENG_England/GBR_ENG_Fairlight.038860_TMYx.zip")</f>
        <v>https://climate.onebuilding.org/WMO_Region_6_Europe/GBR_United_Kingdom/ENG_England/GBR_ENG_Fairlight.038860_TMYx.zip</v>
      </c>
    </row>
    <row r="5860" spans="1:10" x14ac:dyDescent="0.25">
      <c r="A5860" t="s">
        <v>3587</v>
      </c>
      <c r="B5860" t="s">
        <v>3630</v>
      </c>
      <c r="C5860" t="s">
        <v>4573</v>
      </c>
      <c r="D5860" s="1" t="s">
        <v>4574</v>
      </c>
      <c r="E5860" t="s">
        <v>4575</v>
      </c>
      <c r="F5860">
        <v>50.956000000000003</v>
      </c>
      <c r="G5860">
        <v>0.93899999999999995</v>
      </c>
      <c r="H5860">
        <v>0</v>
      </c>
      <c r="I5860">
        <v>4</v>
      </c>
      <c r="J5860" t="str">
        <f>HYPERLINK("https://climate.onebuilding.org/WMO_Region_6_Europe/GBR_United_Kingdom/ENG_England/GBR_ENG_Lydd.AP.038873_TMYx.2004-2018.zip")</f>
        <v>https://climate.onebuilding.org/WMO_Region_6_Europe/GBR_United_Kingdom/ENG_England/GBR_ENG_Lydd.AP.038873_TMYx.2004-2018.zip</v>
      </c>
    </row>
    <row r="5861" spans="1:10" x14ac:dyDescent="0.25">
      <c r="A5861" t="s">
        <v>3587</v>
      </c>
      <c r="B5861" t="s">
        <v>3630</v>
      </c>
      <c r="C5861" t="s">
        <v>4573</v>
      </c>
      <c r="D5861" s="1" t="s">
        <v>4574</v>
      </c>
      <c r="E5861" t="s">
        <v>14</v>
      </c>
      <c r="F5861">
        <v>50.956000000000003</v>
      </c>
      <c r="G5861">
        <v>0.93899999999999995</v>
      </c>
      <c r="H5861">
        <v>0</v>
      </c>
      <c r="I5861">
        <v>4</v>
      </c>
      <c r="J5861" t="str">
        <f>HYPERLINK("https://climate.onebuilding.org/WMO_Region_6_Europe/GBR_United_Kingdom/ENG_England/GBR_ENG_Lydd.AP.038873_TMYx.2007-2021.zip")</f>
        <v>https://climate.onebuilding.org/WMO_Region_6_Europe/GBR_United_Kingdom/ENG_England/GBR_ENG_Lydd.AP.038873_TMYx.2007-2021.zip</v>
      </c>
    </row>
    <row r="5862" spans="1:10" x14ac:dyDescent="0.25">
      <c r="A5862" t="s">
        <v>3587</v>
      </c>
      <c r="B5862" t="s">
        <v>3630</v>
      </c>
      <c r="C5862" t="s">
        <v>4573</v>
      </c>
      <c r="D5862" s="1" t="s">
        <v>4574</v>
      </c>
      <c r="E5862" t="s">
        <v>14</v>
      </c>
      <c r="F5862">
        <v>50.956000000000003</v>
      </c>
      <c r="G5862">
        <v>0.93899999999999995</v>
      </c>
      <c r="H5862">
        <v>0</v>
      </c>
      <c r="I5862">
        <v>4</v>
      </c>
      <c r="J5862" t="str">
        <f>HYPERLINK("https://climate.onebuilding.org/WMO_Region_6_Europe/GBR_United_Kingdom/ENG_England/GBR_ENG_Lydd.AP.038873_TMYx.2009-2023.zip")</f>
        <v>https://climate.onebuilding.org/WMO_Region_6_Europe/GBR_United_Kingdom/ENG_England/GBR_ENG_Lydd.AP.038873_TMYx.2009-2023.zip</v>
      </c>
    </row>
    <row r="5863" spans="1:10" x14ac:dyDescent="0.25">
      <c r="A5863" t="s">
        <v>3587</v>
      </c>
      <c r="B5863" t="s">
        <v>3630</v>
      </c>
      <c r="C5863" t="s">
        <v>4573</v>
      </c>
      <c r="D5863" s="1" t="s">
        <v>4574</v>
      </c>
      <c r="E5863" t="s">
        <v>14</v>
      </c>
      <c r="F5863">
        <v>50.956000000000003</v>
      </c>
      <c r="G5863">
        <v>0.93899999999999995</v>
      </c>
      <c r="H5863">
        <v>0</v>
      </c>
      <c r="I5863">
        <v>4</v>
      </c>
      <c r="J5863" t="str">
        <f>HYPERLINK("https://climate.onebuilding.org/WMO_Region_6_Europe/GBR_United_Kingdom/ENG_England/GBR_ENG_Lydd.AP.038873_TMYx.zip")</f>
        <v>https://climate.onebuilding.org/WMO_Region_6_Europe/GBR_United_Kingdom/ENG_England/GBR_ENG_Lydd.AP.038873_TMYx.zip</v>
      </c>
    </row>
    <row r="5864" spans="1:10" x14ac:dyDescent="0.25">
      <c r="A5864" t="s">
        <v>3587</v>
      </c>
      <c r="B5864" t="s">
        <v>3630</v>
      </c>
      <c r="C5864" t="s">
        <v>4576</v>
      </c>
      <c r="D5864" s="1" t="s">
        <v>4577</v>
      </c>
      <c r="E5864" t="s">
        <v>14</v>
      </c>
      <c r="F5864">
        <v>50.917000000000002</v>
      </c>
      <c r="G5864">
        <v>0.96699999999999997</v>
      </c>
      <c r="H5864">
        <v>0</v>
      </c>
      <c r="I5864">
        <v>3</v>
      </c>
      <c r="J5864" t="str">
        <f>HYPERLINK("https://climate.onebuilding.org/WMO_Region_6_Europe/GBR_United_Kingdom/ENG_England/GBR_ENG_Dungeness.038880_TMYx.zip")</f>
        <v>https://climate.onebuilding.org/WMO_Region_6_Europe/GBR_United_Kingdom/ENG_England/GBR_ENG_Dungeness.038880_TMYx.zip</v>
      </c>
    </row>
    <row r="5865" spans="1:10" x14ac:dyDescent="0.25">
      <c r="A5865" t="s">
        <v>3587</v>
      </c>
      <c r="B5865" t="s">
        <v>3630</v>
      </c>
      <c r="C5865" t="s">
        <v>4578</v>
      </c>
      <c r="D5865" s="1" t="s">
        <v>4579</v>
      </c>
      <c r="E5865" t="s">
        <v>14</v>
      </c>
      <c r="F5865">
        <v>51.017000000000003</v>
      </c>
      <c r="G5865">
        <v>1.4</v>
      </c>
      <c r="H5865">
        <v>0</v>
      </c>
      <c r="I5865">
        <v>5</v>
      </c>
      <c r="J5865" t="str">
        <f>HYPERLINK("https://climate.onebuilding.org/WMO_Region_6_Europe/GBR_United_Kingdom/ENG_England/GBR_ENG_Varne.Light.038980_TMYx.zip")</f>
        <v>https://climate.onebuilding.org/WMO_Region_6_Europe/GBR_United_Kingdom/ENG_England/GBR_ENG_Varne.Light.038980_TMYx.zip</v>
      </c>
    </row>
    <row r="5866" spans="1:10" x14ac:dyDescent="0.25">
      <c r="A5866" t="s">
        <v>3587</v>
      </c>
      <c r="B5866" t="s">
        <v>4580</v>
      </c>
      <c r="C5866" t="s">
        <v>4581</v>
      </c>
      <c r="D5866" s="1" t="s">
        <v>4582</v>
      </c>
      <c r="E5866" t="s">
        <v>14</v>
      </c>
      <c r="F5866">
        <v>54.417000000000002</v>
      </c>
      <c r="G5866">
        <v>-8.0830000000000002</v>
      </c>
      <c r="H5866">
        <v>0</v>
      </c>
      <c r="I5866">
        <v>50</v>
      </c>
      <c r="J5866" t="str">
        <f>HYPERLINK("https://climate.onebuilding.org/WMO_Region_6_Europe/GBR_United_Kingdom/NIR_Northern_Ireland/GBR_NIR_Knockarevan.039000_TMYx.zip")</f>
        <v>https://climate.onebuilding.org/WMO_Region_6_Europe/GBR_United_Kingdom/NIR_Northern_Ireland/GBR_NIR_Knockarevan.039000_TMYx.zip</v>
      </c>
    </row>
    <row r="5867" spans="1:10" x14ac:dyDescent="0.25">
      <c r="A5867" t="s">
        <v>3587</v>
      </c>
      <c r="B5867" t="s">
        <v>4580</v>
      </c>
      <c r="C5867" t="s">
        <v>4583</v>
      </c>
      <c r="D5867" s="1" t="s">
        <v>4584</v>
      </c>
      <c r="E5867" t="s">
        <v>4585</v>
      </c>
      <c r="F5867">
        <v>54.332999999999998</v>
      </c>
      <c r="G5867">
        <v>-7.6</v>
      </c>
      <c r="H5867">
        <v>-1</v>
      </c>
      <c r="I5867">
        <v>72</v>
      </c>
      <c r="J5867" t="str">
        <f>HYPERLINK("https://climate.onebuilding.org/WMO_Region_6_Europe/GBR_United_Kingdom/NIR_Northern_Ireland/GBR_NIR_Thomastown.039010_TMYx.2004-2018.zip")</f>
        <v>https://climate.onebuilding.org/WMO_Region_6_Europe/GBR_United_Kingdom/NIR_Northern_Ireland/GBR_NIR_Thomastown.039010_TMYx.2004-2018.zip</v>
      </c>
    </row>
    <row r="5868" spans="1:10" x14ac:dyDescent="0.25">
      <c r="A5868" t="s">
        <v>3587</v>
      </c>
      <c r="B5868" t="s">
        <v>4580</v>
      </c>
      <c r="C5868" t="s">
        <v>4583</v>
      </c>
      <c r="D5868" s="1" t="s">
        <v>4584</v>
      </c>
      <c r="E5868" t="s">
        <v>14</v>
      </c>
      <c r="F5868">
        <v>54.332999999999998</v>
      </c>
      <c r="G5868">
        <v>-7.6</v>
      </c>
      <c r="H5868">
        <v>0</v>
      </c>
      <c r="I5868">
        <v>72</v>
      </c>
      <c r="J5868" t="str">
        <f>HYPERLINK("https://climate.onebuilding.org/WMO_Region_6_Europe/GBR_United_Kingdom/NIR_Northern_Ireland/GBR_NIR_Thomastown.039010_TMYx.2007-2021.zip")</f>
        <v>https://climate.onebuilding.org/WMO_Region_6_Europe/GBR_United_Kingdom/NIR_Northern_Ireland/GBR_NIR_Thomastown.039010_TMYx.2007-2021.zip</v>
      </c>
    </row>
    <row r="5869" spans="1:10" x14ac:dyDescent="0.25">
      <c r="A5869" t="s">
        <v>3587</v>
      </c>
      <c r="B5869" t="s">
        <v>4580</v>
      </c>
      <c r="C5869" t="s">
        <v>4583</v>
      </c>
      <c r="D5869" s="1" t="s">
        <v>4584</v>
      </c>
      <c r="E5869" t="s">
        <v>14</v>
      </c>
      <c r="F5869">
        <v>54.332999999999998</v>
      </c>
      <c r="G5869">
        <v>-7.6</v>
      </c>
      <c r="H5869">
        <v>0</v>
      </c>
      <c r="I5869">
        <v>72</v>
      </c>
      <c r="J5869" t="str">
        <f>HYPERLINK("https://climate.onebuilding.org/WMO_Region_6_Europe/GBR_United_Kingdom/NIR_Northern_Ireland/GBR_NIR_Thomastown.039010_TMYx.2009-2023.zip")</f>
        <v>https://climate.onebuilding.org/WMO_Region_6_Europe/GBR_United_Kingdom/NIR_Northern_Ireland/GBR_NIR_Thomastown.039010_TMYx.2009-2023.zip</v>
      </c>
    </row>
    <row r="5870" spans="1:10" x14ac:dyDescent="0.25">
      <c r="A5870" t="s">
        <v>3587</v>
      </c>
      <c r="B5870" t="s">
        <v>4580</v>
      </c>
      <c r="C5870" t="s">
        <v>4583</v>
      </c>
      <c r="D5870" s="1" t="s">
        <v>4584</v>
      </c>
      <c r="E5870" t="s">
        <v>14</v>
      </c>
      <c r="F5870">
        <v>54.332999999999998</v>
      </c>
      <c r="G5870">
        <v>-7.6</v>
      </c>
      <c r="H5870">
        <v>0</v>
      </c>
      <c r="I5870">
        <v>72</v>
      </c>
      <c r="J5870" t="str">
        <f>HYPERLINK("https://climate.onebuilding.org/WMO_Region_6_Europe/GBR_United_Kingdom/NIR_Northern_Ireland/GBR_NIR_Thomastown.039010_TMYx.zip")</f>
        <v>https://climate.onebuilding.org/WMO_Region_6_Europe/GBR_United_Kingdom/NIR_Northern_Ireland/GBR_NIR_Thomastown.039010_TMYx.zip</v>
      </c>
    </row>
    <row r="5871" spans="1:10" x14ac:dyDescent="0.25">
      <c r="A5871" t="s">
        <v>3587</v>
      </c>
      <c r="B5871" t="s">
        <v>4580</v>
      </c>
      <c r="C5871" t="s">
        <v>4586</v>
      </c>
      <c r="D5871" s="1" t="s">
        <v>4587</v>
      </c>
      <c r="E5871" t="s">
        <v>14</v>
      </c>
      <c r="F5871">
        <v>54.433</v>
      </c>
      <c r="G5871">
        <v>-8.0500000000000007</v>
      </c>
      <c r="H5871">
        <v>0</v>
      </c>
      <c r="I5871">
        <v>145</v>
      </c>
      <c r="J5871" t="str">
        <f>HYPERLINK("https://climate.onebuilding.org/WMO_Region_6_Europe/GBR_United_Kingdom/NIR_Northern_Ireland/GBR_NIR_Corgary.039020_TMYx.zip")</f>
        <v>https://climate.onebuilding.org/WMO_Region_6_Europe/GBR_United_Kingdom/NIR_Northern_Ireland/GBR_NIR_Corgary.039020_TMYx.zip</v>
      </c>
    </row>
    <row r="5872" spans="1:10" x14ac:dyDescent="0.25">
      <c r="A5872" t="s">
        <v>3587</v>
      </c>
      <c r="B5872" t="s">
        <v>4580</v>
      </c>
      <c r="C5872" t="s">
        <v>4588</v>
      </c>
      <c r="D5872" s="1" t="s">
        <v>4589</v>
      </c>
      <c r="E5872" t="s">
        <v>4590</v>
      </c>
      <c r="F5872">
        <v>54.4</v>
      </c>
      <c r="G5872">
        <v>-7.65</v>
      </c>
      <c r="H5872">
        <v>-1</v>
      </c>
      <c r="I5872">
        <v>47</v>
      </c>
      <c r="J5872" t="str">
        <f>HYPERLINK("https://climate.onebuilding.org/WMO_Region_6_Europe/GBR_United_Kingdom/NIR_Northern_Ireland/GBR_NIR_Enniskillen.AP.039030_TMYx.2004-2018.zip")</f>
        <v>https://climate.onebuilding.org/WMO_Region_6_Europe/GBR_United_Kingdom/NIR_Northern_Ireland/GBR_NIR_Enniskillen.AP.039030_TMYx.2004-2018.zip</v>
      </c>
    </row>
    <row r="5873" spans="1:10" x14ac:dyDescent="0.25">
      <c r="A5873" t="s">
        <v>3587</v>
      </c>
      <c r="B5873" t="s">
        <v>4580</v>
      </c>
      <c r="C5873" t="s">
        <v>4588</v>
      </c>
      <c r="D5873" s="1" t="s">
        <v>4589</v>
      </c>
      <c r="E5873" t="s">
        <v>14</v>
      </c>
      <c r="F5873">
        <v>54.395000000000003</v>
      </c>
      <c r="G5873">
        <v>-7.6440000000000001</v>
      </c>
      <c r="H5873">
        <v>0</v>
      </c>
      <c r="I5873">
        <v>47</v>
      </c>
      <c r="J5873" t="str">
        <f>HYPERLINK("https://climate.onebuilding.org/WMO_Region_6_Europe/GBR_United_Kingdom/NIR_Northern_Ireland/GBR_NIR_Enniskillen.AP.039030_TMYx.2007-2021.zip")</f>
        <v>https://climate.onebuilding.org/WMO_Region_6_Europe/GBR_United_Kingdom/NIR_Northern_Ireland/GBR_NIR_Enniskillen.AP.039030_TMYx.2007-2021.zip</v>
      </c>
    </row>
    <row r="5874" spans="1:10" x14ac:dyDescent="0.25">
      <c r="A5874" t="s">
        <v>3587</v>
      </c>
      <c r="B5874" t="s">
        <v>4580</v>
      </c>
      <c r="C5874" t="s">
        <v>4588</v>
      </c>
      <c r="D5874" s="1" t="s">
        <v>4589</v>
      </c>
      <c r="E5874" t="s">
        <v>14</v>
      </c>
      <c r="F5874">
        <v>54.395000000000003</v>
      </c>
      <c r="G5874">
        <v>-7.6440000000000001</v>
      </c>
      <c r="H5874">
        <v>0</v>
      </c>
      <c r="I5874">
        <v>47</v>
      </c>
      <c r="J5874" t="str">
        <f>HYPERLINK("https://climate.onebuilding.org/WMO_Region_6_Europe/GBR_United_Kingdom/NIR_Northern_Ireland/GBR_NIR_Enniskillen.AP.039030_TMYx.2009-2023.zip")</f>
        <v>https://climate.onebuilding.org/WMO_Region_6_Europe/GBR_United_Kingdom/NIR_Northern_Ireland/GBR_NIR_Enniskillen.AP.039030_TMYx.2009-2023.zip</v>
      </c>
    </row>
    <row r="5875" spans="1:10" x14ac:dyDescent="0.25">
      <c r="A5875" t="s">
        <v>3587</v>
      </c>
      <c r="B5875" t="s">
        <v>4580</v>
      </c>
      <c r="C5875" t="s">
        <v>4588</v>
      </c>
      <c r="D5875" s="1" t="s">
        <v>4589</v>
      </c>
      <c r="E5875" t="s">
        <v>14</v>
      </c>
      <c r="F5875">
        <v>54.395000000000003</v>
      </c>
      <c r="G5875">
        <v>-7.6440000000000001</v>
      </c>
      <c r="H5875">
        <v>0</v>
      </c>
      <c r="I5875">
        <v>47</v>
      </c>
      <c r="J5875" t="str">
        <f>HYPERLINK("https://climate.onebuilding.org/WMO_Region_6_Europe/GBR_United_Kingdom/NIR_Northern_Ireland/GBR_NIR_Enniskillen.AP.039030_TMYx.zip")</f>
        <v>https://climate.onebuilding.org/WMO_Region_6_Europe/GBR_United_Kingdom/NIR_Northern_Ireland/GBR_NIR_Enniskillen.AP.039030_TMYx.zip</v>
      </c>
    </row>
    <row r="5876" spans="1:10" x14ac:dyDescent="0.25">
      <c r="A5876" t="s">
        <v>3587</v>
      </c>
      <c r="B5876" t="s">
        <v>4580</v>
      </c>
      <c r="C5876" t="s">
        <v>4591</v>
      </c>
      <c r="D5876" s="1" t="s">
        <v>4592</v>
      </c>
      <c r="E5876" t="s">
        <v>4593</v>
      </c>
      <c r="F5876">
        <v>54.7</v>
      </c>
      <c r="G5876">
        <v>-7.5830000000000002</v>
      </c>
      <c r="H5876">
        <v>-1</v>
      </c>
      <c r="I5876">
        <v>50</v>
      </c>
      <c r="J5876" t="str">
        <f>HYPERLINK("https://climate.onebuilding.org/WMO_Region_6_Europe/GBR_United_Kingdom/NIR_Northern_Ireland/GBR_NIR_Castlederg.039040_TMYx.2004-2018.zip")</f>
        <v>https://climate.onebuilding.org/WMO_Region_6_Europe/GBR_United_Kingdom/NIR_Northern_Ireland/GBR_NIR_Castlederg.039040_TMYx.2004-2018.zip</v>
      </c>
    </row>
    <row r="5877" spans="1:10" x14ac:dyDescent="0.25">
      <c r="A5877" t="s">
        <v>3587</v>
      </c>
      <c r="B5877" t="s">
        <v>4580</v>
      </c>
      <c r="C5877" t="s">
        <v>4591</v>
      </c>
      <c r="D5877" s="1" t="s">
        <v>4592</v>
      </c>
      <c r="E5877" t="s">
        <v>14</v>
      </c>
      <c r="F5877">
        <v>54.707099999999997</v>
      </c>
      <c r="G5877">
        <v>-7.5774999999999997</v>
      </c>
      <c r="H5877">
        <v>0</v>
      </c>
      <c r="I5877">
        <v>50</v>
      </c>
      <c r="J5877" t="str">
        <f>HYPERLINK("https://climate.onebuilding.org/WMO_Region_6_Europe/GBR_United_Kingdom/NIR_Northern_Ireland/GBR_NIR_Castlederg.039040_TMYx.2007-2021.zip")</f>
        <v>https://climate.onebuilding.org/WMO_Region_6_Europe/GBR_United_Kingdom/NIR_Northern_Ireland/GBR_NIR_Castlederg.039040_TMYx.2007-2021.zip</v>
      </c>
    </row>
    <row r="5878" spans="1:10" x14ac:dyDescent="0.25">
      <c r="A5878" t="s">
        <v>3587</v>
      </c>
      <c r="B5878" t="s">
        <v>4580</v>
      </c>
      <c r="C5878" t="s">
        <v>4591</v>
      </c>
      <c r="D5878" s="1" t="s">
        <v>4592</v>
      </c>
      <c r="E5878" t="s">
        <v>14</v>
      </c>
      <c r="F5878">
        <v>54.707099999999997</v>
      </c>
      <c r="G5878">
        <v>-7.5774999999999997</v>
      </c>
      <c r="H5878">
        <v>0</v>
      </c>
      <c r="I5878">
        <v>50</v>
      </c>
      <c r="J5878" t="str">
        <f>HYPERLINK("https://climate.onebuilding.org/WMO_Region_6_Europe/GBR_United_Kingdom/NIR_Northern_Ireland/GBR_NIR_Castlederg.039040_TMYx.2009-2023.zip")</f>
        <v>https://climate.onebuilding.org/WMO_Region_6_Europe/GBR_United_Kingdom/NIR_Northern_Ireland/GBR_NIR_Castlederg.039040_TMYx.2009-2023.zip</v>
      </c>
    </row>
    <row r="5879" spans="1:10" x14ac:dyDescent="0.25">
      <c r="A5879" t="s">
        <v>3587</v>
      </c>
      <c r="B5879" t="s">
        <v>4580</v>
      </c>
      <c r="C5879" t="s">
        <v>4591</v>
      </c>
      <c r="D5879" s="1" t="s">
        <v>4592</v>
      </c>
      <c r="E5879" t="s">
        <v>14</v>
      </c>
      <c r="F5879">
        <v>54.707099999999997</v>
      </c>
      <c r="G5879">
        <v>-7.5774999999999997</v>
      </c>
      <c r="H5879">
        <v>0</v>
      </c>
      <c r="I5879">
        <v>50</v>
      </c>
      <c r="J5879" t="str">
        <f>HYPERLINK("https://climate.onebuilding.org/WMO_Region_6_Europe/GBR_United_Kingdom/NIR_Northern_Ireland/GBR_NIR_Castlederg.039040_TMYx.zip")</f>
        <v>https://climate.onebuilding.org/WMO_Region_6_Europe/GBR_United_Kingdom/NIR_Northern_Ireland/GBR_NIR_Castlederg.039040_TMYx.zip</v>
      </c>
    </row>
    <row r="5880" spans="1:10" x14ac:dyDescent="0.25">
      <c r="A5880" t="s">
        <v>3587</v>
      </c>
      <c r="B5880" t="s">
        <v>4580</v>
      </c>
      <c r="C5880" t="s">
        <v>4594</v>
      </c>
      <c r="D5880" s="1" t="s">
        <v>4595</v>
      </c>
      <c r="E5880" t="s">
        <v>14</v>
      </c>
      <c r="F5880">
        <v>54.667000000000002</v>
      </c>
      <c r="G5880">
        <v>-7.3170000000000002</v>
      </c>
      <c r="H5880">
        <v>0</v>
      </c>
      <c r="I5880">
        <v>113</v>
      </c>
      <c r="J5880" t="str">
        <f>HYPERLINK("https://climate.onebuilding.org/WMO_Region_6_Europe/GBR_United_Kingdom/NIR_Northern_Ireland/GBR_NIR_Carrigans.039050_TMYx.zip")</f>
        <v>https://climate.onebuilding.org/WMO_Region_6_Europe/GBR_United_Kingdom/NIR_Northern_Ireland/GBR_NIR_Carrigans.039050_TMYx.zip</v>
      </c>
    </row>
    <row r="5881" spans="1:10" x14ac:dyDescent="0.25">
      <c r="A5881" t="s">
        <v>3587</v>
      </c>
      <c r="B5881" t="s">
        <v>4580</v>
      </c>
      <c r="C5881" t="s">
        <v>4596</v>
      </c>
      <c r="D5881" s="1" t="s">
        <v>4597</v>
      </c>
      <c r="E5881" t="s">
        <v>14</v>
      </c>
      <c r="F5881">
        <v>55.017000000000003</v>
      </c>
      <c r="G5881">
        <v>-7.2329999999999997</v>
      </c>
      <c r="H5881">
        <v>0</v>
      </c>
      <c r="I5881">
        <v>73</v>
      </c>
      <c r="J5881" t="str">
        <f>HYPERLINK("https://climate.onebuilding.org/WMO_Region_6_Europe/GBR_United_Kingdom/NIR_Northern_Ireland/GBR_NIR_Carmoney.039060_TMYx.zip")</f>
        <v>https://climate.onebuilding.org/WMO_Region_6_Europe/GBR_United_Kingdom/NIR_Northern_Ireland/GBR_NIR_Carmoney.039060_TMYx.zip</v>
      </c>
    </row>
    <row r="5882" spans="1:10" x14ac:dyDescent="0.25">
      <c r="A5882" t="s">
        <v>3587</v>
      </c>
      <c r="B5882" t="s">
        <v>4580</v>
      </c>
      <c r="C5882" t="s">
        <v>4598</v>
      </c>
      <c r="D5882" s="1" t="s">
        <v>4599</v>
      </c>
      <c r="E5882" t="s">
        <v>4600</v>
      </c>
      <c r="F5882">
        <v>55.15</v>
      </c>
      <c r="G5882">
        <v>-6.9329999999999998</v>
      </c>
      <c r="H5882">
        <v>0</v>
      </c>
      <c r="I5882">
        <v>6</v>
      </c>
      <c r="J5882" t="str">
        <f>HYPERLINK("https://climate.onebuilding.org/WMO_Region_6_Europe/GBR_United_Kingdom/NIR_Northern_Ireland/GBR_NIR_Magilligan.039070_TMYx.2004-2018.zip")</f>
        <v>https://climate.onebuilding.org/WMO_Region_6_Europe/GBR_United_Kingdom/NIR_Northern_Ireland/GBR_NIR_Magilligan.039070_TMYx.2004-2018.zip</v>
      </c>
    </row>
    <row r="5883" spans="1:10" x14ac:dyDescent="0.25">
      <c r="A5883" t="s">
        <v>3587</v>
      </c>
      <c r="B5883" t="s">
        <v>4580</v>
      </c>
      <c r="C5883" t="s">
        <v>4598</v>
      </c>
      <c r="D5883" s="1" t="s">
        <v>4599</v>
      </c>
      <c r="E5883" t="s">
        <v>14</v>
      </c>
      <c r="F5883">
        <v>55.15</v>
      </c>
      <c r="G5883">
        <v>-6.9329999999999998</v>
      </c>
      <c r="H5883">
        <v>0</v>
      </c>
      <c r="I5883">
        <v>6</v>
      </c>
      <c r="J5883" t="str">
        <f>HYPERLINK("https://climate.onebuilding.org/WMO_Region_6_Europe/GBR_United_Kingdom/NIR_Northern_Ireland/GBR_NIR_Magilligan.039070_TMYx.2007-2021.zip")</f>
        <v>https://climate.onebuilding.org/WMO_Region_6_Europe/GBR_United_Kingdom/NIR_Northern_Ireland/GBR_NIR_Magilligan.039070_TMYx.2007-2021.zip</v>
      </c>
    </row>
    <row r="5884" spans="1:10" x14ac:dyDescent="0.25">
      <c r="A5884" t="s">
        <v>3587</v>
      </c>
      <c r="B5884" t="s">
        <v>4580</v>
      </c>
      <c r="C5884" t="s">
        <v>4598</v>
      </c>
      <c r="D5884" s="1" t="s">
        <v>4599</v>
      </c>
      <c r="E5884" t="s">
        <v>14</v>
      </c>
      <c r="F5884">
        <v>55.15</v>
      </c>
      <c r="G5884">
        <v>-6.9329999999999998</v>
      </c>
      <c r="H5884">
        <v>0</v>
      </c>
      <c r="I5884">
        <v>6</v>
      </c>
      <c r="J5884" t="str">
        <f>HYPERLINK("https://climate.onebuilding.org/WMO_Region_6_Europe/GBR_United_Kingdom/NIR_Northern_Ireland/GBR_NIR_Magilligan.039070_TMYx.2009-2023.zip")</f>
        <v>https://climate.onebuilding.org/WMO_Region_6_Europe/GBR_United_Kingdom/NIR_Northern_Ireland/GBR_NIR_Magilligan.039070_TMYx.2009-2023.zip</v>
      </c>
    </row>
    <row r="5885" spans="1:10" x14ac:dyDescent="0.25">
      <c r="A5885" t="s">
        <v>3587</v>
      </c>
      <c r="B5885" t="s">
        <v>4580</v>
      </c>
      <c r="C5885" t="s">
        <v>4598</v>
      </c>
      <c r="D5885" s="1" t="s">
        <v>4599</v>
      </c>
      <c r="E5885" t="s">
        <v>14</v>
      </c>
      <c r="F5885">
        <v>55.15</v>
      </c>
      <c r="G5885">
        <v>-6.9329999999999998</v>
      </c>
      <c r="H5885">
        <v>0</v>
      </c>
      <c r="I5885">
        <v>6</v>
      </c>
      <c r="J5885" t="str">
        <f>HYPERLINK("https://climate.onebuilding.org/WMO_Region_6_Europe/GBR_United_Kingdom/NIR_Northern_Ireland/GBR_NIR_Magilligan.039070_TMYx.zip")</f>
        <v>https://climate.onebuilding.org/WMO_Region_6_Europe/GBR_United_Kingdom/NIR_Northern_Ireland/GBR_NIR_Magilligan.039070_TMYx.zip</v>
      </c>
    </row>
    <row r="5886" spans="1:10" x14ac:dyDescent="0.25">
      <c r="A5886" t="s">
        <v>3587</v>
      </c>
      <c r="B5886" t="s">
        <v>4580</v>
      </c>
      <c r="C5886" t="s">
        <v>4601</v>
      </c>
      <c r="D5886" s="1" t="s">
        <v>4602</v>
      </c>
      <c r="E5886" t="s">
        <v>4603</v>
      </c>
      <c r="F5886">
        <v>55.067</v>
      </c>
      <c r="G5886">
        <v>-7.0170000000000003</v>
      </c>
      <c r="H5886">
        <v>0</v>
      </c>
      <c r="I5886">
        <v>5</v>
      </c>
      <c r="J5886" t="str">
        <f>HYPERLINK("https://climate.onebuilding.org/WMO_Region_6_Europe/GBR_United_Kingdom/NIR_Northern_Ireland/GBR_NIR_Ballykelly.AF.039080_TMYx.2004-2018.zip")</f>
        <v>https://climate.onebuilding.org/WMO_Region_6_Europe/GBR_United_Kingdom/NIR_Northern_Ireland/GBR_NIR_Ballykelly.AF.039080_TMYx.2004-2018.zip</v>
      </c>
    </row>
    <row r="5887" spans="1:10" x14ac:dyDescent="0.25">
      <c r="A5887" t="s">
        <v>3587</v>
      </c>
      <c r="B5887" t="s">
        <v>4580</v>
      </c>
      <c r="C5887" t="s">
        <v>4601</v>
      </c>
      <c r="D5887" s="1" t="s">
        <v>4602</v>
      </c>
      <c r="E5887" t="s">
        <v>14</v>
      </c>
      <c r="F5887">
        <v>55.057000000000002</v>
      </c>
      <c r="G5887">
        <v>-7.0069999999999997</v>
      </c>
      <c r="H5887">
        <v>0</v>
      </c>
      <c r="I5887">
        <v>5</v>
      </c>
      <c r="J5887" t="str">
        <f>HYPERLINK("https://climate.onebuilding.org/WMO_Region_6_Europe/GBR_United_Kingdom/NIR_Northern_Ireland/GBR_NIR_Ballykelly.AF.039080_TMYx.2007-2021.zip")</f>
        <v>https://climate.onebuilding.org/WMO_Region_6_Europe/GBR_United_Kingdom/NIR_Northern_Ireland/GBR_NIR_Ballykelly.AF.039080_TMYx.2007-2021.zip</v>
      </c>
    </row>
    <row r="5888" spans="1:10" x14ac:dyDescent="0.25">
      <c r="A5888" t="s">
        <v>3587</v>
      </c>
      <c r="B5888" t="s">
        <v>4580</v>
      </c>
      <c r="C5888" t="s">
        <v>4601</v>
      </c>
      <c r="D5888" s="1" t="s">
        <v>4602</v>
      </c>
      <c r="E5888" t="s">
        <v>14</v>
      </c>
      <c r="F5888">
        <v>55.057000000000002</v>
      </c>
      <c r="G5888">
        <v>-7.0069999999999997</v>
      </c>
      <c r="H5888">
        <v>0</v>
      </c>
      <c r="I5888">
        <v>5</v>
      </c>
      <c r="J5888" t="str">
        <f>HYPERLINK("https://climate.onebuilding.org/WMO_Region_6_Europe/GBR_United_Kingdom/NIR_Northern_Ireland/GBR_NIR_Ballykelly.AF.039080_TMYx.zip")</f>
        <v>https://climate.onebuilding.org/WMO_Region_6_Europe/GBR_United_Kingdom/NIR_Northern_Ireland/GBR_NIR_Ballykelly.AF.039080_TMYx.zip</v>
      </c>
    </row>
    <row r="5889" spans="1:10" x14ac:dyDescent="0.25">
      <c r="A5889" t="s">
        <v>3587</v>
      </c>
      <c r="B5889" t="s">
        <v>4580</v>
      </c>
      <c r="C5889" t="s">
        <v>4604</v>
      </c>
      <c r="D5889" s="1" t="s">
        <v>4605</v>
      </c>
      <c r="E5889" t="s">
        <v>4606</v>
      </c>
      <c r="F5889">
        <v>55.042999999999999</v>
      </c>
      <c r="G5889">
        <v>-7.1609999999999996</v>
      </c>
      <c r="H5889">
        <v>0</v>
      </c>
      <c r="I5889">
        <v>6.7</v>
      </c>
      <c r="J5889" t="str">
        <f>HYPERLINK("https://climate.onebuilding.org/WMO_Region_6_Europe/GBR_United_Kingdom/NIR_Northern_Ireland/GBR_NIR_Derry.Londonderry.AP.039084_TMYx.2004-2018.zip")</f>
        <v>https://climate.onebuilding.org/WMO_Region_6_Europe/GBR_United_Kingdom/NIR_Northern_Ireland/GBR_NIR_Derry.Londonderry.AP.039084_TMYx.2004-2018.zip</v>
      </c>
    </row>
    <row r="5890" spans="1:10" x14ac:dyDescent="0.25">
      <c r="A5890" t="s">
        <v>3587</v>
      </c>
      <c r="B5890" t="s">
        <v>4580</v>
      </c>
      <c r="C5890" t="s">
        <v>4604</v>
      </c>
      <c r="D5890" s="1" t="s">
        <v>4605</v>
      </c>
      <c r="E5890" t="s">
        <v>14</v>
      </c>
      <c r="F5890">
        <v>55.042999999999999</v>
      </c>
      <c r="G5890">
        <v>-7.1609999999999996</v>
      </c>
      <c r="H5890">
        <v>0</v>
      </c>
      <c r="I5890">
        <v>6.7</v>
      </c>
      <c r="J5890" t="str">
        <f>HYPERLINK("https://climate.onebuilding.org/WMO_Region_6_Europe/GBR_United_Kingdom/NIR_Northern_Ireland/GBR_NIR_Derry.Londonderry.AP.039084_TMYx.2007-2021.zip")</f>
        <v>https://climate.onebuilding.org/WMO_Region_6_Europe/GBR_United_Kingdom/NIR_Northern_Ireland/GBR_NIR_Derry.Londonderry.AP.039084_TMYx.2007-2021.zip</v>
      </c>
    </row>
    <row r="5891" spans="1:10" x14ac:dyDescent="0.25">
      <c r="A5891" t="s">
        <v>3587</v>
      </c>
      <c r="B5891" t="s">
        <v>4580</v>
      </c>
      <c r="C5891" t="s">
        <v>4604</v>
      </c>
      <c r="D5891" s="1" t="s">
        <v>4605</v>
      </c>
      <c r="E5891" t="s">
        <v>14</v>
      </c>
      <c r="F5891">
        <v>55.042999999999999</v>
      </c>
      <c r="G5891">
        <v>-7.1609999999999996</v>
      </c>
      <c r="H5891">
        <v>0</v>
      </c>
      <c r="I5891">
        <v>6.7</v>
      </c>
      <c r="J5891" t="str">
        <f>HYPERLINK("https://climate.onebuilding.org/WMO_Region_6_Europe/GBR_United_Kingdom/NIR_Northern_Ireland/GBR_NIR_Derry.Londonderry.AP.039084_TMYx.2009-2023.zip")</f>
        <v>https://climate.onebuilding.org/WMO_Region_6_Europe/GBR_United_Kingdom/NIR_Northern_Ireland/GBR_NIR_Derry.Londonderry.AP.039084_TMYx.2009-2023.zip</v>
      </c>
    </row>
    <row r="5892" spans="1:10" x14ac:dyDescent="0.25">
      <c r="A5892" t="s">
        <v>3587</v>
      </c>
      <c r="B5892" t="s">
        <v>4580</v>
      </c>
      <c r="C5892" t="s">
        <v>4604</v>
      </c>
      <c r="D5892" s="1" t="s">
        <v>4605</v>
      </c>
      <c r="E5892" t="s">
        <v>14</v>
      </c>
      <c r="F5892">
        <v>55.042999999999999</v>
      </c>
      <c r="G5892">
        <v>-7.1609999999999996</v>
      </c>
      <c r="H5892">
        <v>0</v>
      </c>
      <c r="I5892">
        <v>6.7</v>
      </c>
      <c r="J5892" t="str">
        <f>HYPERLINK("https://climate.onebuilding.org/WMO_Region_6_Europe/GBR_United_Kingdom/NIR_Northern_Ireland/GBR_NIR_Derry.Londonderry.AP.039084_TMYx.zip")</f>
        <v>https://climate.onebuilding.org/WMO_Region_6_Europe/GBR_United_Kingdom/NIR_Northern_Ireland/GBR_NIR_Derry.Londonderry.AP.039084_TMYx.zip</v>
      </c>
    </row>
    <row r="5893" spans="1:10" x14ac:dyDescent="0.25">
      <c r="A5893" t="s">
        <v>3587</v>
      </c>
      <c r="B5893" t="s">
        <v>4580</v>
      </c>
      <c r="C5893" t="s">
        <v>4607</v>
      </c>
      <c r="D5893" s="1" t="s">
        <v>4608</v>
      </c>
      <c r="E5893" t="s">
        <v>14</v>
      </c>
      <c r="F5893">
        <v>54.982999999999997</v>
      </c>
      <c r="G5893">
        <v>-6.6</v>
      </c>
      <c r="H5893">
        <v>0</v>
      </c>
      <c r="I5893">
        <v>34</v>
      </c>
      <c r="J5893" t="str">
        <f>HYPERLINK("https://climate.onebuilding.org/WMO_Region_6_Europe/GBR_United_Kingdom/NIR_Northern_Ireland/GBR_NIR_Moneydig.039090_TMYx.zip")</f>
        <v>https://climate.onebuilding.org/WMO_Region_6_Europe/GBR_United_Kingdom/NIR_Northern_Ireland/GBR_NIR_Moneydig.039090_TMYx.zip</v>
      </c>
    </row>
    <row r="5894" spans="1:10" x14ac:dyDescent="0.25">
      <c r="A5894" t="s">
        <v>3587</v>
      </c>
      <c r="B5894" t="s">
        <v>4580</v>
      </c>
      <c r="C5894" t="s">
        <v>4609</v>
      </c>
      <c r="D5894" s="1" t="s">
        <v>4610</v>
      </c>
      <c r="E5894" t="s">
        <v>14</v>
      </c>
      <c r="F5894">
        <v>54.85</v>
      </c>
      <c r="G5894">
        <v>-6.7</v>
      </c>
      <c r="H5894">
        <v>0</v>
      </c>
      <c r="I5894">
        <v>141</v>
      </c>
      <c r="J5894" t="str">
        <f>HYPERLINK("https://climate.onebuilding.org/WMO_Region_6_Europe/GBR_United_Kingdom/NIR_Northern_Ireland/GBR_NIR_Maghera.039100_TMYx.zip")</f>
        <v>https://climate.onebuilding.org/WMO_Region_6_Europe/GBR_United_Kingdom/NIR_Northern_Ireland/GBR_NIR_Maghera.039100_TMYx.zip</v>
      </c>
    </row>
    <row r="5895" spans="1:10" x14ac:dyDescent="0.25">
      <c r="A5895" t="s">
        <v>3587</v>
      </c>
      <c r="B5895" t="s">
        <v>4580</v>
      </c>
      <c r="C5895" t="s">
        <v>4611</v>
      </c>
      <c r="D5895" s="1" t="s">
        <v>4612</v>
      </c>
      <c r="E5895" t="s">
        <v>4613</v>
      </c>
      <c r="F5895">
        <v>54.716999999999999</v>
      </c>
      <c r="G5895">
        <v>-6.8170000000000002</v>
      </c>
      <c r="H5895">
        <v>0</v>
      </c>
      <c r="I5895">
        <v>227</v>
      </c>
      <c r="J5895" t="str">
        <f>HYPERLINK("https://climate.onebuilding.org/WMO_Region_6_Europe/GBR_United_Kingdom/NIR_Northern_Ireland/GBR_NIR_Lough.Fea.039110_TMYx.2004-2018.zip")</f>
        <v>https://climate.onebuilding.org/WMO_Region_6_Europe/GBR_United_Kingdom/NIR_Northern_Ireland/GBR_NIR_Lough.Fea.039110_TMYx.2004-2018.zip</v>
      </c>
    </row>
    <row r="5896" spans="1:10" x14ac:dyDescent="0.25">
      <c r="A5896" t="s">
        <v>3587</v>
      </c>
      <c r="B5896" t="s">
        <v>4580</v>
      </c>
      <c r="C5896" t="s">
        <v>4611</v>
      </c>
      <c r="D5896" s="1" t="s">
        <v>4612</v>
      </c>
      <c r="E5896" t="s">
        <v>14</v>
      </c>
      <c r="F5896">
        <v>54.7211</v>
      </c>
      <c r="G5896">
        <v>-6.8147000000000002</v>
      </c>
      <c r="H5896">
        <v>0</v>
      </c>
      <c r="I5896">
        <v>227</v>
      </c>
      <c r="J5896" t="str">
        <f>HYPERLINK("https://climate.onebuilding.org/WMO_Region_6_Europe/GBR_United_Kingdom/NIR_Northern_Ireland/GBR_NIR_Lough.Fea.039110_TMYx.2007-2021.zip")</f>
        <v>https://climate.onebuilding.org/WMO_Region_6_Europe/GBR_United_Kingdom/NIR_Northern_Ireland/GBR_NIR_Lough.Fea.039110_TMYx.2007-2021.zip</v>
      </c>
    </row>
    <row r="5897" spans="1:10" x14ac:dyDescent="0.25">
      <c r="A5897" t="s">
        <v>3587</v>
      </c>
      <c r="B5897" t="s">
        <v>4580</v>
      </c>
      <c r="C5897" t="s">
        <v>4611</v>
      </c>
      <c r="D5897" s="1" t="s">
        <v>4612</v>
      </c>
      <c r="E5897" t="s">
        <v>14</v>
      </c>
      <c r="F5897">
        <v>54.7211</v>
      </c>
      <c r="G5897">
        <v>-6.8147000000000002</v>
      </c>
      <c r="H5897">
        <v>0</v>
      </c>
      <c r="I5897">
        <v>227</v>
      </c>
      <c r="J5897" t="str">
        <f>HYPERLINK("https://climate.onebuilding.org/WMO_Region_6_Europe/GBR_United_Kingdom/NIR_Northern_Ireland/GBR_NIR_Lough.Fea.039110_TMYx.2009-2023.zip")</f>
        <v>https://climate.onebuilding.org/WMO_Region_6_Europe/GBR_United_Kingdom/NIR_Northern_Ireland/GBR_NIR_Lough.Fea.039110_TMYx.2009-2023.zip</v>
      </c>
    </row>
    <row r="5898" spans="1:10" x14ac:dyDescent="0.25">
      <c r="A5898" t="s">
        <v>3587</v>
      </c>
      <c r="B5898" t="s">
        <v>4580</v>
      </c>
      <c r="C5898" t="s">
        <v>4611</v>
      </c>
      <c r="D5898" s="1" t="s">
        <v>4612</v>
      </c>
      <c r="E5898" t="s">
        <v>14</v>
      </c>
      <c r="F5898">
        <v>54.7211</v>
      </c>
      <c r="G5898">
        <v>-6.8147000000000002</v>
      </c>
      <c r="H5898">
        <v>0</v>
      </c>
      <c r="I5898">
        <v>227</v>
      </c>
      <c r="J5898" t="str">
        <f>HYPERLINK("https://climate.onebuilding.org/WMO_Region_6_Europe/GBR_United_Kingdom/NIR_Northern_Ireland/GBR_NIR_Lough.Fea.039110_TMYx.zip")</f>
        <v>https://climate.onebuilding.org/WMO_Region_6_Europe/GBR_United_Kingdom/NIR_Northern_Ireland/GBR_NIR_Lough.Fea.039110_TMYx.zip</v>
      </c>
    </row>
    <row r="5899" spans="1:10" x14ac:dyDescent="0.25">
      <c r="A5899" t="s">
        <v>3587</v>
      </c>
      <c r="B5899" t="s">
        <v>4580</v>
      </c>
      <c r="C5899" t="s">
        <v>4614</v>
      </c>
      <c r="D5899" s="1" t="s">
        <v>4615</v>
      </c>
      <c r="E5899" t="s">
        <v>14</v>
      </c>
      <c r="F5899">
        <v>54.716999999999999</v>
      </c>
      <c r="G5899">
        <v>-6.5170000000000003</v>
      </c>
      <c r="H5899">
        <v>0</v>
      </c>
      <c r="I5899">
        <v>17</v>
      </c>
      <c r="J5899" t="str">
        <f>HYPERLINK("https://climate.onebuilding.org/WMO_Region_6_Europe/GBR_United_Kingdom/NIR_Northern_Ireland/GBR_NIR_Moyola.039120_TMYx.zip")</f>
        <v>https://climate.onebuilding.org/WMO_Region_6_Europe/GBR_United_Kingdom/NIR_Northern_Ireland/GBR_NIR_Moyola.039120_TMYx.zip</v>
      </c>
    </row>
    <row r="5900" spans="1:10" x14ac:dyDescent="0.25">
      <c r="A5900" t="s">
        <v>3587</v>
      </c>
      <c r="B5900" t="s">
        <v>4580</v>
      </c>
      <c r="C5900" t="s">
        <v>4616</v>
      </c>
      <c r="D5900" s="1" t="s">
        <v>4617</v>
      </c>
      <c r="E5900" t="s">
        <v>14</v>
      </c>
      <c r="F5900">
        <v>55.2</v>
      </c>
      <c r="G5900">
        <v>-6.6669999999999998</v>
      </c>
      <c r="H5900">
        <v>0</v>
      </c>
      <c r="I5900">
        <v>8</v>
      </c>
      <c r="J5900" t="str">
        <f>HYPERLINK("https://climate.onebuilding.org/WMO_Region_6_Europe/GBR_United_Kingdom/NIR_Northern_Ireland/GBR_NIR_Portrush.039140_TMYx.zip")</f>
        <v>https://climate.onebuilding.org/WMO_Region_6_Europe/GBR_United_Kingdom/NIR_Northern_Ireland/GBR_NIR_Portrush.039140_TMYx.zip</v>
      </c>
    </row>
    <row r="5901" spans="1:10" x14ac:dyDescent="0.25">
      <c r="A5901" t="s">
        <v>3587</v>
      </c>
      <c r="B5901" t="s">
        <v>4580</v>
      </c>
      <c r="C5901" t="s">
        <v>4618</v>
      </c>
      <c r="D5901" s="1" t="s">
        <v>4619</v>
      </c>
      <c r="E5901" t="s">
        <v>4620</v>
      </c>
      <c r="F5901">
        <v>54.866999999999997</v>
      </c>
      <c r="G5901">
        <v>-6.45</v>
      </c>
      <c r="H5901">
        <v>0</v>
      </c>
      <c r="I5901">
        <v>65</v>
      </c>
      <c r="J5901" t="str">
        <f>HYPERLINK("https://climate.onebuilding.org/WMO_Region_6_Europe/GBR_United_Kingdom/NIR_Northern_Ireland/GBR_NIR_Portglenone.039150_TMYx.2004-2018.zip")</f>
        <v>https://climate.onebuilding.org/WMO_Region_6_Europe/GBR_United_Kingdom/NIR_Northern_Ireland/GBR_NIR_Portglenone.039150_TMYx.2004-2018.zip</v>
      </c>
    </row>
    <row r="5902" spans="1:10" x14ac:dyDescent="0.25">
      <c r="A5902" t="s">
        <v>3587</v>
      </c>
      <c r="B5902" t="s">
        <v>4580</v>
      </c>
      <c r="C5902" t="s">
        <v>4618</v>
      </c>
      <c r="D5902" s="1" t="s">
        <v>4619</v>
      </c>
      <c r="E5902" t="s">
        <v>14</v>
      </c>
      <c r="F5902">
        <v>54.865299999999998</v>
      </c>
      <c r="G5902">
        <v>-6.4583000000000004</v>
      </c>
      <c r="H5902">
        <v>0</v>
      </c>
      <c r="I5902">
        <v>65</v>
      </c>
      <c r="J5902" t="str">
        <f>HYPERLINK("https://climate.onebuilding.org/WMO_Region_6_Europe/GBR_United_Kingdom/NIR_Northern_Ireland/GBR_NIR_Portglenone.039150_TMYx.2007-2021.zip")</f>
        <v>https://climate.onebuilding.org/WMO_Region_6_Europe/GBR_United_Kingdom/NIR_Northern_Ireland/GBR_NIR_Portglenone.039150_TMYx.2007-2021.zip</v>
      </c>
    </row>
    <row r="5903" spans="1:10" x14ac:dyDescent="0.25">
      <c r="A5903" t="s">
        <v>3587</v>
      </c>
      <c r="B5903" t="s">
        <v>4580</v>
      </c>
      <c r="C5903" t="s">
        <v>4618</v>
      </c>
      <c r="D5903" s="1" t="s">
        <v>4619</v>
      </c>
      <c r="E5903" t="s">
        <v>14</v>
      </c>
      <c r="F5903">
        <v>54.865299999999998</v>
      </c>
      <c r="G5903">
        <v>-6.4583000000000004</v>
      </c>
      <c r="H5903">
        <v>0</v>
      </c>
      <c r="I5903">
        <v>65</v>
      </c>
      <c r="J5903" t="str">
        <f>HYPERLINK("https://climate.onebuilding.org/WMO_Region_6_Europe/GBR_United_Kingdom/NIR_Northern_Ireland/GBR_NIR_Portglenone.039150_TMYx.2009-2023.zip")</f>
        <v>https://climate.onebuilding.org/WMO_Region_6_Europe/GBR_United_Kingdom/NIR_Northern_Ireland/GBR_NIR_Portglenone.039150_TMYx.2009-2023.zip</v>
      </c>
    </row>
    <row r="5904" spans="1:10" x14ac:dyDescent="0.25">
      <c r="A5904" t="s">
        <v>3587</v>
      </c>
      <c r="B5904" t="s">
        <v>4580</v>
      </c>
      <c r="C5904" t="s">
        <v>4618</v>
      </c>
      <c r="D5904" s="1" t="s">
        <v>4619</v>
      </c>
      <c r="E5904" t="s">
        <v>14</v>
      </c>
      <c r="F5904">
        <v>54.865299999999998</v>
      </c>
      <c r="G5904">
        <v>-6.4583000000000004</v>
      </c>
      <c r="H5904">
        <v>0</v>
      </c>
      <c r="I5904">
        <v>65</v>
      </c>
      <c r="J5904" t="str">
        <f>HYPERLINK("https://climate.onebuilding.org/WMO_Region_6_Europe/GBR_United_Kingdom/NIR_Northern_Ireland/GBR_NIR_Portglenone.039150_TMYx.zip")</f>
        <v>https://climate.onebuilding.org/WMO_Region_6_Europe/GBR_United_Kingdom/NIR_Northern_Ireland/GBR_NIR_Portglenone.039150_TMYx.zip</v>
      </c>
    </row>
    <row r="5905" spans="1:10" x14ac:dyDescent="0.25">
      <c r="A5905" t="s">
        <v>3587</v>
      </c>
      <c r="B5905" t="s">
        <v>4580</v>
      </c>
      <c r="C5905" t="s">
        <v>4621</v>
      </c>
      <c r="D5905" s="1" t="s">
        <v>4622</v>
      </c>
      <c r="E5905" t="s">
        <v>4623</v>
      </c>
      <c r="F5905">
        <v>55.183</v>
      </c>
      <c r="G5905">
        <v>-6.1669999999999998</v>
      </c>
      <c r="H5905">
        <v>0</v>
      </c>
      <c r="I5905">
        <v>156</v>
      </c>
      <c r="J5905" t="str">
        <f>HYPERLINK("https://climate.onebuilding.org/WMO_Region_6_Europe/GBR_United_Kingdom/NIR_Northern_Ireland/GBR_NIR_Ballypatrick.Forest.039160_TMYx.2004-2018.zip")</f>
        <v>https://climate.onebuilding.org/WMO_Region_6_Europe/GBR_United_Kingdom/NIR_Northern_Ireland/GBR_NIR_Ballypatrick.Forest.039160_TMYx.2004-2018.zip</v>
      </c>
    </row>
    <row r="5906" spans="1:10" x14ac:dyDescent="0.25">
      <c r="A5906" t="s">
        <v>3587</v>
      </c>
      <c r="B5906" t="s">
        <v>4580</v>
      </c>
      <c r="C5906" t="s">
        <v>4621</v>
      </c>
      <c r="D5906" s="1" t="s">
        <v>4622</v>
      </c>
      <c r="E5906" t="s">
        <v>14</v>
      </c>
      <c r="F5906">
        <v>55.180599999999998</v>
      </c>
      <c r="G5906">
        <v>-6.1547000000000001</v>
      </c>
      <c r="H5906">
        <v>0</v>
      </c>
      <c r="I5906">
        <v>156</v>
      </c>
      <c r="J5906" t="str">
        <f>HYPERLINK("https://climate.onebuilding.org/WMO_Region_6_Europe/GBR_United_Kingdom/NIR_Northern_Ireland/GBR_NIR_Ballypatrick.Forest.039160_TMYx.2007-2021.zip")</f>
        <v>https://climate.onebuilding.org/WMO_Region_6_Europe/GBR_United_Kingdom/NIR_Northern_Ireland/GBR_NIR_Ballypatrick.Forest.039160_TMYx.2007-2021.zip</v>
      </c>
    </row>
    <row r="5907" spans="1:10" x14ac:dyDescent="0.25">
      <c r="A5907" t="s">
        <v>3587</v>
      </c>
      <c r="B5907" t="s">
        <v>4580</v>
      </c>
      <c r="C5907" t="s">
        <v>4621</v>
      </c>
      <c r="D5907" s="1" t="s">
        <v>4622</v>
      </c>
      <c r="E5907" t="s">
        <v>14</v>
      </c>
      <c r="F5907">
        <v>55.180599999999998</v>
      </c>
      <c r="G5907">
        <v>-6.1547000000000001</v>
      </c>
      <c r="H5907">
        <v>0</v>
      </c>
      <c r="I5907">
        <v>156</v>
      </c>
      <c r="J5907" t="str">
        <f>HYPERLINK("https://climate.onebuilding.org/WMO_Region_6_Europe/GBR_United_Kingdom/NIR_Northern_Ireland/GBR_NIR_Ballypatrick.Forest.039160_TMYx.2009-2023.zip")</f>
        <v>https://climate.onebuilding.org/WMO_Region_6_Europe/GBR_United_Kingdom/NIR_Northern_Ireland/GBR_NIR_Ballypatrick.Forest.039160_TMYx.2009-2023.zip</v>
      </c>
    </row>
    <row r="5908" spans="1:10" x14ac:dyDescent="0.25">
      <c r="A5908" t="s">
        <v>3587</v>
      </c>
      <c r="B5908" t="s">
        <v>4580</v>
      </c>
      <c r="C5908" t="s">
        <v>4621</v>
      </c>
      <c r="D5908" s="1" t="s">
        <v>4622</v>
      </c>
      <c r="E5908" t="s">
        <v>14</v>
      </c>
      <c r="F5908">
        <v>55.180599999999998</v>
      </c>
      <c r="G5908">
        <v>-6.1547000000000001</v>
      </c>
      <c r="H5908">
        <v>0</v>
      </c>
      <c r="I5908">
        <v>156</v>
      </c>
      <c r="J5908" t="str">
        <f>HYPERLINK("https://climate.onebuilding.org/WMO_Region_6_Europe/GBR_United_Kingdom/NIR_Northern_Ireland/GBR_NIR_Ballypatrick.Forest.039160_TMYx.zip")</f>
        <v>https://climate.onebuilding.org/WMO_Region_6_Europe/GBR_United_Kingdom/NIR_Northern_Ireland/GBR_NIR_Ballypatrick.Forest.039160_TMYx.zip</v>
      </c>
    </row>
    <row r="5909" spans="1:10" x14ac:dyDescent="0.25">
      <c r="A5909" t="s">
        <v>3587</v>
      </c>
      <c r="B5909" t="s">
        <v>4580</v>
      </c>
      <c r="C5909" t="s">
        <v>4624</v>
      </c>
      <c r="D5909" s="1" t="s">
        <v>4625</v>
      </c>
      <c r="E5909" t="s">
        <v>4626</v>
      </c>
      <c r="F5909">
        <v>54.658000000000001</v>
      </c>
      <c r="G5909">
        <v>-6.2160000000000002</v>
      </c>
      <c r="H5909">
        <v>0</v>
      </c>
      <c r="I5909">
        <v>81.7</v>
      </c>
      <c r="J5909" t="str">
        <f>HYPERLINK("https://climate.onebuilding.org/WMO_Region_6_Europe/GBR_United_Kingdom/NIR_Northern_Ireland/GBR_NIR_Belfast.Intl.AP.039170_TMYx.2004-2018.zip")</f>
        <v>https://climate.onebuilding.org/WMO_Region_6_Europe/GBR_United_Kingdom/NIR_Northern_Ireland/GBR_NIR_Belfast.Intl.AP.039170_TMYx.2004-2018.zip</v>
      </c>
    </row>
    <row r="5910" spans="1:10" x14ac:dyDescent="0.25">
      <c r="A5910" t="s">
        <v>3587</v>
      </c>
      <c r="B5910" t="s">
        <v>4580</v>
      </c>
      <c r="C5910" t="s">
        <v>4624</v>
      </c>
      <c r="D5910" s="1" t="s">
        <v>4625</v>
      </c>
      <c r="E5910" t="s">
        <v>14</v>
      </c>
      <c r="F5910">
        <v>54.658000000000001</v>
      </c>
      <c r="G5910">
        <v>-6.2160000000000002</v>
      </c>
      <c r="H5910">
        <v>0</v>
      </c>
      <c r="I5910">
        <v>81.7</v>
      </c>
      <c r="J5910" t="str">
        <f>HYPERLINK("https://climate.onebuilding.org/WMO_Region_6_Europe/GBR_United_Kingdom/NIR_Northern_Ireland/GBR_NIR_Belfast.Intl.AP.039170_TMYx.2007-2021.zip")</f>
        <v>https://climate.onebuilding.org/WMO_Region_6_Europe/GBR_United_Kingdom/NIR_Northern_Ireland/GBR_NIR_Belfast.Intl.AP.039170_TMYx.2007-2021.zip</v>
      </c>
    </row>
    <row r="5911" spans="1:10" x14ac:dyDescent="0.25">
      <c r="A5911" t="s">
        <v>3587</v>
      </c>
      <c r="B5911" t="s">
        <v>4580</v>
      </c>
      <c r="C5911" t="s">
        <v>4624</v>
      </c>
      <c r="D5911" s="1" t="s">
        <v>4625</v>
      </c>
      <c r="E5911" t="s">
        <v>14</v>
      </c>
      <c r="F5911">
        <v>54.658000000000001</v>
      </c>
      <c r="G5911">
        <v>-6.2160000000000002</v>
      </c>
      <c r="H5911">
        <v>0</v>
      </c>
      <c r="I5911">
        <v>81.7</v>
      </c>
      <c r="J5911" t="str">
        <f>HYPERLINK("https://climate.onebuilding.org/WMO_Region_6_Europe/GBR_United_Kingdom/NIR_Northern_Ireland/GBR_NIR_Belfast.Intl.AP.039170_TMYx.2009-2023.zip")</f>
        <v>https://climate.onebuilding.org/WMO_Region_6_Europe/GBR_United_Kingdom/NIR_Northern_Ireland/GBR_NIR_Belfast.Intl.AP.039170_TMYx.2009-2023.zip</v>
      </c>
    </row>
    <row r="5912" spans="1:10" x14ac:dyDescent="0.25">
      <c r="A5912" t="s">
        <v>3587</v>
      </c>
      <c r="B5912" t="s">
        <v>4580</v>
      </c>
      <c r="C5912" t="s">
        <v>4624</v>
      </c>
      <c r="D5912" s="1" t="s">
        <v>4625</v>
      </c>
      <c r="E5912" t="s">
        <v>14</v>
      </c>
      <c r="F5912">
        <v>54.658000000000001</v>
      </c>
      <c r="G5912">
        <v>-6.2160000000000002</v>
      </c>
      <c r="H5912">
        <v>0</v>
      </c>
      <c r="I5912">
        <v>81.7</v>
      </c>
      <c r="J5912" t="str">
        <f>HYPERLINK("https://climate.onebuilding.org/WMO_Region_6_Europe/GBR_United_Kingdom/NIR_Northern_Ireland/GBR_NIR_Belfast.Intl.AP.039170_TMYx.zip")</f>
        <v>https://climate.onebuilding.org/WMO_Region_6_Europe/GBR_United_Kingdom/NIR_Northern_Ireland/GBR_NIR_Belfast.Intl.AP.039170_TMYx.zip</v>
      </c>
    </row>
    <row r="5913" spans="1:10" x14ac:dyDescent="0.25">
      <c r="A5913" t="s">
        <v>3587</v>
      </c>
      <c r="B5913" t="s">
        <v>4580</v>
      </c>
      <c r="C5913" t="s">
        <v>4627</v>
      </c>
      <c r="D5913" s="1" t="s">
        <v>4628</v>
      </c>
      <c r="E5913" t="s">
        <v>14</v>
      </c>
      <c r="F5913">
        <v>54.484999999999999</v>
      </c>
      <c r="G5913">
        <v>-6.0970000000000004</v>
      </c>
      <c r="H5913">
        <v>0</v>
      </c>
      <c r="I5913">
        <v>38</v>
      </c>
      <c r="J5913" t="str">
        <f>HYPERLINK("https://climate.onebuilding.org/WMO_Region_6_Europe/GBR_United_Kingdom/NIR_Northern_Ireland/GBR_NIR_Hillsborough.AF.039200_TMYx.zip")</f>
        <v>https://climate.onebuilding.org/WMO_Region_6_Europe/GBR_United_Kingdom/NIR_Northern_Ireland/GBR_NIR_Hillsborough.AF.039200_TMYx.zip</v>
      </c>
    </row>
    <row r="5914" spans="1:10" x14ac:dyDescent="0.25">
      <c r="A5914" t="s">
        <v>3587</v>
      </c>
      <c r="B5914" t="s">
        <v>4580</v>
      </c>
      <c r="C5914" t="s">
        <v>4629</v>
      </c>
      <c r="D5914" s="1" t="s">
        <v>4630</v>
      </c>
      <c r="E5914" t="s">
        <v>14</v>
      </c>
      <c r="F5914">
        <v>54.05</v>
      </c>
      <c r="G5914">
        <v>-6</v>
      </c>
      <c r="H5914">
        <v>0</v>
      </c>
      <c r="I5914">
        <v>18</v>
      </c>
      <c r="J5914" t="str">
        <f>HYPERLINK("https://climate.onebuilding.org/WMO_Region_6_Europe/GBR_United_Kingdom/NIR_Northern_Ireland/GBR_NIR_Kilkeel.039220_TMYx.zip")</f>
        <v>https://climate.onebuilding.org/WMO_Region_6_Europe/GBR_United_Kingdom/NIR_Northern_Ireland/GBR_NIR_Kilkeel.039220_TMYx.zip</v>
      </c>
    </row>
    <row r="5915" spans="1:10" x14ac:dyDescent="0.25">
      <c r="A5915" t="s">
        <v>3587</v>
      </c>
      <c r="B5915" t="s">
        <v>4580</v>
      </c>
      <c r="C5915" t="s">
        <v>4631</v>
      </c>
      <c r="D5915" s="1" t="s">
        <v>4632</v>
      </c>
      <c r="E5915" t="s">
        <v>4633</v>
      </c>
      <c r="F5915">
        <v>54.232999999999997</v>
      </c>
      <c r="G5915">
        <v>-6.5</v>
      </c>
      <c r="H5915">
        <v>0</v>
      </c>
      <c r="I5915">
        <v>160</v>
      </c>
      <c r="J5915" t="str">
        <f>HYPERLINK("https://climate.onebuilding.org/WMO_Region_6_Europe/GBR_United_Kingdom/NIR_Northern_Ireland/GBR_NIR_Glenanne.039230_TMYx.2004-2018.zip")</f>
        <v>https://climate.onebuilding.org/WMO_Region_6_Europe/GBR_United_Kingdom/NIR_Northern_Ireland/GBR_NIR_Glenanne.039230_TMYx.2004-2018.zip</v>
      </c>
    </row>
    <row r="5916" spans="1:10" x14ac:dyDescent="0.25">
      <c r="A5916" t="s">
        <v>3587</v>
      </c>
      <c r="B5916" t="s">
        <v>4580</v>
      </c>
      <c r="C5916" t="s">
        <v>4631</v>
      </c>
      <c r="D5916" s="1" t="s">
        <v>4632</v>
      </c>
      <c r="E5916" t="s">
        <v>14</v>
      </c>
      <c r="F5916">
        <v>54.236899999999999</v>
      </c>
      <c r="G5916">
        <v>-6.5038999999999998</v>
      </c>
      <c r="H5916">
        <v>0</v>
      </c>
      <c r="I5916">
        <v>160</v>
      </c>
      <c r="J5916" t="str">
        <f>HYPERLINK("https://climate.onebuilding.org/WMO_Region_6_Europe/GBR_United_Kingdom/NIR_Northern_Ireland/GBR_NIR_Glenanne.039230_TMYx.2007-2021.zip")</f>
        <v>https://climate.onebuilding.org/WMO_Region_6_Europe/GBR_United_Kingdom/NIR_Northern_Ireland/GBR_NIR_Glenanne.039230_TMYx.2007-2021.zip</v>
      </c>
    </row>
    <row r="5917" spans="1:10" x14ac:dyDescent="0.25">
      <c r="A5917" t="s">
        <v>3587</v>
      </c>
      <c r="B5917" t="s">
        <v>4580</v>
      </c>
      <c r="C5917" t="s">
        <v>4631</v>
      </c>
      <c r="D5917" s="1" t="s">
        <v>4632</v>
      </c>
      <c r="E5917" t="s">
        <v>14</v>
      </c>
      <c r="F5917">
        <v>54.236899999999999</v>
      </c>
      <c r="G5917">
        <v>-6.5038999999999998</v>
      </c>
      <c r="H5917">
        <v>0</v>
      </c>
      <c r="I5917">
        <v>160</v>
      </c>
      <c r="J5917" t="str">
        <f>HYPERLINK("https://climate.onebuilding.org/WMO_Region_6_Europe/GBR_United_Kingdom/NIR_Northern_Ireland/GBR_NIR_Glenanne.039230_TMYx.2009-2023.zip")</f>
        <v>https://climate.onebuilding.org/WMO_Region_6_Europe/GBR_United_Kingdom/NIR_Northern_Ireland/GBR_NIR_Glenanne.039230_TMYx.2009-2023.zip</v>
      </c>
    </row>
    <row r="5918" spans="1:10" x14ac:dyDescent="0.25">
      <c r="A5918" t="s">
        <v>3587</v>
      </c>
      <c r="B5918" t="s">
        <v>4580</v>
      </c>
      <c r="C5918" t="s">
        <v>4631</v>
      </c>
      <c r="D5918" s="1" t="s">
        <v>4632</v>
      </c>
      <c r="E5918" t="s">
        <v>14</v>
      </c>
      <c r="F5918">
        <v>54.236899999999999</v>
      </c>
      <c r="G5918">
        <v>-6.5038999999999998</v>
      </c>
      <c r="H5918">
        <v>0</v>
      </c>
      <c r="I5918">
        <v>160</v>
      </c>
      <c r="J5918" t="str">
        <f>HYPERLINK("https://climate.onebuilding.org/WMO_Region_6_Europe/GBR_United_Kingdom/NIR_Northern_Ireland/GBR_NIR_Glenanne.039230_TMYx.zip")</f>
        <v>https://climate.onebuilding.org/WMO_Region_6_Europe/GBR_United_Kingdom/NIR_Northern_Ireland/GBR_NIR_Glenanne.039230_TMYx.zip</v>
      </c>
    </row>
    <row r="5919" spans="1:10" x14ac:dyDescent="0.25">
      <c r="A5919" t="s">
        <v>3587</v>
      </c>
      <c r="B5919" t="s">
        <v>4580</v>
      </c>
      <c r="C5919" t="s">
        <v>4634</v>
      </c>
      <c r="D5919" s="1" t="s">
        <v>4635</v>
      </c>
      <c r="E5919" t="s">
        <v>4636</v>
      </c>
      <c r="F5919">
        <v>54.618000000000002</v>
      </c>
      <c r="G5919">
        <v>-5.8730000000000002</v>
      </c>
      <c r="H5919">
        <v>0</v>
      </c>
      <c r="I5919">
        <v>4.5999999999999996</v>
      </c>
      <c r="J5919" t="str">
        <f>HYPERLINK("https://climate.onebuilding.org/WMO_Region_6_Europe/GBR_United_Kingdom/NIR_Northern_Ireland/GBR_NIR_Belfast.City.AP.039240_TMYx.2004-2018.zip")</f>
        <v>https://climate.onebuilding.org/WMO_Region_6_Europe/GBR_United_Kingdom/NIR_Northern_Ireland/GBR_NIR_Belfast.City.AP.039240_TMYx.2004-2018.zip</v>
      </c>
    </row>
    <row r="5920" spans="1:10" x14ac:dyDescent="0.25">
      <c r="A5920" t="s">
        <v>3587</v>
      </c>
      <c r="B5920" t="s">
        <v>4580</v>
      </c>
      <c r="C5920" t="s">
        <v>4634</v>
      </c>
      <c r="D5920" s="1" t="s">
        <v>4635</v>
      </c>
      <c r="E5920" t="s">
        <v>14</v>
      </c>
      <c r="F5920">
        <v>54.618000000000002</v>
      </c>
      <c r="G5920">
        <v>-5.8730000000000002</v>
      </c>
      <c r="H5920">
        <v>0</v>
      </c>
      <c r="I5920">
        <v>4.5999999999999996</v>
      </c>
      <c r="J5920" t="str">
        <f>HYPERLINK("https://climate.onebuilding.org/WMO_Region_6_Europe/GBR_United_Kingdom/NIR_Northern_Ireland/GBR_NIR_Belfast.City.AP.039240_TMYx.2007-2021.zip")</f>
        <v>https://climate.onebuilding.org/WMO_Region_6_Europe/GBR_United_Kingdom/NIR_Northern_Ireland/GBR_NIR_Belfast.City.AP.039240_TMYx.2007-2021.zip</v>
      </c>
    </row>
    <row r="5921" spans="1:10" x14ac:dyDescent="0.25">
      <c r="A5921" t="s">
        <v>3587</v>
      </c>
      <c r="B5921" t="s">
        <v>4580</v>
      </c>
      <c r="C5921" t="s">
        <v>4634</v>
      </c>
      <c r="D5921" s="1" t="s">
        <v>4635</v>
      </c>
      <c r="E5921" t="s">
        <v>14</v>
      </c>
      <c r="F5921">
        <v>54.618000000000002</v>
      </c>
      <c r="G5921">
        <v>-5.8730000000000002</v>
      </c>
      <c r="H5921">
        <v>0</v>
      </c>
      <c r="I5921">
        <v>4.5999999999999996</v>
      </c>
      <c r="J5921" t="str">
        <f>HYPERLINK("https://climate.onebuilding.org/WMO_Region_6_Europe/GBR_United_Kingdom/NIR_Northern_Ireland/GBR_NIR_Belfast.City.AP.039240_TMYx.2009-2023.zip")</f>
        <v>https://climate.onebuilding.org/WMO_Region_6_Europe/GBR_United_Kingdom/NIR_Northern_Ireland/GBR_NIR_Belfast.City.AP.039240_TMYx.2009-2023.zip</v>
      </c>
    </row>
    <row r="5922" spans="1:10" x14ac:dyDescent="0.25">
      <c r="A5922" t="s">
        <v>3587</v>
      </c>
      <c r="B5922" t="s">
        <v>4580</v>
      </c>
      <c r="C5922" t="s">
        <v>4634</v>
      </c>
      <c r="D5922" s="1" t="s">
        <v>4635</v>
      </c>
      <c r="E5922" t="s">
        <v>14</v>
      </c>
      <c r="F5922">
        <v>54.618000000000002</v>
      </c>
      <c r="G5922">
        <v>-5.8730000000000002</v>
      </c>
      <c r="H5922">
        <v>0</v>
      </c>
      <c r="I5922">
        <v>4.5999999999999996</v>
      </c>
      <c r="J5922" t="str">
        <f>HYPERLINK("https://climate.onebuilding.org/WMO_Region_6_Europe/GBR_United_Kingdom/NIR_Northern_Ireland/GBR_NIR_Belfast.City.AP.039240_TMYx.zip")</f>
        <v>https://climate.onebuilding.org/WMO_Region_6_Europe/GBR_United_Kingdom/NIR_Northern_Ireland/GBR_NIR_Belfast.City.AP.039240_TMYx.zip</v>
      </c>
    </row>
    <row r="5923" spans="1:10" x14ac:dyDescent="0.25">
      <c r="A5923" t="s">
        <v>3587</v>
      </c>
      <c r="B5923" t="s">
        <v>4580</v>
      </c>
      <c r="C5923" t="s">
        <v>4637</v>
      </c>
      <c r="D5923" s="1" t="s">
        <v>4638</v>
      </c>
      <c r="E5923" t="s">
        <v>14</v>
      </c>
      <c r="F5923">
        <v>54.667000000000002</v>
      </c>
      <c r="G5923">
        <v>-5.5830000000000002</v>
      </c>
      <c r="H5923">
        <v>0</v>
      </c>
      <c r="I5923">
        <v>34</v>
      </c>
      <c r="J5923" t="str">
        <f>HYPERLINK("https://climate.onebuilding.org/WMO_Region_6_Europe/GBR_United_Kingdom/NIR_Northern_Ireland/GBR_NIR_Orlock.Head.039250_TMYx.zip")</f>
        <v>https://climate.onebuilding.org/WMO_Region_6_Europe/GBR_United_Kingdom/NIR_Northern_Ireland/GBR_NIR_Orlock.Head.039250_TMYx.zip</v>
      </c>
    </row>
    <row r="5924" spans="1:10" x14ac:dyDescent="0.25">
      <c r="A5924" t="s">
        <v>3587</v>
      </c>
      <c r="B5924" t="s">
        <v>4580</v>
      </c>
      <c r="C5924" t="s">
        <v>4639</v>
      </c>
      <c r="D5924" s="1" t="s">
        <v>4640</v>
      </c>
      <c r="E5924" t="s">
        <v>14</v>
      </c>
      <c r="F5924">
        <v>54.232999999999997</v>
      </c>
      <c r="G5924">
        <v>-5.617</v>
      </c>
      <c r="H5924">
        <v>0</v>
      </c>
      <c r="I5924">
        <v>18</v>
      </c>
      <c r="J5924" t="str">
        <f>HYPERLINK("https://climate.onebuilding.org/WMO_Region_6_Europe/GBR_United_Kingdom/NIR_Northern_Ireland/GBR_NIR_Killough.039260_TMYx.zip")</f>
        <v>https://climate.onebuilding.org/WMO_Region_6_Europe/GBR_United_Kingdom/NIR_Northern_Ireland/GBR_NIR_Killough.039260_TMYx.zip</v>
      </c>
    </row>
    <row r="5925" spans="1:10" x14ac:dyDescent="0.25">
      <c r="A5925" t="s">
        <v>3587</v>
      </c>
      <c r="B5925" t="s">
        <v>4580</v>
      </c>
      <c r="C5925" t="s">
        <v>4641</v>
      </c>
      <c r="D5925" s="1" t="s">
        <v>4642</v>
      </c>
      <c r="E5925" t="s">
        <v>14</v>
      </c>
      <c r="F5925">
        <v>54.664000000000001</v>
      </c>
      <c r="G5925">
        <v>-5.6680000000000001</v>
      </c>
      <c r="H5925">
        <v>0</v>
      </c>
      <c r="I5925">
        <v>11</v>
      </c>
      <c r="J5925" t="str">
        <f>HYPERLINK("https://climate.onebuilding.org/WMO_Region_6_Europe/GBR_United_Kingdom/NIR_Northern_Ireland/GBR_NIR_Bangor.Harbour.039270_TMYx.zip")</f>
        <v>https://climate.onebuilding.org/WMO_Region_6_Europe/GBR_United_Kingdom/NIR_Northern_Ireland/GBR_NIR_Bangor.Harbour.039270_TMYx.zip</v>
      </c>
    </row>
    <row r="5926" spans="1:10" x14ac:dyDescent="0.25">
      <c r="A5926" t="s">
        <v>3587</v>
      </c>
      <c r="B5926" t="s">
        <v>4580</v>
      </c>
      <c r="C5926" t="s">
        <v>4643</v>
      </c>
      <c r="D5926" s="1" t="s">
        <v>4644</v>
      </c>
      <c r="E5926" t="s">
        <v>14</v>
      </c>
      <c r="F5926">
        <v>54.851999999999997</v>
      </c>
      <c r="G5926">
        <v>-5.8310000000000004</v>
      </c>
      <c r="H5926">
        <v>0</v>
      </c>
      <c r="I5926">
        <v>3</v>
      </c>
      <c r="J5926" t="str">
        <f>HYPERLINK("https://climate.onebuilding.org/WMO_Region_6_Europe/GBR_United_Kingdom/NIR_Northern_Ireland/GBR_NIR_Larne.039280_TMYx.zip")</f>
        <v>https://climate.onebuilding.org/WMO_Region_6_Europe/GBR_United_Kingdom/NIR_Northern_Ireland/GBR_NIR_Larne.039280_TMYx.zip</v>
      </c>
    </row>
    <row r="5927" spans="1:10" x14ac:dyDescent="0.25">
      <c r="A5927" t="s">
        <v>3587</v>
      </c>
      <c r="B5927" t="s">
        <v>3588</v>
      </c>
      <c r="C5927" t="s">
        <v>4645</v>
      </c>
      <c r="D5927" t="s">
        <v>4646</v>
      </c>
      <c r="E5927" t="s">
        <v>78</v>
      </c>
      <c r="F5927">
        <v>60.860300000000002</v>
      </c>
      <c r="G5927">
        <v>-0.87409999999999999</v>
      </c>
      <c r="H5927">
        <v>0</v>
      </c>
      <c r="I5927">
        <v>1</v>
      </c>
      <c r="J5927" t="str">
        <f>HYPERLINK("https://climate.onebuilding.org/WMO_Region_6_Europe/GBR_United_Kingdom/SCT_Scotland/GBR_SCT_Out.Stack-Shetland.Islands.GBR001_TMYx.2007-2021.zip")</f>
        <v>https://climate.onebuilding.org/WMO_Region_6_Europe/GBR_United_Kingdom/SCT_Scotland/GBR_SCT_Out.Stack-Shetland.Islands.GBR001_TMYx.2007-2021.zip</v>
      </c>
    </row>
    <row r="5928" spans="1:10" x14ac:dyDescent="0.25">
      <c r="A5928" t="s">
        <v>3587</v>
      </c>
      <c r="B5928" t="s">
        <v>3588</v>
      </c>
      <c r="C5928" t="s">
        <v>4645</v>
      </c>
      <c r="D5928" t="s">
        <v>4646</v>
      </c>
      <c r="E5928" t="s">
        <v>78</v>
      </c>
      <c r="F5928">
        <v>60.860300000000002</v>
      </c>
      <c r="G5928">
        <v>-0.87409999999999999</v>
      </c>
      <c r="H5928">
        <v>0</v>
      </c>
      <c r="I5928">
        <v>1</v>
      </c>
      <c r="J5928" t="str">
        <f>HYPERLINK("https://climate.onebuilding.org/WMO_Region_6_Europe/GBR_United_Kingdom/SCT_Scotland/GBR_SCT_Out.Stack-Shetland.Islands.GBR001_TMYx.2009-2023.zip")</f>
        <v>https://climate.onebuilding.org/WMO_Region_6_Europe/GBR_United_Kingdom/SCT_Scotland/GBR_SCT_Out.Stack-Shetland.Islands.GBR001_TMYx.2009-2023.zip</v>
      </c>
    </row>
    <row r="5929" spans="1:10" x14ac:dyDescent="0.25">
      <c r="A5929" t="s">
        <v>3587</v>
      </c>
      <c r="B5929" t="s">
        <v>3588</v>
      </c>
      <c r="C5929" t="s">
        <v>4645</v>
      </c>
      <c r="D5929" t="s">
        <v>4646</v>
      </c>
      <c r="E5929" t="s">
        <v>78</v>
      </c>
      <c r="F5929">
        <v>60.860300000000002</v>
      </c>
      <c r="G5929">
        <v>-0.87409999999999999</v>
      </c>
      <c r="H5929">
        <v>0</v>
      </c>
      <c r="I5929">
        <v>1</v>
      </c>
      <c r="J5929" t="str">
        <f>HYPERLINK("https://climate.onebuilding.org/WMO_Region_6_Europe/GBR_United_Kingdom/SCT_Scotland/GBR_SCT_Out.Stack-Shetland.Islands.GBR001_TMYx.zip")</f>
        <v>https://climate.onebuilding.org/WMO_Region_6_Europe/GBR_United_Kingdom/SCT_Scotland/GBR_SCT_Out.Stack-Shetland.Islands.GBR001_TMYx.zip</v>
      </c>
    </row>
    <row r="5930" spans="1:10" x14ac:dyDescent="0.25">
      <c r="A5930" t="s">
        <v>4647</v>
      </c>
      <c r="B5930" t="s">
        <v>4648</v>
      </c>
      <c r="C5930" t="s">
        <v>4649</v>
      </c>
      <c r="D5930" s="1" t="s">
        <v>4650</v>
      </c>
      <c r="E5930" t="s">
        <v>4651</v>
      </c>
      <c r="F5930">
        <v>49.706000000000003</v>
      </c>
      <c r="G5930">
        <v>-2.2149999999999999</v>
      </c>
      <c r="H5930">
        <v>0</v>
      </c>
      <c r="I5930">
        <v>88.4</v>
      </c>
      <c r="J5930" t="str">
        <f>HYPERLINK("https://climate.onebuilding.org/WMO_Region_6_Europe/GGY_Guernsey/GGY_GG_Alderney.AP.038915_TMYx.2004-2018.zip")</f>
        <v>https://climate.onebuilding.org/WMO_Region_6_Europe/GGY_Guernsey/GGY_GG_Alderney.AP.038915_TMYx.2004-2018.zip</v>
      </c>
    </row>
    <row r="5931" spans="1:10" x14ac:dyDescent="0.25">
      <c r="A5931" t="s">
        <v>4647</v>
      </c>
      <c r="B5931" t="s">
        <v>4648</v>
      </c>
      <c r="C5931" t="s">
        <v>4649</v>
      </c>
      <c r="D5931" s="1" t="s">
        <v>4650</v>
      </c>
      <c r="E5931" t="s">
        <v>14</v>
      </c>
      <c r="F5931">
        <v>49.706000000000003</v>
      </c>
      <c r="G5931">
        <v>-2.2149999999999999</v>
      </c>
      <c r="H5931">
        <v>0</v>
      </c>
      <c r="I5931">
        <v>88.4</v>
      </c>
      <c r="J5931" t="str">
        <f>HYPERLINK("https://climate.onebuilding.org/WMO_Region_6_Europe/GGY_Guernsey/GGY_GG_Alderney.AP.038915_TMYx.2007-2021.zip")</f>
        <v>https://climate.onebuilding.org/WMO_Region_6_Europe/GGY_Guernsey/GGY_GG_Alderney.AP.038915_TMYx.2007-2021.zip</v>
      </c>
    </row>
    <row r="5932" spans="1:10" x14ac:dyDescent="0.25">
      <c r="A5932" t="s">
        <v>4647</v>
      </c>
      <c r="B5932" t="s">
        <v>4648</v>
      </c>
      <c r="C5932" t="s">
        <v>4649</v>
      </c>
      <c r="D5932" s="1" t="s">
        <v>4650</v>
      </c>
      <c r="E5932" t="s">
        <v>14</v>
      </c>
      <c r="F5932">
        <v>49.706000000000003</v>
      </c>
      <c r="G5932">
        <v>-2.2149999999999999</v>
      </c>
      <c r="H5932">
        <v>0</v>
      </c>
      <c r="I5932">
        <v>88.4</v>
      </c>
      <c r="J5932" t="str">
        <f>HYPERLINK("https://climate.onebuilding.org/WMO_Region_6_Europe/GGY_Guernsey/GGY_GG_Alderney.AP.038915_TMYx.2009-2023.zip")</f>
        <v>https://climate.onebuilding.org/WMO_Region_6_Europe/GGY_Guernsey/GGY_GG_Alderney.AP.038915_TMYx.2009-2023.zip</v>
      </c>
    </row>
    <row r="5933" spans="1:10" x14ac:dyDescent="0.25">
      <c r="A5933" t="s">
        <v>4647</v>
      </c>
      <c r="B5933" t="s">
        <v>4648</v>
      </c>
      <c r="C5933" t="s">
        <v>4649</v>
      </c>
      <c r="D5933" s="1" t="s">
        <v>4650</v>
      </c>
      <c r="E5933" t="s">
        <v>14</v>
      </c>
      <c r="F5933">
        <v>49.706000000000003</v>
      </c>
      <c r="G5933">
        <v>-2.2149999999999999</v>
      </c>
      <c r="H5933">
        <v>0</v>
      </c>
      <c r="I5933">
        <v>88.4</v>
      </c>
      <c r="J5933" t="str">
        <f>HYPERLINK("https://climate.onebuilding.org/WMO_Region_6_Europe/GGY_Guernsey/GGY_GG_Alderney.AP.038915_TMYx.zip")</f>
        <v>https://climate.onebuilding.org/WMO_Region_6_Europe/GGY_Guernsey/GGY_GG_Alderney.AP.038915_TMYx.zip</v>
      </c>
    </row>
    <row r="5934" spans="1:10" x14ac:dyDescent="0.25">
      <c r="A5934" t="s">
        <v>4647</v>
      </c>
      <c r="B5934" t="s">
        <v>4648</v>
      </c>
      <c r="C5934" t="s">
        <v>4652</v>
      </c>
      <c r="D5934" s="1" t="s">
        <v>4653</v>
      </c>
      <c r="E5934" t="s">
        <v>4654</v>
      </c>
      <c r="F5934">
        <v>49.435000000000002</v>
      </c>
      <c r="G5934">
        <v>-2.6019999999999999</v>
      </c>
      <c r="H5934">
        <v>0</v>
      </c>
      <c r="I5934">
        <v>102.4</v>
      </c>
      <c r="J5934" t="str">
        <f>HYPERLINK("https://climate.onebuilding.org/WMO_Region_6_Europe/GGY_Guernsey/GGY_GG_Guernsey.AP.038940_TMYx.2004-2018.zip")</f>
        <v>https://climate.onebuilding.org/WMO_Region_6_Europe/GGY_Guernsey/GGY_GG_Guernsey.AP.038940_TMYx.2004-2018.zip</v>
      </c>
    </row>
    <row r="5935" spans="1:10" x14ac:dyDescent="0.25">
      <c r="A5935" t="s">
        <v>4647</v>
      </c>
      <c r="B5935" t="s">
        <v>4648</v>
      </c>
      <c r="C5935" t="s">
        <v>4652</v>
      </c>
      <c r="D5935" s="1" t="s">
        <v>4653</v>
      </c>
      <c r="E5935" t="s">
        <v>14</v>
      </c>
      <c r="F5935">
        <v>49.433</v>
      </c>
      <c r="G5935">
        <v>-2.5979999999999999</v>
      </c>
      <c r="H5935">
        <v>0</v>
      </c>
      <c r="I5935">
        <v>102.4</v>
      </c>
      <c r="J5935" t="str">
        <f>HYPERLINK("https://climate.onebuilding.org/WMO_Region_6_Europe/GGY_Guernsey/GGY_GG_Guernsey.AP.038940_TMYx.2007-2021.zip")</f>
        <v>https://climate.onebuilding.org/WMO_Region_6_Europe/GGY_Guernsey/GGY_GG_Guernsey.AP.038940_TMYx.2007-2021.zip</v>
      </c>
    </row>
    <row r="5936" spans="1:10" x14ac:dyDescent="0.25">
      <c r="A5936" t="s">
        <v>4647</v>
      </c>
      <c r="B5936" t="s">
        <v>4648</v>
      </c>
      <c r="C5936" t="s">
        <v>4652</v>
      </c>
      <c r="D5936" s="1" t="s">
        <v>4653</v>
      </c>
      <c r="E5936" t="s">
        <v>14</v>
      </c>
      <c r="F5936">
        <v>49.433</v>
      </c>
      <c r="G5936">
        <v>-2.5979999999999999</v>
      </c>
      <c r="H5936">
        <v>0</v>
      </c>
      <c r="I5936">
        <v>102.4</v>
      </c>
      <c r="J5936" t="str">
        <f>HYPERLINK("https://climate.onebuilding.org/WMO_Region_6_Europe/GGY_Guernsey/GGY_GG_Guernsey.AP.038940_TMYx.2009-2023.zip")</f>
        <v>https://climate.onebuilding.org/WMO_Region_6_Europe/GGY_Guernsey/GGY_GG_Guernsey.AP.038940_TMYx.2009-2023.zip</v>
      </c>
    </row>
    <row r="5937" spans="1:10" x14ac:dyDescent="0.25">
      <c r="A5937" t="s">
        <v>4647</v>
      </c>
      <c r="B5937" t="s">
        <v>4648</v>
      </c>
      <c r="C5937" t="s">
        <v>4652</v>
      </c>
      <c r="D5937" s="1" t="s">
        <v>4653</v>
      </c>
      <c r="E5937" t="s">
        <v>14</v>
      </c>
      <c r="F5937">
        <v>49.433</v>
      </c>
      <c r="G5937">
        <v>-2.5979999999999999</v>
      </c>
      <c r="H5937">
        <v>0</v>
      </c>
      <c r="I5937">
        <v>102.4</v>
      </c>
      <c r="J5937" t="str">
        <f>HYPERLINK("https://climate.onebuilding.org/WMO_Region_6_Europe/GGY_Guernsey/GGY_GG_Guernsey.AP.038940_TMYx.zip")</f>
        <v>https://climate.onebuilding.org/WMO_Region_6_Europe/GGY_Guernsey/GGY_GG_Guernsey.AP.038940_TMYx.zip</v>
      </c>
    </row>
    <row r="5938" spans="1:10" x14ac:dyDescent="0.25">
      <c r="A5938" t="s">
        <v>4655</v>
      </c>
      <c r="B5938" t="s">
        <v>4656</v>
      </c>
      <c r="C5938" t="s">
        <v>4657</v>
      </c>
      <c r="D5938" s="1" t="s">
        <v>4658</v>
      </c>
      <c r="E5938" t="s">
        <v>4659</v>
      </c>
      <c r="F5938">
        <v>36.152000000000001</v>
      </c>
      <c r="G5938">
        <v>-5.3494000000000002</v>
      </c>
      <c r="H5938">
        <v>1</v>
      </c>
      <c r="I5938">
        <v>5</v>
      </c>
      <c r="J5938" t="str">
        <f>HYPERLINK("https://climate.onebuilding.org/WMO_Region_6_Europe/GIB_Gibraltar/GIB_GI_Gibraltar.Intl.AP.084950_TMYx.2004-2018.zip")</f>
        <v>https://climate.onebuilding.org/WMO_Region_6_Europe/GIB_Gibraltar/GIB_GI_Gibraltar.Intl.AP.084950_TMYx.2004-2018.zip</v>
      </c>
    </row>
    <row r="5939" spans="1:10" x14ac:dyDescent="0.25">
      <c r="A5939" t="s">
        <v>4655</v>
      </c>
      <c r="B5939" t="s">
        <v>4656</v>
      </c>
      <c r="C5939" t="s">
        <v>4657</v>
      </c>
      <c r="D5939" s="1" t="s">
        <v>4658</v>
      </c>
      <c r="E5939" t="s">
        <v>14</v>
      </c>
      <c r="F5939">
        <v>36.152000000000001</v>
      </c>
      <c r="G5939">
        <v>-5.3494000000000002</v>
      </c>
      <c r="H5939">
        <v>1</v>
      </c>
      <c r="I5939">
        <v>5</v>
      </c>
      <c r="J5939" t="str">
        <f>HYPERLINK("https://climate.onebuilding.org/WMO_Region_6_Europe/GIB_Gibraltar/GIB_GI_Gibraltar.Intl.AP.084950_TMYx.2007-2021.zip")</f>
        <v>https://climate.onebuilding.org/WMO_Region_6_Europe/GIB_Gibraltar/GIB_GI_Gibraltar.Intl.AP.084950_TMYx.2007-2021.zip</v>
      </c>
    </row>
    <row r="5940" spans="1:10" x14ac:dyDescent="0.25">
      <c r="A5940" t="s">
        <v>4655</v>
      </c>
      <c r="B5940" t="s">
        <v>4656</v>
      </c>
      <c r="C5940" t="s">
        <v>4657</v>
      </c>
      <c r="D5940" s="1" t="s">
        <v>4658</v>
      </c>
      <c r="E5940" t="s">
        <v>14</v>
      </c>
      <c r="F5940">
        <v>36.152000000000001</v>
      </c>
      <c r="G5940">
        <v>-5.3494000000000002</v>
      </c>
      <c r="H5940">
        <v>1</v>
      </c>
      <c r="I5940">
        <v>5</v>
      </c>
      <c r="J5940" t="str">
        <f>HYPERLINK("https://climate.onebuilding.org/WMO_Region_6_Europe/GIB_Gibraltar/GIB_GI_Gibraltar.Intl.AP.084950_TMYx.2009-2023.zip")</f>
        <v>https://climate.onebuilding.org/WMO_Region_6_Europe/GIB_Gibraltar/GIB_GI_Gibraltar.Intl.AP.084950_TMYx.2009-2023.zip</v>
      </c>
    </row>
    <row r="5941" spans="1:10" x14ac:dyDescent="0.25">
      <c r="A5941" t="s">
        <v>4655</v>
      </c>
      <c r="B5941" t="s">
        <v>4656</v>
      </c>
      <c r="C5941" t="s">
        <v>4657</v>
      </c>
      <c r="D5941" s="1" t="s">
        <v>4658</v>
      </c>
      <c r="E5941" t="s">
        <v>14</v>
      </c>
      <c r="F5941">
        <v>36.152000000000001</v>
      </c>
      <c r="G5941">
        <v>-5.3494000000000002</v>
      </c>
      <c r="H5941">
        <v>1</v>
      </c>
      <c r="I5941">
        <v>5</v>
      </c>
      <c r="J5941" t="str">
        <f>HYPERLINK("https://climate.onebuilding.org/WMO_Region_6_Europe/GIB_Gibraltar/GIB_GI_Gibraltar.Intl.AP.084950_TMYx.zip")</f>
        <v>https://climate.onebuilding.org/WMO_Region_6_Europe/GIB_Gibraltar/GIB_GI_Gibraltar.Intl.AP.084950_TMYx.zip</v>
      </c>
    </row>
    <row r="5942" spans="1:10" x14ac:dyDescent="0.25">
      <c r="A5942" t="s">
        <v>4660</v>
      </c>
      <c r="B5942" t="s">
        <v>15</v>
      </c>
      <c r="C5942" t="s">
        <v>4661</v>
      </c>
      <c r="D5942">
        <v>166060</v>
      </c>
      <c r="E5942" t="s">
        <v>14</v>
      </c>
      <c r="F5942">
        <v>41.067</v>
      </c>
      <c r="G5942">
        <v>23.567</v>
      </c>
      <c r="H5942">
        <v>2</v>
      </c>
      <c r="I5942">
        <v>35</v>
      </c>
      <c r="J5942" t="str">
        <f>HYPERLINK("https://climate.onebuilding.org/WMO_Region_6_Europe/GRC_Greece/MH_Macedonia_and_Thrace/GRC_MH_Serres.166060_TMYx.2007-2021.zip")</f>
        <v>https://climate.onebuilding.org/WMO_Region_6_Europe/GRC_Greece/MH_Macedonia_and_Thrace/GRC_MH_Serres.166060_TMYx.2007-2021.zip</v>
      </c>
    </row>
    <row r="5943" spans="1:10" x14ac:dyDescent="0.25">
      <c r="A5943" t="s">
        <v>4660</v>
      </c>
      <c r="B5943" t="s">
        <v>15</v>
      </c>
      <c r="C5943" t="s">
        <v>4661</v>
      </c>
      <c r="D5943">
        <v>166060</v>
      </c>
      <c r="E5943" t="s">
        <v>14</v>
      </c>
      <c r="F5943">
        <v>41.067</v>
      </c>
      <c r="G5943">
        <v>23.567</v>
      </c>
      <c r="H5943">
        <v>2</v>
      </c>
      <c r="I5943">
        <v>35</v>
      </c>
      <c r="J5943" t="str">
        <f>HYPERLINK("https://climate.onebuilding.org/WMO_Region_6_Europe/GRC_Greece/MH_Macedonia_and_Thrace/GRC_MH_Serres.166060_TMYx.2009-2023.zip")</f>
        <v>https://climate.onebuilding.org/WMO_Region_6_Europe/GRC_Greece/MH_Macedonia_and_Thrace/GRC_MH_Serres.166060_TMYx.2009-2023.zip</v>
      </c>
    </row>
    <row r="5944" spans="1:10" x14ac:dyDescent="0.25">
      <c r="A5944" t="s">
        <v>4660</v>
      </c>
      <c r="B5944" t="s">
        <v>15</v>
      </c>
      <c r="C5944" t="s">
        <v>4661</v>
      </c>
      <c r="D5944">
        <v>166060</v>
      </c>
      <c r="E5944" t="s">
        <v>14</v>
      </c>
      <c r="F5944">
        <v>41.067</v>
      </c>
      <c r="G5944">
        <v>23.567</v>
      </c>
      <c r="H5944">
        <v>2</v>
      </c>
      <c r="I5944">
        <v>35</v>
      </c>
      <c r="J5944" t="str">
        <f>HYPERLINK("https://climate.onebuilding.org/WMO_Region_6_Europe/GRC_Greece/MH_Macedonia_and_Thrace/GRC_MH_Serres.166060_TMYx.zip")</f>
        <v>https://climate.onebuilding.org/WMO_Region_6_Europe/GRC_Greece/MH_Macedonia_and_Thrace/GRC_MH_Serres.166060_TMYx.zip</v>
      </c>
    </row>
    <row r="5945" spans="1:10" x14ac:dyDescent="0.25">
      <c r="A5945" t="s">
        <v>4660</v>
      </c>
      <c r="B5945" t="s">
        <v>4662</v>
      </c>
      <c r="C5945" t="s">
        <v>4663</v>
      </c>
      <c r="D5945">
        <v>166130</v>
      </c>
      <c r="E5945" t="s">
        <v>14</v>
      </c>
      <c r="F5945">
        <v>40.783000000000001</v>
      </c>
      <c r="G5945">
        <v>21.4</v>
      </c>
      <c r="H5945">
        <v>2</v>
      </c>
      <c r="I5945">
        <v>662</v>
      </c>
      <c r="J5945" t="str">
        <f>HYPERLINK("https://climate.onebuilding.org/WMO_Region_6_Europe/GRC_Greece/EM_Epirus_and_Western_Macedonia/GRC_EM_Florina.166130_TMYx.2007-2021.zip")</f>
        <v>https://climate.onebuilding.org/WMO_Region_6_Europe/GRC_Greece/EM_Epirus_and_Western_Macedonia/GRC_EM_Florina.166130_TMYx.2007-2021.zip</v>
      </c>
    </row>
    <row r="5946" spans="1:10" x14ac:dyDescent="0.25">
      <c r="A5946" t="s">
        <v>4660</v>
      </c>
      <c r="B5946" t="s">
        <v>4662</v>
      </c>
      <c r="C5946" t="s">
        <v>4663</v>
      </c>
      <c r="D5946">
        <v>166130</v>
      </c>
      <c r="E5946" t="s">
        <v>14</v>
      </c>
      <c r="F5946">
        <v>40.783000000000001</v>
      </c>
      <c r="G5946">
        <v>21.4</v>
      </c>
      <c r="H5946">
        <v>2</v>
      </c>
      <c r="I5946">
        <v>662</v>
      </c>
      <c r="J5946" t="str">
        <f>HYPERLINK("https://climate.onebuilding.org/WMO_Region_6_Europe/GRC_Greece/EM_Epirus_and_Western_Macedonia/GRC_EM_Florina.166130_TMYx.2009-2023.zip")</f>
        <v>https://climate.onebuilding.org/WMO_Region_6_Europe/GRC_Greece/EM_Epirus_and_Western_Macedonia/GRC_EM_Florina.166130_TMYx.2009-2023.zip</v>
      </c>
    </row>
    <row r="5947" spans="1:10" x14ac:dyDescent="0.25">
      <c r="A5947" t="s">
        <v>4660</v>
      </c>
      <c r="B5947" t="s">
        <v>4662</v>
      </c>
      <c r="C5947" t="s">
        <v>4663</v>
      </c>
      <c r="D5947">
        <v>166130</v>
      </c>
      <c r="E5947" t="s">
        <v>14</v>
      </c>
      <c r="F5947">
        <v>40.783000000000001</v>
      </c>
      <c r="G5947">
        <v>21.4</v>
      </c>
      <c r="H5947">
        <v>2</v>
      </c>
      <c r="I5947">
        <v>662</v>
      </c>
      <c r="J5947" t="str">
        <f>HYPERLINK("https://climate.onebuilding.org/WMO_Region_6_Europe/GRC_Greece/EM_Epirus_and_Western_Macedonia/GRC_EM_Florina.166130_TMYx.zip")</f>
        <v>https://climate.onebuilding.org/WMO_Region_6_Europe/GRC_Greece/EM_Epirus_and_Western_Macedonia/GRC_EM_Florina.166130_TMYx.zip</v>
      </c>
    </row>
    <row r="5948" spans="1:10" x14ac:dyDescent="0.25">
      <c r="A5948" t="s">
        <v>4660</v>
      </c>
      <c r="B5948" t="s">
        <v>15</v>
      </c>
      <c r="C5948" t="s">
        <v>4664</v>
      </c>
      <c r="D5948">
        <v>166140</v>
      </c>
      <c r="E5948" t="s">
        <v>4665</v>
      </c>
      <c r="F5948">
        <v>40.445999999999998</v>
      </c>
      <c r="G5948">
        <v>21.282</v>
      </c>
      <c r="H5948">
        <v>2</v>
      </c>
      <c r="I5948">
        <v>660.5</v>
      </c>
      <c r="J5948" t="str">
        <f>HYPERLINK("https://climate.onebuilding.org/WMO_Region_6_Europe/GRC_Greece/MH_Macedonia_and_Thrace/GRC_MH_Kastoria-Aristotelis.AP.166140_TMYx.2004-2018.zip")</f>
        <v>https://climate.onebuilding.org/WMO_Region_6_Europe/GRC_Greece/MH_Macedonia_and_Thrace/GRC_MH_Kastoria-Aristotelis.AP.166140_TMYx.2004-2018.zip</v>
      </c>
    </row>
    <row r="5949" spans="1:10" x14ac:dyDescent="0.25">
      <c r="A5949" t="s">
        <v>4660</v>
      </c>
      <c r="B5949" t="s">
        <v>15</v>
      </c>
      <c r="C5949" t="s">
        <v>4664</v>
      </c>
      <c r="D5949">
        <v>166140</v>
      </c>
      <c r="E5949" t="s">
        <v>14</v>
      </c>
      <c r="F5949">
        <v>40.445999999999998</v>
      </c>
      <c r="G5949">
        <v>21.282</v>
      </c>
      <c r="H5949">
        <v>2</v>
      </c>
      <c r="I5949">
        <v>660.5</v>
      </c>
      <c r="J5949" t="str">
        <f>HYPERLINK("https://climate.onebuilding.org/WMO_Region_6_Europe/GRC_Greece/MH_Macedonia_and_Thrace/GRC_MH_Kastoria-Aristotelis.AP.166140_TMYx.2007-2021.zip")</f>
        <v>https://climate.onebuilding.org/WMO_Region_6_Europe/GRC_Greece/MH_Macedonia_and_Thrace/GRC_MH_Kastoria-Aristotelis.AP.166140_TMYx.2007-2021.zip</v>
      </c>
    </row>
    <row r="5950" spans="1:10" x14ac:dyDescent="0.25">
      <c r="A5950" t="s">
        <v>4660</v>
      </c>
      <c r="B5950" t="s">
        <v>15</v>
      </c>
      <c r="C5950" t="s">
        <v>4664</v>
      </c>
      <c r="D5950">
        <v>166140</v>
      </c>
      <c r="E5950" t="s">
        <v>14</v>
      </c>
      <c r="F5950">
        <v>40.445999999999998</v>
      </c>
      <c r="G5950">
        <v>21.282</v>
      </c>
      <c r="H5950">
        <v>2</v>
      </c>
      <c r="I5950">
        <v>660.5</v>
      </c>
      <c r="J5950" t="str">
        <f>HYPERLINK("https://climate.onebuilding.org/WMO_Region_6_Europe/GRC_Greece/MH_Macedonia_and_Thrace/GRC_MH_Kastoria-Aristotelis.AP.166140_TMYx.2009-2023.zip")</f>
        <v>https://climate.onebuilding.org/WMO_Region_6_Europe/GRC_Greece/MH_Macedonia_and_Thrace/GRC_MH_Kastoria-Aristotelis.AP.166140_TMYx.2009-2023.zip</v>
      </c>
    </row>
    <row r="5951" spans="1:10" x14ac:dyDescent="0.25">
      <c r="A5951" t="s">
        <v>4660</v>
      </c>
      <c r="B5951" t="s">
        <v>15</v>
      </c>
      <c r="C5951" t="s">
        <v>4664</v>
      </c>
      <c r="D5951">
        <v>166140</v>
      </c>
      <c r="E5951" t="s">
        <v>14</v>
      </c>
      <c r="F5951">
        <v>40.445999999999998</v>
      </c>
      <c r="G5951">
        <v>21.282</v>
      </c>
      <c r="H5951">
        <v>2</v>
      </c>
      <c r="I5951">
        <v>660.5</v>
      </c>
      <c r="J5951" t="str">
        <f>HYPERLINK("https://climate.onebuilding.org/WMO_Region_6_Europe/GRC_Greece/MH_Macedonia_and_Thrace/GRC_MH_Kastoria-Aristotelis.AP.166140_TMYx.zip")</f>
        <v>https://climate.onebuilding.org/WMO_Region_6_Europe/GRC_Greece/MH_Macedonia_and_Thrace/GRC_MH_Kastoria-Aristotelis.AP.166140_TMYx.zip</v>
      </c>
    </row>
    <row r="5952" spans="1:10" x14ac:dyDescent="0.25">
      <c r="A5952" t="s">
        <v>4660</v>
      </c>
      <c r="B5952" t="s">
        <v>15</v>
      </c>
      <c r="C5952" t="s">
        <v>4666</v>
      </c>
      <c r="D5952">
        <v>166220</v>
      </c>
      <c r="E5952" t="s">
        <v>4667</v>
      </c>
      <c r="F5952">
        <v>40.520000000000003</v>
      </c>
      <c r="G5952">
        <v>22.971</v>
      </c>
      <c r="H5952">
        <v>2</v>
      </c>
      <c r="I5952">
        <v>6.7</v>
      </c>
      <c r="J5952" t="str">
        <f>HYPERLINK("https://climate.onebuilding.org/WMO_Region_6_Europe/GRC_Greece/MH_Macedonia_and_Thrace/GRC_MH_Thessaloniki-Makedonia.AP.166220_TMYx.2004-2018.zip")</f>
        <v>https://climate.onebuilding.org/WMO_Region_6_Europe/GRC_Greece/MH_Macedonia_and_Thrace/GRC_MH_Thessaloniki-Makedonia.AP.166220_TMYx.2004-2018.zip</v>
      </c>
    </row>
    <row r="5953" spans="1:10" x14ac:dyDescent="0.25">
      <c r="A5953" t="s">
        <v>4660</v>
      </c>
      <c r="B5953" t="s">
        <v>15</v>
      </c>
      <c r="C5953" t="s">
        <v>4666</v>
      </c>
      <c r="D5953">
        <v>166220</v>
      </c>
      <c r="E5953" t="s">
        <v>14</v>
      </c>
      <c r="F5953">
        <v>40.520000000000003</v>
      </c>
      <c r="G5953">
        <v>22.971</v>
      </c>
      <c r="H5953">
        <v>2</v>
      </c>
      <c r="I5953">
        <v>6.7</v>
      </c>
      <c r="J5953" t="str">
        <f>HYPERLINK("https://climate.onebuilding.org/WMO_Region_6_Europe/GRC_Greece/MH_Macedonia_and_Thrace/GRC_MH_Thessaloniki-Makedonia.AP.166220_TMYx.2007-2021.zip")</f>
        <v>https://climate.onebuilding.org/WMO_Region_6_Europe/GRC_Greece/MH_Macedonia_and_Thrace/GRC_MH_Thessaloniki-Makedonia.AP.166220_TMYx.2007-2021.zip</v>
      </c>
    </row>
    <row r="5954" spans="1:10" x14ac:dyDescent="0.25">
      <c r="A5954" t="s">
        <v>4660</v>
      </c>
      <c r="B5954" t="s">
        <v>15</v>
      </c>
      <c r="C5954" t="s">
        <v>4666</v>
      </c>
      <c r="D5954">
        <v>166220</v>
      </c>
      <c r="E5954" t="s">
        <v>14</v>
      </c>
      <c r="F5954">
        <v>40.520000000000003</v>
      </c>
      <c r="G5954">
        <v>22.971</v>
      </c>
      <c r="H5954">
        <v>2</v>
      </c>
      <c r="I5954">
        <v>6.7</v>
      </c>
      <c r="J5954" t="str">
        <f>HYPERLINK("https://climate.onebuilding.org/WMO_Region_6_Europe/GRC_Greece/MH_Macedonia_and_Thrace/GRC_MH_Thessaloniki-Makedonia.AP.166220_TMYx.2009-2023.zip")</f>
        <v>https://climate.onebuilding.org/WMO_Region_6_Europe/GRC_Greece/MH_Macedonia_and_Thrace/GRC_MH_Thessaloniki-Makedonia.AP.166220_TMYx.2009-2023.zip</v>
      </c>
    </row>
    <row r="5955" spans="1:10" x14ac:dyDescent="0.25">
      <c r="A5955" t="s">
        <v>4660</v>
      </c>
      <c r="B5955" t="s">
        <v>15</v>
      </c>
      <c r="C5955" t="s">
        <v>4666</v>
      </c>
      <c r="D5955">
        <v>166220</v>
      </c>
      <c r="E5955" t="s">
        <v>14</v>
      </c>
      <c r="F5955">
        <v>40.520000000000003</v>
      </c>
      <c r="G5955">
        <v>22.971</v>
      </c>
      <c r="H5955">
        <v>2</v>
      </c>
      <c r="I5955">
        <v>6.7</v>
      </c>
      <c r="J5955" t="str">
        <f>HYPERLINK("https://climate.onebuilding.org/WMO_Region_6_Europe/GRC_Greece/MH_Macedonia_and_Thrace/GRC_MH_Thessaloniki-Makedonia.AP.166220_TMYx.zip")</f>
        <v>https://climate.onebuilding.org/WMO_Region_6_Europe/GRC_Greece/MH_Macedonia_and_Thrace/GRC_MH_Thessaloniki-Makedonia.AP.166220_TMYx.zip</v>
      </c>
    </row>
    <row r="5956" spans="1:10" x14ac:dyDescent="0.25">
      <c r="A5956" t="s">
        <v>4660</v>
      </c>
      <c r="B5956" t="s">
        <v>15</v>
      </c>
      <c r="C5956" t="s">
        <v>4668</v>
      </c>
      <c r="D5956">
        <v>166240</v>
      </c>
      <c r="E5956" t="s">
        <v>4669</v>
      </c>
      <c r="F5956">
        <v>40.912999999999997</v>
      </c>
      <c r="G5956">
        <v>24.619</v>
      </c>
      <c r="H5956">
        <v>2</v>
      </c>
      <c r="I5956">
        <v>5.5</v>
      </c>
      <c r="J5956" t="str">
        <f>HYPERLINK("https://climate.onebuilding.org/WMO_Region_6_Europe/GRC_Greece/MH_Macedonia_and_Thrace/GRC_MH_Kavala-Megas-Alexandros.Intl.AP.166240_TMYx.2004-2018.zip")</f>
        <v>https://climate.onebuilding.org/WMO_Region_6_Europe/GRC_Greece/MH_Macedonia_and_Thrace/GRC_MH_Kavala-Megas-Alexandros.Intl.AP.166240_TMYx.2004-2018.zip</v>
      </c>
    </row>
    <row r="5957" spans="1:10" x14ac:dyDescent="0.25">
      <c r="A5957" t="s">
        <v>4660</v>
      </c>
      <c r="B5957" t="s">
        <v>15</v>
      </c>
      <c r="C5957" t="s">
        <v>4668</v>
      </c>
      <c r="D5957">
        <v>166240</v>
      </c>
      <c r="E5957" t="s">
        <v>14</v>
      </c>
      <c r="F5957">
        <v>40.912999999999997</v>
      </c>
      <c r="G5957">
        <v>24.619</v>
      </c>
      <c r="H5957">
        <v>2</v>
      </c>
      <c r="I5957">
        <v>5.5</v>
      </c>
      <c r="J5957" t="str">
        <f>HYPERLINK("https://climate.onebuilding.org/WMO_Region_6_Europe/GRC_Greece/MH_Macedonia_and_Thrace/GRC_MH_Kavala-Megas-Alexandros.Intl.AP.166240_TMYx.2007-2021.zip")</f>
        <v>https://climate.onebuilding.org/WMO_Region_6_Europe/GRC_Greece/MH_Macedonia_and_Thrace/GRC_MH_Kavala-Megas-Alexandros.Intl.AP.166240_TMYx.2007-2021.zip</v>
      </c>
    </row>
    <row r="5958" spans="1:10" x14ac:dyDescent="0.25">
      <c r="A5958" t="s">
        <v>4660</v>
      </c>
      <c r="B5958" t="s">
        <v>15</v>
      </c>
      <c r="C5958" t="s">
        <v>4668</v>
      </c>
      <c r="D5958">
        <v>166240</v>
      </c>
      <c r="E5958" t="s">
        <v>14</v>
      </c>
      <c r="F5958">
        <v>40.912999999999997</v>
      </c>
      <c r="G5958">
        <v>24.619</v>
      </c>
      <c r="H5958">
        <v>2</v>
      </c>
      <c r="I5958">
        <v>5.5</v>
      </c>
      <c r="J5958" t="str">
        <f>HYPERLINK("https://climate.onebuilding.org/WMO_Region_6_Europe/GRC_Greece/MH_Macedonia_and_Thrace/GRC_MH_Kavala-Megas-Alexandros.Intl.AP.166240_TMYx.2009-2023.zip")</f>
        <v>https://climate.onebuilding.org/WMO_Region_6_Europe/GRC_Greece/MH_Macedonia_and_Thrace/GRC_MH_Kavala-Megas-Alexandros.Intl.AP.166240_TMYx.2009-2023.zip</v>
      </c>
    </row>
    <row r="5959" spans="1:10" x14ac:dyDescent="0.25">
      <c r="A5959" t="s">
        <v>4660</v>
      </c>
      <c r="B5959" t="s">
        <v>15</v>
      </c>
      <c r="C5959" t="s">
        <v>4668</v>
      </c>
      <c r="D5959">
        <v>166240</v>
      </c>
      <c r="E5959" t="s">
        <v>14</v>
      </c>
      <c r="F5959">
        <v>40.912999999999997</v>
      </c>
      <c r="G5959">
        <v>24.619</v>
      </c>
      <c r="H5959">
        <v>2</v>
      </c>
      <c r="I5959">
        <v>5.5</v>
      </c>
      <c r="J5959" t="str">
        <f>HYPERLINK("https://climate.onebuilding.org/WMO_Region_6_Europe/GRC_Greece/MH_Macedonia_and_Thrace/GRC_MH_Kavala-Megas-Alexandros.Intl.AP.166240_TMYx.zip")</f>
        <v>https://climate.onebuilding.org/WMO_Region_6_Europe/GRC_Greece/MH_Macedonia_and_Thrace/GRC_MH_Kavala-Megas-Alexandros.Intl.AP.166240_TMYx.zip</v>
      </c>
    </row>
    <row r="5960" spans="1:10" x14ac:dyDescent="0.25">
      <c r="A5960" t="s">
        <v>4660</v>
      </c>
      <c r="B5960" t="s">
        <v>15</v>
      </c>
      <c r="C5960" t="s">
        <v>4670</v>
      </c>
      <c r="D5960">
        <v>166270</v>
      </c>
      <c r="E5960" t="s">
        <v>4671</v>
      </c>
      <c r="F5960">
        <v>40.856000000000002</v>
      </c>
      <c r="G5960">
        <v>25.956</v>
      </c>
      <c r="H5960">
        <v>2</v>
      </c>
      <c r="I5960">
        <v>7.3</v>
      </c>
      <c r="J5960" t="str">
        <f>HYPERLINK("https://climate.onebuilding.org/WMO_Region_6_Europe/GRC_Greece/MH_Macedonia_and_Thrace/GRC_MH_Alexandroupolis-Dimokritos.Intl.AP.166270_TMYx.2004-2018.zip")</f>
        <v>https://climate.onebuilding.org/WMO_Region_6_Europe/GRC_Greece/MH_Macedonia_and_Thrace/GRC_MH_Alexandroupolis-Dimokritos.Intl.AP.166270_TMYx.2004-2018.zip</v>
      </c>
    </row>
    <row r="5961" spans="1:10" x14ac:dyDescent="0.25">
      <c r="A5961" t="s">
        <v>4660</v>
      </c>
      <c r="B5961" t="s">
        <v>15</v>
      </c>
      <c r="C5961" t="s">
        <v>4670</v>
      </c>
      <c r="D5961">
        <v>166270</v>
      </c>
      <c r="E5961" t="s">
        <v>14</v>
      </c>
      <c r="F5961">
        <v>40.856000000000002</v>
      </c>
      <c r="G5961">
        <v>25.956</v>
      </c>
      <c r="H5961">
        <v>2</v>
      </c>
      <c r="I5961">
        <v>7.3</v>
      </c>
      <c r="J5961" t="str">
        <f>HYPERLINK("https://climate.onebuilding.org/WMO_Region_6_Europe/GRC_Greece/MH_Macedonia_and_Thrace/GRC_MH_Alexandroupolis-Dimokritos.Intl.AP.166270_TMYx.2007-2021.zip")</f>
        <v>https://climate.onebuilding.org/WMO_Region_6_Europe/GRC_Greece/MH_Macedonia_and_Thrace/GRC_MH_Alexandroupolis-Dimokritos.Intl.AP.166270_TMYx.2007-2021.zip</v>
      </c>
    </row>
    <row r="5962" spans="1:10" x14ac:dyDescent="0.25">
      <c r="A5962" t="s">
        <v>4660</v>
      </c>
      <c r="B5962" t="s">
        <v>15</v>
      </c>
      <c r="C5962" t="s">
        <v>4670</v>
      </c>
      <c r="D5962">
        <v>166270</v>
      </c>
      <c r="E5962" t="s">
        <v>14</v>
      </c>
      <c r="F5962">
        <v>40.856000000000002</v>
      </c>
      <c r="G5962">
        <v>25.956</v>
      </c>
      <c r="H5962">
        <v>2</v>
      </c>
      <c r="I5962">
        <v>7.3</v>
      </c>
      <c r="J5962" t="str">
        <f>HYPERLINK("https://climate.onebuilding.org/WMO_Region_6_Europe/GRC_Greece/MH_Macedonia_and_Thrace/GRC_MH_Alexandroupolis-Dimokritos.Intl.AP.166270_TMYx.2009-2023.zip")</f>
        <v>https://climate.onebuilding.org/WMO_Region_6_Europe/GRC_Greece/MH_Macedonia_and_Thrace/GRC_MH_Alexandroupolis-Dimokritos.Intl.AP.166270_TMYx.2009-2023.zip</v>
      </c>
    </row>
    <row r="5963" spans="1:10" x14ac:dyDescent="0.25">
      <c r="A5963" t="s">
        <v>4660</v>
      </c>
      <c r="B5963" t="s">
        <v>15</v>
      </c>
      <c r="C5963" t="s">
        <v>4670</v>
      </c>
      <c r="D5963">
        <v>166270</v>
      </c>
      <c r="E5963" t="s">
        <v>14</v>
      </c>
      <c r="F5963">
        <v>40.856000000000002</v>
      </c>
      <c r="G5963">
        <v>25.956</v>
      </c>
      <c r="H5963">
        <v>2</v>
      </c>
      <c r="I5963">
        <v>7.3</v>
      </c>
      <c r="J5963" t="str">
        <f>HYPERLINK("https://climate.onebuilding.org/WMO_Region_6_Europe/GRC_Greece/MH_Macedonia_and_Thrace/GRC_MH_Alexandroupolis-Dimokritos.Intl.AP.166270_TMYx.zip")</f>
        <v>https://climate.onebuilding.org/WMO_Region_6_Europe/GRC_Greece/MH_Macedonia_and_Thrace/GRC_MH_Alexandroupolis-Dimokritos.Intl.AP.166270_TMYx.zip</v>
      </c>
    </row>
    <row r="5964" spans="1:10" x14ac:dyDescent="0.25">
      <c r="A5964" t="s">
        <v>4660</v>
      </c>
      <c r="B5964" t="s">
        <v>4662</v>
      </c>
      <c r="C5964" t="s">
        <v>4672</v>
      </c>
      <c r="D5964">
        <v>166320</v>
      </c>
      <c r="E5964" t="s">
        <v>4673</v>
      </c>
      <c r="F5964">
        <v>40.286000000000001</v>
      </c>
      <c r="G5964">
        <v>21.841000000000001</v>
      </c>
      <c r="H5964">
        <v>2</v>
      </c>
      <c r="I5964">
        <v>627.6</v>
      </c>
      <c r="J5964" t="str">
        <f>HYPERLINK("https://climate.onebuilding.org/WMO_Region_6_Europe/GRC_Greece/EM_Epirus_and_Western_Macedonia/GRC_EM_Kozani-Filippos.AP.166320_TMYx.2004-2018.zip")</f>
        <v>https://climate.onebuilding.org/WMO_Region_6_Europe/GRC_Greece/EM_Epirus_and_Western_Macedonia/GRC_EM_Kozani-Filippos.AP.166320_TMYx.2004-2018.zip</v>
      </c>
    </row>
    <row r="5965" spans="1:10" x14ac:dyDescent="0.25">
      <c r="A5965" t="s">
        <v>4660</v>
      </c>
      <c r="B5965" t="s">
        <v>4662</v>
      </c>
      <c r="C5965" t="s">
        <v>4672</v>
      </c>
      <c r="D5965">
        <v>166320</v>
      </c>
      <c r="E5965" t="s">
        <v>14</v>
      </c>
      <c r="F5965">
        <v>40.286000000000001</v>
      </c>
      <c r="G5965">
        <v>21.841000000000001</v>
      </c>
      <c r="H5965">
        <v>2</v>
      </c>
      <c r="I5965">
        <v>627.6</v>
      </c>
      <c r="J5965" t="str">
        <f>HYPERLINK("https://climate.onebuilding.org/WMO_Region_6_Europe/GRC_Greece/EM_Epirus_and_Western_Macedonia/GRC_EM_Kozani-Filippos.AP.166320_TMYx.2007-2021.zip")</f>
        <v>https://climate.onebuilding.org/WMO_Region_6_Europe/GRC_Greece/EM_Epirus_and_Western_Macedonia/GRC_EM_Kozani-Filippos.AP.166320_TMYx.2007-2021.zip</v>
      </c>
    </row>
    <row r="5966" spans="1:10" x14ac:dyDescent="0.25">
      <c r="A5966" t="s">
        <v>4660</v>
      </c>
      <c r="B5966" t="s">
        <v>4662</v>
      </c>
      <c r="C5966" t="s">
        <v>4672</v>
      </c>
      <c r="D5966">
        <v>166320</v>
      </c>
      <c r="E5966" t="s">
        <v>14</v>
      </c>
      <c r="F5966">
        <v>40.286000000000001</v>
      </c>
      <c r="G5966">
        <v>21.841000000000001</v>
      </c>
      <c r="H5966">
        <v>2</v>
      </c>
      <c r="I5966">
        <v>627.6</v>
      </c>
      <c r="J5966" t="str">
        <f>HYPERLINK("https://climate.onebuilding.org/WMO_Region_6_Europe/GRC_Greece/EM_Epirus_and_Western_Macedonia/GRC_EM_Kozani-Filippos.AP.166320_TMYx.2009-2023.zip")</f>
        <v>https://climate.onebuilding.org/WMO_Region_6_Europe/GRC_Greece/EM_Epirus_and_Western_Macedonia/GRC_EM_Kozani-Filippos.AP.166320_TMYx.2009-2023.zip</v>
      </c>
    </row>
    <row r="5967" spans="1:10" x14ac:dyDescent="0.25">
      <c r="A5967" t="s">
        <v>4660</v>
      </c>
      <c r="B5967" t="s">
        <v>4662</v>
      </c>
      <c r="C5967" t="s">
        <v>4672</v>
      </c>
      <c r="D5967">
        <v>166320</v>
      </c>
      <c r="E5967" t="s">
        <v>14</v>
      </c>
      <c r="F5967">
        <v>40.286000000000001</v>
      </c>
      <c r="G5967">
        <v>21.841000000000001</v>
      </c>
      <c r="H5967">
        <v>2</v>
      </c>
      <c r="I5967">
        <v>627.6</v>
      </c>
      <c r="J5967" t="str">
        <f>HYPERLINK("https://climate.onebuilding.org/WMO_Region_6_Europe/GRC_Greece/EM_Epirus_and_Western_Macedonia/GRC_EM_Kozani-Filippos.AP.166320_TMYx.zip")</f>
        <v>https://climate.onebuilding.org/WMO_Region_6_Europe/GRC_Greece/EM_Epirus_and_Western_Macedonia/GRC_EM_Kozani-Filippos.AP.166320_TMYx.zip</v>
      </c>
    </row>
    <row r="5968" spans="1:10" x14ac:dyDescent="0.25">
      <c r="A5968" t="s">
        <v>4660</v>
      </c>
      <c r="B5968" t="s">
        <v>4662</v>
      </c>
      <c r="C5968" t="s">
        <v>4674</v>
      </c>
      <c r="D5968">
        <v>166410</v>
      </c>
      <c r="E5968" t="s">
        <v>4675</v>
      </c>
      <c r="F5968">
        <v>39.601999999999997</v>
      </c>
      <c r="G5968">
        <v>19.911999999999999</v>
      </c>
      <c r="H5968">
        <v>2</v>
      </c>
      <c r="I5968">
        <v>1.8</v>
      </c>
      <c r="J5968" t="str">
        <f>HYPERLINK("https://climate.onebuilding.org/WMO_Region_6_Europe/GRC_Greece/EM_Epirus_and_Western_Macedonia/GRC_EM_Corfu-Kapodistrias.Intl.AP.166410_TMYx.2004-2018.zip")</f>
        <v>https://climate.onebuilding.org/WMO_Region_6_Europe/GRC_Greece/EM_Epirus_and_Western_Macedonia/GRC_EM_Corfu-Kapodistrias.Intl.AP.166410_TMYx.2004-2018.zip</v>
      </c>
    </row>
    <row r="5969" spans="1:10" x14ac:dyDescent="0.25">
      <c r="A5969" t="s">
        <v>4660</v>
      </c>
      <c r="B5969" t="s">
        <v>4662</v>
      </c>
      <c r="C5969" t="s">
        <v>4674</v>
      </c>
      <c r="D5969">
        <v>166410</v>
      </c>
      <c r="E5969" t="s">
        <v>14</v>
      </c>
      <c r="F5969">
        <v>39.601999999999997</v>
      </c>
      <c r="G5969">
        <v>19.911999999999999</v>
      </c>
      <c r="H5969">
        <v>2</v>
      </c>
      <c r="I5969">
        <v>1.8</v>
      </c>
      <c r="J5969" t="str">
        <f>HYPERLINK("https://climate.onebuilding.org/WMO_Region_6_Europe/GRC_Greece/EM_Epirus_and_Western_Macedonia/GRC_EM_Corfu-Kapodistrias.Intl.AP.166410_TMYx.2007-2021.zip")</f>
        <v>https://climate.onebuilding.org/WMO_Region_6_Europe/GRC_Greece/EM_Epirus_and_Western_Macedonia/GRC_EM_Corfu-Kapodistrias.Intl.AP.166410_TMYx.2007-2021.zip</v>
      </c>
    </row>
    <row r="5970" spans="1:10" x14ac:dyDescent="0.25">
      <c r="A5970" t="s">
        <v>4660</v>
      </c>
      <c r="B5970" t="s">
        <v>4662</v>
      </c>
      <c r="C5970" t="s">
        <v>4674</v>
      </c>
      <c r="D5970">
        <v>166410</v>
      </c>
      <c r="E5970" t="s">
        <v>14</v>
      </c>
      <c r="F5970">
        <v>39.601999999999997</v>
      </c>
      <c r="G5970">
        <v>19.911999999999999</v>
      </c>
      <c r="H5970">
        <v>2</v>
      </c>
      <c r="I5970">
        <v>1.8</v>
      </c>
      <c r="J5970" t="str">
        <f>HYPERLINK("https://climate.onebuilding.org/WMO_Region_6_Europe/GRC_Greece/EM_Epirus_and_Western_Macedonia/GRC_EM_Corfu-Kapodistrias.Intl.AP.166410_TMYx.2009-2023.zip")</f>
        <v>https://climate.onebuilding.org/WMO_Region_6_Europe/GRC_Greece/EM_Epirus_and_Western_Macedonia/GRC_EM_Corfu-Kapodistrias.Intl.AP.166410_TMYx.2009-2023.zip</v>
      </c>
    </row>
    <row r="5971" spans="1:10" x14ac:dyDescent="0.25">
      <c r="A5971" t="s">
        <v>4660</v>
      </c>
      <c r="B5971" t="s">
        <v>4662</v>
      </c>
      <c r="C5971" t="s">
        <v>4674</v>
      </c>
      <c r="D5971">
        <v>166410</v>
      </c>
      <c r="E5971" t="s">
        <v>14</v>
      </c>
      <c r="F5971">
        <v>39.601999999999997</v>
      </c>
      <c r="G5971">
        <v>19.911999999999999</v>
      </c>
      <c r="H5971">
        <v>2</v>
      </c>
      <c r="I5971">
        <v>1.8</v>
      </c>
      <c r="J5971" t="str">
        <f>HYPERLINK("https://climate.onebuilding.org/WMO_Region_6_Europe/GRC_Greece/EM_Epirus_and_Western_Macedonia/GRC_EM_Corfu-Kapodistrias.Intl.AP.166410_TMYx.zip")</f>
        <v>https://climate.onebuilding.org/WMO_Region_6_Europe/GRC_Greece/EM_Epirus_and_Western_Macedonia/GRC_EM_Corfu-Kapodistrias.Intl.AP.166410_TMYx.zip</v>
      </c>
    </row>
    <row r="5972" spans="1:10" x14ac:dyDescent="0.25">
      <c r="A5972" t="s">
        <v>4660</v>
      </c>
      <c r="B5972" t="s">
        <v>4662</v>
      </c>
      <c r="C5972" t="s">
        <v>4676</v>
      </c>
      <c r="D5972">
        <v>166420</v>
      </c>
      <c r="E5972" t="s">
        <v>4677</v>
      </c>
      <c r="F5972">
        <v>39.700000000000003</v>
      </c>
      <c r="G5972">
        <v>20.817</v>
      </c>
      <c r="H5972">
        <v>2</v>
      </c>
      <c r="I5972">
        <v>483</v>
      </c>
      <c r="J5972" t="str">
        <f>HYPERLINK("https://climate.onebuilding.org/WMO_Region_6_Europe/GRC_Greece/EM_Epirus_and_Western_Macedonia/GRC_EM_Ioannina.AP.166420_TMYx.2004-2018.zip")</f>
        <v>https://climate.onebuilding.org/WMO_Region_6_Europe/GRC_Greece/EM_Epirus_and_Western_Macedonia/GRC_EM_Ioannina.AP.166420_TMYx.2004-2018.zip</v>
      </c>
    </row>
    <row r="5973" spans="1:10" x14ac:dyDescent="0.25">
      <c r="A5973" t="s">
        <v>4660</v>
      </c>
      <c r="B5973" t="s">
        <v>4662</v>
      </c>
      <c r="C5973" t="s">
        <v>4676</v>
      </c>
      <c r="D5973">
        <v>166420</v>
      </c>
      <c r="E5973" t="s">
        <v>14</v>
      </c>
      <c r="F5973">
        <v>39.700000000000003</v>
      </c>
      <c r="G5973">
        <v>20.817</v>
      </c>
      <c r="H5973">
        <v>2</v>
      </c>
      <c r="I5973">
        <v>483</v>
      </c>
      <c r="J5973" t="str">
        <f>HYPERLINK("https://climate.onebuilding.org/WMO_Region_6_Europe/GRC_Greece/EM_Epirus_and_Western_Macedonia/GRC_EM_Ioannina.AP.166420_TMYx.2007-2021.zip")</f>
        <v>https://climate.onebuilding.org/WMO_Region_6_Europe/GRC_Greece/EM_Epirus_and_Western_Macedonia/GRC_EM_Ioannina.AP.166420_TMYx.2007-2021.zip</v>
      </c>
    </row>
    <row r="5974" spans="1:10" x14ac:dyDescent="0.25">
      <c r="A5974" t="s">
        <v>4660</v>
      </c>
      <c r="B5974" t="s">
        <v>4662</v>
      </c>
      <c r="C5974" t="s">
        <v>4676</v>
      </c>
      <c r="D5974">
        <v>166420</v>
      </c>
      <c r="E5974" t="s">
        <v>14</v>
      </c>
      <c r="F5974">
        <v>39.700000000000003</v>
      </c>
      <c r="G5974">
        <v>20.817</v>
      </c>
      <c r="H5974">
        <v>2</v>
      </c>
      <c r="I5974">
        <v>483</v>
      </c>
      <c r="J5974" t="str">
        <f>HYPERLINK("https://climate.onebuilding.org/WMO_Region_6_Europe/GRC_Greece/EM_Epirus_and_Western_Macedonia/GRC_EM_Ioannina.AP.166420_TMYx.2009-2023.zip")</f>
        <v>https://climate.onebuilding.org/WMO_Region_6_Europe/GRC_Greece/EM_Epirus_and_Western_Macedonia/GRC_EM_Ioannina.AP.166420_TMYx.2009-2023.zip</v>
      </c>
    </row>
    <row r="5975" spans="1:10" x14ac:dyDescent="0.25">
      <c r="A5975" t="s">
        <v>4660</v>
      </c>
      <c r="B5975" t="s">
        <v>4662</v>
      </c>
      <c r="C5975" t="s">
        <v>4676</v>
      </c>
      <c r="D5975">
        <v>166420</v>
      </c>
      <c r="E5975" t="s">
        <v>14</v>
      </c>
      <c r="F5975">
        <v>39.700000000000003</v>
      </c>
      <c r="G5975">
        <v>20.817</v>
      </c>
      <c r="H5975">
        <v>2</v>
      </c>
      <c r="I5975">
        <v>483</v>
      </c>
      <c r="J5975" t="str">
        <f>HYPERLINK("https://climate.onebuilding.org/WMO_Region_6_Europe/GRC_Greece/EM_Epirus_and_Western_Macedonia/GRC_EM_Ioannina.AP.166420_TMYx.zip")</f>
        <v>https://climate.onebuilding.org/WMO_Region_6_Europe/GRC_Greece/EM_Epirus_and_Western_Macedonia/GRC_EM_Ioannina.AP.166420_TMYx.zip</v>
      </c>
    </row>
    <row r="5976" spans="1:10" x14ac:dyDescent="0.25">
      <c r="A5976" t="s">
        <v>4660</v>
      </c>
      <c r="B5976" t="s">
        <v>896</v>
      </c>
      <c r="C5976" t="s">
        <v>4678</v>
      </c>
      <c r="D5976">
        <v>166421</v>
      </c>
      <c r="E5976" t="s">
        <v>4679</v>
      </c>
      <c r="F5976">
        <v>37.017000000000003</v>
      </c>
      <c r="G5976">
        <v>25.132999999999999</v>
      </c>
      <c r="H5976">
        <v>2</v>
      </c>
      <c r="I5976">
        <v>36</v>
      </c>
      <c r="J5976" t="str">
        <f>HYPERLINK("https://climate.onebuilding.org/WMO_Region_6_Europe/GRC_Greece/AI_Aegean/GRC_AI_Paros.166421_TMYx.2004-2018.zip")</f>
        <v>https://climate.onebuilding.org/WMO_Region_6_Europe/GRC_Greece/AI_Aegean/GRC_AI_Paros.166421_TMYx.2004-2018.zip</v>
      </c>
    </row>
    <row r="5977" spans="1:10" x14ac:dyDescent="0.25">
      <c r="A5977" t="s">
        <v>4660</v>
      </c>
      <c r="B5977" t="s">
        <v>896</v>
      </c>
      <c r="C5977" t="s">
        <v>4678</v>
      </c>
      <c r="D5977">
        <v>166421</v>
      </c>
      <c r="E5977" t="s">
        <v>14</v>
      </c>
      <c r="F5977">
        <v>37.017000000000003</v>
      </c>
      <c r="G5977">
        <v>25.132999999999999</v>
      </c>
      <c r="H5977">
        <v>2</v>
      </c>
      <c r="I5977">
        <v>36</v>
      </c>
      <c r="J5977" t="str">
        <f>HYPERLINK("https://climate.onebuilding.org/WMO_Region_6_Europe/GRC_Greece/AI_Aegean/GRC_AI_Paros.166421_TMYx.2007-2021.zip")</f>
        <v>https://climate.onebuilding.org/WMO_Region_6_Europe/GRC_Greece/AI_Aegean/GRC_AI_Paros.166421_TMYx.2007-2021.zip</v>
      </c>
    </row>
    <row r="5978" spans="1:10" x14ac:dyDescent="0.25">
      <c r="A5978" t="s">
        <v>4660</v>
      </c>
      <c r="B5978" t="s">
        <v>896</v>
      </c>
      <c r="C5978" t="s">
        <v>4678</v>
      </c>
      <c r="D5978">
        <v>166421</v>
      </c>
      <c r="E5978" t="s">
        <v>14</v>
      </c>
      <c r="F5978">
        <v>37.017000000000003</v>
      </c>
      <c r="G5978">
        <v>25.132999999999999</v>
      </c>
      <c r="H5978">
        <v>2</v>
      </c>
      <c r="I5978">
        <v>36</v>
      </c>
      <c r="J5978" t="str">
        <f>HYPERLINK("https://climate.onebuilding.org/WMO_Region_6_Europe/GRC_Greece/AI_Aegean/GRC_AI_Paros.166421_TMYx.2009-2023.zip")</f>
        <v>https://climate.onebuilding.org/WMO_Region_6_Europe/GRC_Greece/AI_Aegean/GRC_AI_Paros.166421_TMYx.2009-2023.zip</v>
      </c>
    </row>
    <row r="5979" spans="1:10" x14ac:dyDescent="0.25">
      <c r="A5979" t="s">
        <v>4660</v>
      </c>
      <c r="B5979" t="s">
        <v>896</v>
      </c>
      <c r="C5979" t="s">
        <v>4678</v>
      </c>
      <c r="D5979">
        <v>166421</v>
      </c>
      <c r="E5979" t="s">
        <v>14</v>
      </c>
      <c r="F5979">
        <v>37.017000000000003</v>
      </c>
      <c r="G5979">
        <v>25.132999999999999</v>
      </c>
      <c r="H5979">
        <v>2</v>
      </c>
      <c r="I5979">
        <v>36</v>
      </c>
      <c r="J5979" t="str">
        <f>HYPERLINK("https://climate.onebuilding.org/WMO_Region_6_Europe/GRC_Greece/AI_Aegean/GRC_AI_Paros.166421_TMYx.zip")</f>
        <v>https://climate.onebuilding.org/WMO_Region_6_Europe/GRC_Greece/AI_Aegean/GRC_AI_Paros.166421_TMYx.zip</v>
      </c>
    </row>
    <row r="5980" spans="1:10" x14ac:dyDescent="0.25">
      <c r="A5980" t="s">
        <v>4660</v>
      </c>
      <c r="B5980" t="s">
        <v>4680</v>
      </c>
      <c r="C5980" t="s">
        <v>4681</v>
      </c>
      <c r="D5980">
        <v>166430</v>
      </c>
      <c r="E5980" t="s">
        <v>4682</v>
      </c>
      <c r="F5980">
        <v>38.924999999999997</v>
      </c>
      <c r="G5980">
        <v>20.765000000000001</v>
      </c>
      <c r="H5980">
        <v>2</v>
      </c>
      <c r="I5980">
        <v>3.4</v>
      </c>
      <c r="J5980" t="str">
        <f>HYPERLINK("https://climate.onebuilding.org/WMO_Region_6_Europe/GRC_Greece/PW_Peloponnese_Western_Greece_and_Ionian_Islands/GRC_PW_Aktion.AP.166430_TMYx.2004-2018.zip")</f>
        <v>https://climate.onebuilding.org/WMO_Region_6_Europe/GRC_Greece/PW_Peloponnese_Western_Greece_and_Ionian_Islands/GRC_PW_Aktion.AP.166430_TMYx.2004-2018.zip</v>
      </c>
    </row>
    <row r="5981" spans="1:10" x14ac:dyDescent="0.25">
      <c r="A5981" t="s">
        <v>4660</v>
      </c>
      <c r="B5981" t="s">
        <v>4680</v>
      </c>
      <c r="C5981" t="s">
        <v>4681</v>
      </c>
      <c r="D5981">
        <v>166430</v>
      </c>
      <c r="E5981" t="s">
        <v>14</v>
      </c>
      <c r="F5981">
        <v>38.924999999999997</v>
      </c>
      <c r="G5981">
        <v>20.765000000000001</v>
      </c>
      <c r="H5981">
        <v>2</v>
      </c>
      <c r="I5981">
        <v>3.4</v>
      </c>
      <c r="J5981" t="str">
        <f>HYPERLINK("https://climate.onebuilding.org/WMO_Region_6_Europe/GRC_Greece/PW_Peloponnese_Western_Greece_and_Ionian_Islands/GRC_PW_Aktion.AP.166430_TMYx.2007-2021.zip")</f>
        <v>https://climate.onebuilding.org/WMO_Region_6_Europe/GRC_Greece/PW_Peloponnese_Western_Greece_and_Ionian_Islands/GRC_PW_Aktion.AP.166430_TMYx.2007-2021.zip</v>
      </c>
    </row>
    <row r="5982" spans="1:10" x14ac:dyDescent="0.25">
      <c r="A5982" t="s">
        <v>4660</v>
      </c>
      <c r="B5982" t="s">
        <v>4680</v>
      </c>
      <c r="C5982" t="s">
        <v>4681</v>
      </c>
      <c r="D5982">
        <v>166430</v>
      </c>
      <c r="E5982" t="s">
        <v>14</v>
      </c>
      <c r="F5982">
        <v>38.924999999999997</v>
      </c>
      <c r="G5982">
        <v>20.765000000000001</v>
      </c>
      <c r="H5982">
        <v>2</v>
      </c>
      <c r="I5982">
        <v>3.4</v>
      </c>
      <c r="J5982" t="str">
        <f>HYPERLINK("https://climate.onebuilding.org/WMO_Region_6_Europe/GRC_Greece/PW_Peloponnese_Western_Greece_and_Ionian_Islands/GRC_PW_Aktion.AP.166430_TMYx.2009-2023.zip")</f>
        <v>https://climate.onebuilding.org/WMO_Region_6_Europe/GRC_Greece/PW_Peloponnese_Western_Greece_and_Ionian_Islands/GRC_PW_Aktion.AP.166430_TMYx.2009-2023.zip</v>
      </c>
    </row>
    <row r="5983" spans="1:10" x14ac:dyDescent="0.25">
      <c r="A5983" t="s">
        <v>4660</v>
      </c>
      <c r="B5983" t="s">
        <v>4680</v>
      </c>
      <c r="C5983" t="s">
        <v>4681</v>
      </c>
      <c r="D5983">
        <v>166430</v>
      </c>
      <c r="E5983" t="s">
        <v>14</v>
      </c>
      <c r="F5983">
        <v>38.924999999999997</v>
      </c>
      <c r="G5983">
        <v>20.765000000000001</v>
      </c>
      <c r="H5983">
        <v>2</v>
      </c>
      <c r="I5983">
        <v>3.4</v>
      </c>
      <c r="J5983" t="str">
        <f>HYPERLINK("https://climate.onebuilding.org/WMO_Region_6_Europe/GRC_Greece/PW_Peloponnese_Western_Greece_and_Ionian_Islands/GRC_PW_Aktion.AP.166430_TMYx.zip")</f>
        <v>https://climate.onebuilding.org/WMO_Region_6_Europe/GRC_Greece/PW_Peloponnese_Western_Greece_and_Ionian_Islands/GRC_PW_Aktion.AP.166430_TMYx.zip</v>
      </c>
    </row>
    <row r="5984" spans="1:10" x14ac:dyDescent="0.25">
      <c r="A5984" t="s">
        <v>4660</v>
      </c>
      <c r="B5984" t="s">
        <v>4683</v>
      </c>
      <c r="C5984" t="s">
        <v>4684</v>
      </c>
      <c r="D5984">
        <v>166450</v>
      </c>
      <c r="E5984" t="s">
        <v>14</v>
      </c>
      <c r="F5984">
        <v>39.549999999999997</v>
      </c>
      <c r="G5984">
        <v>21.766999999999999</v>
      </c>
      <c r="H5984">
        <v>2</v>
      </c>
      <c r="I5984">
        <v>116</v>
      </c>
      <c r="J5984" t="str">
        <f>HYPERLINK("https://climate.onebuilding.org/WMO_Region_6_Europe/GRC_Greece/TC_Thessaly_and_Central_Greece/GRC_TC_Trikala.166450_TMYx.zip")</f>
        <v>https://climate.onebuilding.org/WMO_Region_6_Europe/GRC_Greece/TC_Thessaly_and_Central_Greece/GRC_TC_Trikala.166450_TMYx.zip</v>
      </c>
    </row>
    <row r="5985" spans="1:10" x14ac:dyDescent="0.25">
      <c r="A5985" t="s">
        <v>4660</v>
      </c>
      <c r="B5985" t="s">
        <v>4683</v>
      </c>
      <c r="C5985" t="s">
        <v>4685</v>
      </c>
      <c r="D5985">
        <v>166480</v>
      </c>
      <c r="E5985" t="s">
        <v>4686</v>
      </c>
      <c r="F5985">
        <v>39.65</v>
      </c>
      <c r="G5985">
        <v>22.466000000000001</v>
      </c>
      <c r="H5985">
        <v>2</v>
      </c>
      <c r="I5985">
        <v>73.5</v>
      </c>
      <c r="J5985" t="str">
        <f>HYPERLINK("https://climate.onebuilding.org/WMO_Region_6_Europe/GRC_Greece/TC_Thessaly_and_Central_Greece/GRC_TC_Larisa.AP.166480_TMYx.2004-2018.zip")</f>
        <v>https://climate.onebuilding.org/WMO_Region_6_Europe/GRC_Greece/TC_Thessaly_and_Central_Greece/GRC_TC_Larisa.AP.166480_TMYx.2004-2018.zip</v>
      </c>
    </row>
    <row r="5986" spans="1:10" x14ac:dyDescent="0.25">
      <c r="A5986" t="s">
        <v>4660</v>
      </c>
      <c r="B5986" t="s">
        <v>4683</v>
      </c>
      <c r="C5986" t="s">
        <v>4685</v>
      </c>
      <c r="D5986">
        <v>166480</v>
      </c>
      <c r="E5986" t="s">
        <v>14</v>
      </c>
      <c r="F5986">
        <v>39.65</v>
      </c>
      <c r="G5986">
        <v>22.466000000000001</v>
      </c>
      <c r="H5986">
        <v>2</v>
      </c>
      <c r="I5986">
        <v>73.5</v>
      </c>
      <c r="J5986" t="str">
        <f>HYPERLINK("https://climate.onebuilding.org/WMO_Region_6_Europe/GRC_Greece/TC_Thessaly_and_Central_Greece/GRC_TC_Larisa.AP.166480_TMYx.2007-2021.zip")</f>
        <v>https://climate.onebuilding.org/WMO_Region_6_Europe/GRC_Greece/TC_Thessaly_and_Central_Greece/GRC_TC_Larisa.AP.166480_TMYx.2007-2021.zip</v>
      </c>
    </row>
    <row r="5987" spans="1:10" x14ac:dyDescent="0.25">
      <c r="A5987" t="s">
        <v>4660</v>
      </c>
      <c r="B5987" t="s">
        <v>4683</v>
      </c>
      <c r="C5987" t="s">
        <v>4685</v>
      </c>
      <c r="D5987">
        <v>166480</v>
      </c>
      <c r="E5987" t="s">
        <v>14</v>
      </c>
      <c r="F5987">
        <v>39.65</v>
      </c>
      <c r="G5987">
        <v>22.466000000000001</v>
      </c>
      <c r="H5987">
        <v>2</v>
      </c>
      <c r="I5987">
        <v>73.5</v>
      </c>
      <c r="J5987" t="str">
        <f>HYPERLINK("https://climate.onebuilding.org/WMO_Region_6_Europe/GRC_Greece/TC_Thessaly_and_Central_Greece/GRC_TC_Larisa.AP.166480_TMYx.2009-2023.zip")</f>
        <v>https://climate.onebuilding.org/WMO_Region_6_Europe/GRC_Greece/TC_Thessaly_and_Central_Greece/GRC_TC_Larisa.AP.166480_TMYx.2009-2023.zip</v>
      </c>
    </row>
    <row r="5988" spans="1:10" x14ac:dyDescent="0.25">
      <c r="A5988" t="s">
        <v>4660</v>
      </c>
      <c r="B5988" t="s">
        <v>4683</v>
      </c>
      <c r="C5988" t="s">
        <v>4685</v>
      </c>
      <c r="D5988">
        <v>166480</v>
      </c>
      <c r="E5988" t="s">
        <v>14</v>
      </c>
      <c r="F5988">
        <v>39.65</v>
      </c>
      <c r="G5988">
        <v>22.466000000000001</v>
      </c>
      <c r="H5988">
        <v>2</v>
      </c>
      <c r="I5988">
        <v>73.5</v>
      </c>
      <c r="J5988" t="str">
        <f>HYPERLINK("https://climate.onebuilding.org/WMO_Region_6_Europe/GRC_Greece/TC_Thessaly_and_Central_Greece/GRC_TC_Larisa.AP.166480_TMYx.zip")</f>
        <v>https://climate.onebuilding.org/WMO_Region_6_Europe/GRC_Greece/TC_Thessaly_and_Central_Greece/GRC_TC_Larisa.AP.166480_TMYx.zip</v>
      </c>
    </row>
    <row r="5989" spans="1:10" x14ac:dyDescent="0.25">
      <c r="A5989" t="s">
        <v>4660</v>
      </c>
      <c r="B5989" t="s">
        <v>896</v>
      </c>
      <c r="C5989" t="s">
        <v>4687</v>
      </c>
      <c r="D5989">
        <v>166500</v>
      </c>
      <c r="E5989" t="s">
        <v>4688</v>
      </c>
      <c r="F5989">
        <v>39.917000000000002</v>
      </c>
      <c r="G5989">
        <v>25.236000000000001</v>
      </c>
      <c r="H5989">
        <v>2</v>
      </c>
      <c r="I5989">
        <v>4.3</v>
      </c>
      <c r="J5989" t="str">
        <f>HYPERLINK("https://climate.onebuilding.org/WMO_Region_6_Europe/GRC_Greece/AI_Aegean/GRC_AI_Limnos.Island.AP.166500_TMYx.2004-2018.zip")</f>
        <v>https://climate.onebuilding.org/WMO_Region_6_Europe/GRC_Greece/AI_Aegean/GRC_AI_Limnos.Island.AP.166500_TMYx.2004-2018.zip</v>
      </c>
    </row>
    <row r="5990" spans="1:10" x14ac:dyDescent="0.25">
      <c r="A5990" t="s">
        <v>4660</v>
      </c>
      <c r="B5990" t="s">
        <v>896</v>
      </c>
      <c r="C5990" t="s">
        <v>4687</v>
      </c>
      <c r="D5990">
        <v>166500</v>
      </c>
      <c r="E5990" t="s">
        <v>14</v>
      </c>
      <c r="F5990">
        <v>39.917000000000002</v>
      </c>
      <c r="G5990">
        <v>25.236000000000001</v>
      </c>
      <c r="H5990">
        <v>2</v>
      </c>
      <c r="I5990">
        <v>4.3</v>
      </c>
      <c r="J5990" t="str">
        <f>HYPERLINK("https://climate.onebuilding.org/WMO_Region_6_Europe/GRC_Greece/AI_Aegean/GRC_AI_Limnos.Island.AP.166500_TMYx.2007-2021.zip")</f>
        <v>https://climate.onebuilding.org/WMO_Region_6_Europe/GRC_Greece/AI_Aegean/GRC_AI_Limnos.Island.AP.166500_TMYx.2007-2021.zip</v>
      </c>
    </row>
    <row r="5991" spans="1:10" x14ac:dyDescent="0.25">
      <c r="A5991" t="s">
        <v>4660</v>
      </c>
      <c r="B5991" t="s">
        <v>896</v>
      </c>
      <c r="C5991" t="s">
        <v>4687</v>
      </c>
      <c r="D5991">
        <v>166500</v>
      </c>
      <c r="E5991" t="s">
        <v>14</v>
      </c>
      <c r="F5991">
        <v>39.917000000000002</v>
      </c>
      <c r="G5991">
        <v>25.236000000000001</v>
      </c>
      <c r="H5991">
        <v>2</v>
      </c>
      <c r="I5991">
        <v>4.3</v>
      </c>
      <c r="J5991" t="str">
        <f>HYPERLINK("https://climate.onebuilding.org/WMO_Region_6_Europe/GRC_Greece/AI_Aegean/GRC_AI_Limnos.Island.AP.166500_TMYx.2009-2023.zip")</f>
        <v>https://climate.onebuilding.org/WMO_Region_6_Europe/GRC_Greece/AI_Aegean/GRC_AI_Limnos.Island.AP.166500_TMYx.2009-2023.zip</v>
      </c>
    </row>
    <row r="5992" spans="1:10" x14ac:dyDescent="0.25">
      <c r="A5992" t="s">
        <v>4660</v>
      </c>
      <c r="B5992" t="s">
        <v>896</v>
      </c>
      <c r="C5992" t="s">
        <v>4687</v>
      </c>
      <c r="D5992">
        <v>166500</v>
      </c>
      <c r="E5992" t="s">
        <v>14</v>
      </c>
      <c r="F5992">
        <v>39.917000000000002</v>
      </c>
      <c r="G5992">
        <v>25.236000000000001</v>
      </c>
      <c r="H5992">
        <v>2</v>
      </c>
      <c r="I5992">
        <v>4.3</v>
      </c>
      <c r="J5992" t="str">
        <f>HYPERLINK("https://climate.onebuilding.org/WMO_Region_6_Europe/GRC_Greece/AI_Aegean/GRC_AI_Limnos.Island.AP.166500_TMYx.zip")</f>
        <v>https://climate.onebuilding.org/WMO_Region_6_Europe/GRC_Greece/AI_Aegean/GRC_AI_Limnos.Island.AP.166500_TMYx.zip</v>
      </c>
    </row>
    <row r="5993" spans="1:10" x14ac:dyDescent="0.25">
      <c r="A5993" t="s">
        <v>4660</v>
      </c>
      <c r="B5993" t="s">
        <v>896</v>
      </c>
      <c r="C5993" t="s">
        <v>4689</v>
      </c>
      <c r="D5993">
        <v>166620</v>
      </c>
      <c r="E5993" t="s">
        <v>78</v>
      </c>
      <c r="F5993">
        <v>39.116999999999997</v>
      </c>
      <c r="G5993">
        <v>23.733000000000001</v>
      </c>
      <c r="H5993">
        <v>2</v>
      </c>
      <c r="I5993">
        <v>11</v>
      </c>
      <c r="J5993" t="str">
        <f>HYPERLINK("https://climate.onebuilding.org/WMO_Region_6_Europe/GRC_Greece/AI_Aegean/GRC_AI_Skopelos.Island.166620_TMYx.2007-2021.zip")</f>
        <v>https://climate.onebuilding.org/WMO_Region_6_Europe/GRC_Greece/AI_Aegean/GRC_AI_Skopelos.Island.166620_TMYx.2007-2021.zip</v>
      </c>
    </row>
    <row r="5994" spans="1:10" x14ac:dyDescent="0.25">
      <c r="A5994" t="s">
        <v>4660</v>
      </c>
      <c r="B5994" t="s">
        <v>896</v>
      </c>
      <c r="C5994" t="s">
        <v>4689</v>
      </c>
      <c r="D5994">
        <v>166620</v>
      </c>
      <c r="E5994" t="s">
        <v>78</v>
      </c>
      <c r="F5994">
        <v>39.116999999999997</v>
      </c>
      <c r="G5994">
        <v>23.733000000000001</v>
      </c>
      <c r="H5994">
        <v>2</v>
      </c>
      <c r="I5994">
        <v>11</v>
      </c>
      <c r="J5994" t="str">
        <f>HYPERLINK("https://climate.onebuilding.org/WMO_Region_6_Europe/GRC_Greece/AI_Aegean/GRC_AI_Skopelos.Island.166620_TMYx.2009-2023.zip")</f>
        <v>https://climate.onebuilding.org/WMO_Region_6_Europe/GRC_Greece/AI_Aegean/GRC_AI_Skopelos.Island.166620_TMYx.2009-2023.zip</v>
      </c>
    </row>
    <row r="5995" spans="1:10" x14ac:dyDescent="0.25">
      <c r="A5995" t="s">
        <v>4660</v>
      </c>
      <c r="B5995" t="s">
        <v>896</v>
      </c>
      <c r="C5995" t="s">
        <v>4689</v>
      </c>
      <c r="D5995">
        <v>166620</v>
      </c>
      <c r="E5995" t="s">
        <v>78</v>
      </c>
      <c r="F5995">
        <v>39.116999999999997</v>
      </c>
      <c r="G5995">
        <v>23.733000000000001</v>
      </c>
      <c r="H5995">
        <v>2</v>
      </c>
      <c r="I5995">
        <v>11</v>
      </c>
      <c r="J5995" t="str">
        <f>HYPERLINK("https://climate.onebuilding.org/WMO_Region_6_Europe/GRC_Greece/AI_Aegean/GRC_AI_Skopelos.Island.166620_TMYx.zip")</f>
        <v>https://climate.onebuilding.org/WMO_Region_6_Europe/GRC_Greece/AI_Aegean/GRC_AI_Skopelos.Island.166620_TMYx.zip</v>
      </c>
    </row>
    <row r="5996" spans="1:10" x14ac:dyDescent="0.25">
      <c r="A5996" t="s">
        <v>4660</v>
      </c>
      <c r="B5996" t="s">
        <v>4683</v>
      </c>
      <c r="C5996" t="s">
        <v>4690</v>
      </c>
      <c r="D5996">
        <v>166650</v>
      </c>
      <c r="E5996" t="s">
        <v>4691</v>
      </c>
      <c r="F5996">
        <v>39.22</v>
      </c>
      <c r="G5996">
        <v>22.794</v>
      </c>
      <c r="H5996">
        <v>2</v>
      </c>
      <c r="I5996">
        <v>25.3</v>
      </c>
      <c r="J5996" t="str">
        <f>HYPERLINK("https://climate.onebuilding.org/WMO_Region_6_Europe/GRC_Greece/TC_Thessaly_and_Central_Greece/GRC_TC_Nea.Anchialos.AP.166650_TMYx.2004-2018.zip")</f>
        <v>https://climate.onebuilding.org/WMO_Region_6_Europe/GRC_Greece/TC_Thessaly_and_Central_Greece/GRC_TC_Nea.Anchialos.AP.166650_TMYx.2004-2018.zip</v>
      </c>
    </row>
    <row r="5997" spans="1:10" x14ac:dyDescent="0.25">
      <c r="A5997" t="s">
        <v>4660</v>
      </c>
      <c r="B5997" t="s">
        <v>4683</v>
      </c>
      <c r="C5997" t="s">
        <v>4690</v>
      </c>
      <c r="D5997">
        <v>166650</v>
      </c>
      <c r="E5997" t="s">
        <v>14</v>
      </c>
      <c r="F5997">
        <v>39.22</v>
      </c>
      <c r="G5997">
        <v>22.794</v>
      </c>
      <c r="H5997">
        <v>2</v>
      </c>
      <c r="I5997">
        <v>25.3</v>
      </c>
      <c r="J5997" t="str">
        <f>HYPERLINK("https://climate.onebuilding.org/WMO_Region_6_Europe/GRC_Greece/TC_Thessaly_and_Central_Greece/GRC_TC_Nea.Anchialos.AP.166650_TMYx.2007-2021.zip")</f>
        <v>https://climate.onebuilding.org/WMO_Region_6_Europe/GRC_Greece/TC_Thessaly_and_Central_Greece/GRC_TC_Nea.Anchialos.AP.166650_TMYx.2007-2021.zip</v>
      </c>
    </row>
    <row r="5998" spans="1:10" x14ac:dyDescent="0.25">
      <c r="A5998" t="s">
        <v>4660</v>
      </c>
      <c r="B5998" t="s">
        <v>4683</v>
      </c>
      <c r="C5998" t="s">
        <v>4690</v>
      </c>
      <c r="D5998">
        <v>166650</v>
      </c>
      <c r="E5998" t="s">
        <v>14</v>
      </c>
      <c r="F5998">
        <v>39.22</v>
      </c>
      <c r="G5998">
        <v>22.794</v>
      </c>
      <c r="H5998">
        <v>2</v>
      </c>
      <c r="I5998">
        <v>25.3</v>
      </c>
      <c r="J5998" t="str">
        <f>HYPERLINK("https://climate.onebuilding.org/WMO_Region_6_Europe/GRC_Greece/TC_Thessaly_and_Central_Greece/GRC_TC_Nea.Anchialos.AP.166650_TMYx.2009-2023.zip")</f>
        <v>https://climate.onebuilding.org/WMO_Region_6_Europe/GRC_Greece/TC_Thessaly_and_Central_Greece/GRC_TC_Nea.Anchialos.AP.166650_TMYx.2009-2023.zip</v>
      </c>
    </row>
    <row r="5999" spans="1:10" x14ac:dyDescent="0.25">
      <c r="A5999" t="s">
        <v>4660</v>
      </c>
      <c r="B5999" t="s">
        <v>4683</v>
      </c>
      <c r="C5999" t="s">
        <v>4690</v>
      </c>
      <c r="D5999">
        <v>166650</v>
      </c>
      <c r="E5999" t="s">
        <v>14</v>
      </c>
      <c r="F5999">
        <v>39.22</v>
      </c>
      <c r="G5999">
        <v>22.794</v>
      </c>
      <c r="H5999">
        <v>2</v>
      </c>
      <c r="I5999">
        <v>25.3</v>
      </c>
      <c r="J5999" t="str">
        <f>HYPERLINK("https://climate.onebuilding.org/WMO_Region_6_Europe/GRC_Greece/TC_Thessaly_and_Central_Greece/GRC_TC_Nea.Anchialos.AP.166650_TMYx.zip")</f>
        <v>https://climate.onebuilding.org/WMO_Region_6_Europe/GRC_Greece/TC_Thessaly_and_Central_Greece/GRC_TC_Nea.Anchialos.AP.166650_TMYx.zip</v>
      </c>
    </row>
    <row r="6000" spans="1:10" x14ac:dyDescent="0.25">
      <c r="A6000" t="s">
        <v>4660</v>
      </c>
      <c r="B6000" t="s">
        <v>4683</v>
      </c>
      <c r="C6000" t="s">
        <v>4692</v>
      </c>
      <c r="D6000">
        <v>166653</v>
      </c>
      <c r="E6000" t="s">
        <v>4693</v>
      </c>
      <c r="F6000">
        <v>39.177</v>
      </c>
      <c r="G6000">
        <v>23.504000000000001</v>
      </c>
      <c r="H6000">
        <v>2</v>
      </c>
      <c r="I6000">
        <v>16.5</v>
      </c>
      <c r="J6000" t="str">
        <f>HYPERLINK("https://climate.onebuilding.org/WMO_Region_6_Europe/GRC_Greece/TC_Thessaly_and_Central_Greece/GRC_TC_Skiathos-Papadiamantis.Intl.AP.166653_TMYx.2004-2018.zip")</f>
        <v>https://climate.onebuilding.org/WMO_Region_6_Europe/GRC_Greece/TC_Thessaly_and_Central_Greece/GRC_TC_Skiathos-Papadiamantis.Intl.AP.166653_TMYx.2004-2018.zip</v>
      </c>
    </row>
    <row r="6001" spans="1:10" x14ac:dyDescent="0.25">
      <c r="A6001" t="s">
        <v>4660</v>
      </c>
      <c r="B6001" t="s">
        <v>4683</v>
      </c>
      <c r="C6001" t="s">
        <v>4692</v>
      </c>
      <c r="D6001">
        <v>166653</v>
      </c>
      <c r="E6001" t="s">
        <v>14</v>
      </c>
      <c r="F6001">
        <v>39.177</v>
      </c>
      <c r="G6001">
        <v>23.504000000000001</v>
      </c>
      <c r="H6001">
        <v>2</v>
      </c>
      <c r="I6001">
        <v>16.5</v>
      </c>
      <c r="J6001" t="str">
        <f>HYPERLINK("https://climate.onebuilding.org/WMO_Region_6_Europe/GRC_Greece/TC_Thessaly_and_Central_Greece/GRC_TC_Skiathos-Papadiamantis.Intl.AP.166653_TMYx.2007-2021.zip")</f>
        <v>https://climate.onebuilding.org/WMO_Region_6_Europe/GRC_Greece/TC_Thessaly_and_Central_Greece/GRC_TC_Skiathos-Papadiamantis.Intl.AP.166653_TMYx.2007-2021.zip</v>
      </c>
    </row>
    <row r="6002" spans="1:10" x14ac:dyDescent="0.25">
      <c r="A6002" t="s">
        <v>4660</v>
      </c>
      <c r="B6002" t="s">
        <v>4683</v>
      </c>
      <c r="C6002" t="s">
        <v>4692</v>
      </c>
      <c r="D6002">
        <v>166653</v>
      </c>
      <c r="E6002" t="s">
        <v>14</v>
      </c>
      <c r="F6002">
        <v>39.177</v>
      </c>
      <c r="G6002">
        <v>23.504000000000001</v>
      </c>
      <c r="H6002">
        <v>2</v>
      </c>
      <c r="I6002">
        <v>16.5</v>
      </c>
      <c r="J6002" t="str">
        <f>HYPERLINK("https://climate.onebuilding.org/WMO_Region_6_Europe/GRC_Greece/TC_Thessaly_and_Central_Greece/GRC_TC_Skiathos-Papadiamantis.Intl.AP.166653_TMYx.2009-2023.zip")</f>
        <v>https://climate.onebuilding.org/WMO_Region_6_Europe/GRC_Greece/TC_Thessaly_and_Central_Greece/GRC_TC_Skiathos-Papadiamantis.Intl.AP.166653_TMYx.2009-2023.zip</v>
      </c>
    </row>
    <row r="6003" spans="1:10" x14ac:dyDescent="0.25">
      <c r="A6003" t="s">
        <v>4660</v>
      </c>
      <c r="B6003" t="s">
        <v>4683</v>
      </c>
      <c r="C6003" t="s">
        <v>4692</v>
      </c>
      <c r="D6003">
        <v>166653</v>
      </c>
      <c r="E6003" t="s">
        <v>14</v>
      </c>
      <c r="F6003">
        <v>39.177</v>
      </c>
      <c r="G6003">
        <v>23.504000000000001</v>
      </c>
      <c r="H6003">
        <v>2</v>
      </c>
      <c r="I6003">
        <v>16.5</v>
      </c>
      <c r="J6003" t="str">
        <f>HYPERLINK("https://climate.onebuilding.org/WMO_Region_6_Europe/GRC_Greece/TC_Thessaly_and_Central_Greece/GRC_TC_Skiathos-Papadiamantis.Intl.AP.166653_TMYx.zip")</f>
        <v>https://climate.onebuilding.org/WMO_Region_6_Europe/GRC_Greece/TC_Thessaly_and_Central_Greece/GRC_TC_Skiathos-Papadiamantis.Intl.AP.166653_TMYx.zip</v>
      </c>
    </row>
    <row r="6004" spans="1:10" x14ac:dyDescent="0.25">
      <c r="A6004" t="s">
        <v>4660</v>
      </c>
      <c r="B6004" t="s">
        <v>896</v>
      </c>
      <c r="C6004" t="s">
        <v>4694</v>
      </c>
      <c r="D6004">
        <v>166670</v>
      </c>
      <c r="E6004" t="s">
        <v>4695</v>
      </c>
      <c r="F6004">
        <v>39.057000000000002</v>
      </c>
      <c r="G6004">
        <v>26.597999999999999</v>
      </c>
      <c r="H6004">
        <v>2</v>
      </c>
      <c r="I6004">
        <v>18.3</v>
      </c>
      <c r="J6004" t="str">
        <f>HYPERLINK("https://climate.onebuilding.org/WMO_Region_6_Europe/GRC_Greece/AI_Aegean/GRC_AI_Mytiline.Intl.AP.166670_TMYx.2004-2018.zip")</f>
        <v>https://climate.onebuilding.org/WMO_Region_6_Europe/GRC_Greece/AI_Aegean/GRC_AI_Mytiline.Intl.AP.166670_TMYx.2004-2018.zip</v>
      </c>
    </row>
    <row r="6005" spans="1:10" x14ac:dyDescent="0.25">
      <c r="A6005" t="s">
        <v>4660</v>
      </c>
      <c r="B6005" t="s">
        <v>896</v>
      </c>
      <c r="C6005" t="s">
        <v>4694</v>
      </c>
      <c r="D6005">
        <v>166670</v>
      </c>
      <c r="E6005" t="s">
        <v>14</v>
      </c>
      <c r="F6005">
        <v>39.057000000000002</v>
      </c>
      <c r="G6005">
        <v>26.597999999999999</v>
      </c>
      <c r="H6005">
        <v>2</v>
      </c>
      <c r="I6005">
        <v>18.3</v>
      </c>
      <c r="J6005" t="str">
        <f>HYPERLINK("https://climate.onebuilding.org/WMO_Region_6_Europe/GRC_Greece/AI_Aegean/GRC_AI_Mytiline.Intl.AP.166670_TMYx.2007-2021.zip")</f>
        <v>https://climate.onebuilding.org/WMO_Region_6_Europe/GRC_Greece/AI_Aegean/GRC_AI_Mytiline.Intl.AP.166670_TMYx.2007-2021.zip</v>
      </c>
    </row>
    <row r="6006" spans="1:10" x14ac:dyDescent="0.25">
      <c r="A6006" t="s">
        <v>4660</v>
      </c>
      <c r="B6006" t="s">
        <v>896</v>
      </c>
      <c r="C6006" t="s">
        <v>4694</v>
      </c>
      <c r="D6006">
        <v>166670</v>
      </c>
      <c r="E6006" t="s">
        <v>14</v>
      </c>
      <c r="F6006">
        <v>39.057000000000002</v>
      </c>
      <c r="G6006">
        <v>26.597999999999999</v>
      </c>
      <c r="H6006">
        <v>2</v>
      </c>
      <c r="I6006">
        <v>18.3</v>
      </c>
      <c r="J6006" t="str">
        <f>HYPERLINK("https://climate.onebuilding.org/WMO_Region_6_Europe/GRC_Greece/AI_Aegean/GRC_AI_Mytiline.Intl.AP.166670_TMYx.2009-2023.zip")</f>
        <v>https://climate.onebuilding.org/WMO_Region_6_Europe/GRC_Greece/AI_Aegean/GRC_AI_Mytiline.Intl.AP.166670_TMYx.2009-2023.zip</v>
      </c>
    </row>
    <row r="6007" spans="1:10" x14ac:dyDescent="0.25">
      <c r="A6007" t="s">
        <v>4660</v>
      </c>
      <c r="B6007" t="s">
        <v>896</v>
      </c>
      <c r="C6007" t="s">
        <v>4694</v>
      </c>
      <c r="D6007">
        <v>166670</v>
      </c>
      <c r="E6007" t="s">
        <v>14</v>
      </c>
      <c r="F6007">
        <v>39.057000000000002</v>
      </c>
      <c r="G6007">
        <v>26.597999999999999</v>
      </c>
      <c r="H6007">
        <v>2</v>
      </c>
      <c r="I6007">
        <v>18.3</v>
      </c>
      <c r="J6007" t="str">
        <f>HYPERLINK("https://climate.onebuilding.org/WMO_Region_6_Europe/GRC_Greece/AI_Aegean/GRC_AI_Mytiline.Intl.AP.166670_TMYx.zip")</f>
        <v>https://climate.onebuilding.org/WMO_Region_6_Europe/GRC_Greece/AI_Aegean/GRC_AI_Mytiline.Intl.AP.166670_TMYx.zip</v>
      </c>
    </row>
    <row r="6008" spans="1:10" x14ac:dyDescent="0.25">
      <c r="A6008" t="s">
        <v>4660</v>
      </c>
      <c r="B6008" t="s">
        <v>4680</v>
      </c>
      <c r="C6008" t="s">
        <v>4696</v>
      </c>
      <c r="D6008">
        <v>166720</v>
      </c>
      <c r="E6008" t="s">
        <v>14</v>
      </c>
      <c r="F6008">
        <v>38.6</v>
      </c>
      <c r="G6008">
        <v>21.35</v>
      </c>
      <c r="H6008">
        <v>2</v>
      </c>
      <c r="I6008">
        <v>24</v>
      </c>
      <c r="J6008" t="str">
        <f>HYPERLINK("https://climate.onebuilding.org/WMO_Region_6_Europe/GRC_Greece/PW_Peloponnese_Western_Greece_and_Ionian_Islands/GRC_PW_Agrinion.AP.166720_TMYx.zip")</f>
        <v>https://climate.onebuilding.org/WMO_Region_6_Europe/GRC_Greece/PW_Peloponnese_Western_Greece_and_Ionian_Islands/GRC_PW_Agrinion.AP.166720_TMYx.zip</v>
      </c>
    </row>
    <row r="6009" spans="1:10" x14ac:dyDescent="0.25">
      <c r="A6009" t="s">
        <v>4660</v>
      </c>
      <c r="B6009" t="s">
        <v>4683</v>
      </c>
      <c r="C6009" t="s">
        <v>4697</v>
      </c>
      <c r="D6009">
        <v>166750</v>
      </c>
      <c r="E6009" t="s">
        <v>4698</v>
      </c>
      <c r="F6009">
        <v>38.883000000000003</v>
      </c>
      <c r="G6009">
        <v>22.433</v>
      </c>
      <c r="H6009">
        <v>2</v>
      </c>
      <c r="I6009">
        <v>13.8</v>
      </c>
      <c r="J6009" t="str">
        <f>HYPERLINK("https://climate.onebuilding.org/WMO_Region_6_Europe/GRC_Greece/TC_Thessaly_and_Central_Greece/GRC_TC_Lamia.166750_TMYx.2004-2018.zip")</f>
        <v>https://climate.onebuilding.org/WMO_Region_6_Europe/GRC_Greece/TC_Thessaly_and_Central_Greece/GRC_TC_Lamia.166750_TMYx.2004-2018.zip</v>
      </c>
    </row>
    <row r="6010" spans="1:10" x14ac:dyDescent="0.25">
      <c r="A6010" t="s">
        <v>4660</v>
      </c>
      <c r="B6010" t="s">
        <v>4683</v>
      </c>
      <c r="C6010" t="s">
        <v>4697</v>
      </c>
      <c r="D6010">
        <v>166750</v>
      </c>
      <c r="E6010" t="s">
        <v>14</v>
      </c>
      <c r="F6010">
        <v>38.8767</v>
      </c>
      <c r="G6010">
        <v>22.4361</v>
      </c>
      <c r="H6010">
        <v>2</v>
      </c>
      <c r="I6010">
        <v>13.8</v>
      </c>
      <c r="J6010" t="str">
        <f>HYPERLINK("https://climate.onebuilding.org/WMO_Region_6_Europe/GRC_Greece/TC_Thessaly_and_Central_Greece/GRC_TC_Lamia.166750_TMYx.2007-2021.zip")</f>
        <v>https://climate.onebuilding.org/WMO_Region_6_Europe/GRC_Greece/TC_Thessaly_and_Central_Greece/GRC_TC_Lamia.166750_TMYx.2007-2021.zip</v>
      </c>
    </row>
    <row r="6011" spans="1:10" x14ac:dyDescent="0.25">
      <c r="A6011" t="s">
        <v>4660</v>
      </c>
      <c r="B6011" t="s">
        <v>4683</v>
      </c>
      <c r="C6011" t="s">
        <v>4697</v>
      </c>
      <c r="D6011">
        <v>166750</v>
      </c>
      <c r="E6011" t="s">
        <v>14</v>
      </c>
      <c r="F6011">
        <v>38.8767</v>
      </c>
      <c r="G6011">
        <v>22.4361</v>
      </c>
      <c r="H6011">
        <v>2</v>
      </c>
      <c r="I6011">
        <v>13.8</v>
      </c>
      <c r="J6011" t="str">
        <f>HYPERLINK("https://climate.onebuilding.org/WMO_Region_6_Europe/GRC_Greece/TC_Thessaly_and_Central_Greece/GRC_TC_Lamia.166750_TMYx.2009-2023.zip")</f>
        <v>https://climate.onebuilding.org/WMO_Region_6_Europe/GRC_Greece/TC_Thessaly_and_Central_Greece/GRC_TC_Lamia.166750_TMYx.2009-2023.zip</v>
      </c>
    </row>
    <row r="6012" spans="1:10" x14ac:dyDescent="0.25">
      <c r="A6012" t="s">
        <v>4660</v>
      </c>
      <c r="B6012" t="s">
        <v>4683</v>
      </c>
      <c r="C6012" t="s">
        <v>4697</v>
      </c>
      <c r="D6012">
        <v>166750</v>
      </c>
      <c r="E6012" t="s">
        <v>14</v>
      </c>
      <c r="F6012">
        <v>38.8767</v>
      </c>
      <c r="G6012">
        <v>22.4361</v>
      </c>
      <c r="H6012">
        <v>2</v>
      </c>
      <c r="I6012">
        <v>13.8</v>
      </c>
      <c r="J6012" t="str">
        <f>HYPERLINK("https://climate.onebuilding.org/WMO_Region_6_Europe/GRC_Greece/TC_Thessaly_and_Central_Greece/GRC_TC_Lamia.166750_TMYx.zip")</f>
        <v>https://climate.onebuilding.org/WMO_Region_6_Europe/GRC_Greece/TC_Thessaly_and_Central_Greece/GRC_TC_Lamia.166750_TMYx.zip</v>
      </c>
    </row>
    <row r="6013" spans="1:10" x14ac:dyDescent="0.25">
      <c r="A6013" t="s">
        <v>4660</v>
      </c>
      <c r="B6013" t="s">
        <v>4680</v>
      </c>
      <c r="C6013" t="s">
        <v>4699</v>
      </c>
      <c r="D6013">
        <v>166820</v>
      </c>
      <c r="E6013" t="s">
        <v>4700</v>
      </c>
      <c r="F6013">
        <v>37.920999999999999</v>
      </c>
      <c r="G6013">
        <v>21.292999999999999</v>
      </c>
      <c r="H6013">
        <v>2</v>
      </c>
      <c r="I6013">
        <v>16.8</v>
      </c>
      <c r="J6013" t="str">
        <f>HYPERLINK("https://climate.onebuilding.org/WMO_Region_6_Europe/GRC_Greece/PW_Peloponnese_Western_Greece_and_Ionian_Islands/GRC_PW_Andravida.AP.166820_TMYx.2004-2018.zip")</f>
        <v>https://climate.onebuilding.org/WMO_Region_6_Europe/GRC_Greece/PW_Peloponnese_Western_Greece_and_Ionian_Islands/GRC_PW_Andravida.AP.166820_TMYx.2004-2018.zip</v>
      </c>
    </row>
    <row r="6014" spans="1:10" x14ac:dyDescent="0.25">
      <c r="A6014" t="s">
        <v>4660</v>
      </c>
      <c r="B6014" t="s">
        <v>4680</v>
      </c>
      <c r="C6014" t="s">
        <v>4699</v>
      </c>
      <c r="D6014">
        <v>166820</v>
      </c>
      <c r="E6014" t="s">
        <v>14</v>
      </c>
      <c r="F6014">
        <v>37.923000000000002</v>
      </c>
      <c r="G6014">
        <v>21.288</v>
      </c>
      <c r="H6014">
        <v>2</v>
      </c>
      <c r="I6014">
        <v>16.8</v>
      </c>
      <c r="J6014" t="str">
        <f>HYPERLINK("https://climate.onebuilding.org/WMO_Region_6_Europe/GRC_Greece/PW_Peloponnese_Western_Greece_and_Ionian_Islands/GRC_PW_Andravida.AP.166820_TMYx.2007-2021.zip")</f>
        <v>https://climate.onebuilding.org/WMO_Region_6_Europe/GRC_Greece/PW_Peloponnese_Western_Greece_and_Ionian_Islands/GRC_PW_Andravida.AP.166820_TMYx.2007-2021.zip</v>
      </c>
    </row>
    <row r="6015" spans="1:10" x14ac:dyDescent="0.25">
      <c r="A6015" t="s">
        <v>4660</v>
      </c>
      <c r="B6015" t="s">
        <v>4680</v>
      </c>
      <c r="C6015" t="s">
        <v>4699</v>
      </c>
      <c r="D6015">
        <v>166820</v>
      </c>
      <c r="E6015" t="s">
        <v>14</v>
      </c>
      <c r="F6015">
        <v>37.923000000000002</v>
      </c>
      <c r="G6015">
        <v>21.288</v>
      </c>
      <c r="H6015">
        <v>2</v>
      </c>
      <c r="I6015">
        <v>16.8</v>
      </c>
      <c r="J6015" t="str">
        <f>HYPERLINK("https://climate.onebuilding.org/WMO_Region_6_Europe/GRC_Greece/PW_Peloponnese_Western_Greece_and_Ionian_Islands/GRC_PW_Andravida.AP.166820_TMYx.2009-2023.zip")</f>
        <v>https://climate.onebuilding.org/WMO_Region_6_Europe/GRC_Greece/PW_Peloponnese_Western_Greece_and_Ionian_Islands/GRC_PW_Andravida.AP.166820_TMYx.2009-2023.zip</v>
      </c>
    </row>
    <row r="6016" spans="1:10" x14ac:dyDescent="0.25">
      <c r="A6016" t="s">
        <v>4660</v>
      </c>
      <c r="B6016" t="s">
        <v>4680</v>
      </c>
      <c r="C6016" t="s">
        <v>4699</v>
      </c>
      <c r="D6016">
        <v>166820</v>
      </c>
      <c r="E6016" t="s">
        <v>14</v>
      </c>
      <c r="F6016">
        <v>37.923000000000002</v>
      </c>
      <c r="G6016">
        <v>21.288</v>
      </c>
      <c r="H6016">
        <v>2</v>
      </c>
      <c r="I6016">
        <v>16.8</v>
      </c>
      <c r="J6016" t="str">
        <f>HYPERLINK("https://climate.onebuilding.org/WMO_Region_6_Europe/GRC_Greece/PW_Peloponnese_Western_Greece_and_Ionian_Islands/GRC_PW_Andravida.AP.166820_TMYx.zip")</f>
        <v>https://climate.onebuilding.org/WMO_Region_6_Europe/GRC_Greece/PW_Peloponnese_Western_Greece_and_Ionian_Islands/GRC_PW_Andravida.AP.166820_TMYx.zip</v>
      </c>
    </row>
    <row r="6017" spans="1:10" x14ac:dyDescent="0.25">
      <c r="A6017" t="s">
        <v>4660</v>
      </c>
      <c r="B6017" t="s">
        <v>4683</v>
      </c>
      <c r="C6017" t="s">
        <v>4701</v>
      </c>
      <c r="D6017">
        <v>166830</v>
      </c>
      <c r="E6017" t="s">
        <v>14</v>
      </c>
      <c r="F6017">
        <v>38.633000000000003</v>
      </c>
      <c r="G6017">
        <v>24.1</v>
      </c>
      <c r="H6017">
        <v>2</v>
      </c>
      <c r="I6017">
        <v>221</v>
      </c>
      <c r="J6017" t="str">
        <f>HYPERLINK("https://climate.onebuilding.org/WMO_Region_6_Europe/GRC_Greece/TC_Thessaly_and_Central_Greece/GRC_TC_Kymi.166830_TMYx.zip")</f>
        <v>https://climate.onebuilding.org/WMO_Region_6_Europe/GRC_Greece/TC_Thessaly_and_Central_Greece/GRC_TC_Kymi.166830_TMYx.zip</v>
      </c>
    </row>
    <row r="6018" spans="1:10" x14ac:dyDescent="0.25">
      <c r="A6018" t="s">
        <v>4660</v>
      </c>
      <c r="B6018" t="s">
        <v>896</v>
      </c>
      <c r="C6018" t="s">
        <v>4702</v>
      </c>
      <c r="D6018">
        <v>166840</v>
      </c>
      <c r="E6018" t="s">
        <v>4703</v>
      </c>
      <c r="F6018">
        <v>38.968000000000004</v>
      </c>
      <c r="G6018">
        <v>24.486999999999998</v>
      </c>
      <c r="H6018">
        <v>2</v>
      </c>
      <c r="I6018">
        <v>13.4</v>
      </c>
      <c r="J6018" t="str">
        <f>HYPERLINK("https://climate.onebuilding.org/WMO_Region_6_Europe/GRC_Greece/AI_Aegean/GRC_AI_Skiros.Island.AP.166840_TMYx.2004-2018.zip")</f>
        <v>https://climate.onebuilding.org/WMO_Region_6_Europe/GRC_Greece/AI_Aegean/GRC_AI_Skiros.Island.AP.166840_TMYx.2004-2018.zip</v>
      </c>
    </row>
    <row r="6019" spans="1:10" x14ac:dyDescent="0.25">
      <c r="A6019" t="s">
        <v>4660</v>
      </c>
      <c r="B6019" t="s">
        <v>896</v>
      </c>
      <c r="C6019" t="s">
        <v>4702</v>
      </c>
      <c r="D6019">
        <v>166840</v>
      </c>
      <c r="E6019" t="s">
        <v>14</v>
      </c>
      <c r="F6019">
        <v>38.962899999999998</v>
      </c>
      <c r="G6019">
        <v>24.4907</v>
      </c>
      <c r="H6019">
        <v>2</v>
      </c>
      <c r="I6019">
        <v>13.4</v>
      </c>
      <c r="J6019" t="str">
        <f>HYPERLINK("https://climate.onebuilding.org/WMO_Region_6_Europe/GRC_Greece/AI_Aegean/GRC_AI_Skiros.Island.AP.166840_TMYx.2007-2021.zip")</f>
        <v>https://climate.onebuilding.org/WMO_Region_6_Europe/GRC_Greece/AI_Aegean/GRC_AI_Skiros.Island.AP.166840_TMYx.2007-2021.zip</v>
      </c>
    </row>
    <row r="6020" spans="1:10" x14ac:dyDescent="0.25">
      <c r="A6020" t="s">
        <v>4660</v>
      </c>
      <c r="B6020" t="s">
        <v>896</v>
      </c>
      <c r="C6020" t="s">
        <v>4702</v>
      </c>
      <c r="D6020">
        <v>166840</v>
      </c>
      <c r="E6020" t="s">
        <v>14</v>
      </c>
      <c r="F6020">
        <v>38.962899999999998</v>
      </c>
      <c r="G6020">
        <v>24.4907</v>
      </c>
      <c r="H6020">
        <v>2</v>
      </c>
      <c r="I6020">
        <v>13.4</v>
      </c>
      <c r="J6020" t="str">
        <f>HYPERLINK("https://climate.onebuilding.org/WMO_Region_6_Europe/GRC_Greece/AI_Aegean/GRC_AI_Skiros.Island.AP.166840_TMYx.2009-2023.zip")</f>
        <v>https://climate.onebuilding.org/WMO_Region_6_Europe/GRC_Greece/AI_Aegean/GRC_AI_Skiros.Island.AP.166840_TMYx.2009-2023.zip</v>
      </c>
    </row>
    <row r="6021" spans="1:10" x14ac:dyDescent="0.25">
      <c r="A6021" t="s">
        <v>4660</v>
      </c>
      <c r="B6021" t="s">
        <v>896</v>
      </c>
      <c r="C6021" t="s">
        <v>4702</v>
      </c>
      <c r="D6021">
        <v>166840</v>
      </c>
      <c r="E6021" t="s">
        <v>14</v>
      </c>
      <c r="F6021">
        <v>38.962899999999998</v>
      </c>
      <c r="G6021">
        <v>24.4907</v>
      </c>
      <c r="H6021">
        <v>2</v>
      </c>
      <c r="I6021">
        <v>13.4</v>
      </c>
      <c r="J6021" t="str">
        <f>HYPERLINK("https://climate.onebuilding.org/WMO_Region_6_Europe/GRC_Greece/AI_Aegean/GRC_AI_Skiros.Island.AP.166840_TMYx.zip")</f>
        <v>https://climate.onebuilding.org/WMO_Region_6_Europe/GRC_Greece/AI_Aegean/GRC_AI_Skiros.Island.AP.166840_TMYx.zip</v>
      </c>
    </row>
    <row r="6022" spans="1:10" x14ac:dyDescent="0.25">
      <c r="A6022" t="s">
        <v>4660</v>
      </c>
      <c r="B6022" t="s">
        <v>4680</v>
      </c>
      <c r="C6022" t="s">
        <v>4704</v>
      </c>
      <c r="D6022">
        <v>166850</v>
      </c>
      <c r="E6022" t="s">
        <v>4705</v>
      </c>
      <c r="F6022">
        <v>38.119999999999997</v>
      </c>
      <c r="G6022">
        <v>20.5</v>
      </c>
      <c r="H6022">
        <v>2</v>
      </c>
      <c r="I6022">
        <v>18</v>
      </c>
      <c r="J6022" t="str">
        <f>HYPERLINK("https://climate.onebuilding.org/WMO_Region_6_Europe/GRC_Greece/PW_Peloponnese_Western_Greece_and_Ionian_Islands/GRC_PW_Kefalonia.Intl.AP.166850_TMYx.2004-2018.zip")</f>
        <v>https://climate.onebuilding.org/WMO_Region_6_Europe/GRC_Greece/PW_Peloponnese_Western_Greece_and_Ionian_Islands/GRC_PW_Kefalonia.Intl.AP.166850_TMYx.2004-2018.zip</v>
      </c>
    </row>
    <row r="6023" spans="1:10" x14ac:dyDescent="0.25">
      <c r="A6023" t="s">
        <v>4660</v>
      </c>
      <c r="B6023" t="s">
        <v>4680</v>
      </c>
      <c r="C6023" t="s">
        <v>4704</v>
      </c>
      <c r="D6023">
        <v>166850</v>
      </c>
      <c r="E6023" t="s">
        <v>14</v>
      </c>
      <c r="F6023">
        <v>38.119999999999997</v>
      </c>
      <c r="G6023">
        <v>20.5</v>
      </c>
      <c r="H6023">
        <v>2</v>
      </c>
      <c r="I6023">
        <v>18</v>
      </c>
      <c r="J6023" t="str">
        <f>HYPERLINK("https://climate.onebuilding.org/WMO_Region_6_Europe/GRC_Greece/PW_Peloponnese_Western_Greece_and_Ionian_Islands/GRC_PW_Kefalonia.Intl.AP.166850_TMYx.2007-2021.zip")</f>
        <v>https://climate.onebuilding.org/WMO_Region_6_Europe/GRC_Greece/PW_Peloponnese_Western_Greece_and_Ionian_Islands/GRC_PW_Kefalonia.Intl.AP.166850_TMYx.2007-2021.zip</v>
      </c>
    </row>
    <row r="6024" spans="1:10" x14ac:dyDescent="0.25">
      <c r="A6024" t="s">
        <v>4660</v>
      </c>
      <c r="B6024" t="s">
        <v>4680</v>
      </c>
      <c r="C6024" t="s">
        <v>4704</v>
      </c>
      <c r="D6024">
        <v>166850</v>
      </c>
      <c r="E6024" t="s">
        <v>14</v>
      </c>
      <c r="F6024">
        <v>38.119999999999997</v>
      </c>
      <c r="G6024">
        <v>20.5</v>
      </c>
      <c r="H6024">
        <v>2</v>
      </c>
      <c r="I6024">
        <v>18</v>
      </c>
      <c r="J6024" t="str">
        <f>HYPERLINK("https://climate.onebuilding.org/WMO_Region_6_Europe/GRC_Greece/PW_Peloponnese_Western_Greece_and_Ionian_Islands/GRC_PW_Kefalonia.Intl.AP.166850_TMYx.2009-2023.zip")</f>
        <v>https://climate.onebuilding.org/WMO_Region_6_Europe/GRC_Greece/PW_Peloponnese_Western_Greece_and_Ionian_Islands/GRC_PW_Kefalonia.Intl.AP.166850_TMYx.2009-2023.zip</v>
      </c>
    </row>
    <row r="6025" spans="1:10" x14ac:dyDescent="0.25">
      <c r="A6025" t="s">
        <v>4660</v>
      </c>
      <c r="B6025" t="s">
        <v>4680</v>
      </c>
      <c r="C6025" t="s">
        <v>4704</v>
      </c>
      <c r="D6025">
        <v>166850</v>
      </c>
      <c r="E6025" t="s">
        <v>14</v>
      </c>
      <c r="F6025">
        <v>38.119999999999997</v>
      </c>
      <c r="G6025">
        <v>20.5</v>
      </c>
      <c r="H6025">
        <v>2</v>
      </c>
      <c r="I6025">
        <v>18</v>
      </c>
      <c r="J6025" t="str">
        <f>HYPERLINK("https://climate.onebuilding.org/WMO_Region_6_Europe/GRC_Greece/PW_Peloponnese_Western_Greece_and_Ionian_Islands/GRC_PW_Kefalonia.Intl.AP.166850_TMYx.zip")</f>
        <v>https://climate.onebuilding.org/WMO_Region_6_Europe/GRC_Greece/PW_Peloponnese_Western_Greece_and_Ionian_Islands/GRC_PW_Kefalonia.Intl.AP.166850_TMYx.zip</v>
      </c>
    </row>
    <row r="6026" spans="1:10" x14ac:dyDescent="0.25">
      <c r="A6026" t="s">
        <v>4660</v>
      </c>
      <c r="B6026" t="s">
        <v>4680</v>
      </c>
      <c r="C6026" t="s">
        <v>4706</v>
      </c>
      <c r="D6026">
        <v>166870</v>
      </c>
      <c r="E6026" t="s">
        <v>4707</v>
      </c>
      <c r="F6026">
        <v>38.151000000000003</v>
      </c>
      <c r="G6026">
        <v>21.425999999999998</v>
      </c>
      <c r="H6026">
        <v>2</v>
      </c>
      <c r="I6026">
        <v>14</v>
      </c>
      <c r="J6026" t="str">
        <f>HYPERLINK("https://climate.onebuilding.org/WMO_Region_6_Europe/GRC_Greece/PW_Peloponnese_Western_Greece_and_Ionian_Islands/GRC_PW_Araxos.AP.166870_TMYx.2004-2018.zip")</f>
        <v>https://climate.onebuilding.org/WMO_Region_6_Europe/GRC_Greece/PW_Peloponnese_Western_Greece_and_Ionian_Islands/GRC_PW_Araxos.AP.166870_TMYx.2004-2018.zip</v>
      </c>
    </row>
    <row r="6027" spans="1:10" x14ac:dyDescent="0.25">
      <c r="A6027" t="s">
        <v>4660</v>
      </c>
      <c r="B6027" t="s">
        <v>4680</v>
      </c>
      <c r="C6027" t="s">
        <v>4706</v>
      </c>
      <c r="D6027">
        <v>166870</v>
      </c>
      <c r="E6027" t="s">
        <v>14</v>
      </c>
      <c r="F6027">
        <v>38.151000000000003</v>
      </c>
      <c r="G6027">
        <v>21.425999999999998</v>
      </c>
      <c r="H6027">
        <v>2</v>
      </c>
      <c r="I6027">
        <v>14</v>
      </c>
      <c r="J6027" t="str">
        <f>HYPERLINK("https://climate.onebuilding.org/WMO_Region_6_Europe/GRC_Greece/PW_Peloponnese_Western_Greece_and_Ionian_Islands/GRC_PW_Araxos.AP.166870_TMYx.2007-2021.zip")</f>
        <v>https://climate.onebuilding.org/WMO_Region_6_Europe/GRC_Greece/PW_Peloponnese_Western_Greece_and_Ionian_Islands/GRC_PW_Araxos.AP.166870_TMYx.2007-2021.zip</v>
      </c>
    </row>
    <row r="6028" spans="1:10" x14ac:dyDescent="0.25">
      <c r="A6028" t="s">
        <v>4660</v>
      </c>
      <c r="B6028" t="s">
        <v>4680</v>
      </c>
      <c r="C6028" t="s">
        <v>4706</v>
      </c>
      <c r="D6028">
        <v>166870</v>
      </c>
      <c r="E6028" t="s">
        <v>14</v>
      </c>
      <c r="F6028">
        <v>38.151000000000003</v>
      </c>
      <c r="G6028">
        <v>21.425999999999998</v>
      </c>
      <c r="H6028">
        <v>2</v>
      </c>
      <c r="I6028">
        <v>14</v>
      </c>
      <c r="J6028" t="str">
        <f>HYPERLINK("https://climate.onebuilding.org/WMO_Region_6_Europe/GRC_Greece/PW_Peloponnese_Western_Greece_and_Ionian_Islands/GRC_PW_Araxos.AP.166870_TMYx.2009-2023.zip")</f>
        <v>https://climate.onebuilding.org/WMO_Region_6_Europe/GRC_Greece/PW_Peloponnese_Western_Greece_and_Ionian_Islands/GRC_PW_Araxos.AP.166870_TMYx.2009-2023.zip</v>
      </c>
    </row>
    <row r="6029" spans="1:10" x14ac:dyDescent="0.25">
      <c r="A6029" t="s">
        <v>4660</v>
      </c>
      <c r="B6029" t="s">
        <v>4680</v>
      </c>
      <c r="C6029" t="s">
        <v>4706</v>
      </c>
      <c r="D6029">
        <v>166870</v>
      </c>
      <c r="E6029" t="s">
        <v>14</v>
      </c>
      <c r="F6029">
        <v>38.151000000000003</v>
      </c>
      <c r="G6029">
        <v>21.425999999999998</v>
      </c>
      <c r="H6029">
        <v>2</v>
      </c>
      <c r="I6029">
        <v>14</v>
      </c>
      <c r="J6029" t="str">
        <f>HYPERLINK("https://climate.onebuilding.org/WMO_Region_6_Europe/GRC_Greece/PW_Peloponnese_Western_Greece_and_Ionian_Islands/GRC_PW_Araxos.AP.166870_TMYx.zip")</f>
        <v>https://climate.onebuilding.org/WMO_Region_6_Europe/GRC_Greece/PW_Peloponnese_Western_Greece_and_Ionian_Islands/GRC_PW_Araxos.AP.166870_TMYx.zip</v>
      </c>
    </row>
    <row r="6030" spans="1:10" x14ac:dyDescent="0.25">
      <c r="A6030" t="s">
        <v>4660</v>
      </c>
      <c r="B6030" t="s">
        <v>4680</v>
      </c>
      <c r="C6030" t="s">
        <v>4708</v>
      </c>
      <c r="D6030">
        <v>166890</v>
      </c>
      <c r="E6030" t="s">
        <v>14</v>
      </c>
      <c r="F6030">
        <v>38.25</v>
      </c>
      <c r="G6030">
        <v>21.733000000000001</v>
      </c>
      <c r="H6030">
        <v>2</v>
      </c>
      <c r="I6030">
        <v>3</v>
      </c>
      <c r="J6030" t="str">
        <f>HYPERLINK("https://climate.onebuilding.org/WMO_Region_6_Europe/GRC_Greece/PW_Peloponnese_Western_Greece_and_Ionian_Islands/GRC_PW_Patras.166890_TMYx.zip")</f>
        <v>https://climate.onebuilding.org/WMO_Region_6_Europe/GRC_Greece/PW_Peloponnese_Western_Greece_and_Ionian_Islands/GRC_PW_Patras.166890_TMYx.zip</v>
      </c>
    </row>
    <row r="6031" spans="1:10" x14ac:dyDescent="0.25">
      <c r="A6031" t="s">
        <v>4660</v>
      </c>
      <c r="B6031" t="s">
        <v>4683</v>
      </c>
      <c r="C6031" t="s">
        <v>4709</v>
      </c>
      <c r="D6031">
        <v>166990</v>
      </c>
      <c r="E6031" t="s">
        <v>4710</v>
      </c>
      <c r="F6031">
        <v>38.340000000000003</v>
      </c>
      <c r="G6031">
        <v>23.565000000000001</v>
      </c>
      <c r="H6031">
        <v>2</v>
      </c>
      <c r="I6031">
        <v>147.80000000000001</v>
      </c>
      <c r="J6031" t="str">
        <f>HYPERLINK("https://climate.onebuilding.org/WMO_Region_6_Europe/GRC_Greece/TC_Thessaly_and_Central_Greece/GRC_TC_Tanagra.AP.166990_TMYx.2004-2018.zip")</f>
        <v>https://climate.onebuilding.org/WMO_Region_6_Europe/GRC_Greece/TC_Thessaly_and_Central_Greece/GRC_TC_Tanagra.AP.166990_TMYx.2004-2018.zip</v>
      </c>
    </row>
    <row r="6032" spans="1:10" x14ac:dyDescent="0.25">
      <c r="A6032" t="s">
        <v>4660</v>
      </c>
      <c r="B6032" t="s">
        <v>4683</v>
      </c>
      <c r="C6032" t="s">
        <v>4709</v>
      </c>
      <c r="D6032">
        <v>166990</v>
      </c>
      <c r="E6032" t="s">
        <v>14</v>
      </c>
      <c r="F6032">
        <v>38.340000000000003</v>
      </c>
      <c r="G6032">
        <v>23.565000000000001</v>
      </c>
      <c r="H6032">
        <v>2</v>
      </c>
      <c r="I6032">
        <v>147.80000000000001</v>
      </c>
      <c r="J6032" t="str">
        <f>HYPERLINK("https://climate.onebuilding.org/WMO_Region_6_Europe/GRC_Greece/TC_Thessaly_and_Central_Greece/GRC_TC_Tanagra.AP.166990_TMYx.2007-2021.zip")</f>
        <v>https://climate.onebuilding.org/WMO_Region_6_Europe/GRC_Greece/TC_Thessaly_and_Central_Greece/GRC_TC_Tanagra.AP.166990_TMYx.2007-2021.zip</v>
      </c>
    </row>
    <row r="6033" spans="1:10" x14ac:dyDescent="0.25">
      <c r="A6033" t="s">
        <v>4660</v>
      </c>
      <c r="B6033" t="s">
        <v>4683</v>
      </c>
      <c r="C6033" t="s">
        <v>4709</v>
      </c>
      <c r="D6033">
        <v>166990</v>
      </c>
      <c r="E6033" t="s">
        <v>14</v>
      </c>
      <c r="F6033">
        <v>38.340000000000003</v>
      </c>
      <c r="G6033">
        <v>23.565000000000001</v>
      </c>
      <c r="H6033">
        <v>2</v>
      </c>
      <c r="I6033">
        <v>147.80000000000001</v>
      </c>
      <c r="J6033" t="str">
        <f>HYPERLINK("https://climate.onebuilding.org/WMO_Region_6_Europe/GRC_Greece/TC_Thessaly_and_Central_Greece/GRC_TC_Tanagra.AP.166990_TMYx.2009-2023.zip")</f>
        <v>https://climate.onebuilding.org/WMO_Region_6_Europe/GRC_Greece/TC_Thessaly_and_Central_Greece/GRC_TC_Tanagra.AP.166990_TMYx.2009-2023.zip</v>
      </c>
    </row>
    <row r="6034" spans="1:10" x14ac:dyDescent="0.25">
      <c r="A6034" t="s">
        <v>4660</v>
      </c>
      <c r="B6034" t="s">
        <v>4683</v>
      </c>
      <c r="C6034" t="s">
        <v>4709</v>
      </c>
      <c r="D6034">
        <v>166990</v>
      </c>
      <c r="E6034" t="s">
        <v>14</v>
      </c>
      <c r="F6034">
        <v>38.340000000000003</v>
      </c>
      <c r="G6034">
        <v>23.565000000000001</v>
      </c>
      <c r="H6034">
        <v>2</v>
      </c>
      <c r="I6034">
        <v>147.80000000000001</v>
      </c>
      <c r="J6034" t="str">
        <f>HYPERLINK("https://climate.onebuilding.org/WMO_Region_6_Europe/GRC_Greece/TC_Thessaly_and_Central_Greece/GRC_TC_Tanagra.AP.166990_TMYx.zip")</f>
        <v>https://climate.onebuilding.org/WMO_Region_6_Europe/GRC_Greece/TC_Thessaly_and_Central_Greece/GRC_TC_Tanagra.AP.166990_TMYx.zip</v>
      </c>
    </row>
    <row r="6035" spans="1:10" x14ac:dyDescent="0.25">
      <c r="A6035" t="s">
        <v>4660</v>
      </c>
      <c r="B6035" t="s">
        <v>896</v>
      </c>
      <c r="C6035" t="s">
        <v>4711</v>
      </c>
      <c r="D6035">
        <v>167040</v>
      </c>
      <c r="E6035" t="s">
        <v>14</v>
      </c>
      <c r="F6035">
        <v>38.366999999999997</v>
      </c>
      <c r="G6035">
        <v>26.141999999999999</v>
      </c>
      <c r="H6035">
        <v>2</v>
      </c>
      <c r="I6035">
        <v>61</v>
      </c>
      <c r="J6035" t="str">
        <f>HYPERLINK("https://climate.onebuilding.org/WMO_Region_6_Europe/GRC_Greece/AI_Aegean/GRC_AI_Chios.167040_TMYx.zip")</f>
        <v>https://climate.onebuilding.org/WMO_Region_6_Europe/GRC_Greece/AI_Aegean/GRC_AI_Chios.167040_TMYx.zip</v>
      </c>
    </row>
    <row r="6036" spans="1:10" x14ac:dyDescent="0.25">
      <c r="A6036" t="s">
        <v>4660</v>
      </c>
      <c r="B6036" t="s">
        <v>896</v>
      </c>
      <c r="C6036" t="s">
        <v>4712</v>
      </c>
      <c r="D6036">
        <v>167060</v>
      </c>
      <c r="E6036" t="s">
        <v>4713</v>
      </c>
      <c r="F6036">
        <v>38.343000000000004</v>
      </c>
      <c r="G6036">
        <v>26.140999999999998</v>
      </c>
      <c r="H6036">
        <v>2</v>
      </c>
      <c r="I6036">
        <v>4.5999999999999996</v>
      </c>
      <c r="J6036" t="str">
        <f>HYPERLINK("https://climate.onebuilding.org/WMO_Region_6_Europe/GRC_Greece/AI_Aegean/GRC_AI_Chios.Island.AP.167060_TMYx.2004-2018.zip")</f>
        <v>https://climate.onebuilding.org/WMO_Region_6_Europe/GRC_Greece/AI_Aegean/GRC_AI_Chios.Island.AP.167060_TMYx.2004-2018.zip</v>
      </c>
    </row>
    <row r="6037" spans="1:10" x14ac:dyDescent="0.25">
      <c r="A6037" t="s">
        <v>4660</v>
      </c>
      <c r="B6037" t="s">
        <v>896</v>
      </c>
      <c r="C6037" t="s">
        <v>4712</v>
      </c>
      <c r="D6037">
        <v>167060</v>
      </c>
      <c r="E6037" t="s">
        <v>14</v>
      </c>
      <c r="F6037">
        <v>38.343000000000004</v>
      </c>
      <c r="G6037">
        <v>26.140999999999998</v>
      </c>
      <c r="H6037">
        <v>2</v>
      </c>
      <c r="I6037">
        <v>4.5999999999999996</v>
      </c>
      <c r="J6037" t="str">
        <f>HYPERLINK("https://climate.onebuilding.org/WMO_Region_6_Europe/GRC_Greece/AI_Aegean/GRC_AI_Chios.Island.AP.167060_TMYx.2007-2021.zip")</f>
        <v>https://climate.onebuilding.org/WMO_Region_6_Europe/GRC_Greece/AI_Aegean/GRC_AI_Chios.Island.AP.167060_TMYx.2007-2021.zip</v>
      </c>
    </row>
    <row r="6038" spans="1:10" x14ac:dyDescent="0.25">
      <c r="A6038" t="s">
        <v>4660</v>
      </c>
      <c r="B6038" t="s">
        <v>896</v>
      </c>
      <c r="C6038" t="s">
        <v>4712</v>
      </c>
      <c r="D6038">
        <v>167060</v>
      </c>
      <c r="E6038" t="s">
        <v>14</v>
      </c>
      <c r="F6038">
        <v>38.343000000000004</v>
      </c>
      <c r="G6038">
        <v>26.140999999999998</v>
      </c>
      <c r="H6038">
        <v>2</v>
      </c>
      <c r="I6038">
        <v>4.5999999999999996</v>
      </c>
      <c r="J6038" t="str">
        <f>HYPERLINK("https://climate.onebuilding.org/WMO_Region_6_Europe/GRC_Greece/AI_Aegean/GRC_AI_Chios.Island.AP.167060_TMYx.2009-2023.zip")</f>
        <v>https://climate.onebuilding.org/WMO_Region_6_Europe/GRC_Greece/AI_Aegean/GRC_AI_Chios.Island.AP.167060_TMYx.2009-2023.zip</v>
      </c>
    </row>
    <row r="6039" spans="1:10" x14ac:dyDescent="0.25">
      <c r="A6039" t="s">
        <v>4660</v>
      </c>
      <c r="B6039" t="s">
        <v>896</v>
      </c>
      <c r="C6039" t="s">
        <v>4712</v>
      </c>
      <c r="D6039">
        <v>167060</v>
      </c>
      <c r="E6039" t="s">
        <v>14</v>
      </c>
      <c r="F6039">
        <v>38.343000000000004</v>
      </c>
      <c r="G6039">
        <v>26.140999999999998</v>
      </c>
      <c r="H6039">
        <v>2</v>
      </c>
      <c r="I6039">
        <v>4.5999999999999996</v>
      </c>
      <c r="J6039" t="str">
        <f>HYPERLINK("https://climate.onebuilding.org/WMO_Region_6_Europe/GRC_Greece/AI_Aegean/GRC_AI_Chios.Island.AP.167060_TMYx.zip")</f>
        <v>https://climate.onebuilding.org/WMO_Region_6_Europe/GRC_Greece/AI_Aegean/GRC_AI_Chios.Island.AP.167060_TMYx.zip</v>
      </c>
    </row>
    <row r="6040" spans="1:10" x14ac:dyDescent="0.25">
      <c r="A6040" t="s">
        <v>4660</v>
      </c>
      <c r="B6040" t="s">
        <v>4680</v>
      </c>
      <c r="C6040" t="s">
        <v>4714</v>
      </c>
      <c r="D6040">
        <v>167100</v>
      </c>
      <c r="E6040" t="s">
        <v>4715</v>
      </c>
      <c r="F6040">
        <v>37.530999999999999</v>
      </c>
      <c r="G6040">
        <v>22.404</v>
      </c>
      <c r="H6040">
        <v>2</v>
      </c>
      <c r="I6040">
        <v>644</v>
      </c>
      <c r="J6040" t="str">
        <f>HYPERLINK("https://climate.onebuilding.org/WMO_Region_6_Europe/GRC_Greece/PW_Peloponnese_Western_Greece_and_Ionian_Islands/GRC_PW_Tripolis.AP.167100_TMYx.2004-2018.zip")</f>
        <v>https://climate.onebuilding.org/WMO_Region_6_Europe/GRC_Greece/PW_Peloponnese_Western_Greece_and_Ionian_Islands/GRC_PW_Tripolis.AP.167100_TMYx.2004-2018.zip</v>
      </c>
    </row>
    <row r="6041" spans="1:10" x14ac:dyDescent="0.25">
      <c r="A6041" t="s">
        <v>4660</v>
      </c>
      <c r="B6041" t="s">
        <v>4680</v>
      </c>
      <c r="C6041" t="s">
        <v>4714</v>
      </c>
      <c r="D6041">
        <v>167100</v>
      </c>
      <c r="E6041" t="s">
        <v>14</v>
      </c>
      <c r="F6041">
        <v>37.530999999999999</v>
      </c>
      <c r="G6041">
        <v>22.404</v>
      </c>
      <c r="H6041">
        <v>2</v>
      </c>
      <c r="I6041">
        <v>644</v>
      </c>
      <c r="J6041" t="str">
        <f>HYPERLINK("https://climate.onebuilding.org/WMO_Region_6_Europe/GRC_Greece/PW_Peloponnese_Western_Greece_and_Ionian_Islands/GRC_PW_Tripolis.AP.167100_TMYx.2007-2021.zip")</f>
        <v>https://climate.onebuilding.org/WMO_Region_6_Europe/GRC_Greece/PW_Peloponnese_Western_Greece_and_Ionian_Islands/GRC_PW_Tripolis.AP.167100_TMYx.2007-2021.zip</v>
      </c>
    </row>
    <row r="6042" spans="1:10" x14ac:dyDescent="0.25">
      <c r="A6042" t="s">
        <v>4660</v>
      </c>
      <c r="B6042" t="s">
        <v>4680</v>
      </c>
      <c r="C6042" t="s">
        <v>4714</v>
      </c>
      <c r="D6042">
        <v>167100</v>
      </c>
      <c r="E6042" t="s">
        <v>14</v>
      </c>
      <c r="F6042">
        <v>37.530999999999999</v>
      </c>
      <c r="G6042">
        <v>22.404</v>
      </c>
      <c r="H6042">
        <v>2</v>
      </c>
      <c r="I6042">
        <v>644</v>
      </c>
      <c r="J6042" t="str">
        <f>HYPERLINK("https://climate.onebuilding.org/WMO_Region_6_Europe/GRC_Greece/PW_Peloponnese_Western_Greece_and_Ionian_Islands/GRC_PW_Tripolis.AP.167100_TMYx.2009-2023.zip")</f>
        <v>https://climate.onebuilding.org/WMO_Region_6_Europe/GRC_Greece/PW_Peloponnese_Western_Greece_and_Ionian_Islands/GRC_PW_Tripolis.AP.167100_TMYx.2009-2023.zip</v>
      </c>
    </row>
    <row r="6043" spans="1:10" x14ac:dyDescent="0.25">
      <c r="A6043" t="s">
        <v>4660</v>
      </c>
      <c r="B6043" t="s">
        <v>4680</v>
      </c>
      <c r="C6043" t="s">
        <v>4714</v>
      </c>
      <c r="D6043">
        <v>167100</v>
      </c>
      <c r="E6043" t="s">
        <v>14</v>
      </c>
      <c r="F6043">
        <v>37.530999999999999</v>
      </c>
      <c r="G6043">
        <v>22.404</v>
      </c>
      <c r="H6043">
        <v>2</v>
      </c>
      <c r="I6043">
        <v>644</v>
      </c>
      <c r="J6043" t="str">
        <f>HYPERLINK("https://climate.onebuilding.org/WMO_Region_6_Europe/GRC_Greece/PW_Peloponnese_Western_Greece_and_Ionian_Islands/GRC_PW_Tripolis.AP.167100_TMYx.zip")</f>
        <v>https://climate.onebuilding.org/WMO_Region_6_Europe/GRC_Greece/PW_Peloponnese_Western_Greece_and_Ionian_Islands/GRC_PW_Tripolis.AP.167100_TMYx.zip</v>
      </c>
    </row>
    <row r="6044" spans="1:10" x14ac:dyDescent="0.25">
      <c r="A6044" t="s">
        <v>4660</v>
      </c>
      <c r="B6044" t="s">
        <v>4680</v>
      </c>
      <c r="C6044" t="s">
        <v>4716</v>
      </c>
      <c r="D6044">
        <v>167131</v>
      </c>
      <c r="E6044" t="s">
        <v>14</v>
      </c>
      <c r="F6044">
        <v>37.593229999999998</v>
      </c>
      <c r="G6044">
        <v>22.77571</v>
      </c>
      <c r="H6044">
        <v>2</v>
      </c>
      <c r="I6044">
        <v>2</v>
      </c>
      <c r="J6044" t="str">
        <f>HYPERLINK("https://climate.onebuilding.org/WMO_Region_6_Europe/GRC_Greece/PW_Peloponnese_Western_Greece_and_Ionian_Islands/GRC_PW_Nafplion.167131_TMYx.2007-2021.zip")</f>
        <v>https://climate.onebuilding.org/WMO_Region_6_Europe/GRC_Greece/PW_Peloponnese_Western_Greece_and_Ionian_Islands/GRC_PW_Nafplion.167131_TMYx.2007-2021.zip</v>
      </c>
    </row>
    <row r="6045" spans="1:10" x14ac:dyDescent="0.25">
      <c r="A6045" t="s">
        <v>4660</v>
      </c>
      <c r="B6045" t="s">
        <v>4680</v>
      </c>
      <c r="C6045" t="s">
        <v>4716</v>
      </c>
      <c r="D6045">
        <v>167131</v>
      </c>
      <c r="E6045" t="s">
        <v>14</v>
      </c>
      <c r="F6045">
        <v>37.593229999999998</v>
      </c>
      <c r="G6045">
        <v>22.77571</v>
      </c>
      <c r="H6045">
        <v>2</v>
      </c>
      <c r="I6045">
        <v>2</v>
      </c>
      <c r="J6045" t="str">
        <f>HYPERLINK("https://climate.onebuilding.org/WMO_Region_6_Europe/GRC_Greece/PW_Peloponnese_Western_Greece_and_Ionian_Islands/GRC_PW_Nafplion.167131_TMYx.2009-2023.zip")</f>
        <v>https://climate.onebuilding.org/WMO_Region_6_Europe/GRC_Greece/PW_Peloponnese_Western_Greece_and_Ionian_Islands/GRC_PW_Nafplion.167131_TMYx.2009-2023.zip</v>
      </c>
    </row>
    <row r="6046" spans="1:10" x14ac:dyDescent="0.25">
      <c r="A6046" t="s">
        <v>4660</v>
      </c>
      <c r="B6046" t="s">
        <v>4680</v>
      </c>
      <c r="C6046" t="s">
        <v>4716</v>
      </c>
      <c r="D6046">
        <v>167131</v>
      </c>
      <c r="E6046" t="s">
        <v>14</v>
      </c>
      <c r="F6046">
        <v>37.593229999999998</v>
      </c>
      <c r="G6046">
        <v>22.77571</v>
      </c>
      <c r="H6046">
        <v>2</v>
      </c>
      <c r="I6046">
        <v>2</v>
      </c>
      <c r="J6046" t="str">
        <f>HYPERLINK("https://climate.onebuilding.org/WMO_Region_6_Europe/GRC_Greece/PW_Peloponnese_Western_Greece_and_Ionian_Islands/GRC_PW_Nafplion.167131_TMYx.zip")</f>
        <v>https://climate.onebuilding.org/WMO_Region_6_Europe/GRC_Greece/PW_Peloponnese_Western_Greece_and_Ionian_Islands/GRC_PW_Nafplion.167131_TMYx.zip</v>
      </c>
    </row>
    <row r="6047" spans="1:10" x14ac:dyDescent="0.25">
      <c r="A6047" t="s">
        <v>4660</v>
      </c>
      <c r="B6047" t="s">
        <v>3308</v>
      </c>
      <c r="C6047" t="s">
        <v>4717</v>
      </c>
      <c r="D6047">
        <v>167150</v>
      </c>
      <c r="E6047" t="s">
        <v>14</v>
      </c>
      <c r="F6047">
        <v>38.109000000000002</v>
      </c>
      <c r="G6047">
        <v>23.783999999999999</v>
      </c>
      <c r="H6047">
        <v>2</v>
      </c>
      <c r="I6047">
        <v>239.3</v>
      </c>
      <c r="J6047" t="str">
        <f>HYPERLINK("https://climate.onebuilding.org/WMO_Region_6_Europe/GRC_Greece/AT_Attica/GRC_AT_Tatio.AP.167150_TMYx.2007-2021.zip")</f>
        <v>https://climate.onebuilding.org/WMO_Region_6_Europe/GRC_Greece/AT_Attica/GRC_AT_Tatio.AP.167150_TMYx.2007-2021.zip</v>
      </c>
    </row>
    <row r="6048" spans="1:10" x14ac:dyDescent="0.25">
      <c r="A6048" t="s">
        <v>4660</v>
      </c>
      <c r="B6048" t="s">
        <v>3308</v>
      </c>
      <c r="C6048" t="s">
        <v>4717</v>
      </c>
      <c r="D6048">
        <v>167150</v>
      </c>
      <c r="E6048" t="s">
        <v>14</v>
      </c>
      <c r="F6048">
        <v>38.109000000000002</v>
      </c>
      <c r="G6048">
        <v>23.783999999999999</v>
      </c>
      <c r="H6048">
        <v>2</v>
      </c>
      <c r="I6048">
        <v>239.3</v>
      </c>
      <c r="J6048" t="str">
        <f>HYPERLINK("https://climate.onebuilding.org/WMO_Region_6_Europe/GRC_Greece/AT_Attica/GRC_AT_Tatio.AP.167150_TMYx.2009-2023.zip")</f>
        <v>https://climate.onebuilding.org/WMO_Region_6_Europe/GRC_Greece/AT_Attica/GRC_AT_Tatio.AP.167150_TMYx.2009-2023.zip</v>
      </c>
    </row>
    <row r="6049" spans="1:10" x14ac:dyDescent="0.25">
      <c r="A6049" t="s">
        <v>4660</v>
      </c>
      <c r="B6049" t="s">
        <v>3308</v>
      </c>
      <c r="C6049" t="s">
        <v>4717</v>
      </c>
      <c r="D6049">
        <v>167150</v>
      </c>
      <c r="E6049" t="s">
        <v>14</v>
      </c>
      <c r="F6049">
        <v>38.109000000000002</v>
      </c>
      <c r="G6049">
        <v>23.783999999999999</v>
      </c>
      <c r="H6049">
        <v>2</v>
      </c>
      <c r="I6049">
        <v>239.3</v>
      </c>
      <c r="J6049" t="str">
        <f>HYPERLINK("https://climate.onebuilding.org/WMO_Region_6_Europe/GRC_Greece/AT_Attica/GRC_AT_Tatio.AP.167150_TMYx.zip")</f>
        <v>https://climate.onebuilding.org/WMO_Region_6_Europe/GRC_Greece/AT_Attica/GRC_AT_Tatio.AP.167150_TMYx.zip</v>
      </c>
    </row>
    <row r="6050" spans="1:10" x14ac:dyDescent="0.25">
      <c r="A6050" t="s">
        <v>4660</v>
      </c>
      <c r="B6050" t="s">
        <v>3308</v>
      </c>
      <c r="C6050" t="s">
        <v>4718</v>
      </c>
      <c r="D6050">
        <v>167160</v>
      </c>
      <c r="E6050" t="s">
        <v>4719</v>
      </c>
      <c r="F6050">
        <v>37.881999999999998</v>
      </c>
      <c r="G6050">
        <v>23.734999999999999</v>
      </c>
      <c r="H6050">
        <v>2</v>
      </c>
      <c r="I6050">
        <v>21</v>
      </c>
      <c r="J6050" t="str">
        <f>HYPERLINK("https://climate.onebuilding.org/WMO_Region_6_Europe/GRC_Greece/AT_Attica/GRC_AT_Athinai-Hellinikon.Olympic.Complex.167160_TMYx.2004-2018.zip")</f>
        <v>https://climate.onebuilding.org/WMO_Region_6_Europe/GRC_Greece/AT_Attica/GRC_AT_Athinai-Hellinikon.Olympic.Complex.167160_TMYx.2004-2018.zip</v>
      </c>
    </row>
    <row r="6051" spans="1:10" x14ac:dyDescent="0.25">
      <c r="A6051" t="s">
        <v>4660</v>
      </c>
      <c r="B6051" t="s">
        <v>3308</v>
      </c>
      <c r="C6051" t="s">
        <v>4718</v>
      </c>
      <c r="D6051">
        <v>167160</v>
      </c>
      <c r="E6051" t="s">
        <v>14</v>
      </c>
      <c r="F6051">
        <v>37.889699999999998</v>
      </c>
      <c r="G6051">
        <v>23.741700000000002</v>
      </c>
      <c r="H6051">
        <v>2</v>
      </c>
      <c r="I6051">
        <v>21</v>
      </c>
      <c r="J6051" t="str">
        <f>HYPERLINK("https://climate.onebuilding.org/WMO_Region_6_Europe/GRC_Greece/AT_Attica/GRC_AT_Athinai-Hellinikon.Olympic.Complex.167160_TMYx.2007-2021.zip")</f>
        <v>https://climate.onebuilding.org/WMO_Region_6_Europe/GRC_Greece/AT_Attica/GRC_AT_Athinai-Hellinikon.Olympic.Complex.167160_TMYx.2007-2021.zip</v>
      </c>
    </row>
    <row r="6052" spans="1:10" x14ac:dyDescent="0.25">
      <c r="A6052" t="s">
        <v>4660</v>
      </c>
      <c r="B6052" t="s">
        <v>3308</v>
      </c>
      <c r="C6052" t="s">
        <v>4718</v>
      </c>
      <c r="D6052">
        <v>167160</v>
      </c>
      <c r="E6052" t="s">
        <v>14</v>
      </c>
      <c r="F6052">
        <v>37.889699999999998</v>
      </c>
      <c r="G6052">
        <v>23.741700000000002</v>
      </c>
      <c r="H6052">
        <v>2</v>
      </c>
      <c r="I6052">
        <v>21</v>
      </c>
      <c r="J6052" t="str">
        <f>HYPERLINK("https://climate.onebuilding.org/WMO_Region_6_Europe/GRC_Greece/AT_Attica/GRC_AT_Athinai-Hellinikon.Olympic.Complex.167160_TMYx.2009-2023.zip")</f>
        <v>https://climate.onebuilding.org/WMO_Region_6_Europe/GRC_Greece/AT_Attica/GRC_AT_Athinai-Hellinikon.Olympic.Complex.167160_TMYx.2009-2023.zip</v>
      </c>
    </row>
    <row r="6053" spans="1:10" x14ac:dyDescent="0.25">
      <c r="A6053" t="s">
        <v>4660</v>
      </c>
      <c r="B6053" t="s">
        <v>3308</v>
      </c>
      <c r="C6053" t="s">
        <v>4718</v>
      </c>
      <c r="D6053">
        <v>167160</v>
      </c>
      <c r="E6053" t="s">
        <v>14</v>
      </c>
      <c r="F6053">
        <v>37.889699999999998</v>
      </c>
      <c r="G6053">
        <v>23.741700000000002</v>
      </c>
      <c r="H6053">
        <v>2</v>
      </c>
      <c r="I6053">
        <v>21</v>
      </c>
      <c r="J6053" t="str">
        <f>HYPERLINK("https://climate.onebuilding.org/WMO_Region_6_Europe/GRC_Greece/AT_Attica/GRC_AT_Athinai-Hellinikon.Olympic.Complex.167160_TMYx.zip")</f>
        <v>https://climate.onebuilding.org/WMO_Region_6_Europe/GRC_Greece/AT_Attica/GRC_AT_Athinai-Hellinikon.Olympic.Complex.167160_TMYx.zip</v>
      </c>
    </row>
    <row r="6054" spans="1:10" x14ac:dyDescent="0.25">
      <c r="A6054" t="s">
        <v>4660</v>
      </c>
      <c r="B6054" t="s">
        <v>3308</v>
      </c>
      <c r="C6054" t="s">
        <v>4720</v>
      </c>
      <c r="D6054">
        <v>167180</v>
      </c>
      <c r="E6054" t="s">
        <v>4721</v>
      </c>
      <c r="F6054">
        <v>38.064</v>
      </c>
      <c r="G6054">
        <v>23.556000000000001</v>
      </c>
      <c r="H6054">
        <v>2</v>
      </c>
      <c r="I6054">
        <v>43.6</v>
      </c>
      <c r="J6054" t="str">
        <f>HYPERLINK("https://climate.onebuilding.org/WMO_Region_6_Europe/GRC_Greece/AT_Attica/GRC_AT_Elefsis.AP.167180_TMYx.2004-2018.zip")</f>
        <v>https://climate.onebuilding.org/WMO_Region_6_Europe/GRC_Greece/AT_Attica/GRC_AT_Elefsis.AP.167180_TMYx.2004-2018.zip</v>
      </c>
    </row>
    <row r="6055" spans="1:10" x14ac:dyDescent="0.25">
      <c r="A6055" t="s">
        <v>4660</v>
      </c>
      <c r="B6055" t="s">
        <v>3308</v>
      </c>
      <c r="C6055" t="s">
        <v>4720</v>
      </c>
      <c r="D6055">
        <v>167180</v>
      </c>
      <c r="E6055" t="s">
        <v>14</v>
      </c>
      <c r="F6055">
        <v>38.064</v>
      </c>
      <c r="G6055">
        <v>23.556000000000001</v>
      </c>
      <c r="H6055">
        <v>2</v>
      </c>
      <c r="I6055">
        <v>43.6</v>
      </c>
      <c r="J6055" t="str">
        <f>HYPERLINK("https://climate.onebuilding.org/WMO_Region_6_Europe/GRC_Greece/AT_Attica/GRC_AT_Elefsis.AP.167180_TMYx.2007-2021.zip")</f>
        <v>https://climate.onebuilding.org/WMO_Region_6_Europe/GRC_Greece/AT_Attica/GRC_AT_Elefsis.AP.167180_TMYx.2007-2021.zip</v>
      </c>
    </row>
    <row r="6056" spans="1:10" x14ac:dyDescent="0.25">
      <c r="A6056" t="s">
        <v>4660</v>
      </c>
      <c r="B6056" t="s">
        <v>3308</v>
      </c>
      <c r="C6056" t="s">
        <v>4720</v>
      </c>
      <c r="D6056">
        <v>167180</v>
      </c>
      <c r="E6056" t="s">
        <v>14</v>
      </c>
      <c r="F6056">
        <v>38.064</v>
      </c>
      <c r="G6056">
        <v>23.556000000000001</v>
      </c>
      <c r="H6056">
        <v>2</v>
      </c>
      <c r="I6056">
        <v>43.6</v>
      </c>
      <c r="J6056" t="str">
        <f>HYPERLINK("https://climate.onebuilding.org/WMO_Region_6_Europe/GRC_Greece/AT_Attica/GRC_AT_Elefsis.AP.167180_TMYx.2009-2023.zip")</f>
        <v>https://climate.onebuilding.org/WMO_Region_6_Europe/GRC_Greece/AT_Attica/GRC_AT_Elefsis.AP.167180_TMYx.2009-2023.zip</v>
      </c>
    </row>
    <row r="6057" spans="1:10" x14ac:dyDescent="0.25">
      <c r="A6057" t="s">
        <v>4660</v>
      </c>
      <c r="B6057" t="s">
        <v>3308</v>
      </c>
      <c r="C6057" t="s">
        <v>4720</v>
      </c>
      <c r="D6057">
        <v>167180</v>
      </c>
      <c r="E6057" t="s">
        <v>14</v>
      </c>
      <c r="F6057">
        <v>38.064</v>
      </c>
      <c r="G6057">
        <v>23.556000000000001</v>
      </c>
      <c r="H6057">
        <v>2</v>
      </c>
      <c r="I6057">
        <v>43.6</v>
      </c>
      <c r="J6057" t="str">
        <f>HYPERLINK("https://climate.onebuilding.org/WMO_Region_6_Europe/GRC_Greece/AT_Attica/GRC_AT_Elefsis.AP.167180_TMYx.zip")</f>
        <v>https://climate.onebuilding.org/WMO_Region_6_Europe/GRC_Greece/AT_Attica/GRC_AT_Elefsis.AP.167180_TMYx.zip</v>
      </c>
    </row>
    <row r="6058" spans="1:10" x14ac:dyDescent="0.25">
      <c r="A6058" t="s">
        <v>4660</v>
      </c>
      <c r="B6058" t="s">
        <v>4680</v>
      </c>
      <c r="C6058" t="s">
        <v>4722</v>
      </c>
      <c r="D6058">
        <v>167190</v>
      </c>
      <c r="E6058" t="s">
        <v>14</v>
      </c>
      <c r="F6058">
        <v>37.783000000000001</v>
      </c>
      <c r="G6058">
        <v>20.882999999999999</v>
      </c>
      <c r="H6058">
        <v>2</v>
      </c>
      <c r="I6058">
        <v>4</v>
      </c>
      <c r="J6058" t="str">
        <f>HYPERLINK("https://climate.onebuilding.org/WMO_Region_6_Europe/GRC_Greece/PW_Peloponnese_Western_Greece_and_Ionian_Islands/GRC_PW_Zakinthos.167190_TMYx.2007-2021.zip")</f>
        <v>https://climate.onebuilding.org/WMO_Region_6_Europe/GRC_Greece/PW_Peloponnese_Western_Greece_and_Ionian_Islands/GRC_PW_Zakinthos.167190_TMYx.2007-2021.zip</v>
      </c>
    </row>
    <row r="6059" spans="1:10" x14ac:dyDescent="0.25">
      <c r="A6059" t="s">
        <v>4660</v>
      </c>
      <c r="B6059" t="s">
        <v>4680</v>
      </c>
      <c r="C6059" t="s">
        <v>4722</v>
      </c>
      <c r="D6059">
        <v>167190</v>
      </c>
      <c r="E6059" t="s">
        <v>14</v>
      </c>
      <c r="F6059">
        <v>37.783000000000001</v>
      </c>
      <c r="G6059">
        <v>20.882999999999999</v>
      </c>
      <c r="H6059">
        <v>2</v>
      </c>
      <c r="I6059">
        <v>4</v>
      </c>
      <c r="J6059" t="str">
        <f>HYPERLINK("https://climate.onebuilding.org/WMO_Region_6_Europe/GRC_Greece/PW_Peloponnese_Western_Greece_and_Ionian_Islands/GRC_PW_Zakinthos.167190_TMYx.2009-2023.zip")</f>
        <v>https://climate.onebuilding.org/WMO_Region_6_Europe/GRC_Greece/PW_Peloponnese_Western_Greece_and_Ionian_Islands/GRC_PW_Zakinthos.167190_TMYx.2009-2023.zip</v>
      </c>
    </row>
    <row r="6060" spans="1:10" x14ac:dyDescent="0.25">
      <c r="A6060" t="s">
        <v>4660</v>
      </c>
      <c r="B6060" t="s">
        <v>4680</v>
      </c>
      <c r="C6060" t="s">
        <v>4722</v>
      </c>
      <c r="D6060">
        <v>167190</v>
      </c>
      <c r="E6060" t="s">
        <v>14</v>
      </c>
      <c r="F6060">
        <v>37.783000000000001</v>
      </c>
      <c r="G6060">
        <v>20.882999999999999</v>
      </c>
      <c r="H6060">
        <v>2</v>
      </c>
      <c r="I6060">
        <v>4</v>
      </c>
      <c r="J6060" t="str">
        <f>HYPERLINK("https://climate.onebuilding.org/WMO_Region_6_Europe/GRC_Greece/PW_Peloponnese_Western_Greece_and_Ionian_Islands/GRC_PW_Zakinthos.167190_TMYx.zip")</f>
        <v>https://climate.onebuilding.org/WMO_Region_6_Europe/GRC_Greece/PW_Peloponnese_Western_Greece_and_Ionian_Islands/GRC_PW_Zakinthos.167190_TMYx.zip</v>
      </c>
    </row>
    <row r="6061" spans="1:10" x14ac:dyDescent="0.25">
      <c r="A6061" t="s">
        <v>4660</v>
      </c>
      <c r="B6061" t="s">
        <v>4680</v>
      </c>
      <c r="C6061" t="s">
        <v>4723</v>
      </c>
      <c r="D6061">
        <v>167193</v>
      </c>
      <c r="E6061" t="s">
        <v>4724</v>
      </c>
      <c r="F6061">
        <v>37.750999999999998</v>
      </c>
      <c r="G6061">
        <v>20.884</v>
      </c>
      <c r="H6061">
        <v>2</v>
      </c>
      <c r="I6061">
        <v>4.5999999999999996</v>
      </c>
      <c r="J6061" t="str">
        <f>HYPERLINK("https://climate.onebuilding.org/WMO_Region_6_Europe/GRC_Greece/PW_Peloponnese_Western_Greece_and_Ionian_Islands/GRC_PW_Zakinthos-Solomos.Intl.AP.167193_TMYx.2004-2018.zip")</f>
        <v>https://climate.onebuilding.org/WMO_Region_6_Europe/GRC_Greece/PW_Peloponnese_Western_Greece_and_Ionian_Islands/GRC_PW_Zakinthos-Solomos.Intl.AP.167193_TMYx.2004-2018.zip</v>
      </c>
    </row>
    <row r="6062" spans="1:10" x14ac:dyDescent="0.25">
      <c r="A6062" t="s">
        <v>4660</v>
      </c>
      <c r="B6062" t="s">
        <v>4680</v>
      </c>
      <c r="C6062" t="s">
        <v>4723</v>
      </c>
      <c r="D6062">
        <v>167193</v>
      </c>
      <c r="E6062" t="s">
        <v>14</v>
      </c>
      <c r="F6062">
        <v>37.750999999999998</v>
      </c>
      <c r="G6062">
        <v>20.884</v>
      </c>
      <c r="H6062">
        <v>2</v>
      </c>
      <c r="I6062">
        <v>4.5999999999999996</v>
      </c>
      <c r="J6062" t="str">
        <f>HYPERLINK("https://climate.onebuilding.org/WMO_Region_6_Europe/GRC_Greece/PW_Peloponnese_Western_Greece_and_Ionian_Islands/GRC_PW_Zakinthos-Solomos.Intl.AP.167193_TMYx.2007-2021.zip")</f>
        <v>https://climate.onebuilding.org/WMO_Region_6_Europe/GRC_Greece/PW_Peloponnese_Western_Greece_and_Ionian_Islands/GRC_PW_Zakinthos-Solomos.Intl.AP.167193_TMYx.2007-2021.zip</v>
      </c>
    </row>
    <row r="6063" spans="1:10" x14ac:dyDescent="0.25">
      <c r="A6063" t="s">
        <v>4660</v>
      </c>
      <c r="B6063" t="s">
        <v>4680</v>
      </c>
      <c r="C6063" t="s">
        <v>4723</v>
      </c>
      <c r="D6063">
        <v>167193</v>
      </c>
      <c r="E6063" t="s">
        <v>14</v>
      </c>
      <c r="F6063">
        <v>37.750999999999998</v>
      </c>
      <c r="G6063">
        <v>20.884</v>
      </c>
      <c r="H6063">
        <v>2</v>
      </c>
      <c r="I6063">
        <v>4.5999999999999996</v>
      </c>
      <c r="J6063" t="str">
        <f>HYPERLINK("https://climate.onebuilding.org/WMO_Region_6_Europe/GRC_Greece/PW_Peloponnese_Western_Greece_and_Ionian_Islands/GRC_PW_Zakinthos-Solomos.Intl.AP.167193_TMYx.2009-2023.zip")</f>
        <v>https://climate.onebuilding.org/WMO_Region_6_Europe/GRC_Greece/PW_Peloponnese_Western_Greece_and_Ionian_Islands/GRC_PW_Zakinthos-Solomos.Intl.AP.167193_TMYx.2009-2023.zip</v>
      </c>
    </row>
    <row r="6064" spans="1:10" x14ac:dyDescent="0.25">
      <c r="A6064" t="s">
        <v>4660</v>
      </c>
      <c r="B6064" t="s">
        <v>4680</v>
      </c>
      <c r="C6064" t="s">
        <v>4723</v>
      </c>
      <c r="D6064">
        <v>167193</v>
      </c>
      <c r="E6064" t="s">
        <v>14</v>
      </c>
      <c r="F6064">
        <v>37.750999999999998</v>
      </c>
      <c r="G6064">
        <v>20.884</v>
      </c>
      <c r="H6064">
        <v>2</v>
      </c>
      <c r="I6064">
        <v>4.5999999999999996</v>
      </c>
      <c r="J6064" t="str">
        <f>HYPERLINK("https://climate.onebuilding.org/WMO_Region_6_Europe/GRC_Greece/PW_Peloponnese_Western_Greece_and_Ionian_Islands/GRC_PW_Zakinthos-Solomos.Intl.AP.167193_TMYx.zip")</f>
        <v>https://climate.onebuilding.org/WMO_Region_6_Europe/GRC_Greece/PW_Peloponnese_Western_Greece_and_Ionian_Islands/GRC_PW_Zakinthos-Solomos.Intl.AP.167193_TMYx.zip</v>
      </c>
    </row>
    <row r="6065" spans="1:10" x14ac:dyDescent="0.25">
      <c r="A6065" t="s">
        <v>4660</v>
      </c>
      <c r="B6065" t="s">
        <v>896</v>
      </c>
      <c r="C6065" t="s">
        <v>4725</v>
      </c>
      <c r="D6065">
        <v>167210</v>
      </c>
      <c r="E6065" t="s">
        <v>14</v>
      </c>
      <c r="F6065">
        <v>37.75</v>
      </c>
      <c r="G6065">
        <v>26.867000000000001</v>
      </c>
      <c r="H6065">
        <v>2</v>
      </c>
      <c r="I6065">
        <v>48</v>
      </c>
      <c r="J6065" t="str">
        <f>HYPERLINK("https://climate.onebuilding.org/WMO_Region_6_Europe/GRC_Greece/AI_Aegean/GRC_AI_Samos.Island.167210_TMYx.zip")</f>
        <v>https://climate.onebuilding.org/WMO_Region_6_Europe/GRC_Greece/AI_Aegean/GRC_AI_Samos.Island.167210_TMYx.zip</v>
      </c>
    </row>
    <row r="6066" spans="1:10" x14ac:dyDescent="0.25">
      <c r="A6066" t="s">
        <v>4660</v>
      </c>
      <c r="B6066" t="s">
        <v>896</v>
      </c>
      <c r="C6066" t="s">
        <v>4726</v>
      </c>
      <c r="D6066">
        <v>167230</v>
      </c>
      <c r="E6066" t="s">
        <v>4727</v>
      </c>
      <c r="F6066">
        <v>37.69</v>
      </c>
      <c r="G6066">
        <v>26.911999999999999</v>
      </c>
      <c r="H6066">
        <v>2</v>
      </c>
      <c r="I6066">
        <v>5.8</v>
      </c>
      <c r="J6066" t="str">
        <f>HYPERLINK("https://climate.onebuilding.org/WMO_Region_6_Europe/GRC_Greece/AI_Aegean/GRC_AI_Samos.Intl.AP.167230_TMYx.2004-2018.zip")</f>
        <v>https://climate.onebuilding.org/WMO_Region_6_Europe/GRC_Greece/AI_Aegean/GRC_AI_Samos.Intl.AP.167230_TMYx.2004-2018.zip</v>
      </c>
    </row>
    <row r="6067" spans="1:10" x14ac:dyDescent="0.25">
      <c r="A6067" t="s">
        <v>4660</v>
      </c>
      <c r="B6067" t="s">
        <v>896</v>
      </c>
      <c r="C6067" t="s">
        <v>4726</v>
      </c>
      <c r="D6067">
        <v>167230</v>
      </c>
      <c r="E6067" t="s">
        <v>14</v>
      </c>
      <c r="F6067">
        <v>37.69</v>
      </c>
      <c r="G6067">
        <v>26.911999999999999</v>
      </c>
      <c r="H6067">
        <v>2</v>
      </c>
      <c r="I6067">
        <v>5.8</v>
      </c>
      <c r="J6067" t="str">
        <f>HYPERLINK("https://climate.onebuilding.org/WMO_Region_6_Europe/GRC_Greece/AI_Aegean/GRC_AI_Samos.Intl.AP.167230_TMYx.2007-2021.zip")</f>
        <v>https://climate.onebuilding.org/WMO_Region_6_Europe/GRC_Greece/AI_Aegean/GRC_AI_Samos.Intl.AP.167230_TMYx.2007-2021.zip</v>
      </c>
    </row>
    <row r="6068" spans="1:10" x14ac:dyDescent="0.25">
      <c r="A6068" t="s">
        <v>4660</v>
      </c>
      <c r="B6068" t="s">
        <v>896</v>
      </c>
      <c r="C6068" t="s">
        <v>4726</v>
      </c>
      <c r="D6068">
        <v>167230</v>
      </c>
      <c r="E6068" t="s">
        <v>14</v>
      </c>
      <c r="F6068">
        <v>37.69</v>
      </c>
      <c r="G6068">
        <v>26.911999999999999</v>
      </c>
      <c r="H6068">
        <v>2</v>
      </c>
      <c r="I6068">
        <v>5.8</v>
      </c>
      <c r="J6068" t="str">
        <f>HYPERLINK("https://climate.onebuilding.org/WMO_Region_6_Europe/GRC_Greece/AI_Aegean/GRC_AI_Samos.Intl.AP.167230_TMYx.2009-2023.zip")</f>
        <v>https://climate.onebuilding.org/WMO_Region_6_Europe/GRC_Greece/AI_Aegean/GRC_AI_Samos.Intl.AP.167230_TMYx.2009-2023.zip</v>
      </c>
    </row>
    <row r="6069" spans="1:10" x14ac:dyDescent="0.25">
      <c r="A6069" t="s">
        <v>4660</v>
      </c>
      <c r="B6069" t="s">
        <v>896</v>
      </c>
      <c r="C6069" t="s">
        <v>4726</v>
      </c>
      <c r="D6069">
        <v>167230</v>
      </c>
      <c r="E6069" t="s">
        <v>14</v>
      </c>
      <c r="F6069">
        <v>37.69</v>
      </c>
      <c r="G6069">
        <v>26.911999999999999</v>
      </c>
      <c r="H6069">
        <v>2</v>
      </c>
      <c r="I6069">
        <v>5.8</v>
      </c>
      <c r="J6069" t="str">
        <f>HYPERLINK("https://climate.onebuilding.org/WMO_Region_6_Europe/GRC_Greece/AI_Aegean/GRC_AI_Samos.Intl.AP.167230_TMYx.zip")</f>
        <v>https://climate.onebuilding.org/WMO_Region_6_Europe/GRC_Greece/AI_Aegean/GRC_AI_Samos.Intl.AP.167230_TMYx.zip</v>
      </c>
    </row>
    <row r="6070" spans="1:10" x14ac:dyDescent="0.25">
      <c r="A6070" t="s">
        <v>4660</v>
      </c>
      <c r="B6070" t="s">
        <v>4680</v>
      </c>
      <c r="C6070" t="s">
        <v>4728</v>
      </c>
      <c r="D6070">
        <v>167260</v>
      </c>
      <c r="E6070" t="s">
        <v>4729</v>
      </c>
      <c r="F6070">
        <v>37.067999999999998</v>
      </c>
      <c r="G6070">
        <v>22.026</v>
      </c>
      <c r="H6070">
        <v>2</v>
      </c>
      <c r="I6070">
        <v>7.9</v>
      </c>
      <c r="J6070" t="str">
        <f>HYPERLINK("https://climate.onebuilding.org/WMO_Region_6_Europe/GRC_Greece/PW_Peloponnese_Western_Greece_and_Ionian_Islands/GRC_PW_Kalamata.AP.167260_TMYx.2004-2018.zip")</f>
        <v>https://climate.onebuilding.org/WMO_Region_6_Europe/GRC_Greece/PW_Peloponnese_Western_Greece_and_Ionian_Islands/GRC_PW_Kalamata.AP.167260_TMYx.2004-2018.zip</v>
      </c>
    </row>
    <row r="6071" spans="1:10" x14ac:dyDescent="0.25">
      <c r="A6071" t="s">
        <v>4660</v>
      </c>
      <c r="B6071" t="s">
        <v>4680</v>
      </c>
      <c r="C6071" t="s">
        <v>4728</v>
      </c>
      <c r="D6071">
        <v>167260</v>
      </c>
      <c r="E6071" t="s">
        <v>14</v>
      </c>
      <c r="F6071">
        <v>37.067999999999998</v>
      </c>
      <c r="G6071">
        <v>22.026</v>
      </c>
      <c r="H6071">
        <v>2</v>
      </c>
      <c r="I6071">
        <v>7.9</v>
      </c>
      <c r="J6071" t="str">
        <f>HYPERLINK("https://climate.onebuilding.org/WMO_Region_6_Europe/GRC_Greece/PW_Peloponnese_Western_Greece_and_Ionian_Islands/GRC_PW_Kalamata.AP.167260_TMYx.2007-2021.zip")</f>
        <v>https://climate.onebuilding.org/WMO_Region_6_Europe/GRC_Greece/PW_Peloponnese_Western_Greece_and_Ionian_Islands/GRC_PW_Kalamata.AP.167260_TMYx.2007-2021.zip</v>
      </c>
    </row>
    <row r="6072" spans="1:10" x14ac:dyDescent="0.25">
      <c r="A6072" t="s">
        <v>4660</v>
      </c>
      <c r="B6072" t="s">
        <v>4680</v>
      </c>
      <c r="C6072" t="s">
        <v>4728</v>
      </c>
      <c r="D6072">
        <v>167260</v>
      </c>
      <c r="E6072" t="s">
        <v>14</v>
      </c>
      <c r="F6072">
        <v>37.067999999999998</v>
      </c>
      <c r="G6072">
        <v>22.026</v>
      </c>
      <c r="H6072">
        <v>2</v>
      </c>
      <c r="I6072">
        <v>7.9</v>
      </c>
      <c r="J6072" t="str">
        <f>HYPERLINK("https://climate.onebuilding.org/WMO_Region_6_Europe/GRC_Greece/PW_Peloponnese_Western_Greece_and_Ionian_Islands/GRC_PW_Kalamata.AP.167260_TMYx.2009-2023.zip")</f>
        <v>https://climate.onebuilding.org/WMO_Region_6_Europe/GRC_Greece/PW_Peloponnese_Western_Greece_and_Ionian_Islands/GRC_PW_Kalamata.AP.167260_TMYx.2009-2023.zip</v>
      </c>
    </row>
    <row r="6073" spans="1:10" x14ac:dyDescent="0.25">
      <c r="A6073" t="s">
        <v>4660</v>
      </c>
      <c r="B6073" t="s">
        <v>4680</v>
      </c>
      <c r="C6073" t="s">
        <v>4728</v>
      </c>
      <c r="D6073">
        <v>167260</v>
      </c>
      <c r="E6073" t="s">
        <v>14</v>
      </c>
      <c r="F6073">
        <v>37.067999999999998</v>
      </c>
      <c r="G6073">
        <v>22.026</v>
      </c>
      <c r="H6073">
        <v>2</v>
      </c>
      <c r="I6073">
        <v>7.9</v>
      </c>
      <c r="J6073" t="str">
        <f>HYPERLINK("https://climate.onebuilding.org/WMO_Region_6_Europe/GRC_Greece/PW_Peloponnese_Western_Greece_and_Ionian_Islands/GRC_PW_Kalamata.AP.167260_TMYx.zip")</f>
        <v>https://climate.onebuilding.org/WMO_Region_6_Europe/GRC_Greece/PW_Peloponnese_Western_Greece_and_Ionian_Islands/GRC_PW_Kalamata.AP.167260_TMYx.zip</v>
      </c>
    </row>
    <row r="6074" spans="1:10" x14ac:dyDescent="0.25">
      <c r="A6074" t="s">
        <v>4660</v>
      </c>
      <c r="B6074" t="s">
        <v>896</v>
      </c>
      <c r="C6074" t="s">
        <v>4730</v>
      </c>
      <c r="D6074">
        <v>167263</v>
      </c>
      <c r="E6074" t="s">
        <v>4731</v>
      </c>
      <c r="F6074">
        <v>37.435000000000002</v>
      </c>
      <c r="G6074">
        <v>25.347999999999999</v>
      </c>
      <c r="H6074">
        <v>2</v>
      </c>
      <c r="I6074">
        <v>123.4</v>
      </c>
      <c r="J6074" t="str">
        <f>HYPERLINK("https://climate.onebuilding.org/WMO_Region_6_Europe/GRC_Greece/AI_Aegean/GRC_AI_Mikonos.Intl.AP.167263_TMYx.2004-2018.zip")</f>
        <v>https://climate.onebuilding.org/WMO_Region_6_Europe/GRC_Greece/AI_Aegean/GRC_AI_Mikonos.Intl.AP.167263_TMYx.2004-2018.zip</v>
      </c>
    </row>
    <row r="6075" spans="1:10" x14ac:dyDescent="0.25">
      <c r="A6075" t="s">
        <v>4660</v>
      </c>
      <c r="B6075" t="s">
        <v>896</v>
      </c>
      <c r="C6075" t="s">
        <v>4730</v>
      </c>
      <c r="D6075">
        <v>167263</v>
      </c>
      <c r="E6075" t="s">
        <v>14</v>
      </c>
      <c r="F6075">
        <v>37.435000000000002</v>
      </c>
      <c r="G6075">
        <v>25.347999999999999</v>
      </c>
      <c r="H6075">
        <v>2</v>
      </c>
      <c r="I6075">
        <v>123.4</v>
      </c>
      <c r="J6075" t="str">
        <f>HYPERLINK("https://climate.onebuilding.org/WMO_Region_6_Europe/GRC_Greece/AI_Aegean/GRC_AI_Mikonos.Intl.AP.167263_TMYx.2007-2021.zip")</f>
        <v>https://climate.onebuilding.org/WMO_Region_6_Europe/GRC_Greece/AI_Aegean/GRC_AI_Mikonos.Intl.AP.167263_TMYx.2007-2021.zip</v>
      </c>
    </row>
    <row r="6076" spans="1:10" x14ac:dyDescent="0.25">
      <c r="A6076" t="s">
        <v>4660</v>
      </c>
      <c r="B6076" t="s">
        <v>896</v>
      </c>
      <c r="C6076" t="s">
        <v>4730</v>
      </c>
      <c r="D6076">
        <v>167263</v>
      </c>
      <c r="E6076" t="s">
        <v>14</v>
      </c>
      <c r="F6076">
        <v>37.435000000000002</v>
      </c>
      <c r="G6076">
        <v>25.347999999999999</v>
      </c>
      <c r="H6076">
        <v>2</v>
      </c>
      <c r="I6076">
        <v>123.4</v>
      </c>
      <c r="J6076" t="str">
        <f>HYPERLINK("https://climate.onebuilding.org/WMO_Region_6_Europe/GRC_Greece/AI_Aegean/GRC_AI_Mikonos.Intl.AP.167263_TMYx.2009-2023.zip")</f>
        <v>https://climate.onebuilding.org/WMO_Region_6_Europe/GRC_Greece/AI_Aegean/GRC_AI_Mikonos.Intl.AP.167263_TMYx.2009-2023.zip</v>
      </c>
    </row>
    <row r="6077" spans="1:10" x14ac:dyDescent="0.25">
      <c r="A6077" t="s">
        <v>4660</v>
      </c>
      <c r="B6077" t="s">
        <v>896</v>
      </c>
      <c r="C6077" t="s">
        <v>4730</v>
      </c>
      <c r="D6077">
        <v>167263</v>
      </c>
      <c r="E6077" t="s">
        <v>14</v>
      </c>
      <c r="F6077">
        <v>37.435000000000002</v>
      </c>
      <c r="G6077">
        <v>25.347999999999999</v>
      </c>
      <c r="H6077">
        <v>2</v>
      </c>
      <c r="I6077">
        <v>123.4</v>
      </c>
      <c r="J6077" t="str">
        <f>HYPERLINK("https://climate.onebuilding.org/WMO_Region_6_Europe/GRC_Greece/AI_Aegean/GRC_AI_Mikonos.Intl.AP.167263_TMYx.zip")</f>
        <v>https://climate.onebuilding.org/WMO_Region_6_Europe/GRC_Greece/AI_Aegean/GRC_AI_Mikonos.Intl.AP.167263_TMYx.zip</v>
      </c>
    </row>
    <row r="6078" spans="1:10" x14ac:dyDescent="0.25">
      <c r="A6078" t="s">
        <v>4660</v>
      </c>
      <c r="B6078" t="s">
        <v>896</v>
      </c>
      <c r="C6078" t="s">
        <v>4732</v>
      </c>
      <c r="D6078">
        <v>167264</v>
      </c>
      <c r="E6078" t="s">
        <v>4733</v>
      </c>
      <c r="F6078">
        <v>37.423000000000002</v>
      </c>
      <c r="G6078">
        <v>24.951000000000001</v>
      </c>
      <c r="H6078">
        <v>2</v>
      </c>
      <c r="I6078">
        <v>71.900000000000006</v>
      </c>
      <c r="J6078" t="str">
        <f>HYPERLINK("https://climate.onebuilding.org/WMO_Region_6_Europe/GRC_Greece/AI_Aegean/GRC_AI_Syros.Island.AP.167264_TMYx.2004-2018.zip")</f>
        <v>https://climate.onebuilding.org/WMO_Region_6_Europe/GRC_Greece/AI_Aegean/GRC_AI_Syros.Island.AP.167264_TMYx.2004-2018.zip</v>
      </c>
    </row>
    <row r="6079" spans="1:10" x14ac:dyDescent="0.25">
      <c r="A6079" t="s">
        <v>4660</v>
      </c>
      <c r="B6079" t="s">
        <v>896</v>
      </c>
      <c r="C6079" t="s">
        <v>4732</v>
      </c>
      <c r="D6079">
        <v>167264</v>
      </c>
      <c r="E6079" t="s">
        <v>14</v>
      </c>
      <c r="F6079">
        <v>37.423000000000002</v>
      </c>
      <c r="G6079">
        <v>24.951000000000001</v>
      </c>
      <c r="H6079">
        <v>2</v>
      </c>
      <c r="I6079">
        <v>71.900000000000006</v>
      </c>
      <c r="J6079" t="str">
        <f>HYPERLINK("https://climate.onebuilding.org/WMO_Region_6_Europe/GRC_Greece/AI_Aegean/GRC_AI_Syros.Island.AP.167264_TMYx.2007-2021.zip")</f>
        <v>https://climate.onebuilding.org/WMO_Region_6_Europe/GRC_Greece/AI_Aegean/GRC_AI_Syros.Island.AP.167264_TMYx.2007-2021.zip</v>
      </c>
    </row>
    <row r="6080" spans="1:10" x14ac:dyDescent="0.25">
      <c r="A6080" t="s">
        <v>4660</v>
      </c>
      <c r="B6080" t="s">
        <v>896</v>
      </c>
      <c r="C6080" t="s">
        <v>4732</v>
      </c>
      <c r="D6080">
        <v>167264</v>
      </c>
      <c r="E6080" t="s">
        <v>14</v>
      </c>
      <c r="F6080">
        <v>37.423000000000002</v>
      </c>
      <c r="G6080">
        <v>24.951000000000001</v>
      </c>
      <c r="H6080">
        <v>2</v>
      </c>
      <c r="I6080">
        <v>71.900000000000006</v>
      </c>
      <c r="J6080" t="str">
        <f>HYPERLINK("https://climate.onebuilding.org/WMO_Region_6_Europe/GRC_Greece/AI_Aegean/GRC_AI_Syros.Island.AP.167264_TMYx.2009-2023.zip")</f>
        <v>https://climate.onebuilding.org/WMO_Region_6_Europe/GRC_Greece/AI_Aegean/GRC_AI_Syros.Island.AP.167264_TMYx.2009-2023.zip</v>
      </c>
    </row>
    <row r="6081" spans="1:10" x14ac:dyDescent="0.25">
      <c r="A6081" t="s">
        <v>4660</v>
      </c>
      <c r="B6081" t="s">
        <v>896</v>
      </c>
      <c r="C6081" t="s">
        <v>4732</v>
      </c>
      <c r="D6081">
        <v>167264</v>
      </c>
      <c r="E6081" t="s">
        <v>14</v>
      </c>
      <c r="F6081">
        <v>37.423000000000002</v>
      </c>
      <c r="G6081">
        <v>24.951000000000001</v>
      </c>
      <c r="H6081">
        <v>2</v>
      </c>
      <c r="I6081">
        <v>71.900000000000006</v>
      </c>
      <c r="J6081" t="str">
        <f>HYPERLINK("https://climate.onebuilding.org/WMO_Region_6_Europe/GRC_Greece/AI_Aegean/GRC_AI_Syros.Island.AP.167264_TMYx.zip")</f>
        <v>https://climate.onebuilding.org/WMO_Region_6_Europe/GRC_Greece/AI_Aegean/GRC_AI_Syros.Island.AP.167264_TMYx.zip</v>
      </c>
    </row>
    <row r="6082" spans="1:10" x14ac:dyDescent="0.25">
      <c r="A6082" t="s">
        <v>4660</v>
      </c>
      <c r="B6082" t="s">
        <v>896</v>
      </c>
      <c r="C6082" t="s">
        <v>4734</v>
      </c>
      <c r="D6082">
        <v>167320</v>
      </c>
      <c r="E6082" t="s">
        <v>4735</v>
      </c>
      <c r="F6082">
        <v>37.1</v>
      </c>
      <c r="G6082">
        <v>25.367000000000001</v>
      </c>
      <c r="H6082">
        <v>2</v>
      </c>
      <c r="I6082">
        <v>9.8000000000000007</v>
      </c>
      <c r="J6082" t="str">
        <f>HYPERLINK("https://climate.onebuilding.org/WMO_Region_6_Europe/GRC_Greece/AI_Aegean/GRC_AI_Naxos.167320_TMYx.2004-2018.zip")</f>
        <v>https://climate.onebuilding.org/WMO_Region_6_Europe/GRC_Greece/AI_Aegean/GRC_AI_Naxos.167320_TMYx.2004-2018.zip</v>
      </c>
    </row>
    <row r="6083" spans="1:10" x14ac:dyDescent="0.25">
      <c r="A6083" t="s">
        <v>4660</v>
      </c>
      <c r="B6083" t="s">
        <v>896</v>
      </c>
      <c r="C6083" t="s">
        <v>4734</v>
      </c>
      <c r="D6083">
        <v>167320</v>
      </c>
      <c r="E6083" t="s">
        <v>14</v>
      </c>
      <c r="F6083">
        <v>37.1</v>
      </c>
      <c r="G6083">
        <v>25.367000000000001</v>
      </c>
      <c r="H6083">
        <v>2</v>
      </c>
      <c r="I6083">
        <v>9.8000000000000007</v>
      </c>
      <c r="J6083" t="str">
        <f>HYPERLINK("https://climate.onebuilding.org/WMO_Region_6_Europe/GRC_Greece/AI_Aegean/GRC_AI_Naxos.167320_TMYx.2007-2021.zip")</f>
        <v>https://climate.onebuilding.org/WMO_Region_6_Europe/GRC_Greece/AI_Aegean/GRC_AI_Naxos.167320_TMYx.2007-2021.zip</v>
      </c>
    </row>
    <row r="6084" spans="1:10" x14ac:dyDescent="0.25">
      <c r="A6084" t="s">
        <v>4660</v>
      </c>
      <c r="B6084" t="s">
        <v>896</v>
      </c>
      <c r="C6084" t="s">
        <v>4734</v>
      </c>
      <c r="D6084">
        <v>167320</v>
      </c>
      <c r="E6084" t="s">
        <v>14</v>
      </c>
      <c r="F6084">
        <v>37.1</v>
      </c>
      <c r="G6084">
        <v>25.367000000000001</v>
      </c>
      <c r="H6084">
        <v>2</v>
      </c>
      <c r="I6084">
        <v>9.8000000000000007</v>
      </c>
      <c r="J6084" t="str">
        <f>HYPERLINK("https://climate.onebuilding.org/WMO_Region_6_Europe/GRC_Greece/AI_Aegean/GRC_AI_Naxos.167320_TMYx.2009-2023.zip")</f>
        <v>https://climate.onebuilding.org/WMO_Region_6_Europe/GRC_Greece/AI_Aegean/GRC_AI_Naxos.167320_TMYx.2009-2023.zip</v>
      </c>
    </row>
    <row r="6085" spans="1:10" x14ac:dyDescent="0.25">
      <c r="A6085" t="s">
        <v>4660</v>
      </c>
      <c r="B6085" t="s">
        <v>896</v>
      </c>
      <c r="C6085" t="s">
        <v>4734</v>
      </c>
      <c r="D6085">
        <v>167320</v>
      </c>
      <c r="E6085" t="s">
        <v>14</v>
      </c>
      <c r="F6085">
        <v>37.1</v>
      </c>
      <c r="G6085">
        <v>25.367000000000001</v>
      </c>
      <c r="H6085">
        <v>2</v>
      </c>
      <c r="I6085">
        <v>9.8000000000000007</v>
      </c>
      <c r="J6085" t="str">
        <f>HYPERLINK("https://climate.onebuilding.org/WMO_Region_6_Europe/GRC_Greece/AI_Aegean/GRC_AI_Naxos.167320_TMYx.zip")</f>
        <v>https://climate.onebuilding.org/WMO_Region_6_Europe/GRC_Greece/AI_Aegean/GRC_AI_Naxos.167320_TMYx.zip</v>
      </c>
    </row>
    <row r="6086" spans="1:10" x14ac:dyDescent="0.25">
      <c r="A6086" t="s">
        <v>4660</v>
      </c>
      <c r="B6086" t="s">
        <v>4680</v>
      </c>
      <c r="C6086" t="s">
        <v>4736</v>
      </c>
      <c r="D6086">
        <v>167340</v>
      </c>
      <c r="E6086" t="s">
        <v>4737</v>
      </c>
      <c r="F6086">
        <v>36.832999999999998</v>
      </c>
      <c r="G6086">
        <v>21.7</v>
      </c>
      <c r="H6086">
        <v>2</v>
      </c>
      <c r="I6086">
        <v>53.2</v>
      </c>
      <c r="J6086" t="str">
        <f>HYPERLINK("https://climate.onebuilding.org/WMO_Region_6_Europe/GRC_Greece/PW_Peloponnese_Western_Greece_and_Ionian_Islands/GRC_PW_Methoni.167340_TMYx.2004-2018.zip")</f>
        <v>https://climate.onebuilding.org/WMO_Region_6_Europe/GRC_Greece/PW_Peloponnese_Western_Greece_and_Ionian_Islands/GRC_PW_Methoni.167340_TMYx.2004-2018.zip</v>
      </c>
    </row>
    <row r="6087" spans="1:10" x14ac:dyDescent="0.25">
      <c r="A6087" t="s">
        <v>4660</v>
      </c>
      <c r="B6087" t="s">
        <v>4680</v>
      </c>
      <c r="C6087" t="s">
        <v>4736</v>
      </c>
      <c r="D6087">
        <v>167340</v>
      </c>
      <c r="E6087" t="s">
        <v>14</v>
      </c>
      <c r="F6087">
        <v>36.832999999999998</v>
      </c>
      <c r="G6087">
        <v>21.7</v>
      </c>
      <c r="H6087">
        <v>2</v>
      </c>
      <c r="I6087">
        <v>53.2</v>
      </c>
      <c r="J6087" t="str">
        <f>HYPERLINK("https://climate.onebuilding.org/WMO_Region_6_Europe/GRC_Greece/PW_Peloponnese_Western_Greece_and_Ionian_Islands/GRC_PW_Methoni.167340_TMYx.2007-2021.zip")</f>
        <v>https://climate.onebuilding.org/WMO_Region_6_Europe/GRC_Greece/PW_Peloponnese_Western_Greece_and_Ionian_Islands/GRC_PW_Methoni.167340_TMYx.2007-2021.zip</v>
      </c>
    </row>
    <row r="6088" spans="1:10" x14ac:dyDescent="0.25">
      <c r="A6088" t="s">
        <v>4660</v>
      </c>
      <c r="B6088" t="s">
        <v>4680</v>
      </c>
      <c r="C6088" t="s">
        <v>4736</v>
      </c>
      <c r="D6088">
        <v>167340</v>
      </c>
      <c r="E6088" t="s">
        <v>14</v>
      </c>
      <c r="F6088">
        <v>36.832999999999998</v>
      </c>
      <c r="G6088">
        <v>21.7</v>
      </c>
      <c r="H6088">
        <v>2</v>
      </c>
      <c r="I6088">
        <v>53.2</v>
      </c>
      <c r="J6088" t="str">
        <f>HYPERLINK("https://climate.onebuilding.org/WMO_Region_6_Europe/GRC_Greece/PW_Peloponnese_Western_Greece_and_Ionian_Islands/GRC_PW_Methoni.167340_TMYx.2009-2023.zip")</f>
        <v>https://climate.onebuilding.org/WMO_Region_6_Europe/GRC_Greece/PW_Peloponnese_Western_Greece_and_Ionian_Islands/GRC_PW_Methoni.167340_TMYx.2009-2023.zip</v>
      </c>
    </row>
    <row r="6089" spans="1:10" x14ac:dyDescent="0.25">
      <c r="A6089" t="s">
        <v>4660</v>
      </c>
      <c r="B6089" t="s">
        <v>4680</v>
      </c>
      <c r="C6089" t="s">
        <v>4736</v>
      </c>
      <c r="D6089">
        <v>167340</v>
      </c>
      <c r="E6089" t="s">
        <v>14</v>
      </c>
      <c r="F6089">
        <v>36.832999999999998</v>
      </c>
      <c r="G6089">
        <v>21.7</v>
      </c>
      <c r="H6089">
        <v>2</v>
      </c>
      <c r="I6089">
        <v>53.2</v>
      </c>
      <c r="J6089" t="str">
        <f>HYPERLINK("https://climate.onebuilding.org/WMO_Region_6_Europe/GRC_Greece/PW_Peloponnese_Western_Greece_and_Ionian_Islands/GRC_PW_Methoni.167340_TMYx.zip")</f>
        <v>https://climate.onebuilding.org/WMO_Region_6_Europe/GRC_Greece/PW_Peloponnese_Western_Greece_and_Ionian_Islands/GRC_PW_Methoni.167340_TMYx.zip</v>
      </c>
    </row>
    <row r="6090" spans="1:10" x14ac:dyDescent="0.25">
      <c r="A6090" t="s">
        <v>4660</v>
      </c>
      <c r="B6090" t="s">
        <v>896</v>
      </c>
      <c r="C6090" t="s">
        <v>4738</v>
      </c>
      <c r="D6090">
        <v>167341</v>
      </c>
      <c r="E6090" t="s">
        <v>4739</v>
      </c>
      <c r="F6090">
        <v>37.082999999999998</v>
      </c>
      <c r="G6090">
        <v>25.367000000000001</v>
      </c>
      <c r="H6090">
        <v>2</v>
      </c>
      <c r="I6090">
        <v>3</v>
      </c>
      <c r="J6090" t="str">
        <f>HYPERLINK("https://climate.onebuilding.org/WMO_Region_6_Europe/GRC_Greece/AI_Aegean/GRC_AI_Naxos.Island.AP.167341_TMYx.2004-2018.zip")</f>
        <v>https://climate.onebuilding.org/WMO_Region_6_Europe/GRC_Greece/AI_Aegean/GRC_AI_Naxos.Island.AP.167341_TMYx.2004-2018.zip</v>
      </c>
    </row>
    <row r="6091" spans="1:10" x14ac:dyDescent="0.25">
      <c r="A6091" t="s">
        <v>4660</v>
      </c>
      <c r="B6091" t="s">
        <v>896</v>
      </c>
      <c r="C6091" t="s">
        <v>4738</v>
      </c>
      <c r="D6091">
        <v>167341</v>
      </c>
      <c r="E6091" t="s">
        <v>14</v>
      </c>
      <c r="F6091">
        <v>37.082999999999998</v>
      </c>
      <c r="G6091">
        <v>25.367000000000001</v>
      </c>
      <c r="H6091">
        <v>2</v>
      </c>
      <c r="I6091">
        <v>3</v>
      </c>
      <c r="J6091" t="str">
        <f>HYPERLINK("https://climate.onebuilding.org/WMO_Region_6_Europe/GRC_Greece/AI_Aegean/GRC_AI_Naxos.Island.AP.167341_TMYx.2007-2021.zip")</f>
        <v>https://climate.onebuilding.org/WMO_Region_6_Europe/GRC_Greece/AI_Aegean/GRC_AI_Naxos.Island.AP.167341_TMYx.2007-2021.zip</v>
      </c>
    </row>
    <row r="6092" spans="1:10" x14ac:dyDescent="0.25">
      <c r="A6092" t="s">
        <v>4660</v>
      </c>
      <c r="B6092" t="s">
        <v>896</v>
      </c>
      <c r="C6092" t="s">
        <v>4738</v>
      </c>
      <c r="D6092">
        <v>167341</v>
      </c>
      <c r="E6092" t="s">
        <v>14</v>
      </c>
      <c r="F6092">
        <v>37.082999999999998</v>
      </c>
      <c r="G6092">
        <v>25.367000000000001</v>
      </c>
      <c r="H6092">
        <v>2</v>
      </c>
      <c r="I6092">
        <v>3</v>
      </c>
      <c r="J6092" t="str">
        <f>HYPERLINK("https://climate.onebuilding.org/WMO_Region_6_Europe/GRC_Greece/AI_Aegean/GRC_AI_Naxos.Island.AP.167341_TMYx.2009-2023.zip")</f>
        <v>https://climate.onebuilding.org/WMO_Region_6_Europe/GRC_Greece/AI_Aegean/GRC_AI_Naxos.Island.AP.167341_TMYx.2009-2023.zip</v>
      </c>
    </row>
    <row r="6093" spans="1:10" x14ac:dyDescent="0.25">
      <c r="A6093" t="s">
        <v>4660</v>
      </c>
      <c r="B6093" t="s">
        <v>896</v>
      </c>
      <c r="C6093" t="s">
        <v>4738</v>
      </c>
      <c r="D6093">
        <v>167341</v>
      </c>
      <c r="E6093" t="s">
        <v>14</v>
      </c>
      <c r="F6093">
        <v>37.082999999999998</v>
      </c>
      <c r="G6093">
        <v>25.367000000000001</v>
      </c>
      <c r="H6093">
        <v>2</v>
      </c>
      <c r="I6093">
        <v>3</v>
      </c>
      <c r="J6093" t="str">
        <f>HYPERLINK("https://climate.onebuilding.org/WMO_Region_6_Europe/GRC_Greece/AI_Aegean/GRC_AI_Naxos.Island.AP.167341_TMYx.zip")</f>
        <v>https://climate.onebuilding.org/WMO_Region_6_Europe/GRC_Greece/AI_Aegean/GRC_AI_Naxos.Island.AP.167341_TMYx.zip</v>
      </c>
    </row>
    <row r="6094" spans="1:10" x14ac:dyDescent="0.25">
      <c r="A6094" t="s">
        <v>4660</v>
      </c>
      <c r="B6094" t="s">
        <v>896</v>
      </c>
      <c r="C6094" t="s">
        <v>4740</v>
      </c>
      <c r="D6094">
        <v>167380</v>
      </c>
      <c r="E6094" t="s">
        <v>4741</v>
      </c>
      <c r="F6094">
        <v>36.732999999999997</v>
      </c>
      <c r="G6094">
        <v>24.433</v>
      </c>
      <c r="H6094">
        <v>2</v>
      </c>
      <c r="I6094">
        <v>168.4</v>
      </c>
      <c r="J6094" t="str">
        <f>HYPERLINK("https://climate.onebuilding.org/WMO_Region_6_Europe/GRC_Greece/AI_Aegean/GRC_AI_Milos.167380_TMYx.2004-2018.zip")</f>
        <v>https://climate.onebuilding.org/WMO_Region_6_Europe/GRC_Greece/AI_Aegean/GRC_AI_Milos.167380_TMYx.2004-2018.zip</v>
      </c>
    </row>
    <row r="6095" spans="1:10" x14ac:dyDescent="0.25">
      <c r="A6095" t="s">
        <v>4660</v>
      </c>
      <c r="B6095" t="s">
        <v>896</v>
      </c>
      <c r="C6095" t="s">
        <v>4740</v>
      </c>
      <c r="D6095">
        <v>167380</v>
      </c>
      <c r="E6095" t="s">
        <v>14</v>
      </c>
      <c r="F6095">
        <v>36.732999999999997</v>
      </c>
      <c r="G6095">
        <v>24.433</v>
      </c>
      <c r="H6095">
        <v>2</v>
      </c>
      <c r="I6095">
        <v>168.4</v>
      </c>
      <c r="J6095" t="str">
        <f>HYPERLINK("https://climate.onebuilding.org/WMO_Region_6_Europe/GRC_Greece/AI_Aegean/GRC_AI_Milos.167380_TMYx.2007-2021.zip")</f>
        <v>https://climate.onebuilding.org/WMO_Region_6_Europe/GRC_Greece/AI_Aegean/GRC_AI_Milos.167380_TMYx.2007-2021.zip</v>
      </c>
    </row>
    <row r="6096" spans="1:10" x14ac:dyDescent="0.25">
      <c r="A6096" t="s">
        <v>4660</v>
      </c>
      <c r="B6096" t="s">
        <v>896</v>
      </c>
      <c r="C6096" t="s">
        <v>4740</v>
      </c>
      <c r="D6096">
        <v>167380</v>
      </c>
      <c r="E6096" t="s">
        <v>14</v>
      </c>
      <c r="F6096">
        <v>36.732999999999997</v>
      </c>
      <c r="G6096">
        <v>24.433</v>
      </c>
      <c r="H6096">
        <v>2</v>
      </c>
      <c r="I6096">
        <v>168.4</v>
      </c>
      <c r="J6096" t="str">
        <f>HYPERLINK("https://climate.onebuilding.org/WMO_Region_6_Europe/GRC_Greece/AI_Aegean/GRC_AI_Milos.167380_TMYx.2009-2023.zip")</f>
        <v>https://climate.onebuilding.org/WMO_Region_6_Europe/GRC_Greece/AI_Aegean/GRC_AI_Milos.167380_TMYx.2009-2023.zip</v>
      </c>
    </row>
    <row r="6097" spans="1:10" x14ac:dyDescent="0.25">
      <c r="A6097" t="s">
        <v>4660</v>
      </c>
      <c r="B6097" t="s">
        <v>896</v>
      </c>
      <c r="C6097" t="s">
        <v>4740</v>
      </c>
      <c r="D6097">
        <v>167380</v>
      </c>
      <c r="E6097" t="s">
        <v>14</v>
      </c>
      <c r="F6097">
        <v>36.732999999999997</v>
      </c>
      <c r="G6097">
        <v>24.433</v>
      </c>
      <c r="H6097">
        <v>2</v>
      </c>
      <c r="I6097">
        <v>168.4</v>
      </c>
      <c r="J6097" t="str">
        <f>HYPERLINK("https://climate.onebuilding.org/WMO_Region_6_Europe/GRC_Greece/AI_Aegean/GRC_AI_Milos.167380_TMYx.zip")</f>
        <v>https://climate.onebuilding.org/WMO_Region_6_Europe/GRC_Greece/AI_Aegean/GRC_AI_Milos.167380_TMYx.zip</v>
      </c>
    </row>
    <row r="6098" spans="1:10" x14ac:dyDescent="0.25">
      <c r="A6098" t="s">
        <v>4660</v>
      </c>
      <c r="B6098" t="s">
        <v>3308</v>
      </c>
      <c r="C6098" t="s">
        <v>4742</v>
      </c>
      <c r="D6098">
        <v>167410</v>
      </c>
      <c r="E6098" t="s">
        <v>4743</v>
      </c>
      <c r="F6098">
        <v>37.917000000000002</v>
      </c>
      <c r="G6098">
        <v>23.933</v>
      </c>
      <c r="H6098">
        <v>2</v>
      </c>
      <c r="I6098">
        <v>73.5</v>
      </c>
      <c r="J6098" t="str">
        <f>HYPERLINK("https://climate.onebuilding.org/WMO_Region_6_Europe/GRC_Greece/AT_Attica/GRC_AT_Athinai.Venizelos.Intl.AP.167410_TMYx.2004-2018.zip")</f>
        <v>https://climate.onebuilding.org/WMO_Region_6_Europe/GRC_Greece/AT_Attica/GRC_AT_Athinai.Venizelos.Intl.AP.167410_TMYx.2004-2018.zip</v>
      </c>
    </row>
    <row r="6099" spans="1:10" x14ac:dyDescent="0.25">
      <c r="A6099" t="s">
        <v>4660</v>
      </c>
      <c r="B6099" t="s">
        <v>3308</v>
      </c>
      <c r="C6099" t="s">
        <v>4742</v>
      </c>
      <c r="D6099">
        <v>167410</v>
      </c>
      <c r="E6099" t="s">
        <v>14</v>
      </c>
      <c r="F6099">
        <v>37.917000000000002</v>
      </c>
      <c r="G6099">
        <v>23.933</v>
      </c>
      <c r="H6099">
        <v>2</v>
      </c>
      <c r="I6099">
        <v>73.5</v>
      </c>
      <c r="J6099" t="str">
        <f>HYPERLINK("https://climate.onebuilding.org/WMO_Region_6_Europe/GRC_Greece/AT_Attica/GRC_AT_Athinai.Venizelos.Intl.AP.167410_TMYx.2007-2021.zip")</f>
        <v>https://climate.onebuilding.org/WMO_Region_6_Europe/GRC_Greece/AT_Attica/GRC_AT_Athinai.Venizelos.Intl.AP.167410_TMYx.2007-2021.zip</v>
      </c>
    </row>
    <row r="6100" spans="1:10" x14ac:dyDescent="0.25">
      <c r="A6100" t="s">
        <v>4660</v>
      </c>
      <c r="B6100" t="s">
        <v>3308</v>
      </c>
      <c r="C6100" t="s">
        <v>4742</v>
      </c>
      <c r="D6100">
        <v>167410</v>
      </c>
      <c r="E6100" t="s">
        <v>14</v>
      </c>
      <c r="F6100">
        <v>37.917000000000002</v>
      </c>
      <c r="G6100">
        <v>23.933</v>
      </c>
      <c r="H6100">
        <v>2</v>
      </c>
      <c r="I6100">
        <v>73.5</v>
      </c>
      <c r="J6100" t="str">
        <f>HYPERLINK("https://climate.onebuilding.org/WMO_Region_6_Europe/GRC_Greece/AT_Attica/GRC_AT_Athinai.Venizelos.Intl.AP.167410_TMYx.2009-2023.zip")</f>
        <v>https://climate.onebuilding.org/WMO_Region_6_Europe/GRC_Greece/AT_Attica/GRC_AT_Athinai.Venizelos.Intl.AP.167410_TMYx.2009-2023.zip</v>
      </c>
    </row>
    <row r="6101" spans="1:10" x14ac:dyDescent="0.25">
      <c r="A6101" t="s">
        <v>4660</v>
      </c>
      <c r="B6101" t="s">
        <v>3308</v>
      </c>
      <c r="C6101" t="s">
        <v>4742</v>
      </c>
      <c r="D6101">
        <v>167410</v>
      </c>
      <c r="E6101" t="s">
        <v>14</v>
      </c>
      <c r="F6101">
        <v>37.917000000000002</v>
      </c>
      <c r="G6101">
        <v>23.933</v>
      </c>
      <c r="H6101">
        <v>2</v>
      </c>
      <c r="I6101">
        <v>73.5</v>
      </c>
      <c r="J6101" t="str">
        <f>HYPERLINK("https://climate.onebuilding.org/WMO_Region_6_Europe/GRC_Greece/AT_Attica/GRC_AT_Athinai.Venizelos.Intl.AP.167410_TMYx.zip")</f>
        <v>https://climate.onebuilding.org/WMO_Region_6_Europe/GRC_Greece/AT_Attica/GRC_AT_Athinai.Venizelos.Intl.AP.167410_TMYx.zip</v>
      </c>
    </row>
    <row r="6102" spans="1:10" x14ac:dyDescent="0.25">
      <c r="A6102" t="s">
        <v>4660</v>
      </c>
      <c r="B6102" t="s">
        <v>896</v>
      </c>
      <c r="C6102" t="s">
        <v>4744</v>
      </c>
      <c r="D6102">
        <v>167420</v>
      </c>
      <c r="E6102" t="s">
        <v>4745</v>
      </c>
      <c r="F6102">
        <v>36.792999999999999</v>
      </c>
      <c r="G6102">
        <v>27.091999999999999</v>
      </c>
      <c r="H6102">
        <v>2</v>
      </c>
      <c r="I6102">
        <v>125.6</v>
      </c>
      <c r="J6102" t="str">
        <f>HYPERLINK("https://climate.onebuilding.org/WMO_Region_6_Europe/GRC_Greece/AI_Aegean/GRC_AI_Kos.Ippokratis.Intl.AP.167420_TMYx.2004-2018.zip")</f>
        <v>https://climate.onebuilding.org/WMO_Region_6_Europe/GRC_Greece/AI_Aegean/GRC_AI_Kos.Ippokratis.Intl.AP.167420_TMYx.2004-2018.zip</v>
      </c>
    </row>
    <row r="6103" spans="1:10" x14ac:dyDescent="0.25">
      <c r="A6103" t="s">
        <v>4660</v>
      </c>
      <c r="B6103" t="s">
        <v>896</v>
      </c>
      <c r="C6103" t="s">
        <v>4744</v>
      </c>
      <c r="D6103">
        <v>167420</v>
      </c>
      <c r="E6103" t="s">
        <v>14</v>
      </c>
      <c r="F6103">
        <v>36.792999999999999</v>
      </c>
      <c r="G6103">
        <v>27.091999999999999</v>
      </c>
      <c r="H6103">
        <v>2</v>
      </c>
      <c r="I6103">
        <v>125.6</v>
      </c>
      <c r="J6103" t="str">
        <f>HYPERLINK("https://climate.onebuilding.org/WMO_Region_6_Europe/GRC_Greece/AI_Aegean/GRC_AI_Kos.Ippokratis.Intl.AP.167420_TMYx.2007-2021.zip")</f>
        <v>https://climate.onebuilding.org/WMO_Region_6_Europe/GRC_Greece/AI_Aegean/GRC_AI_Kos.Ippokratis.Intl.AP.167420_TMYx.2007-2021.zip</v>
      </c>
    </row>
    <row r="6104" spans="1:10" x14ac:dyDescent="0.25">
      <c r="A6104" t="s">
        <v>4660</v>
      </c>
      <c r="B6104" t="s">
        <v>896</v>
      </c>
      <c r="C6104" t="s">
        <v>4744</v>
      </c>
      <c r="D6104">
        <v>167420</v>
      </c>
      <c r="E6104" t="s">
        <v>14</v>
      </c>
      <c r="F6104">
        <v>36.792999999999999</v>
      </c>
      <c r="G6104">
        <v>27.091999999999999</v>
      </c>
      <c r="H6104">
        <v>2</v>
      </c>
      <c r="I6104">
        <v>125.6</v>
      </c>
      <c r="J6104" t="str">
        <f>HYPERLINK("https://climate.onebuilding.org/WMO_Region_6_Europe/GRC_Greece/AI_Aegean/GRC_AI_Kos.Ippokratis.Intl.AP.167420_TMYx.2009-2023.zip")</f>
        <v>https://climate.onebuilding.org/WMO_Region_6_Europe/GRC_Greece/AI_Aegean/GRC_AI_Kos.Ippokratis.Intl.AP.167420_TMYx.2009-2023.zip</v>
      </c>
    </row>
    <row r="6105" spans="1:10" x14ac:dyDescent="0.25">
      <c r="A6105" t="s">
        <v>4660</v>
      </c>
      <c r="B6105" t="s">
        <v>896</v>
      </c>
      <c r="C6105" t="s">
        <v>4744</v>
      </c>
      <c r="D6105">
        <v>167420</v>
      </c>
      <c r="E6105" t="s">
        <v>14</v>
      </c>
      <c r="F6105">
        <v>36.792999999999999</v>
      </c>
      <c r="G6105">
        <v>27.091999999999999</v>
      </c>
      <c r="H6105">
        <v>2</v>
      </c>
      <c r="I6105">
        <v>125.6</v>
      </c>
      <c r="J6105" t="str">
        <f>HYPERLINK("https://climate.onebuilding.org/WMO_Region_6_Europe/GRC_Greece/AI_Aegean/GRC_AI_Kos.Ippokratis.Intl.AP.167420_TMYx.zip")</f>
        <v>https://climate.onebuilding.org/WMO_Region_6_Europe/GRC_Greece/AI_Aegean/GRC_AI_Kos.Ippokratis.Intl.AP.167420_TMYx.zip</v>
      </c>
    </row>
    <row r="6106" spans="1:10" x14ac:dyDescent="0.25">
      <c r="A6106" t="s">
        <v>4660</v>
      </c>
      <c r="B6106" t="s">
        <v>4680</v>
      </c>
      <c r="C6106" t="s">
        <v>4746</v>
      </c>
      <c r="D6106">
        <v>167430</v>
      </c>
      <c r="E6106" t="s">
        <v>4747</v>
      </c>
      <c r="F6106">
        <v>36.274000000000001</v>
      </c>
      <c r="G6106">
        <v>23.016999999999999</v>
      </c>
      <c r="H6106">
        <v>2</v>
      </c>
      <c r="I6106">
        <v>318.5</v>
      </c>
      <c r="J6106" t="str">
        <f>HYPERLINK("https://climate.onebuilding.org/WMO_Region_6_Europe/GRC_Greece/PW_Peloponnese_Western_Greece_and_Ionian_Islands/GRC_PW_Kithira.Island.AP.167430_TMYx.2004-2018.zip")</f>
        <v>https://climate.onebuilding.org/WMO_Region_6_Europe/GRC_Greece/PW_Peloponnese_Western_Greece_and_Ionian_Islands/GRC_PW_Kithira.Island.AP.167430_TMYx.2004-2018.zip</v>
      </c>
    </row>
    <row r="6107" spans="1:10" x14ac:dyDescent="0.25">
      <c r="A6107" t="s">
        <v>4660</v>
      </c>
      <c r="B6107" t="s">
        <v>4680</v>
      </c>
      <c r="C6107" t="s">
        <v>4746</v>
      </c>
      <c r="D6107">
        <v>167430</v>
      </c>
      <c r="E6107" t="s">
        <v>14</v>
      </c>
      <c r="F6107">
        <v>36.274000000000001</v>
      </c>
      <c r="G6107">
        <v>23.016999999999999</v>
      </c>
      <c r="H6107">
        <v>2</v>
      </c>
      <c r="I6107">
        <v>318.5</v>
      </c>
      <c r="J6107" t="str">
        <f>HYPERLINK("https://climate.onebuilding.org/WMO_Region_6_Europe/GRC_Greece/PW_Peloponnese_Western_Greece_and_Ionian_Islands/GRC_PW_Kithira.Island.AP.167430_TMYx.2007-2021.zip")</f>
        <v>https://climate.onebuilding.org/WMO_Region_6_Europe/GRC_Greece/PW_Peloponnese_Western_Greece_and_Ionian_Islands/GRC_PW_Kithira.Island.AP.167430_TMYx.2007-2021.zip</v>
      </c>
    </row>
    <row r="6108" spans="1:10" x14ac:dyDescent="0.25">
      <c r="A6108" t="s">
        <v>4660</v>
      </c>
      <c r="B6108" t="s">
        <v>4680</v>
      </c>
      <c r="C6108" t="s">
        <v>4746</v>
      </c>
      <c r="D6108">
        <v>167430</v>
      </c>
      <c r="E6108" t="s">
        <v>14</v>
      </c>
      <c r="F6108">
        <v>36.274000000000001</v>
      </c>
      <c r="G6108">
        <v>23.016999999999999</v>
      </c>
      <c r="H6108">
        <v>2</v>
      </c>
      <c r="I6108">
        <v>318.5</v>
      </c>
      <c r="J6108" t="str">
        <f>HYPERLINK("https://climate.onebuilding.org/WMO_Region_6_Europe/GRC_Greece/PW_Peloponnese_Western_Greece_and_Ionian_Islands/GRC_PW_Kithira.Island.AP.167430_TMYx.2009-2023.zip")</f>
        <v>https://climate.onebuilding.org/WMO_Region_6_Europe/GRC_Greece/PW_Peloponnese_Western_Greece_and_Ionian_Islands/GRC_PW_Kithira.Island.AP.167430_TMYx.2009-2023.zip</v>
      </c>
    </row>
    <row r="6109" spans="1:10" x14ac:dyDescent="0.25">
      <c r="A6109" t="s">
        <v>4660</v>
      </c>
      <c r="B6109" t="s">
        <v>4680</v>
      </c>
      <c r="C6109" t="s">
        <v>4746</v>
      </c>
      <c r="D6109">
        <v>167430</v>
      </c>
      <c r="E6109" t="s">
        <v>14</v>
      </c>
      <c r="F6109">
        <v>36.274000000000001</v>
      </c>
      <c r="G6109">
        <v>23.016999999999999</v>
      </c>
      <c r="H6109">
        <v>2</v>
      </c>
      <c r="I6109">
        <v>318.5</v>
      </c>
      <c r="J6109" t="str">
        <f>HYPERLINK("https://climate.onebuilding.org/WMO_Region_6_Europe/GRC_Greece/PW_Peloponnese_Western_Greece_and_Ionian_Islands/GRC_PW_Kithira.Island.AP.167430_TMYx.zip")</f>
        <v>https://climate.onebuilding.org/WMO_Region_6_Europe/GRC_Greece/PW_Peloponnese_Western_Greece_and_Ionian_Islands/GRC_PW_Kithira.Island.AP.167430_TMYx.zip</v>
      </c>
    </row>
    <row r="6110" spans="1:10" x14ac:dyDescent="0.25">
      <c r="A6110" t="s">
        <v>4660</v>
      </c>
      <c r="B6110" t="s">
        <v>896</v>
      </c>
      <c r="C6110" t="s">
        <v>4748</v>
      </c>
      <c r="D6110">
        <v>167440</v>
      </c>
      <c r="E6110" t="s">
        <v>14</v>
      </c>
      <c r="F6110">
        <v>36.417000000000002</v>
      </c>
      <c r="G6110">
        <v>25.433</v>
      </c>
      <c r="H6110">
        <v>2</v>
      </c>
      <c r="I6110">
        <v>36</v>
      </c>
      <c r="J6110" t="str">
        <f>HYPERLINK("https://climate.onebuilding.org/WMO_Region_6_Europe/GRC_Greece/AI_Aegean/GRC_AI_Thera.167440_TMYx.zip")</f>
        <v>https://climate.onebuilding.org/WMO_Region_6_Europe/GRC_Greece/AI_Aegean/GRC_AI_Thera.167440_TMYx.zip</v>
      </c>
    </row>
    <row r="6111" spans="1:10" x14ac:dyDescent="0.25">
      <c r="A6111" t="s">
        <v>4660</v>
      </c>
      <c r="B6111" t="s">
        <v>896</v>
      </c>
      <c r="C6111" t="s">
        <v>4749</v>
      </c>
      <c r="D6111">
        <v>167443</v>
      </c>
      <c r="E6111" t="s">
        <v>4750</v>
      </c>
      <c r="F6111">
        <v>36.399000000000001</v>
      </c>
      <c r="G6111">
        <v>25.478999999999999</v>
      </c>
      <c r="H6111">
        <v>2</v>
      </c>
      <c r="I6111">
        <v>38.700000000000003</v>
      </c>
      <c r="J6111" t="str">
        <f>HYPERLINK("https://climate.onebuilding.org/WMO_Region_6_Europe/GRC_Greece/AI_Aegean/GRC_AI_Santorini.Intl.AP.167443_TMYx.2004-2018.zip")</f>
        <v>https://climate.onebuilding.org/WMO_Region_6_Europe/GRC_Greece/AI_Aegean/GRC_AI_Santorini.Intl.AP.167443_TMYx.2004-2018.zip</v>
      </c>
    </row>
    <row r="6112" spans="1:10" x14ac:dyDescent="0.25">
      <c r="A6112" t="s">
        <v>4660</v>
      </c>
      <c r="B6112" t="s">
        <v>896</v>
      </c>
      <c r="C6112" t="s">
        <v>4749</v>
      </c>
      <c r="D6112">
        <v>167443</v>
      </c>
      <c r="E6112" t="s">
        <v>14</v>
      </c>
      <c r="F6112">
        <v>36.399000000000001</v>
      </c>
      <c r="G6112">
        <v>25.478999999999999</v>
      </c>
      <c r="H6112">
        <v>2</v>
      </c>
      <c r="I6112">
        <v>38.700000000000003</v>
      </c>
      <c r="J6112" t="str">
        <f>HYPERLINK("https://climate.onebuilding.org/WMO_Region_6_Europe/GRC_Greece/AI_Aegean/GRC_AI_Santorini.Intl.AP.167443_TMYx.2007-2021.zip")</f>
        <v>https://climate.onebuilding.org/WMO_Region_6_Europe/GRC_Greece/AI_Aegean/GRC_AI_Santorini.Intl.AP.167443_TMYx.2007-2021.zip</v>
      </c>
    </row>
    <row r="6113" spans="1:10" x14ac:dyDescent="0.25">
      <c r="A6113" t="s">
        <v>4660</v>
      </c>
      <c r="B6113" t="s">
        <v>896</v>
      </c>
      <c r="C6113" t="s">
        <v>4749</v>
      </c>
      <c r="D6113">
        <v>167443</v>
      </c>
      <c r="E6113" t="s">
        <v>14</v>
      </c>
      <c r="F6113">
        <v>36.399000000000001</v>
      </c>
      <c r="G6113">
        <v>25.478999999999999</v>
      </c>
      <c r="H6113">
        <v>2</v>
      </c>
      <c r="I6113">
        <v>38.700000000000003</v>
      </c>
      <c r="J6113" t="str">
        <f>HYPERLINK("https://climate.onebuilding.org/WMO_Region_6_Europe/GRC_Greece/AI_Aegean/GRC_AI_Santorini.Intl.AP.167443_TMYx.2009-2023.zip")</f>
        <v>https://climate.onebuilding.org/WMO_Region_6_Europe/GRC_Greece/AI_Aegean/GRC_AI_Santorini.Intl.AP.167443_TMYx.2009-2023.zip</v>
      </c>
    </row>
    <row r="6114" spans="1:10" x14ac:dyDescent="0.25">
      <c r="A6114" t="s">
        <v>4660</v>
      </c>
      <c r="B6114" t="s">
        <v>896</v>
      </c>
      <c r="C6114" t="s">
        <v>4749</v>
      </c>
      <c r="D6114">
        <v>167443</v>
      </c>
      <c r="E6114" t="s">
        <v>14</v>
      </c>
      <c r="F6114">
        <v>36.399000000000001</v>
      </c>
      <c r="G6114">
        <v>25.478999999999999</v>
      </c>
      <c r="H6114">
        <v>2</v>
      </c>
      <c r="I6114">
        <v>38.700000000000003</v>
      </c>
      <c r="J6114" t="str">
        <f>HYPERLINK("https://climate.onebuilding.org/WMO_Region_6_Europe/GRC_Greece/AI_Aegean/GRC_AI_Santorini.Intl.AP.167443_TMYx.zip")</f>
        <v>https://climate.onebuilding.org/WMO_Region_6_Europe/GRC_Greece/AI_Aegean/GRC_AI_Santorini.Intl.AP.167443_TMYx.zip</v>
      </c>
    </row>
    <row r="6115" spans="1:10" x14ac:dyDescent="0.25">
      <c r="A6115" t="s">
        <v>4660</v>
      </c>
      <c r="B6115" t="s">
        <v>4751</v>
      </c>
      <c r="C6115" t="s">
        <v>4752</v>
      </c>
      <c r="D6115">
        <v>167460</v>
      </c>
      <c r="E6115" t="s">
        <v>4753</v>
      </c>
      <c r="F6115">
        <v>35.531999999999996</v>
      </c>
      <c r="G6115">
        <v>24.15</v>
      </c>
      <c r="H6115">
        <v>2</v>
      </c>
      <c r="I6115">
        <v>149.4</v>
      </c>
      <c r="J6115" t="str">
        <f>HYPERLINK("https://climate.onebuilding.org/WMO_Region_6_Europe/GRC_Greece/CR_Crete/GRC_CR_Chania-Daskalogiannis.Intl.AP.167460_TMYx.2004-2018.zip")</f>
        <v>https://climate.onebuilding.org/WMO_Region_6_Europe/GRC_Greece/CR_Crete/GRC_CR_Chania-Daskalogiannis.Intl.AP.167460_TMYx.2004-2018.zip</v>
      </c>
    </row>
    <row r="6116" spans="1:10" x14ac:dyDescent="0.25">
      <c r="A6116" t="s">
        <v>4660</v>
      </c>
      <c r="B6116" t="s">
        <v>4751</v>
      </c>
      <c r="C6116" t="s">
        <v>4752</v>
      </c>
      <c r="D6116">
        <v>167460</v>
      </c>
      <c r="E6116" t="s">
        <v>14</v>
      </c>
      <c r="F6116">
        <v>35.531999999999996</v>
      </c>
      <c r="G6116">
        <v>24.15</v>
      </c>
      <c r="H6116">
        <v>2</v>
      </c>
      <c r="I6116">
        <v>149.4</v>
      </c>
      <c r="J6116" t="str">
        <f>HYPERLINK("https://climate.onebuilding.org/WMO_Region_6_Europe/GRC_Greece/CR_Crete/GRC_CR_Chania-Daskalogiannis.Intl.AP.167460_TMYx.2007-2021.zip")</f>
        <v>https://climate.onebuilding.org/WMO_Region_6_Europe/GRC_Greece/CR_Crete/GRC_CR_Chania-Daskalogiannis.Intl.AP.167460_TMYx.2007-2021.zip</v>
      </c>
    </row>
    <row r="6117" spans="1:10" x14ac:dyDescent="0.25">
      <c r="A6117" t="s">
        <v>4660</v>
      </c>
      <c r="B6117" t="s">
        <v>4751</v>
      </c>
      <c r="C6117" t="s">
        <v>4752</v>
      </c>
      <c r="D6117">
        <v>167460</v>
      </c>
      <c r="E6117" t="s">
        <v>14</v>
      </c>
      <c r="F6117">
        <v>35.531999999999996</v>
      </c>
      <c r="G6117">
        <v>24.15</v>
      </c>
      <c r="H6117">
        <v>2</v>
      </c>
      <c r="I6117">
        <v>149.4</v>
      </c>
      <c r="J6117" t="str">
        <f>HYPERLINK("https://climate.onebuilding.org/WMO_Region_6_Europe/GRC_Greece/CR_Crete/GRC_CR_Chania-Daskalogiannis.Intl.AP.167460_TMYx.2009-2023.zip")</f>
        <v>https://climate.onebuilding.org/WMO_Region_6_Europe/GRC_Greece/CR_Crete/GRC_CR_Chania-Daskalogiannis.Intl.AP.167460_TMYx.2009-2023.zip</v>
      </c>
    </row>
    <row r="6118" spans="1:10" x14ac:dyDescent="0.25">
      <c r="A6118" t="s">
        <v>4660</v>
      </c>
      <c r="B6118" t="s">
        <v>4751</v>
      </c>
      <c r="C6118" t="s">
        <v>4752</v>
      </c>
      <c r="D6118">
        <v>167460</v>
      </c>
      <c r="E6118" t="s">
        <v>14</v>
      </c>
      <c r="F6118">
        <v>35.531999999999996</v>
      </c>
      <c r="G6118">
        <v>24.15</v>
      </c>
      <c r="H6118">
        <v>2</v>
      </c>
      <c r="I6118">
        <v>149.4</v>
      </c>
      <c r="J6118" t="str">
        <f>HYPERLINK("https://climate.onebuilding.org/WMO_Region_6_Europe/GRC_Greece/CR_Crete/GRC_CR_Chania-Daskalogiannis.Intl.AP.167460_TMYx.zip")</f>
        <v>https://climate.onebuilding.org/WMO_Region_6_Europe/GRC_Greece/CR_Crete/GRC_CR_Chania-Daskalogiannis.Intl.AP.167460_TMYx.zip</v>
      </c>
    </row>
    <row r="6119" spans="1:10" x14ac:dyDescent="0.25">
      <c r="A6119" t="s">
        <v>4660</v>
      </c>
      <c r="B6119" t="s">
        <v>4751</v>
      </c>
      <c r="C6119" t="s">
        <v>4754</v>
      </c>
      <c r="D6119">
        <v>167470</v>
      </c>
      <c r="E6119" t="s">
        <v>14</v>
      </c>
      <c r="F6119">
        <v>35.5</v>
      </c>
      <c r="G6119">
        <v>24.033000000000001</v>
      </c>
      <c r="H6119">
        <v>2</v>
      </c>
      <c r="I6119">
        <v>62</v>
      </c>
      <c r="J6119" t="str">
        <f>HYPERLINK("https://climate.onebuilding.org/WMO_Region_6_Europe/GRC_Greece/CR_Crete/GRC_CR_Chania.167470_TMYx.zip")</f>
        <v>https://climate.onebuilding.org/WMO_Region_6_Europe/GRC_Greece/CR_Crete/GRC_CR_Chania.167470_TMYx.zip</v>
      </c>
    </row>
    <row r="6120" spans="1:10" x14ac:dyDescent="0.25">
      <c r="A6120" t="s">
        <v>4660</v>
      </c>
      <c r="B6120" t="s">
        <v>896</v>
      </c>
      <c r="C6120" t="s">
        <v>4755</v>
      </c>
      <c r="D6120">
        <v>167490</v>
      </c>
      <c r="E6120" t="s">
        <v>4756</v>
      </c>
      <c r="F6120">
        <v>36.405000000000001</v>
      </c>
      <c r="G6120">
        <v>28.085999999999999</v>
      </c>
      <c r="H6120">
        <v>2</v>
      </c>
      <c r="I6120">
        <v>5.8</v>
      </c>
      <c r="J6120" t="str">
        <f>HYPERLINK("https://climate.onebuilding.org/WMO_Region_6_Europe/GRC_Greece/AI_Aegean/GRC_AI_Rhodes-Diagoras.Intl.AP.167490_TMYx.2004-2018.zip")</f>
        <v>https://climate.onebuilding.org/WMO_Region_6_Europe/GRC_Greece/AI_Aegean/GRC_AI_Rhodes-Diagoras.Intl.AP.167490_TMYx.2004-2018.zip</v>
      </c>
    </row>
    <row r="6121" spans="1:10" x14ac:dyDescent="0.25">
      <c r="A6121" t="s">
        <v>4660</v>
      </c>
      <c r="B6121" t="s">
        <v>896</v>
      </c>
      <c r="C6121" t="s">
        <v>4755</v>
      </c>
      <c r="D6121">
        <v>167490</v>
      </c>
      <c r="E6121" t="s">
        <v>14</v>
      </c>
      <c r="F6121">
        <v>36.405000000000001</v>
      </c>
      <c r="G6121">
        <v>28.085999999999999</v>
      </c>
      <c r="H6121">
        <v>2</v>
      </c>
      <c r="I6121">
        <v>5.8</v>
      </c>
      <c r="J6121" t="str">
        <f>HYPERLINK("https://climate.onebuilding.org/WMO_Region_6_Europe/GRC_Greece/AI_Aegean/GRC_AI_Rhodes-Diagoras.Intl.AP.167490_TMYx.2007-2021.zip")</f>
        <v>https://climate.onebuilding.org/WMO_Region_6_Europe/GRC_Greece/AI_Aegean/GRC_AI_Rhodes-Diagoras.Intl.AP.167490_TMYx.2007-2021.zip</v>
      </c>
    </row>
    <row r="6122" spans="1:10" x14ac:dyDescent="0.25">
      <c r="A6122" t="s">
        <v>4660</v>
      </c>
      <c r="B6122" t="s">
        <v>896</v>
      </c>
      <c r="C6122" t="s">
        <v>4755</v>
      </c>
      <c r="D6122">
        <v>167490</v>
      </c>
      <c r="E6122" t="s">
        <v>14</v>
      </c>
      <c r="F6122">
        <v>36.405000000000001</v>
      </c>
      <c r="G6122">
        <v>28.085999999999999</v>
      </c>
      <c r="H6122">
        <v>2</v>
      </c>
      <c r="I6122">
        <v>5.8</v>
      </c>
      <c r="J6122" t="str">
        <f>HYPERLINK("https://climate.onebuilding.org/WMO_Region_6_Europe/GRC_Greece/AI_Aegean/GRC_AI_Rhodes-Diagoras.Intl.AP.167490_TMYx.2009-2023.zip")</f>
        <v>https://climate.onebuilding.org/WMO_Region_6_Europe/GRC_Greece/AI_Aegean/GRC_AI_Rhodes-Diagoras.Intl.AP.167490_TMYx.2009-2023.zip</v>
      </c>
    </row>
    <row r="6123" spans="1:10" x14ac:dyDescent="0.25">
      <c r="A6123" t="s">
        <v>4660</v>
      </c>
      <c r="B6123" t="s">
        <v>896</v>
      </c>
      <c r="C6123" t="s">
        <v>4755</v>
      </c>
      <c r="D6123">
        <v>167490</v>
      </c>
      <c r="E6123" t="s">
        <v>14</v>
      </c>
      <c r="F6123">
        <v>36.405000000000001</v>
      </c>
      <c r="G6123">
        <v>28.085999999999999</v>
      </c>
      <c r="H6123">
        <v>2</v>
      </c>
      <c r="I6123">
        <v>5.8</v>
      </c>
      <c r="J6123" t="str">
        <f>HYPERLINK("https://climate.onebuilding.org/WMO_Region_6_Europe/GRC_Greece/AI_Aegean/GRC_AI_Rhodes-Diagoras.Intl.AP.167490_TMYx.zip")</f>
        <v>https://climate.onebuilding.org/WMO_Region_6_Europe/GRC_Greece/AI_Aegean/GRC_AI_Rhodes-Diagoras.Intl.AP.167490_TMYx.zip</v>
      </c>
    </row>
    <row r="6124" spans="1:10" x14ac:dyDescent="0.25">
      <c r="A6124" t="s">
        <v>4660</v>
      </c>
      <c r="B6124" t="s">
        <v>896</v>
      </c>
      <c r="C6124" t="s">
        <v>4757</v>
      </c>
      <c r="D6124">
        <v>167494</v>
      </c>
      <c r="E6124" t="s">
        <v>14</v>
      </c>
      <c r="F6124">
        <v>36.383000000000003</v>
      </c>
      <c r="G6124">
        <v>28.117000000000001</v>
      </c>
      <c r="H6124">
        <v>2</v>
      </c>
      <c r="I6124">
        <v>62</v>
      </c>
      <c r="J6124" t="str">
        <f>HYPERLINK("https://climate.onebuilding.org/WMO_Region_6_Europe/GRC_Greece/AI_Aegean/GRC_AI_Rhodes-Paradissi.AP.167494_TMYx.zip")</f>
        <v>https://climate.onebuilding.org/WMO_Region_6_Europe/GRC_Greece/AI_Aegean/GRC_AI_Rhodes-Paradissi.AP.167494_TMYx.zip</v>
      </c>
    </row>
    <row r="6125" spans="1:10" x14ac:dyDescent="0.25">
      <c r="A6125" t="s">
        <v>4660</v>
      </c>
      <c r="B6125" t="s">
        <v>4751</v>
      </c>
      <c r="C6125" t="s">
        <v>4758</v>
      </c>
      <c r="D6125">
        <v>167540</v>
      </c>
      <c r="E6125" t="s">
        <v>4759</v>
      </c>
      <c r="F6125">
        <v>35.340000000000003</v>
      </c>
      <c r="G6125">
        <v>25.18</v>
      </c>
      <c r="H6125">
        <v>2</v>
      </c>
      <c r="I6125">
        <v>35.1</v>
      </c>
      <c r="J6125" t="str">
        <f>HYPERLINK("https://climate.onebuilding.org/WMO_Region_6_Europe/GRC_Greece/CR_Crete/GRC_CR_Heraklion-Kazantzakis.AP.167540_TMYx.2004-2018.zip")</f>
        <v>https://climate.onebuilding.org/WMO_Region_6_Europe/GRC_Greece/CR_Crete/GRC_CR_Heraklion-Kazantzakis.AP.167540_TMYx.2004-2018.zip</v>
      </c>
    </row>
    <row r="6126" spans="1:10" x14ac:dyDescent="0.25">
      <c r="A6126" t="s">
        <v>4660</v>
      </c>
      <c r="B6126" t="s">
        <v>4751</v>
      </c>
      <c r="C6126" t="s">
        <v>4758</v>
      </c>
      <c r="D6126">
        <v>167540</v>
      </c>
      <c r="E6126" t="s">
        <v>14</v>
      </c>
      <c r="F6126">
        <v>35.340000000000003</v>
      </c>
      <c r="G6126">
        <v>25.18</v>
      </c>
      <c r="H6126">
        <v>2</v>
      </c>
      <c r="I6126">
        <v>35.1</v>
      </c>
      <c r="J6126" t="str">
        <f>HYPERLINK("https://climate.onebuilding.org/WMO_Region_6_Europe/GRC_Greece/CR_Crete/GRC_CR_Heraklion-Kazantzakis.AP.167540_TMYx.2007-2021.zip")</f>
        <v>https://climate.onebuilding.org/WMO_Region_6_Europe/GRC_Greece/CR_Crete/GRC_CR_Heraklion-Kazantzakis.AP.167540_TMYx.2007-2021.zip</v>
      </c>
    </row>
    <row r="6127" spans="1:10" x14ac:dyDescent="0.25">
      <c r="A6127" t="s">
        <v>4660</v>
      </c>
      <c r="B6127" t="s">
        <v>4751</v>
      </c>
      <c r="C6127" t="s">
        <v>4758</v>
      </c>
      <c r="D6127">
        <v>167540</v>
      </c>
      <c r="E6127" t="s">
        <v>14</v>
      </c>
      <c r="F6127">
        <v>35.340000000000003</v>
      </c>
      <c r="G6127">
        <v>25.18</v>
      </c>
      <c r="H6127">
        <v>2</v>
      </c>
      <c r="I6127">
        <v>35.1</v>
      </c>
      <c r="J6127" t="str">
        <f>HYPERLINK("https://climate.onebuilding.org/WMO_Region_6_Europe/GRC_Greece/CR_Crete/GRC_CR_Heraklion-Kazantzakis.AP.167540_TMYx.2009-2023.zip")</f>
        <v>https://climate.onebuilding.org/WMO_Region_6_Europe/GRC_Greece/CR_Crete/GRC_CR_Heraklion-Kazantzakis.AP.167540_TMYx.2009-2023.zip</v>
      </c>
    </row>
    <row r="6128" spans="1:10" x14ac:dyDescent="0.25">
      <c r="A6128" t="s">
        <v>4660</v>
      </c>
      <c r="B6128" t="s">
        <v>4751</v>
      </c>
      <c r="C6128" t="s">
        <v>4758</v>
      </c>
      <c r="D6128">
        <v>167540</v>
      </c>
      <c r="E6128" t="s">
        <v>14</v>
      </c>
      <c r="F6128">
        <v>35.340000000000003</v>
      </c>
      <c r="G6128">
        <v>25.18</v>
      </c>
      <c r="H6128">
        <v>2</v>
      </c>
      <c r="I6128">
        <v>35.1</v>
      </c>
      <c r="J6128" t="str">
        <f>HYPERLINK("https://climate.onebuilding.org/WMO_Region_6_Europe/GRC_Greece/CR_Crete/GRC_CR_Heraklion-Kazantzakis.AP.167540_TMYx.zip")</f>
        <v>https://climate.onebuilding.org/WMO_Region_6_Europe/GRC_Greece/CR_Crete/GRC_CR_Heraklion-Kazantzakis.AP.167540_TMYx.zip</v>
      </c>
    </row>
    <row r="6129" spans="1:10" x14ac:dyDescent="0.25">
      <c r="A6129" t="s">
        <v>4660</v>
      </c>
      <c r="B6129" t="s">
        <v>4751</v>
      </c>
      <c r="C6129" t="s">
        <v>4760</v>
      </c>
      <c r="D6129">
        <v>167570</v>
      </c>
      <c r="E6129" t="s">
        <v>14</v>
      </c>
      <c r="F6129">
        <v>35.200000000000003</v>
      </c>
      <c r="G6129">
        <v>26.1</v>
      </c>
      <c r="H6129">
        <v>2</v>
      </c>
      <c r="I6129">
        <v>28</v>
      </c>
      <c r="J6129" t="str">
        <f>HYPERLINK("https://climate.onebuilding.org/WMO_Region_6_Europe/GRC_Greece/CR_Crete/GRC_CR_Sitia.167570_TMYx.2007-2021.zip")</f>
        <v>https://climate.onebuilding.org/WMO_Region_6_Europe/GRC_Greece/CR_Crete/GRC_CR_Sitia.167570_TMYx.2007-2021.zip</v>
      </c>
    </row>
    <row r="6130" spans="1:10" x14ac:dyDescent="0.25">
      <c r="A6130" t="s">
        <v>4660</v>
      </c>
      <c r="B6130" t="s">
        <v>4751</v>
      </c>
      <c r="C6130" t="s">
        <v>4760</v>
      </c>
      <c r="D6130">
        <v>167570</v>
      </c>
      <c r="E6130" t="s">
        <v>14</v>
      </c>
      <c r="F6130">
        <v>35.200000000000003</v>
      </c>
      <c r="G6130">
        <v>26.1</v>
      </c>
      <c r="H6130">
        <v>2</v>
      </c>
      <c r="I6130">
        <v>28</v>
      </c>
      <c r="J6130" t="str">
        <f>HYPERLINK("https://climate.onebuilding.org/WMO_Region_6_Europe/GRC_Greece/CR_Crete/GRC_CR_Sitia.167570_TMYx.2009-2023.zip")</f>
        <v>https://climate.onebuilding.org/WMO_Region_6_Europe/GRC_Greece/CR_Crete/GRC_CR_Sitia.167570_TMYx.2009-2023.zip</v>
      </c>
    </row>
    <row r="6131" spans="1:10" x14ac:dyDescent="0.25">
      <c r="A6131" t="s">
        <v>4660</v>
      </c>
      <c r="B6131" t="s">
        <v>4751</v>
      </c>
      <c r="C6131" t="s">
        <v>4760</v>
      </c>
      <c r="D6131">
        <v>167570</v>
      </c>
      <c r="E6131" t="s">
        <v>14</v>
      </c>
      <c r="F6131">
        <v>35.200000000000003</v>
      </c>
      <c r="G6131">
        <v>26.1</v>
      </c>
      <c r="H6131">
        <v>2</v>
      </c>
      <c r="I6131">
        <v>28</v>
      </c>
      <c r="J6131" t="str">
        <f>HYPERLINK("https://climate.onebuilding.org/WMO_Region_6_Europe/GRC_Greece/CR_Crete/GRC_CR_Sitia.167570_TMYx.zip")</f>
        <v>https://climate.onebuilding.org/WMO_Region_6_Europe/GRC_Greece/CR_Crete/GRC_CR_Sitia.167570_TMYx.zip</v>
      </c>
    </row>
    <row r="6132" spans="1:10" x14ac:dyDescent="0.25">
      <c r="A6132" t="s">
        <v>4660</v>
      </c>
      <c r="B6132" t="s">
        <v>4751</v>
      </c>
      <c r="C6132" t="s">
        <v>4761</v>
      </c>
      <c r="D6132">
        <v>167590</v>
      </c>
      <c r="E6132" t="s">
        <v>14</v>
      </c>
      <c r="F6132">
        <v>35.066000000000003</v>
      </c>
      <c r="G6132">
        <v>24.762</v>
      </c>
      <c r="H6132">
        <v>2</v>
      </c>
      <c r="I6132">
        <v>7</v>
      </c>
      <c r="J6132" t="str">
        <f>HYPERLINK("https://climate.onebuilding.org/WMO_Region_6_Europe/GRC_Greece/CR_Crete/GRC_CR_Tympaki.AP.167590_TMYx.2007-2021.zip")</f>
        <v>https://climate.onebuilding.org/WMO_Region_6_Europe/GRC_Greece/CR_Crete/GRC_CR_Tympaki.AP.167590_TMYx.2007-2021.zip</v>
      </c>
    </row>
    <row r="6133" spans="1:10" x14ac:dyDescent="0.25">
      <c r="A6133" t="s">
        <v>4660</v>
      </c>
      <c r="B6133" t="s">
        <v>4751</v>
      </c>
      <c r="C6133" t="s">
        <v>4761</v>
      </c>
      <c r="D6133">
        <v>167590</v>
      </c>
      <c r="E6133" t="s">
        <v>14</v>
      </c>
      <c r="F6133">
        <v>35.066000000000003</v>
      </c>
      <c r="G6133">
        <v>24.762</v>
      </c>
      <c r="H6133">
        <v>2</v>
      </c>
      <c r="I6133">
        <v>7</v>
      </c>
      <c r="J6133" t="str">
        <f>HYPERLINK("https://climate.onebuilding.org/WMO_Region_6_Europe/GRC_Greece/CR_Crete/GRC_CR_Tympaki.AP.167590_TMYx.2009-2023.zip")</f>
        <v>https://climate.onebuilding.org/WMO_Region_6_Europe/GRC_Greece/CR_Crete/GRC_CR_Tympaki.AP.167590_TMYx.2009-2023.zip</v>
      </c>
    </row>
    <row r="6134" spans="1:10" x14ac:dyDescent="0.25">
      <c r="A6134" t="s">
        <v>4660</v>
      </c>
      <c r="B6134" t="s">
        <v>4751</v>
      </c>
      <c r="C6134" t="s">
        <v>4761</v>
      </c>
      <c r="D6134">
        <v>167590</v>
      </c>
      <c r="E6134" t="s">
        <v>14</v>
      </c>
      <c r="F6134">
        <v>35.066000000000003</v>
      </c>
      <c r="G6134">
        <v>24.762</v>
      </c>
      <c r="H6134">
        <v>2</v>
      </c>
      <c r="I6134">
        <v>7</v>
      </c>
      <c r="J6134" t="str">
        <f>HYPERLINK("https://climate.onebuilding.org/WMO_Region_6_Europe/GRC_Greece/CR_Crete/GRC_CR_Tympaki.AP.167590_TMYx.zip")</f>
        <v>https://climate.onebuilding.org/WMO_Region_6_Europe/GRC_Greece/CR_Crete/GRC_CR_Tympaki.AP.167590_TMYx.zip</v>
      </c>
    </row>
    <row r="6135" spans="1:10" x14ac:dyDescent="0.25">
      <c r="A6135" t="s">
        <v>4660</v>
      </c>
      <c r="B6135" t="s">
        <v>4751</v>
      </c>
      <c r="C6135" t="s">
        <v>4762</v>
      </c>
      <c r="D6135">
        <v>167600</v>
      </c>
      <c r="E6135" t="s">
        <v>14</v>
      </c>
      <c r="F6135">
        <v>35.183</v>
      </c>
      <c r="G6135">
        <v>25.317</v>
      </c>
      <c r="H6135">
        <v>2</v>
      </c>
      <c r="I6135">
        <v>336</v>
      </c>
      <c r="J6135" t="str">
        <f>HYPERLINK("https://climate.onebuilding.org/WMO_Region_6_Europe/GRC_Greece/CR_Crete/GRC_CR_Kasteli.AP.167600_TMYx.2007-2021.zip")</f>
        <v>https://climate.onebuilding.org/WMO_Region_6_Europe/GRC_Greece/CR_Crete/GRC_CR_Kasteli.AP.167600_TMYx.2007-2021.zip</v>
      </c>
    </row>
    <row r="6136" spans="1:10" x14ac:dyDescent="0.25">
      <c r="A6136" t="s">
        <v>4660</v>
      </c>
      <c r="B6136" t="s">
        <v>4751</v>
      </c>
      <c r="C6136" t="s">
        <v>4762</v>
      </c>
      <c r="D6136">
        <v>167600</v>
      </c>
      <c r="E6136" t="s">
        <v>14</v>
      </c>
      <c r="F6136">
        <v>35.183</v>
      </c>
      <c r="G6136">
        <v>25.317</v>
      </c>
      <c r="H6136">
        <v>2</v>
      </c>
      <c r="I6136">
        <v>336</v>
      </c>
      <c r="J6136" t="str">
        <f>HYPERLINK("https://climate.onebuilding.org/WMO_Region_6_Europe/GRC_Greece/CR_Crete/GRC_CR_Kasteli.AP.167600_TMYx.2009-2023.zip")</f>
        <v>https://climate.onebuilding.org/WMO_Region_6_Europe/GRC_Greece/CR_Crete/GRC_CR_Kasteli.AP.167600_TMYx.2009-2023.zip</v>
      </c>
    </row>
    <row r="6137" spans="1:10" x14ac:dyDescent="0.25">
      <c r="A6137" t="s">
        <v>4660</v>
      </c>
      <c r="B6137" t="s">
        <v>4751</v>
      </c>
      <c r="C6137" t="s">
        <v>4762</v>
      </c>
      <c r="D6137">
        <v>167600</v>
      </c>
      <c r="E6137" t="s">
        <v>14</v>
      </c>
      <c r="F6137">
        <v>35.183</v>
      </c>
      <c r="G6137">
        <v>25.317</v>
      </c>
      <c r="H6137">
        <v>2</v>
      </c>
      <c r="I6137">
        <v>336</v>
      </c>
      <c r="J6137" t="str">
        <f>HYPERLINK("https://climate.onebuilding.org/WMO_Region_6_Europe/GRC_Greece/CR_Crete/GRC_CR_Kasteli.AP.167600_TMYx.zip")</f>
        <v>https://climate.onebuilding.org/WMO_Region_6_Europe/GRC_Greece/CR_Crete/GRC_CR_Kasteli.AP.167600_TMYx.zip</v>
      </c>
    </row>
    <row r="6138" spans="1:10" x14ac:dyDescent="0.25">
      <c r="A6138" t="s">
        <v>4660</v>
      </c>
      <c r="B6138" t="s">
        <v>896</v>
      </c>
      <c r="C6138" t="s">
        <v>4763</v>
      </c>
      <c r="D6138">
        <v>167650</v>
      </c>
      <c r="E6138" t="s">
        <v>4764</v>
      </c>
      <c r="F6138">
        <v>35.420999999999999</v>
      </c>
      <c r="G6138">
        <v>27.155000000000001</v>
      </c>
      <c r="H6138">
        <v>2</v>
      </c>
      <c r="I6138">
        <v>6</v>
      </c>
      <c r="J6138" t="str">
        <f>HYPERLINK("https://climate.onebuilding.org/WMO_Region_6_Europe/GRC_Greece/AI_Aegean/GRC_AI_Karpathos.AP.167650_TMYx.2004-2018.zip")</f>
        <v>https://climate.onebuilding.org/WMO_Region_6_Europe/GRC_Greece/AI_Aegean/GRC_AI_Karpathos.AP.167650_TMYx.2004-2018.zip</v>
      </c>
    </row>
    <row r="6139" spans="1:10" x14ac:dyDescent="0.25">
      <c r="A6139" t="s">
        <v>4660</v>
      </c>
      <c r="B6139" t="s">
        <v>896</v>
      </c>
      <c r="C6139" t="s">
        <v>4763</v>
      </c>
      <c r="D6139">
        <v>167650</v>
      </c>
      <c r="E6139" t="s">
        <v>14</v>
      </c>
      <c r="F6139">
        <v>35.420999999999999</v>
      </c>
      <c r="G6139">
        <v>27.155000000000001</v>
      </c>
      <c r="H6139">
        <v>2</v>
      </c>
      <c r="I6139">
        <v>6</v>
      </c>
      <c r="J6139" t="str">
        <f>HYPERLINK("https://climate.onebuilding.org/WMO_Region_6_Europe/GRC_Greece/AI_Aegean/GRC_AI_Karpathos.AP.167650_TMYx.2007-2021.zip")</f>
        <v>https://climate.onebuilding.org/WMO_Region_6_Europe/GRC_Greece/AI_Aegean/GRC_AI_Karpathos.AP.167650_TMYx.2007-2021.zip</v>
      </c>
    </row>
    <row r="6140" spans="1:10" x14ac:dyDescent="0.25">
      <c r="A6140" t="s">
        <v>4660</v>
      </c>
      <c r="B6140" t="s">
        <v>896</v>
      </c>
      <c r="C6140" t="s">
        <v>4763</v>
      </c>
      <c r="D6140">
        <v>167650</v>
      </c>
      <c r="E6140" t="s">
        <v>14</v>
      </c>
      <c r="F6140">
        <v>35.420999999999999</v>
      </c>
      <c r="G6140">
        <v>27.155000000000001</v>
      </c>
      <c r="H6140">
        <v>2</v>
      </c>
      <c r="I6140">
        <v>6</v>
      </c>
      <c r="J6140" t="str">
        <f>HYPERLINK("https://climate.onebuilding.org/WMO_Region_6_Europe/GRC_Greece/AI_Aegean/GRC_AI_Karpathos.AP.167650_TMYx.2009-2023.zip")</f>
        <v>https://climate.onebuilding.org/WMO_Region_6_Europe/GRC_Greece/AI_Aegean/GRC_AI_Karpathos.AP.167650_TMYx.2009-2023.zip</v>
      </c>
    </row>
    <row r="6141" spans="1:10" x14ac:dyDescent="0.25">
      <c r="A6141" t="s">
        <v>4660</v>
      </c>
      <c r="B6141" t="s">
        <v>896</v>
      </c>
      <c r="C6141" t="s">
        <v>4763</v>
      </c>
      <c r="D6141">
        <v>167650</v>
      </c>
      <c r="E6141" t="s">
        <v>14</v>
      </c>
      <c r="F6141">
        <v>35.420999999999999</v>
      </c>
      <c r="G6141">
        <v>27.155000000000001</v>
      </c>
      <c r="H6141">
        <v>2</v>
      </c>
      <c r="I6141">
        <v>6</v>
      </c>
      <c r="J6141" t="str">
        <f>HYPERLINK("https://climate.onebuilding.org/WMO_Region_6_Europe/GRC_Greece/AI_Aegean/GRC_AI_Karpathos.AP.167650_TMYx.zip")</f>
        <v>https://climate.onebuilding.org/WMO_Region_6_Europe/GRC_Greece/AI_Aegean/GRC_AI_Karpathos.AP.167650_TMYx.zip</v>
      </c>
    </row>
    <row r="6142" spans="1:10" x14ac:dyDescent="0.25">
      <c r="A6142" t="s">
        <v>4765</v>
      </c>
      <c r="B6142" t="s">
        <v>4766</v>
      </c>
      <c r="C6142" t="s">
        <v>4767</v>
      </c>
      <c r="D6142" s="1" t="s">
        <v>4768</v>
      </c>
      <c r="E6142" t="s">
        <v>4769</v>
      </c>
      <c r="F6142">
        <v>76.531000000000006</v>
      </c>
      <c r="G6142">
        <v>-68.703000000000003</v>
      </c>
      <c r="H6142">
        <v>-4</v>
      </c>
      <c r="I6142">
        <v>76.5</v>
      </c>
      <c r="J6142" t="str">
        <f>HYPERLINK("https://climate.onebuilding.org/WMO_Region_6_Europe/GRL_Greenland/QA_Qaasuitsup/GRL_QA_Thule.AB-Pituffik.AP.042020_TMYx.2004-2018.zip")</f>
        <v>https://climate.onebuilding.org/WMO_Region_6_Europe/GRL_Greenland/QA_Qaasuitsup/GRL_QA_Thule.AB-Pituffik.AP.042020_TMYx.2004-2018.zip</v>
      </c>
    </row>
    <row r="6143" spans="1:10" x14ac:dyDescent="0.25">
      <c r="A6143" t="s">
        <v>4765</v>
      </c>
      <c r="B6143" t="s">
        <v>4766</v>
      </c>
      <c r="C6143" t="s">
        <v>4767</v>
      </c>
      <c r="D6143" s="1" t="s">
        <v>4768</v>
      </c>
      <c r="E6143" t="s">
        <v>14</v>
      </c>
      <c r="F6143">
        <v>76.533000000000001</v>
      </c>
      <c r="G6143">
        <v>-68.75</v>
      </c>
      <c r="H6143">
        <v>-4</v>
      </c>
      <c r="I6143">
        <v>76.5</v>
      </c>
      <c r="J6143" t="str">
        <f>HYPERLINK("https://climate.onebuilding.org/WMO_Region_6_Europe/GRL_Greenland/QA_Qaasuitsup/GRL_QA_Thule.AB-Pituffik.AP.042020_TMYx.2007-2021.zip")</f>
        <v>https://climate.onebuilding.org/WMO_Region_6_Europe/GRL_Greenland/QA_Qaasuitsup/GRL_QA_Thule.AB-Pituffik.AP.042020_TMYx.2007-2021.zip</v>
      </c>
    </row>
    <row r="6144" spans="1:10" x14ac:dyDescent="0.25">
      <c r="A6144" t="s">
        <v>4765</v>
      </c>
      <c r="B6144" t="s">
        <v>4766</v>
      </c>
      <c r="C6144" t="s">
        <v>4767</v>
      </c>
      <c r="D6144" s="1" t="s">
        <v>4768</v>
      </c>
      <c r="E6144" t="s">
        <v>14</v>
      </c>
      <c r="F6144">
        <v>76.533000000000001</v>
      </c>
      <c r="G6144">
        <v>-68.75</v>
      </c>
      <c r="H6144">
        <v>-4</v>
      </c>
      <c r="I6144">
        <v>76.5</v>
      </c>
      <c r="J6144" t="str">
        <f>HYPERLINK("https://climate.onebuilding.org/WMO_Region_6_Europe/GRL_Greenland/QA_Qaasuitsup/GRL_QA_Thule.AB-Pituffik.AP.042020_TMYx.2009-2023.zip")</f>
        <v>https://climate.onebuilding.org/WMO_Region_6_Europe/GRL_Greenland/QA_Qaasuitsup/GRL_QA_Thule.AB-Pituffik.AP.042020_TMYx.2009-2023.zip</v>
      </c>
    </row>
    <row r="6145" spans="1:10" x14ac:dyDescent="0.25">
      <c r="A6145" t="s">
        <v>4765</v>
      </c>
      <c r="B6145" t="s">
        <v>4766</v>
      </c>
      <c r="C6145" t="s">
        <v>4767</v>
      </c>
      <c r="D6145" s="1" t="s">
        <v>4768</v>
      </c>
      <c r="E6145" t="s">
        <v>14</v>
      </c>
      <c r="F6145">
        <v>76.533000000000001</v>
      </c>
      <c r="G6145">
        <v>-68.75</v>
      </c>
      <c r="H6145">
        <v>-4</v>
      </c>
      <c r="I6145">
        <v>76.5</v>
      </c>
      <c r="J6145" t="str">
        <f>HYPERLINK("https://climate.onebuilding.org/WMO_Region_6_Europe/GRL_Greenland/QA_Qaasuitsup/GRL_QA_Thule.AB-Pituffik.AP.042020_TMYx.zip")</f>
        <v>https://climate.onebuilding.org/WMO_Region_6_Europe/GRL_Greenland/QA_Qaasuitsup/GRL_QA_Thule.AB-Pituffik.AP.042020_TMYx.zip</v>
      </c>
    </row>
    <row r="6146" spans="1:10" x14ac:dyDescent="0.25">
      <c r="A6146" t="s">
        <v>4765</v>
      </c>
      <c r="B6146" t="s">
        <v>4766</v>
      </c>
      <c r="C6146" t="s">
        <v>4770</v>
      </c>
      <c r="D6146" s="1" t="s">
        <v>4771</v>
      </c>
      <c r="E6146" t="s">
        <v>4772</v>
      </c>
      <c r="F6146">
        <v>76.691000000000003</v>
      </c>
      <c r="G6146">
        <v>-73.066999999999993</v>
      </c>
      <c r="H6146">
        <v>-4</v>
      </c>
      <c r="I6146">
        <v>11</v>
      </c>
      <c r="J6146" t="str">
        <f>HYPERLINK("https://climate.onebuilding.org/WMO_Region_6_Europe/GRL_Greenland/QA_Qaasuitsup/GRL_QA_Kitsissut.Carey.Islands.042030_TMYx.2004-2018.zip")</f>
        <v>https://climate.onebuilding.org/WMO_Region_6_Europe/GRL_Greenland/QA_Qaasuitsup/GRL_QA_Kitsissut.Carey.Islands.042030_TMYx.2004-2018.zip</v>
      </c>
    </row>
    <row r="6147" spans="1:10" x14ac:dyDescent="0.25">
      <c r="A6147" t="s">
        <v>4765</v>
      </c>
      <c r="B6147" t="s">
        <v>4766</v>
      </c>
      <c r="C6147" t="s">
        <v>4770</v>
      </c>
      <c r="D6147" s="1" t="s">
        <v>4771</v>
      </c>
      <c r="E6147" t="s">
        <v>14</v>
      </c>
      <c r="F6147">
        <v>76.691000000000003</v>
      </c>
      <c r="G6147">
        <v>-73.066999999999993</v>
      </c>
      <c r="H6147">
        <v>-4</v>
      </c>
      <c r="I6147">
        <v>113</v>
      </c>
      <c r="J6147" t="str">
        <f>HYPERLINK("https://climate.onebuilding.org/WMO_Region_6_Europe/GRL_Greenland/QA_Qaasuitsup/GRL_QA_Kitsissut.Carey.Islands.042030_TMYx.2007-2021.zip")</f>
        <v>https://climate.onebuilding.org/WMO_Region_6_Europe/GRL_Greenland/QA_Qaasuitsup/GRL_QA_Kitsissut.Carey.Islands.042030_TMYx.2007-2021.zip</v>
      </c>
    </row>
    <row r="6148" spans="1:10" x14ac:dyDescent="0.25">
      <c r="A6148" t="s">
        <v>4765</v>
      </c>
      <c r="B6148" t="s">
        <v>4766</v>
      </c>
      <c r="C6148" t="s">
        <v>4770</v>
      </c>
      <c r="D6148" s="1" t="s">
        <v>4771</v>
      </c>
      <c r="E6148" t="s">
        <v>14</v>
      </c>
      <c r="F6148">
        <v>76.691000000000003</v>
      </c>
      <c r="G6148">
        <v>-73.066999999999993</v>
      </c>
      <c r="H6148">
        <v>-4</v>
      </c>
      <c r="I6148">
        <v>113</v>
      </c>
      <c r="J6148" t="str">
        <f>HYPERLINK("https://climate.onebuilding.org/WMO_Region_6_Europe/GRL_Greenland/QA_Qaasuitsup/GRL_QA_Kitsissut.Carey.Islands.042030_TMYx.2009-2023.zip")</f>
        <v>https://climate.onebuilding.org/WMO_Region_6_Europe/GRL_Greenland/QA_Qaasuitsup/GRL_QA_Kitsissut.Carey.Islands.042030_TMYx.2009-2023.zip</v>
      </c>
    </row>
    <row r="6149" spans="1:10" x14ac:dyDescent="0.25">
      <c r="A6149" t="s">
        <v>4765</v>
      </c>
      <c r="B6149" t="s">
        <v>4766</v>
      </c>
      <c r="C6149" t="s">
        <v>4770</v>
      </c>
      <c r="D6149" s="1" t="s">
        <v>4771</v>
      </c>
      <c r="E6149" t="s">
        <v>14</v>
      </c>
      <c r="F6149">
        <v>76.691000000000003</v>
      </c>
      <c r="G6149">
        <v>-73.066999999999993</v>
      </c>
      <c r="H6149">
        <v>-4</v>
      </c>
      <c r="I6149">
        <v>113</v>
      </c>
      <c r="J6149" t="str">
        <f>HYPERLINK("https://climate.onebuilding.org/WMO_Region_6_Europe/GRL_Greenland/QA_Qaasuitsup/GRL_QA_Kitsissut.Carey.Islands.042030_TMYx.zip")</f>
        <v>https://climate.onebuilding.org/WMO_Region_6_Europe/GRL_Greenland/QA_Qaasuitsup/GRL_QA_Kitsissut.Carey.Islands.042030_TMYx.zip</v>
      </c>
    </row>
    <row r="6150" spans="1:10" x14ac:dyDescent="0.25">
      <c r="A6150" t="s">
        <v>4765</v>
      </c>
      <c r="B6150" t="s">
        <v>4766</v>
      </c>
      <c r="C6150" t="s">
        <v>4773</v>
      </c>
      <c r="D6150" s="1" t="s">
        <v>4774</v>
      </c>
      <c r="E6150" t="s">
        <v>4775</v>
      </c>
      <c r="F6150">
        <v>77.484999999999999</v>
      </c>
      <c r="G6150">
        <v>-69.373000000000005</v>
      </c>
      <c r="H6150">
        <v>-4</v>
      </c>
      <c r="I6150">
        <v>16</v>
      </c>
      <c r="J6150" t="str">
        <f>HYPERLINK("https://climate.onebuilding.org/WMO_Region_6_Europe/GRL_Greenland/QA_Qaasuitsup/GRL_QA_Qaanaaq.AP.042050_TMYx.2004-2018.zip")</f>
        <v>https://climate.onebuilding.org/WMO_Region_6_Europe/GRL_Greenland/QA_Qaasuitsup/GRL_QA_Qaanaaq.AP.042050_TMYx.2004-2018.zip</v>
      </c>
    </row>
    <row r="6151" spans="1:10" x14ac:dyDescent="0.25">
      <c r="A6151" t="s">
        <v>4765</v>
      </c>
      <c r="B6151" t="s">
        <v>4766</v>
      </c>
      <c r="C6151" t="s">
        <v>4773</v>
      </c>
      <c r="D6151" s="1" t="s">
        <v>4774</v>
      </c>
      <c r="E6151" t="s">
        <v>14</v>
      </c>
      <c r="F6151">
        <v>77.484999999999999</v>
      </c>
      <c r="G6151">
        <v>-69.373000000000005</v>
      </c>
      <c r="H6151">
        <v>-4</v>
      </c>
      <c r="I6151">
        <v>16</v>
      </c>
      <c r="J6151" t="str">
        <f>HYPERLINK("https://climate.onebuilding.org/WMO_Region_6_Europe/GRL_Greenland/QA_Qaasuitsup/GRL_QA_Qaanaaq.AP.042050_TMYx.2007-2021.zip")</f>
        <v>https://climate.onebuilding.org/WMO_Region_6_Europe/GRL_Greenland/QA_Qaasuitsup/GRL_QA_Qaanaaq.AP.042050_TMYx.2007-2021.zip</v>
      </c>
    </row>
    <row r="6152" spans="1:10" x14ac:dyDescent="0.25">
      <c r="A6152" t="s">
        <v>4765</v>
      </c>
      <c r="B6152" t="s">
        <v>4766</v>
      </c>
      <c r="C6152" t="s">
        <v>4773</v>
      </c>
      <c r="D6152" s="1" t="s">
        <v>4774</v>
      </c>
      <c r="E6152" t="s">
        <v>14</v>
      </c>
      <c r="F6152">
        <v>77.484999999999999</v>
      </c>
      <c r="G6152">
        <v>-69.373000000000005</v>
      </c>
      <c r="H6152">
        <v>-4</v>
      </c>
      <c r="I6152">
        <v>16</v>
      </c>
      <c r="J6152" t="str">
        <f>HYPERLINK("https://climate.onebuilding.org/WMO_Region_6_Europe/GRL_Greenland/QA_Qaasuitsup/GRL_QA_Qaanaaq.AP.042050_TMYx.2009-2023.zip")</f>
        <v>https://climate.onebuilding.org/WMO_Region_6_Europe/GRL_Greenland/QA_Qaasuitsup/GRL_QA_Qaanaaq.AP.042050_TMYx.2009-2023.zip</v>
      </c>
    </row>
    <row r="6153" spans="1:10" x14ac:dyDescent="0.25">
      <c r="A6153" t="s">
        <v>4765</v>
      </c>
      <c r="B6153" t="s">
        <v>4766</v>
      </c>
      <c r="C6153" t="s">
        <v>4773</v>
      </c>
      <c r="D6153" s="1" t="s">
        <v>4774</v>
      </c>
      <c r="E6153" t="s">
        <v>14</v>
      </c>
      <c r="F6153">
        <v>77.484999999999999</v>
      </c>
      <c r="G6153">
        <v>-69.373000000000005</v>
      </c>
      <c r="H6153">
        <v>-4</v>
      </c>
      <c r="I6153">
        <v>16</v>
      </c>
      <c r="J6153" t="str">
        <f>HYPERLINK("https://climate.onebuilding.org/WMO_Region_6_Europe/GRL_Greenland/QA_Qaasuitsup/GRL_QA_Qaanaaq.AP.042050_TMYx.zip")</f>
        <v>https://climate.onebuilding.org/WMO_Region_6_Europe/GRL_Greenland/QA_Qaasuitsup/GRL_QA_Qaanaaq.AP.042050_TMYx.zip</v>
      </c>
    </row>
    <row r="6154" spans="1:10" x14ac:dyDescent="0.25">
      <c r="A6154" t="s">
        <v>4765</v>
      </c>
      <c r="B6154" t="s">
        <v>4766</v>
      </c>
      <c r="C6154" t="s">
        <v>4776</v>
      </c>
      <c r="D6154" s="1" t="s">
        <v>4777</v>
      </c>
      <c r="E6154" t="s">
        <v>4778</v>
      </c>
      <c r="F6154">
        <v>74.022999999999996</v>
      </c>
      <c r="G6154">
        <v>-57.811999999999998</v>
      </c>
      <c r="H6154">
        <v>-3</v>
      </c>
      <c r="I6154">
        <v>40</v>
      </c>
      <c r="J6154" t="str">
        <f>HYPERLINK("https://climate.onebuilding.org/WMO_Region_6_Europe/GRL_Greenland/QA_Qaasuitsup/GRL_QA_Kitsissorsuit-Edderfugle.Islands.042080_TMYx.2004-2018.zip")</f>
        <v>https://climate.onebuilding.org/WMO_Region_6_Europe/GRL_Greenland/QA_Qaasuitsup/GRL_QA_Kitsissorsuit-Edderfugle.Islands.042080_TMYx.2004-2018.zip</v>
      </c>
    </row>
    <row r="6155" spans="1:10" x14ac:dyDescent="0.25">
      <c r="A6155" t="s">
        <v>4765</v>
      </c>
      <c r="B6155" t="s">
        <v>4766</v>
      </c>
      <c r="C6155" t="s">
        <v>4776</v>
      </c>
      <c r="D6155" s="1" t="s">
        <v>4777</v>
      </c>
      <c r="E6155" t="s">
        <v>14</v>
      </c>
      <c r="F6155">
        <v>74.031229999999994</v>
      </c>
      <c r="G6155">
        <v>-57.813749999999999</v>
      </c>
      <c r="H6155">
        <v>-3</v>
      </c>
      <c r="I6155">
        <v>40</v>
      </c>
      <c r="J6155" t="str">
        <f>HYPERLINK("https://climate.onebuilding.org/WMO_Region_6_Europe/GRL_Greenland/QA_Qaasuitsup/GRL_QA_Kitsissorsuit-Edderfugle.Islands.042080_TMYx.2007-2021.zip")</f>
        <v>https://climate.onebuilding.org/WMO_Region_6_Europe/GRL_Greenland/QA_Qaasuitsup/GRL_QA_Kitsissorsuit-Edderfugle.Islands.042080_TMYx.2007-2021.zip</v>
      </c>
    </row>
    <row r="6156" spans="1:10" x14ac:dyDescent="0.25">
      <c r="A6156" t="s">
        <v>4765</v>
      </c>
      <c r="B6156" t="s">
        <v>4766</v>
      </c>
      <c r="C6156" t="s">
        <v>4776</v>
      </c>
      <c r="D6156" s="1" t="s">
        <v>4777</v>
      </c>
      <c r="E6156" t="s">
        <v>14</v>
      </c>
      <c r="F6156">
        <v>74.031229999999994</v>
      </c>
      <c r="G6156">
        <v>-57.813749999999999</v>
      </c>
      <c r="H6156">
        <v>-3</v>
      </c>
      <c r="I6156">
        <v>40</v>
      </c>
      <c r="J6156" t="str">
        <f>HYPERLINK("https://climate.onebuilding.org/WMO_Region_6_Europe/GRL_Greenland/QA_Qaasuitsup/GRL_QA_Kitsissorsuit-Edderfugle.Islands.042080_TMYx.2009-2023.zip")</f>
        <v>https://climate.onebuilding.org/WMO_Region_6_Europe/GRL_Greenland/QA_Qaasuitsup/GRL_QA_Kitsissorsuit-Edderfugle.Islands.042080_TMYx.2009-2023.zip</v>
      </c>
    </row>
    <row r="6157" spans="1:10" x14ac:dyDescent="0.25">
      <c r="A6157" t="s">
        <v>4765</v>
      </c>
      <c r="B6157" t="s">
        <v>4766</v>
      </c>
      <c r="C6157" t="s">
        <v>4776</v>
      </c>
      <c r="D6157" s="1" t="s">
        <v>4777</v>
      </c>
      <c r="E6157" t="s">
        <v>14</v>
      </c>
      <c r="F6157">
        <v>74.031229999999994</v>
      </c>
      <c r="G6157">
        <v>-57.813749999999999</v>
      </c>
      <c r="H6157">
        <v>-3</v>
      </c>
      <c r="I6157">
        <v>40</v>
      </c>
      <c r="J6157" t="str">
        <f>HYPERLINK("https://climate.onebuilding.org/WMO_Region_6_Europe/GRL_Greenland/QA_Qaasuitsup/GRL_QA_Kitsissorsuit-Edderfugle.Islands.042080_TMYx.zip")</f>
        <v>https://climate.onebuilding.org/WMO_Region_6_Europe/GRL_Greenland/QA_Qaasuitsup/GRL_QA_Kitsissorsuit-Edderfugle.Islands.042080_TMYx.zip</v>
      </c>
    </row>
    <row r="6158" spans="1:10" x14ac:dyDescent="0.25">
      <c r="A6158" t="s">
        <v>4765</v>
      </c>
      <c r="B6158" t="s">
        <v>4766</v>
      </c>
      <c r="C6158" t="s">
        <v>4779</v>
      </c>
      <c r="D6158" s="1" t="s">
        <v>4780</v>
      </c>
      <c r="E6158" t="s">
        <v>4781</v>
      </c>
      <c r="F6158">
        <v>72.783000000000001</v>
      </c>
      <c r="G6158">
        <v>-56.133000000000003</v>
      </c>
      <c r="H6158">
        <v>-3</v>
      </c>
      <c r="I6158">
        <v>129</v>
      </c>
      <c r="J6158" t="str">
        <f>HYPERLINK("https://climate.onebuilding.org/WMO_Region_6_Europe/GRL_Greenland/QA_Qaasuitsup/GRL_QA_Upernavik.AP.042110_TMYx.2004-2018.zip")</f>
        <v>https://climate.onebuilding.org/WMO_Region_6_Europe/GRL_Greenland/QA_Qaasuitsup/GRL_QA_Upernavik.AP.042110_TMYx.2004-2018.zip</v>
      </c>
    </row>
    <row r="6159" spans="1:10" x14ac:dyDescent="0.25">
      <c r="A6159" t="s">
        <v>4765</v>
      </c>
      <c r="B6159" t="s">
        <v>4766</v>
      </c>
      <c r="C6159" t="s">
        <v>4779</v>
      </c>
      <c r="D6159" s="1" t="s">
        <v>4780</v>
      </c>
      <c r="E6159" t="s">
        <v>14</v>
      </c>
      <c r="F6159">
        <v>72.783000000000001</v>
      </c>
      <c r="G6159">
        <v>-56.133000000000003</v>
      </c>
      <c r="H6159">
        <v>-3</v>
      </c>
      <c r="I6159">
        <v>129</v>
      </c>
      <c r="J6159" t="str">
        <f>HYPERLINK("https://climate.onebuilding.org/WMO_Region_6_Europe/GRL_Greenland/QA_Qaasuitsup/GRL_QA_Upernavik.AP.042110_TMYx.2007-2021.zip")</f>
        <v>https://climate.onebuilding.org/WMO_Region_6_Europe/GRL_Greenland/QA_Qaasuitsup/GRL_QA_Upernavik.AP.042110_TMYx.2007-2021.zip</v>
      </c>
    </row>
    <row r="6160" spans="1:10" x14ac:dyDescent="0.25">
      <c r="A6160" t="s">
        <v>4765</v>
      </c>
      <c r="B6160" t="s">
        <v>4766</v>
      </c>
      <c r="C6160" t="s">
        <v>4779</v>
      </c>
      <c r="D6160" s="1" t="s">
        <v>4780</v>
      </c>
      <c r="E6160" t="s">
        <v>14</v>
      </c>
      <c r="F6160">
        <v>72.783000000000001</v>
      </c>
      <c r="G6160">
        <v>-56.133000000000003</v>
      </c>
      <c r="H6160">
        <v>-3</v>
      </c>
      <c r="I6160">
        <v>129</v>
      </c>
      <c r="J6160" t="str">
        <f>HYPERLINK("https://climate.onebuilding.org/WMO_Region_6_Europe/GRL_Greenland/QA_Qaasuitsup/GRL_QA_Upernavik.AP.042110_TMYx.2009-2023.zip")</f>
        <v>https://climate.onebuilding.org/WMO_Region_6_Europe/GRL_Greenland/QA_Qaasuitsup/GRL_QA_Upernavik.AP.042110_TMYx.2009-2023.zip</v>
      </c>
    </row>
    <row r="6161" spans="1:10" x14ac:dyDescent="0.25">
      <c r="A6161" t="s">
        <v>4765</v>
      </c>
      <c r="B6161" t="s">
        <v>4766</v>
      </c>
      <c r="C6161" t="s">
        <v>4779</v>
      </c>
      <c r="D6161" s="1" t="s">
        <v>4780</v>
      </c>
      <c r="E6161" t="s">
        <v>14</v>
      </c>
      <c r="F6161">
        <v>72.783000000000001</v>
      </c>
      <c r="G6161">
        <v>-56.133000000000003</v>
      </c>
      <c r="H6161">
        <v>-3</v>
      </c>
      <c r="I6161">
        <v>129</v>
      </c>
      <c r="J6161" t="str">
        <f>HYPERLINK("https://climate.onebuilding.org/WMO_Region_6_Europe/GRL_Greenland/QA_Qaasuitsup/GRL_QA_Upernavik.AP.042110_TMYx.zip")</f>
        <v>https://climate.onebuilding.org/WMO_Region_6_Europe/GRL_Greenland/QA_Qaasuitsup/GRL_QA_Upernavik.AP.042110_TMYx.zip</v>
      </c>
    </row>
    <row r="6162" spans="1:10" x14ac:dyDescent="0.25">
      <c r="A6162" t="s">
        <v>4765</v>
      </c>
      <c r="B6162" t="s">
        <v>4766</v>
      </c>
      <c r="C6162" t="s">
        <v>4782</v>
      </c>
      <c r="D6162" s="1" t="s">
        <v>4783</v>
      </c>
      <c r="E6162" t="s">
        <v>4784</v>
      </c>
      <c r="F6162">
        <v>70.733000000000004</v>
      </c>
      <c r="G6162">
        <v>-52.7</v>
      </c>
      <c r="H6162">
        <v>-3</v>
      </c>
      <c r="I6162">
        <v>89</v>
      </c>
      <c r="J6162" t="str">
        <f>HYPERLINK("https://climate.onebuilding.org/WMO_Region_6_Europe/GRL_Greenland/QA_Qaasuitsup/GRL_QA_Qaarsut-Uummannaq.AP.042130_TMYx.2004-2018.zip")</f>
        <v>https://climate.onebuilding.org/WMO_Region_6_Europe/GRL_Greenland/QA_Qaasuitsup/GRL_QA_Qaarsut-Uummannaq.AP.042130_TMYx.2004-2018.zip</v>
      </c>
    </row>
    <row r="6163" spans="1:10" x14ac:dyDescent="0.25">
      <c r="A6163" t="s">
        <v>4765</v>
      </c>
      <c r="B6163" t="s">
        <v>4766</v>
      </c>
      <c r="C6163" t="s">
        <v>4782</v>
      </c>
      <c r="D6163" s="1" t="s">
        <v>4783</v>
      </c>
      <c r="E6163" t="s">
        <v>14</v>
      </c>
      <c r="F6163">
        <v>70.733000000000004</v>
      </c>
      <c r="G6163">
        <v>-52.7</v>
      </c>
      <c r="H6163">
        <v>-3</v>
      </c>
      <c r="I6163">
        <v>89</v>
      </c>
      <c r="J6163" t="str">
        <f>HYPERLINK("https://climate.onebuilding.org/WMO_Region_6_Europe/GRL_Greenland/QA_Qaasuitsup/GRL_QA_Qaarsut-Uummannaq.AP.042130_TMYx.2007-2021.zip")</f>
        <v>https://climate.onebuilding.org/WMO_Region_6_Europe/GRL_Greenland/QA_Qaasuitsup/GRL_QA_Qaarsut-Uummannaq.AP.042130_TMYx.2007-2021.zip</v>
      </c>
    </row>
    <row r="6164" spans="1:10" x14ac:dyDescent="0.25">
      <c r="A6164" t="s">
        <v>4765</v>
      </c>
      <c r="B6164" t="s">
        <v>4766</v>
      </c>
      <c r="C6164" t="s">
        <v>4782</v>
      </c>
      <c r="D6164" s="1" t="s">
        <v>4783</v>
      </c>
      <c r="E6164" t="s">
        <v>14</v>
      </c>
      <c r="F6164">
        <v>70.733000000000004</v>
      </c>
      <c r="G6164">
        <v>-52.7</v>
      </c>
      <c r="H6164">
        <v>-3</v>
      </c>
      <c r="I6164">
        <v>89</v>
      </c>
      <c r="J6164" t="str">
        <f>HYPERLINK("https://climate.onebuilding.org/WMO_Region_6_Europe/GRL_Greenland/QA_Qaasuitsup/GRL_QA_Qaarsut-Uummannaq.AP.042130_TMYx.2009-2023.zip")</f>
        <v>https://climate.onebuilding.org/WMO_Region_6_Europe/GRL_Greenland/QA_Qaasuitsup/GRL_QA_Qaarsut-Uummannaq.AP.042130_TMYx.2009-2023.zip</v>
      </c>
    </row>
    <row r="6165" spans="1:10" x14ac:dyDescent="0.25">
      <c r="A6165" t="s">
        <v>4765</v>
      </c>
      <c r="B6165" t="s">
        <v>4766</v>
      </c>
      <c r="C6165" t="s">
        <v>4782</v>
      </c>
      <c r="D6165" s="1" t="s">
        <v>4783</v>
      </c>
      <c r="E6165" t="s">
        <v>14</v>
      </c>
      <c r="F6165">
        <v>70.733000000000004</v>
      </c>
      <c r="G6165">
        <v>-52.7</v>
      </c>
      <c r="H6165">
        <v>-3</v>
      </c>
      <c r="I6165">
        <v>89</v>
      </c>
      <c r="J6165" t="str">
        <f>HYPERLINK("https://climate.onebuilding.org/WMO_Region_6_Europe/GRL_Greenland/QA_Qaasuitsup/GRL_QA_Qaarsut-Uummannaq.AP.042130_TMYx.zip")</f>
        <v>https://climate.onebuilding.org/WMO_Region_6_Europe/GRL_Greenland/QA_Qaasuitsup/GRL_QA_Qaarsut-Uummannaq.AP.042130_TMYx.zip</v>
      </c>
    </row>
    <row r="6166" spans="1:10" x14ac:dyDescent="0.25">
      <c r="A6166" t="s">
        <v>4765</v>
      </c>
      <c r="B6166" t="s">
        <v>4766</v>
      </c>
      <c r="C6166" t="s">
        <v>4785</v>
      </c>
      <c r="D6166" s="1" t="s">
        <v>4786</v>
      </c>
      <c r="E6166" t="s">
        <v>4787</v>
      </c>
      <c r="F6166">
        <v>70.683000000000007</v>
      </c>
      <c r="G6166">
        <v>-54.616999999999997</v>
      </c>
      <c r="H6166">
        <v>-3</v>
      </c>
      <c r="I6166">
        <v>27</v>
      </c>
      <c r="J6166" t="str">
        <f>HYPERLINK("https://climate.onebuilding.org/WMO_Region_6_Europe/GRL_Greenland/QA_Qaasuitsup/GRL_QA_Nuussuaataa-Nuussuaq.042140_TMYx.2004-2018.zip")</f>
        <v>https://climate.onebuilding.org/WMO_Region_6_Europe/GRL_Greenland/QA_Qaasuitsup/GRL_QA_Nuussuaataa-Nuussuaq.042140_TMYx.2004-2018.zip</v>
      </c>
    </row>
    <row r="6167" spans="1:10" x14ac:dyDescent="0.25">
      <c r="A6167" t="s">
        <v>4765</v>
      </c>
      <c r="B6167" t="s">
        <v>4766</v>
      </c>
      <c r="C6167" t="s">
        <v>4785</v>
      </c>
      <c r="D6167" s="1" t="s">
        <v>4786</v>
      </c>
      <c r="E6167" t="s">
        <v>14</v>
      </c>
      <c r="F6167">
        <v>70.683000000000007</v>
      </c>
      <c r="G6167">
        <v>-54.616999999999997</v>
      </c>
      <c r="H6167">
        <v>-3</v>
      </c>
      <c r="I6167">
        <v>27</v>
      </c>
      <c r="J6167" t="str">
        <f>HYPERLINK("https://climate.onebuilding.org/WMO_Region_6_Europe/GRL_Greenland/QA_Qaasuitsup/GRL_QA_Nuussuaataa-Nuussuaq.042140_TMYx.2007-2021.zip")</f>
        <v>https://climate.onebuilding.org/WMO_Region_6_Europe/GRL_Greenland/QA_Qaasuitsup/GRL_QA_Nuussuaataa-Nuussuaq.042140_TMYx.2007-2021.zip</v>
      </c>
    </row>
    <row r="6168" spans="1:10" x14ac:dyDescent="0.25">
      <c r="A6168" t="s">
        <v>4765</v>
      </c>
      <c r="B6168" t="s">
        <v>4766</v>
      </c>
      <c r="C6168" t="s">
        <v>4785</v>
      </c>
      <c r="D6168" s="1" t="s">
        <v>4786</v>
      </c>
      <c r="E6168" t="s">
        <v>14</v>
      </c>
      <c r="F6168">
        <v>70.683000000000007</v>
      </c>
      <c r="G6168">
        <v>-54.616999999999997</v>
      </c>
      <c r="H6168">
        <v>-3</v>
      </c>
      <c r="I6168">
        <v>27</v>
      </c>
      <c r="J6168" t="str">
        <f>HYPERLINK("https://climate.onebuilding.org/WMO_Region_6_Europe/GRL_Greenland/QA_Qaasuitsup/GRL_QA_Nuussuaataa-Nuussuaq.042140_TMYx.2009-2023.zip")</f>
        <v>https://climate.onebuilding.org/WMO_Region_6_Europe/GRL_Greenland/QA_Qaasuitsup/GRL_QA_Nuussuaataa-Nuussuaq.042140_TMYx.2009-2023.zip</v>
      </c>
    </row>
    <row r="6169" spans="1:10" x14ac:dyDescent="0.25">
      <c r="A6169" t="s">
        <v>4765</v>
      </c>
      <c r="B6169" t="s">
        <v>4766</v>
      </c>
      <c r="C6169" t="s">
        <v>4785</v>
      </c>
      <c r="D6169" s="1" t="s">
        <v>4786</v>
      </c>
      <c r="E6169" t="s">
        <v>14</v>
      </c>
      <c r="F6169">
        <v>70.683000000000007</v>
      </c>
      <c r="G6169">
        <v>-54.616999999999997</v>
      </c>
      <c r="H6169">
        <v>-3</v>
      </c>
      <c r="I6169">
        <v>27</v>
      </c>
      <c r="J6169" t="str">
        <f>HYPERLINK("https://climate.onebuilding.org/WMO_Region_6_Europe/GRL_Greenland/QA_Qaasuitsup/GRL_QA_Nuussuaataa-Nuussuaq.042140_TMYx.zip")</f>
        <v>https://climate.onebuilding.org/WMO_Region_6_Europe/GRL_Greenland/QA_Qaasuitsup/GRL_QA_Nuussuaataa-Nuussuaq.042140_TMYx.zip</v>
      </c>
    </row>
    <row r="6170" spans="1:10" x14ac:dyDescent="0.25">
      <c r="A6170" t="s">
        <v>4765</v>
      </c>
      <c r="B6170" t="s">
        <v>4766</v>
      </c>
      <c r="C6170" t="s">
        <v>4788</v>
      </c>
      <c r="D6170" s="1" t="s">
        <v>4789</v>
      </c>
      <c r="E6170" t="s">
        <v>14</v>
      </c>
      <c r="F6170">
        <v>69.332999999999998</v>
      </c>
      <c r="G6170">
        <v>-53.582999999999998</v>
      </c>
      <c r="H6170">
        <v>-3</v>
      </c>
      <c r="I6170">
        <v>24</v>
      </c>
      <c r="J6170" t="str">
        <f>HYPERLINK("https://climate.onebuilding.org/WMO_Region_6_Europe/GRL_Greenland/QA_Qaasuitsup/GRL_QA_Godhavn.Port.042180_TMYx.2009-2023.zip")</f>
        <v>https://climate.onebuilding.org/WMO_Region_6_Europe/GRL_Greenland/QA_Qaasuitsup/GRL_QA_Godhavn.Port.042180_TMYx.2009-2023.zip</v>
      </c>
    </row>
    <row r="6171" spans="1:10" x14ac:dyDescent="0.25">
      <c r="A6171" t="s">
        <v>4765</v>
      </c>
      <c r="B6171" t="s">
        <v>4766</v>
      </c>
      <c r="C6171" t="s">
        <v>4788</v>
      </c>
      <c r="D6171" s="1" t="s">
        <v>4789</v>
      </c>
      <c r="E6171" t="s">
        <v>14</v>
      </c>
      <c r="F6171">
        <v>69.332999999999998</v>
      </c>
      <c r="G6171">
        <v>-53.582999999999998</v>
      </c>
      <c r="H6171">
        <v>-3</v>
      </c>
      <c r="I6171">
        <v>24</v>
      </c>
      <c r="J6171" t="str">
        <f>HYPERLINK("https://climate.onebuilding.org/WMO_Region_6_Europe/GRL_Greenland/QA_Qaasuitsup/GRL_QA_Godhavn.Port.042180_TMYx.zip")</f>
        <v>https://climate.onebuilding.org/WMO_Region_6_Europe/GRL_Greenland/QA_Qaasuitsup/GRL_QA_Godhavn.Port.042180_TMYx.zip</v>
      </c>
    </row>
    <row r="6172" spans="1:10" x14ac:dyDescent="0.25">
      <c r="A6172" t="s">
        <v>4765</v>
      </c>
      <c r="B6172" t="s">
        <v>4766</v>
      </c>
      <c r="C6172" t="s">
        <v>4790</v>
      </c>
      <c r="D6172" s="1" t="s">
        <v>4791</v>
      </c>
      <c r="E6172" t="s">
        <v>4792</v>
      </c>
      <c r="F6172">
        <v>68.7</v>
      </c>
      <c r="G6172">
        <v>-52.85</v>
      </c>
      <c r="H6172">
        <v>-3</v>
      </c>
      <c r="I6172">
        <v>41</v>
      </c>
      <c r="J6172" t="str">
        <f>HYPERLINK("https://climate.onebuilding.org/WMO_Region_6_Europe/GRL_Greenland/QA_Qaasuitsup/GRL_QA_Aasiaat-Egedesminde.042200_TMYx.2004-2018.zip")</f>
        <v>https://climate.onebuilding.org/WMO_Region_6_Europe/GRL_Greenland/QA_Qaasuitsup/GRL_QA_Aasiaat-Egedesminde.042200_TMYx.2004-2018.zip</v>
      </c>
    </row>
    <row r="6173" spans="1:10" x14ac:dyDescent="0.25">
      <c r="A6173" t="s">
        <v>4765</v>
      </c>
      <c r="B6173" t="s">
        <v>4766</v>
      </c>
      <c r="C6173" t="s">
        <v>4790</v>
      </c>
      <c r="D6173" s="1" t="s">
        <v>4791</v>
      </c>
      <c r="E6173" t="s">
        <v>14</v>
      </c>
      <c r="F6173">
        <v>68.7</v>
      </c>
      <c r="G6173">
        <v>-52.85</v>
      </c>
      <c r="H6173">
        <v>-3</v>
      </c>
      <c r="I6173">
        <v>41</v>
      </c>
      <c r="J6173" t="str">
        <f>HYPERLINK("https://climate.onebuilding.org/WMO_Region_6_Europe/GRL_Greenland/QA_Qaasuitsup/GRL_QA_Aasiaat-Egedesminde.042200_TMYx.2007-2021.zip")</f>
        <v>https://climate.onebuilding.org/WMO_Region_6_Europe/GRL_Greenland/QA_Qaasuitsup/GRL_QA_Aasiaat-Egedesminde.042200_TMYx.2007-2021.zip</v>
      </c>
    </row>
    <row r="6174" spans="1:10" x14ac:dyDescent="0.25">
      <c r="A6174" t="s">
        <v>4765</v>
      </c>
      <c r="B6174" t="s">
        <v>4766</v>
      </c>
      <c r="C6174" t="s">
        <v>4790</v>
      </c>
      <c r="D6174" s="1" t="s">
        <v>4791</v>
      </c>
      <c r="E6174" t="s">
        <v>14</v>
      </c>
      <c r="F6174">
        <v>68.7</v>
      </c>
      <c r="G6174">
        <v>-52.85</v>
      </c>
      <c r="H6174">
        <v>-3</v>
      </c>
      <c r="I6174">
        <v>41</v>
      </c>
      <c r="J6174" t="str">
        <f>HYPERLINK("https://climate.onebuilding.org/WMO_Region_6_Europe/GRL_Greenland/QA_Qaasuitsup/GRL_QA_Aasiaat-Egedesminde.042200_TMYx.2009-2023.zip")</f>
        <v>https://climate.onebuilding.org/WMO_Region_6_Europe/GRL_Greenland/QA_Qaasuitsup/GRL_QA_Aasiaat-Egedesminde.042200_TMYx.2009-2023.zip</v>
      </c>
    </row>
    <row r="6175" spans="1:10" x14ac:dyDescent="0.25">
      <c r="A6175" t="s">
        <v>4765</v>
      </c>
      <c r="B6175" t="s">
        <v>4766</v>
      </c>
      <c r="C6175" t="s">
        <v>4790</v>
      </c>
      <c r="D6175" s="1" t="s">
        <v>4791</v>
      </c>
      <c r="E6175" t="s">
        <v>14</v>
      </c>
      <c r="F6175">
        <v>68.7</v>
      </c>
      <c r="G6175">
        <v>-52.85</v>
      </c>
      <c r="H6175">
        <v>-3</v>
      </c>
      <c r="I6175">
        <v>41</v>
      </c>
      <c r="J6175" t="str">
        <f>HYPERLINK("https://climate.onebuilding.org/WMO_Region_6_Europe/GRL_Greenland/QA_Qaasuitsup/GRL_QA_Aasiaat-Egedesminde.042200_TMYx.zip")</f>
        <v>https://climate.onebuilding.org/WMO_Region_6_Europe/GRL_Greenland/QA_Qaasuitsup/GRL_QA_Aasiaat-Egedesminde.042200_TMYx.zip</v>
      </c>
    </row>
    <row r="6176" spans="1:10" x14ac:dyDescent="0.25">
      <c r="A6176" t="s">
        <v>4765</v>
      </c>
      <c r="B6176" t="s">
        <v>4766</v>
      </c>
      <c r="C6176" t="s">
        <v>4793</v>
      </c>
      <c r="D6176" s="1" t="s">
        <v>4794</v>
      </c>
      <c r="E6176" t="s">
        <v>4795</v>
      </c>
      <c r="F6176">
        <v>69.233000000000004</v>
      </c>
      <c r="G6176">
        <v>-51.067</v>
      </c>
      <c r="H6176">
        <v>-3</v>
      </c>
      <c r="I6176">
        <v>31</v>
      </c>
      <c r="J6176" t="str">
        <f>HYPERLINK("https://climate.onebuilding.org/WMO_Region_6_Europe/GRL_Greenland/QA_Qaasuitsup/GRL_QA_Ilulissat-Jakobshavn.AP.042210_TMYx.2004-2018.zip")</f>
        <v>https://climate.onebuilding.org/WMO_Region_6_Europe/GRL_Greenland/QA_Qaasuitsup/GRL_QA_Ilulissat-Jakobshavn.AP.042210_TMYx.2004-2018.zip</v>
      </c>
    </row>
    <row r="6177" spans="1:10" x14ac:dyDescent="0.25">
      <c r="A6177" t="s">
        <v>4765</v>
      </c>
      <c r="B6177" t="s">
        <v>4766</v>
      </c>
      <c r="C6177" t="s">
        <v>4793</v>
      </c>
      <c r="D6177" s="1" t="s">
        <v>4794</v>
      </c>
      <c r="E6177" t="s">
        <v>14</v>
      </c>
      <c r="F6177">
        <v>69.233000000000004</v>
      </c>
      <c r="G6177">
        <v>-51.067</v>
      </c>
      <c r="H6177">
        <v>-3</v>
      </c>
      <c r="I6177">
        <v>31</v>
      </c>
      <c r="J6177" t="str">
        <f>HYPERLINK("https://climate.onebuilding.org/WMO_Region_6_Europe/GRL_Greenland/QA_Qaasuitsup/GRL_QA_Ilulissat-Jakobshavn.AP.042210_TMYx.2007-2021.zip")</f>
        <v>https://climate.onebuilding.org/WMO_Region_6_Europe/GRL_Greenland/QA_Qaasuitsup/GRL_QA_Ilulissat-Jakobshavn.AP.042210_TMYx.2007-2021.zip</v>
      </c>
    </row>
    <row r="6178" spans="1:10" x14ac:dyDescent="0.25">
      <c r="A6178" t="s">
        <v>4765</v>
      </c>
      <c r="B6178" t="s">
        <v>4766</v>
      </c>
      <c r="C6178" t="s">
        <v>4793</v>
      </c>
      <c r="D6178" s="1" t="s">
        <v>4794</v>
      </c>
      <c r="E6178" t="s">
        <v>14</v>
      </c>
      <c r="F6178">
        <v>69.233000000000004</v>
      </c>
      <c r="G6178">
        <v>-51.067</v>
      </c>
      <c r="H6178">
        <v>-3</v>
      </c>
      <c r="I6178">
        <v>31</v>
      </c>
      <c r="J6178" t="str">
        <f>HYPERLINK("https://climate.onebuilding.org/WMO_Region_6_Europe/GRL_Greenland/QA_Qaasuitsup/GRL_QA_Ilulissat-Jakobshavn.AP.042210_TMYx.2009-2023.zip")</f>
        <v>https://climate.onebuilding.org/WMO_Region_6_Europe/GRL_Greenland/QA_Qaasuitsup/GRL_QA_Ilulissat-Jakobshavn.AP.042210_TMYx.2009-2023.zip</v>
      </c>
    </row>
    <row r="6179" spans="1:10" x14ac:dyDescent="0.25">
      <c r="A6179" t="s">
        <v>4765</v>
      </c>
      <c r="B6179" t="s">
        <v>4766</v>
      </c>
      <c r="C6179" t="s">
        <v>4793</v>
      </c>
      <c r="D6179" s="1" t="s">
        <v>4794</v>
      </c>
      <c r="E6179" t="s">
        <v>14</v>
      </c>
      <c r="F6179">
        <v>69.233000000000004</v>
      </c>
      <c r="G6179">
        <v>-51.067</v>
      </c>
      <c r="H6179">
        <v>-3</v>
      </c>
      <c r="I6179">
        <v>31</v>
      </c>
      <c r="J6179" t="str">
        <f>HYPERLINK("https://climate.onebuilding.org/WMO_Region_6_Europe/GRL_Greenland/QA_Qaasuitsup/GRL_QA_Ilulissat-Jakobshavn.AP.042210_TMYx.zip")</f>
        <v>https://climate.onebuilding.org/WMO_Region_6_Europe/GRL_Greenland/QA_Qaasuitsup/GRL_QA_Ilulissat-Jakobshavn.AP.042210_TMYx.zip</v>
      </c>
    </row>
    <row r="6180" spans="1:10" x14ac:dyDescent="0.25">
      <c r="A6180" t="s">
        <v>4765</v>
      </c>
      <c r="B6180" t="s">
        <v>4766</v>
      </c>
      <c r="C6180" t="s">
        <v>4796</v>
      </c>
      <c r="D6180" s="1" t="s">
        <v>4797</v>
      </c>
      <c r="E6180" t="s">
        <v>4798</v>
      </c>
      <c r="F6180">
        <v>77.466999999999999</v>
      </c>
      <c r="G6180">
        <v>-69.216999999999999</v>
      </c>
      <c r="H6180">
        <v>-4</v>
      </c>
      <c r="I6180">
        <v>15.5</v>
      </c>
      <c r="J6180" t="str">
        <f>HYPERLINK("https://climate.onebuilding.org/WMO_Region_6_Europe/GRL_Greenland/QA_Qaasuitsup/GRL_QA_Qaanaaq.042215_TMYx.2004-2018.zip")</f>
        <v>https://climate.onebuilding.org/WMO_Region_6_Europe/GRL_Greenland/QA_Qaasuitsup/GRL_QA_Qaanaaq.042215_TMYx.2004-2018.zip</v>
      </c>
    </row>
    <row r="6181" spans="1:10" x14ac:dyDescent="0.25">
      <c r="A6181" t="s">
        <v>4765</v>
      </c>
      <c r="B6181" t="s">
        <v>4766</v>
      </c>
      <c r="C6181" t="s">
        <v>4796</v>
      </c>
      <c r="D6181" s="1" t="s">
        <v>4797</v>
      </c>
      <c r="E6181" t="s">
        <v>14</v>
      </c>
      <c r="F6181">
        <v>77.466999999999999</v>
      </c>
      <c r="G6181">
        <v>-69.216999999999999</v>
      </c>
      <c r="H6181">
        <v>-4</v>
      </c>
      <c r="I6181">
        <v>15.5</v>
      </c>
      <c r="J6181" t="str">
        <f>HYPERLINK("https://climate.onebuilding.org/WMO_Region_6_Europe/GRL_Greenland/QA_Qaasuitsup/GRL_QA_Qaanaaq.042215_TMYx.2007-2021.zip")</f>
        <v>https://climate.onebuilding.org/WMO_Region_6_Europe/GRL_Greenland/QA_Qaasuitsup/GRL_QA_Qaanaaq.042215_TMYx.2007-2021.zip</v>
      </c>
    </row>
    <row r="6182" spans="1:10" x14ac:dyDescent="0.25">
      <c r="A6182" t="s">
        <v>4765</v>
      </c>
      <c r="B6182" t="s">
        <v>4766</v>
      </c>
      <c r="C6182" t="s">
        <v>4796</v>
      </c>
      <c r="D6182" s="1" t="s">
        <v>4797</v>
      </c>
      <c r="E6182" t="s">
        <v>14</v>
      </c>
      <c r="F6182">
        <v>77.466999999999999</v>
      </c>
      <c r="G6182">
        <v>-69.216999999999999</v>
      </c>
      <c r="H6182">
        <v>-4</v>
      </c>
      <c r="I6182">
        <v>15.5</v>
      </c>
      <c r="J6182" t="str">
        <f>HYPERLINK("https://climate.onebuilding.org/WMO_Region_6_Europe/GRL_Greenland/QA_Qaasuitsup/GRL_QA_Qaanaaq.042215_TMYx.2009-2023.zip")</f>
        <v>https://climate.onebuilding.org/WMO_Region_6_Europe/GRL_Greenland/QA_Qaasuitsup/GRL_QA_Qaanaaq.042215_TMYx.2009-2023.zip</v>
      </c>
    </row>
    <row r="6183" spans="1:10" x14ac:dyDescent="0.25">
      <c r="A6183" t="s">
        <v>4765</v>
      </c>
      <c r="B6183" t="s">
        <v>4766</v>
      </c>
      <c r="C6183" t="s">
        <v>4796</v>
      </c>
      <c r="D6183" s="1" t="s">
        <v>4797</v>
      </c>
      <c r="E6183" t="s">
        <v>14</v>
      </c>
      <c r="F6183">
        <v>77.466999999999999</v>
      </c>
      <c r="G6183">
        <v>-69.216999999999999</v>
      </c>
      <c r="H6183">
        <v>-4</v>
      </c>
      <c r="I6183">
        <v>15.5</v>
      </c>
      <c r="J6183" t="str">
        <f>HYPERLINK("https://climate.onebuilding.org/WMO_Region_6_Europe/GRL_Greenland/QA_Qaasuitsup/GRL_QA_Qaanaaq.042215_TMYx.zip")</f>
        <v>https://climate.onebuilding.org/WMO_Region_6_Europe/GRL_Greenland/QA_Qaasuitsup/GRL_QA_Qaanaaq.042215_TMYx.zip</v>
      </c>
    </row>
    <row r="6184" spans="1:10" x14ac:dyDescent="0.25">
      <c r="A6184" t="s">
        <v>4765</v>
      </c>
      <c r="B6184" t="s">
        <v>4766</v>
      </c>
      <c r="C6184" t="s">
        <v>4799</v>
      </c>
      <c r="D6184" s="1" t="s">
        <v>4800</v>
      </c>
      <c r="E6184" t="s">
        <v>4801</v>
      </c>
      <c r="F6184">
        <v>68.716999999999999</v>
      </c>
      <c r="G6184">
        <v>-52.8</v>
      </c>
      <c r="H6184">
        <v>-3</v>
      </c>
      <c r="I6184">
        <v>27</v>
      </c>
      <c r="J6184" t="str">
        <f>HYPERLINK("https://climate.onebuilding.org/WMO_Region_6_Europe/GRL_Greenland/QA_Qaasuitsup/GRL_QA_Aasiaat-Egedesminde.AP.042240_TMYx.2004-2018.zip")</f>
        <v>https://climate.onebuilding.org/WMO_Region_6_Europe/GRL_Greenland/QA_Qaasuitsup/GRL_QA_Aasiaat-Egedesminde.AP.042240_TMYx.2004-2018.zip</v>
      </c>
    </row>
    <row r="6185" spans="1:10" x14ac:dyDescent="0.25">
      <c r="A6185" t="s">
        <v>4765</v>
      </c>
      <c r="B6185" t="s">
        <v>4766</v>
      </c>
      <c r="C6185" t="s">
        <v>4799</v>
      </c>
      <c r="D6185" s="1" t="s">
        <v>4800</v>
      </c>
      <c r="E6185" t="s">
        <v>14</v>
      </c>
      <c r="F6185">
        <v>68.716999999999999</v>
      </c>
      <c r="G6185">
        <v>-52.8</v>
      </c>
      <c r="H6185">
        <v>-3</v>
      </c>
      <c r="I6185">
        <v>27</v>
      </c>
      <c r="J6185" t="str">
        <f>HYPERLINK("https://climate.onebuilding.org/WMO_Region_6_Europe/GRL_Greenland/QA_Qaasuitsup/GRL_QA_Aasiaat-Egedesminde.AP.042240_TMYx.2007-2021.zip")</f>
        <v>https://climate.onebuilding.org/WMO_Region_6_Europe/GRL_Greenland/QA_Qaasuitsup/GRL_QA_Aasiaat-Egedesminde.AP.042240_TMYx.2007-2021.zip</v>
      </c>
    </row>
    <row r="6186" spans="1:10" x14ac:dyDescent="0.25">
      <c r="A6186" t="s">
        <v>4765</v>
      </c>
      <c r="B6186" t="s">
        <v>4766</v>
      </c>
      <c r="C6186" t="s">
        <v>4799</v>
      </c>
      <c r="D6186" s="1" t="s">
        <v>4800</v>
      </c>
      <c r="E6186" t="s">
        <v>14</v>
      </c>
      <c r="F6186">
        <v>68.716999999999999</v>
      </c>
      <c r="G6186">
        <v>-52.8</v>
      </c>
      <c r="H6186">
        <v>-3</v>
      </c>
      <c r="I6186">
        <v>27</v>
      </c>
      <c r="J6186" t="str">
        <f>HYPERLINK("https://climate.onebuilding.org/WMO_Region_6_Europe/GRL_Greenland/QA_Qaasuitsup/GRL_QA_Aasiaat-Egedesminde.AP.042240_TMYx.2009-2023.zip")</f>
        <v>https://climate.onebuilding.org/WMO_Region_6_Europe/GRL_Greenland/QA_Qaasuitsup/GRL_QA_Aasiaat-Egedesminde.AP.042240_TMYx.2009-2023.zip</v>
      </c>
    </row>
    <row r="6187" spans="1:10" x14ac:dyDescent="0.25">
      <c r="A6187" t="s">
        <v>4765</v>
      </c>
      <c r="B6187" t="s">
        <v>4766</v>
      </c>
      <c r="C6187" t="s">
        <v>4799</v>
      </c>
      <c r="D6187" s="1" t="s">
        <v>4800</v>
      </c>
      <c r="E6187" t="s">
        <v>14</v>
      </c>
      <c r="F6187">
        <v>68.716999999999999</v>
      </c>
      <c r="G6187">
        <v>-52.8</v>
      </c>
      <c r="H6187">
        <v>-3</v>
      </c>
      <c r="I6187">
        <v>27</v>
      </c>
      <c r="J6187" t="str">
        <f>HYPERLINK("https://climate.onebuilding.org/WMO_Region_6_Europe/GRL_Greenland/QA_Qaasuitsup/GRL_QA_Aasiaat-Egedesminde.AP.042240_TMYx.zip")</f>
        <v>https://climate.onebuilding.org/WMO_Region_6_Europe/GRL_Greenland/QA_Qaasuitsup/GRL_QA_Aasiaat-Egedesminde.AP.042240_TMYx.zip</v>
      </c>
    </row>
    <row r="6188" spans="1:10" x14ac:dyDescent="0.25">
      <c r="A6188" t="s">
        <v>4765</v>
      </c>
      <c r="B6188" t="s">
        <v>4766</v>
      </c>
      <c r="C6188" t="s">
        <v>4802</v>
      </c>
      <c r="D6188" s="1" t="s">
        <v>4803</v>
      </c>
      <c r="E6188" t="s">
        <v>4804</v>
      </c>
      <c r="F6188">
        <v>67.840999999999994</v>
      </c>
      <c r="G6188">
        <v>-53.826999999999998</v>
      </c>
      <c r="H6188">
        <v>-3</v>
      </c>
      <c r="I6188">
        <v>12</v>
      </c>
      <c r="J6188" t="str">
        <f>HYPERLINK("https://climate.onebuilding.org/WMO_Region_6_Europe/GRL_Greenland/QA_Qaasuitsup/GRL_QA_Attu-Kitsissut.Islands.042280_TMYx.2004-2018.zip")</f>
        <v>https://climate.onebuilding.org/WMO_Region_6_Europe/GRL_Greenland/QA_Qaasuitsup/GRL_QA_Attu-Kitsissut.Islands.042280_TMYx.2004-2018.zip</v>
      </c>
    </row>
    <row r="6189" spans="1:10" x14ac:dyDescent="0.25">
      <c r="A6189" t="s">
        <v>4765</v>
      </c>
      <c r="B6189" t="s">
        <v>4766</v>
      </c>
      <c r="C6189" t="s">
        <v>4802</v>
      </c>
      <c r="D6189" s="1" t="s">
        <v>4803</v>
      </c>
      <c r="E6189" t="s">
        <v>14</v>
      </c>
      <c r="F6189">
        <v>67.840999999999994</v>
      </c>
      <c r="G6189">
        <v>-53.826999999999998</v>
      </c>
      <c r="H6189">
        <v>-3</v>
      </c>
      <c r="I6189">
        <v>12</v>
      </c>
      <c r="J6189" t="str">
        <f>HYPERLINK("https://climate.onebuilding.org/WMO_Region_6_Europe/GRL_Greenland/QA_Qaasuitsup/GRL_QA_Attu-Kitsissut.Islands.042280_TMYx.2007-2021.zip")</f>
        <v>https://climate.onebuilding.org/WMO_Region_6_Europe/GRL_Greenland/QA_Qaasuitsup/GRL_QA_Attu-Kitsissut.Islands.042280_TMYx.2007-2021.zip</v>
      </c>
    </row>
    <row r="6190" spans="1:10" x14ac:dyDescent="0.25">
      <c r="A6190" t="s">
        <v>4765</v>
      </c>
      <c r="B6190" t="s">
        <v>4766</v>
      </c>
      <c r="C6190" t="s">
        <v>4802</v>
      </c>
      <c r="D6190" s="1" t="s">
        <v>4803</v>
      </c>
      <c r="E6190" t="s">
        <v>14</v>
      </c>
      <c r="F6190">
        <v>67.840999999999994</v>
      </c>
      <c r="G6190">
        <v>-53.826999999999998</v>
      </c>
      <c r="H6190">
        <v>-3</v>
      </c>
      <c r="I6190">
        <v>12</v>
      </c>
      <c r="J6190" t="str">
        <f>HYPERLINK("https://climate.onebuilding.org/WMO_Region_6_Europe/GRL_Greenland/QA_Qaasuitsup/GRL_QA_Attu-Kitsissut.Islands.042280_TMYx.2009-2023.zip")</f>
        <v>https://climate.onebuilding.org/WMO_Region_6_Europe/GRL_Greenland/QA_Qaasuitsup/GRL_QA_Attu-Kitsissut.Islands.042280_TMYx.2009-2023.zip</v>
      </c>
    </row>
    <row r="6191" spans="1:10" x14ac:dyDescent="0.25">
      <c r="A6191" t="s">
        <v>4765</v>
      </c>
      <c r="B6191" t="s">
        <v>4766</v>
      </c>
      <c r="C6191" t="s">
        <v>4802</v>
      </c>
      <c r="D6191" s="1" t="s">
        <v>4803</v>
      </c>
      <c r="E6191" t="s">
        <v>14</v>
      </c>
      <c r="F6191">
        <v>67.840999999999994</v>
      </c>
      <c r="G6191">
        <v>-53.826999999999998</v>
      </c>
      <c r="H6191">
        <v>-3</v>
      </c>
      <c r="I6191">
        <v>12</v>
      </c>
      <c r="J6191" t="str">
        <f>HYPERLINK("https://climate.onebuilding.org/WMO_Region_6_Europe/GRL_Greenland/QA_Qaasuitsup/GRL_QA_Attu-Kitsissut.Islands.042280_TMYx.zip")</f>
        <v>https://climate.onebuilding.org/WMO_Region_6_Europe/GRL_Greenland/QA_Qaasuitsup/GRL_QA_Attu-Kitsissut.Islands.042280_TMYx.zip</v>
      </c>
    </row>
    <row r="6192" spans="1:10" x14ac:dyDescent="0.25">
      <c r="A6192" t="s">
        <v>4765</v>
      </c>
      <c r="B6192" t="s">
        <v>4805</v>
      </c>
      <c r="C6192" t="s">
        <v>4806</v>
      </c>
      <c r="D6192" s="1" t="s">
        <v>4807</v>
      </c>
      <c r="E6192" t="s">
        <v>4808</v>
      </c>
      <c r="F6192">
        <v>67.016999999999996</v>
      </c>
      <c r="G6192">
        <v>-50.689</v>
      </c>
      <c r="H6192">
        <v>-3</v>
      </c>
      <c r="I6192">
        <v>50.3</v>
      </c>
      <c r="J6192" t="str">
        <f>HYPERLINK("https://climate.onebuilding.org/WMO_Region_6_Europe/GRL_Greenland/QE_Qeqqata/GRL_QE_Kangerlussuaq-Sondre.Stromfjord.042310_TMYx.2004-2018.zip")</f>
        <v>https://climate.onebuilding.org/WMO_Region_6_Europe/GRL_Greenland/QE_Qeqqata/GRL_QE_Kangerlussuaq-Sondre.Stromfjord.042310_TMYx.2004-2018.zip</v>
      </c>
    </row>
    <row r="6193" spans="1:10" x14ac:dyDescent="0.25">
      <c r="A6193" t="s">
        <v>4765</v>
      </c>
      <c r="B6193" t="s">
        <v>4805</v>
      </c>
      <c r="C6193" t="s">
        <v>4806</v>
      </c>
      <c r="D6193" s="1" t="s">
        <v>4807</v>
      </c>
      <c r="E6193" t="s">
        <v>14</v>
      </c>
      <c r="F6193">
        <v>67.016999999999996</v>
      </c>
      <c r="G6193">
        <v>-50.716999999999999</v>
      </c>
      <c r="H6193">
        <v>-3</v>
      </c>
      <c r="I6193">
        <v>50.3</v>
      </c>
      <c r="J6193" t="str">
        <f>HYPERLINK("https://climate.onebuilding.org/WMO_Region_6_Europe/GRL_Greenland/QE_Qeqqata/GRL_QE_Kangerlussuaq-Sondre.Stromfjord.042310_TMYx.2007-2021.zip")</f>
        <v>https://climate.onebuilding.org/WMO_Region_6_Europe/GRL_Greenland/QE_Qeqqata/GRL_QE_Kangerlussuaq-Sondre.Stromfjord.042310_TMYx.2007-2021.zip</v>
      </c>
    </row>
    <row r="6194" spans="1:10" x14ac:dyDescent="0.25">
      <c r="A6194" t="s">
        <v>4765</v>
      </c>
      <c r="B6194" t="s">
        <v>4805</v>
      </c>
      <c r="C6194" t="s">
        <v>4806</v>
      </c>
      <c r="D6194" s="1" t="s">
        <v>4807</v>
      </c>
      <c r="E6194" t="s">
        <v>14</v>
      </c>
      <c r="F6194">
        <v>67.016999999999996</v>
      </c>
      <c r="G6194">
        <v>-50.716999999999999</v>
      </c>
      <c r="H6194">
        <v>-3</v>
      </c>
      <c r="I6194">
        <v>50.3</v>
      </c>
      <c r="J6194" t="str">
        <f>HYPERLINK("https://climate.onebuilding.org/WMO_Region_6_Europe/GRL_Greenland/QE_Qeqqata/GRL_QE_Kangerlussuaq-Sondre.Stromfjord.042310_TMYx.2009-2023.zip")</f>
        <v>https://climate.onebuilding.org/WMO_Region_6_Europe/GRL_Greenland/QE_Qeqqata/GRL_QE_Kangerlussuaq-Sondre.Stromfjord.042310_TMYx.2009-2023.zip</v>
      </c>
    </row>
    <row r="6195" spans="1:10" x14ac:dyDescent="0.25">
      <c r="A6195" t="s">
        <v>4765</v>
      </c>
      <c r="B6195" t="s">
        <v>4805</v>
      </c>
      <c r="C6195" t="s">
        <v>4806</v>
      </c>
      <c r="D6195" s="1" t="s">
        <v>4807</v>
      </c>
      <c r="E6195" t="s">
        <v>14</v>
      </c>
      <c r="F6195">
        <v>67.016999999999996</v>
      </c>
      <c r="G6195">
        <v>-50.716999999999999</v>
      </c>
      <c r="H6195">
        <v>-3</v>
      </c>
      <c r="I6195">
        <v>50.3</v>
      </c>
      <c r="J6195" t="str">
        <f>HYPERLINK("https://climate.onebuilding.org/WMO_Region_6_Europe/GRL_Greenland/QE_Qeqqata/GRL_QE_Kangerlussuaq-Sondre.Stromfjord.042310_TMYx.zip")</f>
        <v>https://climate.onebuilding.org/WMO_Region_6_Europe/GRL_Greenland/QE_Qeqqata/GRL_QE_Kangerlussuaq-Sondre.Stromfjord.042310_TMYx.zip</v>
      </c>
    </row>
    <row r="6196" spans="1:10" x14ac:dyDescent="0.25">
      <c r="A6196" t="s">
        <v>4765</v>
      </c>
      <c r="B6196" t="s">
        <v>4805</v>
      </c>
      <c r="C6196" t="s">
        <v>4809</v>
      </c>
      <c r="D6196" s="1" t="s">
        <v>4810</v>
      </c>
      <c r="E6196" t="s">
        <v>4811</v>
      </c>
      <c r="F6196">
        <v>66.95</v>
      </c>
      <c r="G6196">
        <v>-53.716999999999999</v>
      </c>
      <c r="H6196">
        <v>-3</v>
      </c>
      <c r="I6196">
        <v>8</v>
      </c>
      <c r="J6196" t="str">
        <f>HYPERLINK("https://climate.onebuilding.org/WMO_Region_6_Europe/GRL_Greenland/QE_Qeqqata/GRL_QE_Sisimiut-Holsteinsborg.AP.042340_TMYx.2004-2018.zip")</f>
        <v>https://climate.onebuilding.org/WMO_Region_6_Europe/GRL_Greenland/QE_Qeqqata/GRL_QE_Sisimiut-Holsteinsborg.AP.042340_TMYx.2004-2018.zip</v>
      </c>
    </row>
    <row r="6197" spans="1:10" x14ac:dyDescent="0.25">
      <c r="A6197" t="s">
        <v>4765</v>
      </c>
      <c r="B6197" t="s">
        <v>4805</v>
      </c>
      <c r="C6197" t="s">
        <v>4809</v>
      </c>
      <c r="D6197" s="1" t="s">
        <v>4810</v>
      </c>
      <c r="E6197" t="s">
        <v>14</v>
      </c>
      <c r="F6197">
        <v>66.95</v>
      </c>
      <c r="G6197">
        <v>-53.716999999999999</v>
      </c>
      <c r="H6197">
        <v>-3</v>
      </c>
      <c r="I6197">
        <v>8</v>
      </c>
      <c r="J6197" t="str">
        <f>HYPERLINK("https://climate.onebuilding.org/WMO_Region_6_Europe/GRL_Greenland/QE_Qeqqata/GRL_QE_Sisimiut-Holsteinsborg.AP.042340_TMYx.2007-2021.zip")</f>
        <v>https://climate.onebuilding.org/WMO_Region_6_Europe/GRL_Greenland/QE_Qeqqata/GRL_QE_Sisimiut-Holsteinsborg.AP.042340_TMYx.2007-2021.zip</v>
      </c>
    </row>
    <row r="6198" spans="1:10" x14ac:dyDescent="0.25">
      <c r="A6198" t="s">
        <v>4765</v>
      </c>
      <c r="B6198" t="s">
        <v>4805</v>
      </c>
      <c r="C6198" t="s">
        <v>4809</v>
      </c>
      <c r="D6198" s="1" t="s">
        <v>4810</v>
      </c>
      <c r="E6198" t="s">
        <v>14</v>
      </c>
      <c r="F6198">
        <v>66.95</v>
      </c>
      <c r="G6198">
        <v>-53.716999999999999</v>
      </c>
      <c r="H6198">
        <v>-3</v>
      </c>
      <c r="I6198">
        <v>8</v>
      </c>
      <c r="J6198" t="str">
        <f>HYPERLINK("https://climate.onebuilding.org/WMO_Region_6_Europe/GRL_Greenland/QE_Qeqqata/GRL_QE_Sisimiut-Holsteinsborg.AP.042340_TMYx.2009-2023.zip")</f>
        <v>https://climate.onebuilding.org/WMO_Region_6_Europe/GRL_Greenland/QE_Qeqqata/GRL_QE_Sisimiut-Holsteinsborg.AP.042340_TMYx.2009-2023.zip</v>
      </c>
    </row>
    <row r="6199" spans="1:10" x14ac:dyDescent="0.25">
      <c r="A6199" t="s">
        <v>4765</v>
      </c>
      <c r="B6199" t="s">
        <v>4805</v>
      </c>
      <c r="C6199" t="s">
        <v>4809</v>
      </c>
      <c r="D6199" s="1" t="s">
        <v>4810</v>
      </c>
      <c r="E6199" t="s">
        <v>14</v>
      </c>
      <c r="F6199">
        <v>66.95</v>
      </c>
      <c r="G6199">
        <v>-53.716999999999999</v>
      </c>
      <c r="H6199">
        <v>-3</v>
      </c>
      <c r="I6199">
        <v>8</v>
      </c>
      <c r="J6199" t="str">
        <f>HYPERLINK("https://climate.onebuilding.org/WMO_Region_6_Europe/GRL_Greenland/QE_Qeqqata/GRL_QE_Sisimiut-Holsteinsborg.AP.042340_TMYx.zip")</f>
        <v>https://climate.onebuilding.org/WMO_Region_6_Europe/GRL_Greenland/QE_Qeqqata/GRL_QE_Sisimiut-Holsteinsborg.AP.042340_TMYx.zip</v>
      </c>
    </row>
    <row r="6200" spans="1:10" x14ac:dyDescent="0.25">
      <c r="A6200" t="s">
        <v>4765</v>
      </c>
      <c r="B6200" t="s">
        <v>4805</v>
      </c>
      <c r="C6200" t="s">
        <v>4812</v>
      </c>
      <c r="D6200" s="1" t="s">
        <v>4813</v>
      </c>
      <c r="E6200" t="s">
        <v>4814</v>
      </c>
      <c r="F6200">
        <v>65.417000000000002</v>
      </c>
      <c r="G6200">
        <v>-52.933</v>
      </c>
      <c r="H6200">
        <v>-3</v>
      </c>
      <c r="I6200">
        <v>32</v>
      </c>
      <c r="J6200" t="str">
        <f>HYPERLINK("https://climate.onebuilding.org/WMO_Region_6_Europe/GRL_Greenland/QE_Qeqqata/GRL_QE_Maniitsoq-Sukkertoppen.AP.042410_TMYx.2004-2018.zip")</f>
        <v>https://climate.onebuilding.org/WMO_Region_6_Europe/GRL_Greenland/QE_Qeqqata/GRL_QE_Maniitsoq-Sukkertoppen.AP.042410_TMYx.2004-2018.zip</v>
      </c>
    </row>
    <row r="6201" spans="1:10" x14ac:dyDescent="0.25">
      <c r="A6201" t="s">
        <v>4765</v>
      </c>
      <c r="B6201" t="s">
        <v>4805</v>
      </c>
      <c r="C6201" t="s">
        <v>4812</v>
      </c>
      <c r="D6201" s="1" t="s">
        <v>4813</v>
      </c>
      <c r="E6201" t="s">
        <v>14</v>
      </c>
      <c r="F6201">
        <v>65.417000000000002</v>
      </c>
      <c r="G6201">
        <v>-52.933</v>
      </c>
      <c r="H6201">
        <v>-3</v>
      </c>
      <c r="I6201">
        <v>32</v>
      </c>
      <c r="J6201" t="str">
        <f>HYPERLINK("https://climate.onebuilding.org/WMO_Region_6_Europe/GRL_Greenland/QE_Qeqqata/GRL_QE_Maniitsoq-Sukkertoppen.AP.042410_TMYx.2007-2021.zip")</f>
        <v>https://climate.onebuilding.org/WMO_Region_6_Europe/GRL_Greenland/QE_Qeqqata/GRL_QE_Maniitsoq-Sukkertoppen.AP.042410_TMYx.2007-2021.zip</v>
      </c>
    </row>
    <row r="6202" spans="1:10" x14ac:dyDescent="0.25">
      <c r="A6202" t="s">
        <v>4765</v>
      </c>
      <c r="B6202" t="s">
        <v>4805</v>
      </c>
      <c r="C6202" t="s">
        <v>4812</v>
      </c>
      <c r="D6202" s="1" t="s">
        <v>4813</v>
      </c>
      <c r="E6202" t="s">
        <v>14</v>
      </c>
      <c r="F6202">
        <v>65.417000000000002</v>
      </c>
      <c r="G6202">
        <v>-52.933</v>
      </c>
      <c r="H6202">
        <v>-3</v>
      </c>
      <c r="I6202">
        <v>32</v>
      </c>
      <c r="J6202" t="str">
        <f>HYPERLINK("https://climate.onebuilding.org/WMO_Region_6_Europe/GRL_Greenland/QE_Qeqqata/GRL_QE_Maniitsoq-Sukkertoppen.AP.042410_TMYx.2009-2023.zip")</f>
        <v>https://climate.onebuilding.org/WMO_Region_6_Europe/GRL_Greenland/QE_Qeqqata/GRL_QE_Maniitsoq-Sukkertoppen.AP.042410_TMYx.2009-2023.zip</v>
      </c>
    </row>
    <row r="6203" spans="1:10" x14ac:dyDescent="0.25">
      <c r="A6203" t="s">
        <v>4765</v>
      </c>
      <c r="B6203" t="s">
        <v>4805</v>
      </c>
      <c r="C6203" t="s">
        <v>4812</v>
      </c>
      <c r="D6203" s="1" t="s">
        <v>4813</v>
      </c>
      <c r="E6203" t="s">
        <v>14</v>
      </c>
      <c r="F6203">
        <v>65.417000000000002</v>
      </c>
      <c r="G6203">
        <v>-52.933</v>
      </c>
      <c r="H6203">
        <v>-3</v>
      </c>
      <c r="I6203">
        <v>32</v>
      </c>
      <c r="J6203" t="str">
        <f>HYPERLINK("https://climate.onebuilding.org/WMO_Region_6_Europe/GRL_Greenland/QE_Qeqqata/GRL_QE_Maniitsoq-Sukkertoppen.AP.042410_TMYx.zip")</f>
        <v>https://climate.onebuilding.org/WMO_Region_6_Europe/GRL_Greenland/QE_Qeqqata/GRL_QE_Maniitsoq-Sukkertoppen.AP.042410_TMYx.zip</v>
      </c>
    </row>
    <row r="6204" spans="1:10" x14ac:dyDescent="0.25">
      <c r="A6204" t="s">
        <v>4765</v>
      </c>
      <c r="B6204" t="s">
        <v>4805</v>
      </c>
      <c r="C6204" t="s">
        <v>4815</v>
      </c>
      <c r="D6204" s="1" t="s">
        <v>4816</v>
      </c>
      <c r="E6204" t="s">
        <v>4817</v>
      </c>
      <c r="F6204">
        <v>65.016999999999996</v>
      </c>
      <c r="G6204">
        <v>-52.55</v>
      </c>
      <c r="H6204">
        <v>-3</v>
      </c>
      <c r="I6204">
        <v>14</v>
      </c>
      <c r="J6204" t="str">
        <f>HYPERLINK("https://climate.onebuilding.org/WMO_Region_6_Europe/GRL_Greenland/QE_Qeqqata/GRL_QE_Sioralik.042420_TMYx.2004-2018.zip")</f>
        <v>https://climate.onebuilding.org/WMO_Region_6_Europe/GRL_Greenland/QE_Qeqqata/GRL_QE_Sioralik.042420_TMYx.2004-2018.zip</v>
      </c>
    </row>
    <row r="6205" spans="1:10" x14ac:dyDescent="0.25">
      <c r="A6205" t="s">
        <v>4765</v>
      </c>
      <c r="B6205" t="s">
        <v>4805</v>
      </c>
      <c r="C6205" t="s">
        <v>4815</v>
      </c>
      <c r="D6205" s="1" t="s">
        <v>4816</v>
      </c>
      <c r="E6205" t="s">
        <v>14</v>
      </c>
      <c r="F6205">
        <v>65.016999999999996</v>
      </c>
      <c r="G6205">
        <v>-52.55</v>
      </c>
      <c r="H6205">
        <v>-3</v>
      </c>
      <c r="I6205">
        <v>14</v>
      </c>
      <c r="J6205" t="str">
        <f>HYPERLINK("https://climate.onebuilding.org/WMO_Region_6_Europe/GRL_Greenland/QE_Qeqqata/GRL_QE_Sioralik.042420_TMYx.2007-2021.zip")</f>
        <v>https://climate.onebuilding.org/WMO_Region_6_Europe/GRL_Greenland/QE_Qeqqata/GRL_QE_Sioralik.042420_TMYx.2007-2021.zip</v>
      </c>
    </row>
    <row r="6206" spans="1:10" x14ac:dyDescent="0.25">
      <c r="A6206" t="s">
        <v>4765</v>
      </c>
      <c r="B6206" t="s">
        <v>4805</v>
      </c>
      <c r="C6206" t="s">
        <v>4815</v>
      </c>
      <c r="D6206" s="1" t="s">
        <v>4816</v>
      </c>
      <c r="E6206" t="s">
        <v>14</v>
      </c>
      <c r="F6206">
        <v>65.016999999999996</v>
      </c>
      <c r="G6206">
        <v>-52.55</v>
      </c>
      <c r="H6206">
        <v>-3</v>
      </c>
      <c r="I6206">
        <v>14</v>
      </c>
      <c r="J6206" t="str">
        <f>HYPERLINK("https://climate.onebuilding.org/WMO_Region_6_Europe/GRL_Greenland/QE_Qeqqata/GRL_QE_Sioralik.042420_TMYx.2009-2023.zip")</f>
        <v>https://climate.onebuilding.org/WMO_Region_6_Europe/GRL_Greenland/QE_Qeqqata/GRL_QE_Sioralik.042420_TMYx.2009-2023.zip</v>
      </c>
    </row>
    <row r="6207" spans="1:10" x14ac:dyDescent="0.25">
      <c r="A6207" t="s">
        <v>4765</v>
      </c>
      <c r="B6207" t="s">
        <v>4805</v>
      </c>
      <c r="C6207" t="s">
        <v>4815</v>
      </c>
      <c r="D6207" s="1" t="s">
        <v>4816</v>
      </c>
      <c r="E6207" t="s">
        <v>14</v>
      </c>
      <c r="F6207">
        <v>65.016999999999996</v>
      </c>
      <c r="G6207">
        <v>-52.55</v>
      </c>
      <c r="H6207">
        <v>-3</v>
      </c>
      <c r="I6207">
        <v>14</v>
      </c>
      <c r="J6207" t="str">
        <f>HYPERLINK("https://climate.onebuilding.org/WMO_Region_6_Europe/GRL_Greenland/QE_Qeqqata/GRL_QE_Sioralik.042420_TMYx.zip")</f>
        <v>https://climate.onebuilding.org/WMO_Region_6_Europe/GRL_Greenland/QE_Qeqqata/GRL_QE_Sioralik.042420_TMYx.zip</v>
      </c>
    </row>
    <row r="6208" spans="1:10" x14ac:dyDescent="0.25">
      <c r="A6208" t="s">
        <v>4765</v>
      </c>
      <c r="B6208" t="s">
        <v>567</v>
      </c>
      <c r="C6208" t="s">
        <v>4818</v>
      </c>
      <c r="D6208" s="1" t="s">
        <v>4819</v>
      </c>
      <c r="E6208" t="s">
        <v>4820</v>
      </c>
      <c r="F6208">
        <v>64.167000000000002</v>
      </c>
      <c r="G6208">
        <v>-51.75</v>
      </c>
      <c r="H6208">
        <v>-3</v>
      </c>
      <c r="I6208">
        <v>84</v>
      </c>
      <c r="J6208" t="str">
        <f>HYPERLINK("https://climate.onebuilding.org/WMO_Region_6_Europe/GRL_Greenland/SM_Sermersooq/GRL_SM_Nuuk-Godthaab.042500_TMYx.2004-2018.zip")</f>
        <v>https://climate.onebuilding.org/WMO_Region_6_Europe/GRL_Greenland/SM_Sermersooq/GRL_SM_Nuuk-Godthaab.042500_TMYx.2004-2018.zip</v>
      </c>
    </row>
    <row r="6209" spans="1:10" x14ac:dyDescent="0.25">
      <c r="A6209" t="s">
        <v>4765</v>
      </c>
      <c r="B6209" t="s">
        <v>567</v>
      </c>
      <c r="C6209" t="s">
        <v>4818</v>
      </c>
      <c r="D6209" s="1" t="s">
        <v>4819</v>
      </c>
      <c r="E6209" t="s">
        <v>14</v>
      </c>
      <c r="F6209">
        <v>64.167000000000002</v>
      </c>
      <c r="G6209">
        <v>-51.75</v>
      </c>
      <c r="H6209">
        <v>-3</v>
      </c>
      <c r="I6209">
        <v>84</v>
      </c>
      <c r="J6209" t="str">
        <f>HYPERLINK("https://climate.onebuilding.org/WMO_Region_6_Europe/GRL_Greenland/SM_Sermersooq/GRL_SM_Nuuk-Godthaab.042500_TMYx.2007-2021.zip")</f>
        <v>https://climate.onebuilding.org/WMO_Region_6_Europe/GRL_Greenland/SM_Sermersooq/GRL_SM_Nuuk-Godthaab.042500_TMYx.2007-2021.zip</v>
      </c>
    </row>
    <row r="6210" spans="1:10" x14ac:dyDescent="0.25">
      <c r="A6210" t="s">
        <v>4765</v>
      </c>
      <c r="B6210" t="s">
        <v>567</v>
      </c>
      <c r="C6210" t="s">
        <v>4818</v>
      </c>
      <c r="D6210" s="1" t="s">
        <v>4819</v>
      </c>
      <c r="E6210" t="s">
        <v>14</v>
      </c>
      <c r="F6210">
        <v>64.167000000000002</v>
      </c>
      <c r="G6210">
        <v>-51.75</v>
      </c>
      <c r="H6210">
        <v>-3</v>
      </c>
      <c r="I6210">
        <v>84</v>
      </c>
      <c r="J6210" t="str">
        <f>HYPERLINK("https://climate.onebuilding.org/WMO_Region_6_Europe/GRL_Greenland/SM_Sermersooq/GRL_SM_Nuuk-Godthaab.042500_TMYx.2009-2023.zip")</f>
        <v>https://climate.onebuilding.org/WMO_Region_6_Europe/GRL_Greenland/SM_Sermersooq/GRL_SM_Nuuk-Godthaab.042500_TMYx.2009-2023.zip</v>
      </c>
    </row>
    <row r="6211" spans="1:10" x14ac:dyDescent="0.25">
      <c r="A6211" t="s">
        <v>4765</v>
      </c>
      <c r="B6211" t="s">
        <v>567</v>
      </c>
      <c r="C6211" t="s">
        <v>4818</v>
      </c>
      <c r="D6211" s="1" t="s">
        <v>4819</v>
      </c>
      <c r="E6211" t="s">
        <v>14</v>
      </c>
      <c r="F6211">
        <v>64.167000000000002</v>
      </c>
      <c r="G6211">
        <v>-51.75</v>
      </c>
      <c r="H6211">
        <v>-3</v>
      </c>
      <c r="I6211">
        <v>84</v>
      </c>
      <c r="J6211" t="str">
        <f>HYPERLINK("https://climate.onebuilding.org/WMO_Region_6_Europe/GRL_Greenland/SM_Sermersooq/GRL_SM_Nuuk-Godthaab.042500_TMYx.zip")</f>
        <v>https://climate.onebuilding.org/WMO_Region_6_Europe/GRL_Greenland/SM_Sermersooq/GRL_SM_Nuuk-Godthaab.042500_TMYx.zip</v>
      </c>
    </row>
    <row r="6212" spans="1:10" x14ac:dyDescent="0.25">
      <c r="A6212" t="s">
        <v>4765</v>
      </c>
      <c r="B6212" t="s">
        <v>567</v>
      </c>
      <c r="C6212" t="s">
        <v>4821</v>
      </c>
      <c r="D6212" s="1" t="s">
        <v>4822</v>
      </c>
      <c r="E6212" t="s">
        <v>4823</v>
      </c>
      <c r="F6212">
        <v>62.578000000000003</v>
      </c>
      <c r="G6212">
        <v>-50.405999999999999</v>
      </c>
      <c r="H6212">
        <v>-3</v>
      </c>
      <c r="I6212">
        <v>22</v>
      </c>
      <c r="J6212" t="str">
        <f>HYPERLINK("https://climate.onebuilding.org/WMO_Region_6_Europe/GRL_Greenland/SM_Sermersooq/GRL_SM_Ukiivik-Frederikshaab.Islands.042530_TMYx.2004-2018.zip")</f>
        <v>https://climate.onebuilding.org/WMO_Region_6_Europe/GRL_Greenland/SM_Sermersooq/GRL_SM_Ukiivik-Frederikshaab.Islands.042530_TMYx.2004-2018.zip</v>
      </c>
    </row>
    <row r="6213" spans="1:10" x14ac:dyDescent="0.25">
      <c r="A6213" t="s">
        <v>4765</v>
      </c>
      <c r="B6213" t="s">
        <v>567</v>
      </c>
      <c r="C6213" t="s">
        <v>4821</v>
      </c>
      <c r="D6213" s="1" t="s">
        <v>4822</v>
      </c>
      <c r="E6213" t="s">
        <v>14</v>
      </c>
      <c r="F6213">
        <v>62.578000000000003</v>
      </c>
      <c r="G6213">
        <v>-50.405999999999999</v>
      </c>
      <c r="H6213">
        <v>-3</v>
      </c>
      <c r="I6213">
        <v>22</v>
      </c>
      <c r="J6213" t="str">
        <f>HYPERLINK("https://climate.onebuilding.org/WMO_Region_6_Europe/GRL_Greenland/SM_Sermersooq/GRL_SM_Ukiivik-Frederikshaab.Islands.042530_TMYx.2007-2021.zip")</f>
        <v>https://climate.onebuilding.org/WMO_Region_6_Europe/GRL_Greenland/SM_Sermersooq/GRL_SM_Ukiivik-Frederikshaab.Islands.042530_TMYx.2007-2021.zip</v>
      </c>
    </row>
    <row r="6214" spans="1:10" x14ac:dyDescent="0.25">
      <c r="A6214" t="s">
        <v>4765</v>
      </c>
      <c r="B6214" t="s">
        <v>567</v>
      </c>
      <c r="C6214" t="s">
        <v>4821</v>
      </c>
      <c r="D6214" s="1" t="s">
        <v>4822</v>
      </c>
      <c r="E6214" t="s">
        <v>14</v>
      </c>
      <c r="F6214">
        <v>62.578000000000003</v>
      </c>
      <c r="G6214">
        <v>-50.405999999999999</v>
      </c>
      <c r="H6214">
        <v>-3</v>
      </c>
      <c r="I6214">
        <v>22</v>
      </c>
      <c r="J6214" t="str">
        <f>HYPERLINK("https://climate.onebuilding.org/WMO_Region_6_Europe/GRL_Greenland/SM_Sermersooq/GRL_SM_Ukiivik-Frederikshaab.Islands.042530_TMYx.2009-2023.zip")</f>
        <v>https://climate.onebuilding.org/WMO_Region_6_Europe/GRL_Greenland/SM_Sermersooq/GRL_SM_Ukiivik-Frederikshaab.Islands.042530_TMYx.2009-2023.zip</v>
      </c>
    </row>
    <row r="6215" spans="1:10" x14ac:dyDescent="0.25">
      <c r="A6215" t="s">
        <v>4765</v>
      </c>
      <c r="B6215" t="s">
        <v>567</v>
      </c>
      <c r="C6215" t="s">
        <v>4821</v>
      </c>
      <c r="D6215" s="1" t="s">
        <v>4822</v>
      </c>
      <c r="E6215" t="s">
        <v>14</v>
      </c>
      <c r="F6215">
        <v>62.578000000000003</v>
      </c>
      <c r="G6215">
        <v>-50.405999999999999</v>
      </c>
      <c r="H6215">
        <v>-3</v>
      </c>
      <c r="I6215">
        <v>22</v>
      </c>
      <c r="J6215" t="str">
        <f>HYPERLINK("https://climate.onebuilding.org/WMO_Region_6_Europe/GRL_Greenland/SM_Sermersooq/GRL_SM_Ukiivik-Frederikshaab.Islands.042530_TMYx.zip")</f>
        <v>https://climate.onebuilding.org/WMO_Region_6_Europe/GRL_Greenland/SM_Sermersooq/GRL_SM_Ukiivik-Frederikshaab.Islands.042530_TMYx.zip</v>
      </c>
    </row>
    <row r="6216" spans="1:10" x14ac:dyDescent="0.25">
      <c r="A6216" t="s">
        <v>4765</v>
      </c>
      <c r="B6216" t="s">
        <v>567</v>
      </c>
      <c r="C6216" t="s">
        <v>4824</v>
      </c>
      <c r="D6216" s="1" t="s">
        <v>4825</v>
      </c>
      <c r="E6216" t="s">
        <v>4826</v>
      </c>
      <c r="F6216">
        <v>61.982999999999997</v>
      </c>
      <c r="G6216">
        <v>-49.7</v>
      </c>
      <c r="H6216">
        <v>-3</v>
      </c>
      <c r="I6216">
        <v>13</v>
      </c>
      <c r="J6216" t="str">
        <f>HYPERLINK("https://climate.onebuilding.org/WMO_Region_6_Europe/GRL_Greenland/SM_Sermersooq/GRL_SM_Fredickshab-Paamiut.AP.042605_TMYx.2004-2018.zip")</f>
        <v>https://climate.onebuilding.org/WMO_Region_6_Europe/GRL_Greenland/SM_Sermersooq/GRL_SM_Fredickshab-Paamiut.AP.042605_TMYx.2004-2018.zip</v>
      </c>
    </row>
    <row r="6217" spans="1:10" x14ac:dyDescent="0.25">
      <c r="A6217" t="s">
        <v>4765</v>
      </c>
      <c r="B6217" t="s">
        <v>567</v>
      </c>
      <c r="C6217" t="s">
        <v>4824</v>
      </c>
      <c r="D6217" s="1" t="s">
        <v>4825</v>
      </c>
      <c r="E6217" t="s">
        <v>14</v>
      </c>
      <c r="F6217">
        <v>61.982999999999997</v>
      </c>
      <c r="G6217">
        <v>-49.7</v>
      </c>
      <c r="H6217">
        <v>-3</v>
      </c>
      <c r="I6217">
        <v>13</v>
      </c>
      <c r="J6217" t="str">
        <f>HYPERLINK("https://climate.onebuilding.org/WMO_Region_6_Europe/GRL_Greenland/SM_Sermersooq/GRL_SM_Fredickshab-Paamiut.AP.042605_TMYx.2007-2021.zip")</f>
        <v>https://climate.onebuilding.org/WMO_Region_6_Europe/GRL_Greenland/SM_Sermersooq/GRL_SM_Fredickshab-Paamiut.AP.042605_TMYx.2007-2021.zip</v>
      </c>
    </row>
    <row r="6218" spans="1:10" x14ac:dyDescent="0.25">
      <c r="A6218" t="s">
        <v>4765</v>
      </c>
      <c r="B6218" t="s">
        <v>567</v>
      </c>
      <c r="C6218" t="s">
        <v>4824</v>
      </c>
      <c r="D6218" s="1" t="s">
        <v>4825</v>
      </c>
      <c r="E6218" t="s">
        <v>14</v>
      </c>
      <c r="F6218">
        <v>61.982999999999997</v>
      </c>
      <c r="G6218">
        <v>-49.7</v>
      </c>
      <c r="H6218">
        <v>-3</v>
      </c>
      <c r="I6218">
        <v>13</v>
      </c>
      <c r="J6218" t="str">
        <f>HYPERLINK("https://climate.onebuilding.org/WMO_Region_6_Europe/GRL_Greenland/SM_Sermersooq/GRL_SM_Fredickshab-Paamiut.AP.042605_TMYx.2009-2023.zip")</f>
        <v>https://climate.onebuilding.org/WMO_Region_6_Europe/GRL_Greenland/SM_Sermersooq/GRL_SM_Fredickshab-Paamiut.AP.042605_TMYx.2009-2023.zip</v>
      </c>
    </row>
    <row r="6219" spans="1:10" x14ac:dyDescent="0.25">
      <c r="A6219" t="s">
        <v>4765</v>
      </c>
      <c r="B6219" t="s">
        <v>567</v>
      </c>
      <c r="C6219" t="s">
        <v>4824</v>
      </c>
      <c r="D6219" s="1" t="s">
        <v>4825</v>
      </c>
      <c r="E6219" t="s">
        <v>14</v>
      </c>
      <c r="F6219">
        <v>61.982999999999997</v>
      </c>
      <c r="G6219">
        <v>-49.7</v>
      </c>
      <c r="H6219">
        <v>-3</v>
      </c>
      <c r="I6219">
        <v>13</v>
      </c>
      <c r="J6219" t="str">
        <f>HYPERLINK("https://climate.onebuilding.org/WMO_Region_6_Europe/GRL_Greenland/SM_Sermersooq/GRL_SM_Fredickshab-Paamiut.AP.042605_TMYx.zip")</f>
        <v>https://climate.onebuilding.org/WMO_Region_6_Europe/GRL_Greenland/SM_Sermersooq/GRL_SM_Fredickshab-Paamiut.AP.042605_TMYx.zip</v>
      </c>
    </row>
    <row r="6220" spans="1:10" x14ac:dyDescent="0.25">
      <c r="A6220" t="s">
        <v>4765</v>
      </c>
      <c r="B6220" t="s">
        <v>4827</v>
      </c>
      <c r="C6220" t="s">
        <v>4828</v>
      </c>
      <c r="D6220" s="1" t="s">
        <v>4829</v>
      </c>
      <c r="E6220" t="s">
        <v>4830</v>
      </c>
      <c r="F6220">
        <v>60.75</v>
      </c>
      <c r="G6220">
        <v>-48.45</v>
      </c>
      <c r="H6220">
        <v>-3</v>
      </c>
      <c r="I6220">
        <v>30</v>
      </c>
      <c r="J6220" t="str">
        <f>HYPERLINK("https://climate.onebuilding.org/WMO_Region_6_Europe/GRL_Greenland/KU_Kujalleq/GRL_KU_Nunarsuit.042660_TMYx.2004-2018.zip")</f>
        <v>https://climate.onebuilding.org/WMO_Region_6_Europe/GRL_Greenland/KU_Kujalleq/GRL_KU_Nunarsuit.042660_TMYx.2004-2018.zip</v>
      </c>
    </row>
    <row r="6221" spans="1:10" x14ac:dyDescent="0.25">
      <c r="A6221" t="s">
        <v>4765</v>
      </c>
      <c r="B6221" t="s">
        <v>4827</v>
      </c>
      <c r="C6221" t="s">
        <v>4828</v>
      </c>
      <c r="D6221" s="1" t="s">
        <v>4829</v>
      </c>
      <c r="E6221" t="s">
        <v>14</v>
      </c>
      <c r="F6221">
        <v>60.75</v>
      </c>
      <c r="G6221">
        <v>-48.45</v>
      </c>
      <c r="H6221">
        <v>-3</v>
      </c>
      <c r="I6221">
        <v>30</v>
      </c>
      <c r="J6221" t="str">
        <f>HYPERLINK("https://climate.onebuilding.org/WMO_Region_6_Europe/GRL_Greenland/KU_Kujalleq/GRL_KU_Nunarsuit.042660_TMYx.2007-2021.zip")</f>
        <v>https://climate.onebuilding.org/WMO_Region_6_Europe/GRL_Greenland/KU_Kujalleq/GRL_KU_Nunarsuit.042660_TMYx.2007-2021.zip</v>
      </c>
    </row>
    <row r="6222" spans="1:10" x14ac:dyDescent="0.25">
      <c r="A6222" t="s">
        <v>4765</v>
      </c>
      <c r="B6222" t="s">
        <v>4827</v>
      </c>
      <c r="C6222" t="s">
        <v>4828</v>
      </c>
      <c r="D6222" s="1" t="s">
        <v>4829</v>
      </c>
      <c r="E6222" t="s">
        <v>14</v>
      </c>
      <c r="F6222">
        <v>60.75</v>
      </c>
      <c r="G6222">
        <v>-48.45</v>
      </c>
      <c r="H6222">
        <v>-3</v>
      </c>
      <c r="I6222">
        <v>30</v>
      </c>
      <c r="J6222" t="str">
        <f>HYPERLINK("https://climate.onebuilding.org/WMO_Region_6_Europe/GRL_Greenland/KU_Kujalleq/GRL_KU_Nunarsuit.042660_TMYx.2009-2023.zip")</f>
        <v>https://climate.onebuilding.org/WMO_Region_6_Europe/GRL_Greenland/KU_Kujalleq/GRL_KU_Nunarsuit.042660_TMYx.2009-2023.zip</v>
      </c>
    </row>
    <row r="6223" spans="1:10" x14ac:dyDescent="0.25">
      <c r="A6223" t="s">
        <v>4765</v>
      </c>
      <c r="B6223" t="s">
        <v>4827</v>
      </c>
      <c r="C6223" t="s">
        <v>4828</v>
      </c>
      <c r="D6223" s="1" t="s">
        <v>4829</v>
      </c>
      <c r="E6223" t="s">
        <v>14</v>
      </c>
      <c r="F6223">
        <v>60.75</v>
      </c>
      <c r="G6223">
        <v>-48.45</v>
      </c>
      <c r="H6223">
        <v>-3</v>
      </c>
      <c r="I6223">
        <v>30</v>
      </c>
      <c r="J6223" t="str">
        <f>HYPERLINK("https://climate.onebuilding.org/WMO_Region_6_Europe/GRL_Greenland/KU_Kujalleq/GRL_KU_Nunarsuit.042660_TMYx.zip")</f>
        <v>https://climate.onebuilding.org/WMO_Region_6_Europe/GRL_Greenland/KU_Kujalleq/GRL_KU_Nunarsuit.042660_TMYx.zip</v>
      </c>
    </row>
    <row r="6224" spans="1:10" x14ac:dyDescent="0.25">
      <c r="A6224" t="s">
        <v>4765</v>
      </c>
      <c r="B6224" t="s">
        <v>4827</v>
      </c>
      <c r="C6224" t="s">
        <v>4831</v>
      </c>
      <c r="D6224" s="1" t="s">
        <v>4832</v>
      </c>
      <c r="E6224" t="s">
        <v>4833</v>
      </c>
      <c r="F6224">
        <v>61.161000000000001</v>
      </c>
      <c r="G6224">
        <v>-45.426000000000002</v>
      </c>
      <c r="H6224">
        <v>-3</v>
      </c>
      <c r="I6224">
        <v>34.1</v>
      </c>
      <c r="J6224" t="str">
        <f>HYPERLINK("https://climate.onebuilding.org/WMO_Region_6_Europe/GRL_Greenland/KU_Kujalleq/GRL_KU_Narsarsuaq.AP.042700_TMYx.2004-2018.zip")</f>
        <v>https://climate.onebuilding.org/WMO_Region_6_Europe/GRL_Greenland/KU_Kujalleq/GRL_KU_Narsarsuaq.AP.042700_TMYx.2004-2018.zip</v>
      </c>
    </row>
    <row r="6225" spans="1:10" x14ac:dyDescent="0.25">
      <c r="A6225" t="s">
        <v>4765</v>
      </c>
      <c r="B6225" t="s">
        <v>4827</v>
      </c>
      <c r="C6225" t="s">
        <v>4831</v>
      </c>
      <c r="D6225" s="1" t="s">
        <v>4832</v>
      </c>
      <c r="E6225" t="s">
        <v>14</v>
      </c>
      <c r="F6225">
        <v>61.161000000000001</v>
      </c>
      <c r="G6225">
        <v>-45.426000000000002</v>
      </c>
      <c r="H6225">
        <v>-3</v>
      </c>
      <c r="I6225">
        <v>34.1</v>
      </c>
      <c r="J6225" t="str">
        <f>HYPERLINK("https://climate.onebuilding.org/WMO_Region_6_Europe/GRL_Greenland/KU_Kujalleq/GRL_KU_Narsarsuaq.AP.042700_TMYx.2007-2021.zip")</f>
        <v>https://climate.onebuilding.org/WMO_Region_6_Europe/GRL_Greenland/KU_Kujalleq/GRL_KU_Narsarsuaq.AP.042700_TMYx.2007-2021.zip</v>
      </c>
    </row>
    <row r="6226" spans="1:10" x14ac:dyDescent="0.25">
      <c r="A6226" t="s">
        <v>4765</v>
      </c>
      <c r="B6226" t="s">
        <v>4827</v>
      </c>
      <c r="C6226" t="s">
        <v>4831</v>
      </c>
      <c r="D6226" s="1" t="s">
        <v>4832</v>
      </c>
      <c r="E6226" t="s">
        <v>14</v>
      </c>
      <c r="F6226">
        <v>61.161000000000001</v>
      </c>
      <c r="G6226">
        <v>-45.426000000000002</v>
      </c>
      <c r="H6226">
        <v>-3</v>
      </c>
      <c r="I6226">
        <v>34.1</v>
      </c>
      <c r="J6226" t="str">
        <f>HYPERLINK("https://climate.onebuilding.org/WMO_Region_6_Europe/GRL_Greenland/KU_Kujalleq/GRL_KU_Narsarsuaq.AP.042700_TMYx.2009-2023.zip")</f>
        <v>https://climate.onebuilding.org/WMO_Region_6_Europe/GRL_Greenland/KU_Kujalleq/GRL_KU_Narsarsuaq.AP.042700_TMYx.2009-2023.zip</v>
      </c>
    </row>
    <row r="6227" spans="1:10" x14ac:dyDescent="0.25">
      <c r="A6227" t="s">
        <v>4765</v>
      </c>
      <c r="B6227" t="s">
        <v>4827</v>
      </c>
      <c r="C6227" t="s">
        <v>4831</v>
      </c>
      <c r="D6227" s="1" t="s">
        <v>4832</v>
      </c>
      <c r="E6227" t="s">
        <v>14</v>
      </c>
      <c r="F6227">
        <v>61.161000000000001</v>
      </c>
      <c r="G6227">
        <v>-45.426000000000002</v>
      </c>
      <c r="H6227">
        <v>-3</v>
      </c>
      <c r="I6227">
        <v>34.1</v>
      </c>
      <c r="J6227" t="str">
        <f>HYPERLINK("https://climate.onebuilding.org/WMO_Region_6_Europe/GRL_Greenland/KU_Kujalleq/GRL_KU_Narsarsuaq.AP.042700_TMYx.zip")</f>
        <v>https://climate.onebuilding.org/WMO_Region_6_Europe/GRL_Greenland/KU_Kujalleq/GRL_KU_Narsarsuaq.AP.042700_TMYx.zip</v>
      </c>
    </row>
    <row r="6228" spans="1:10" x14ac:dyDescent="0.25">
      <c r="A6228" t="s">
        <v>4765</v>
      </c>
      <c r="B6228" t="s">
        <v>4827</v>
      </c>
      <c r="C6228" t="s">
        <v>4834</v>
      </c>
      <c r="D6228" s="1" t="s">
        <v>4835</v>
      </c>
      <c r="E6228" t="s">
        <v>4836</v>
      </c>
      <c r="F6228">
        <v>60.716999999999999</v>
      </c>
      <c r="G6228">
        <v>-46.05</v>
      </c>
      <c r="H6228">
        <v>-3</v>
      </c>
      <c r="I6228">
        <v>34</v>
      </c>
      <c r="J6228" t="str">
        <f>HYPERLINK("https://climate.onebuilding.org/WMO_Region_6_Europe/GRL_Greenland/KU_Kujalleq/GRL_KU_Qaqortoq-Julianehaab.042720_TMYx.2004-2018.zip")</f>
        <v>https://climate.onebuilding.org/WMO_Region_6_Europe/GRL_Greenland/KU_Kujalleq/GRL_KU_Qaqortoq-Julianehaab.042720_TMYx.2004-2018.zip</v>
      </c>
    </row>
    <row r="6229" spans="1:10" x14ac:dyDescent="0.25">
      <c r="A6229" t="s">
        <v>4765</v>
      </c>
      <c r="B6229" t="s">
        <v>4827</v>
      </c>
      <c r="C6229" t="s">
        <v>4834</v>
      </c>
      <c r="D6229" s="1" t="s">
        <v>4835</v>
      </c>
      <c r="E6229" t="s">
        <v>14</v>
      </c>
      <c r="F6229">
        <v>60.716999999999999</v>
      </c>
      <c r="G6229">
        <v>-46.05</v>
      </c>
      <c r="H6229">
        <v>-3</v>
      </c>
      <c r="I6229">
        <v>34</v>
      </c>
      <c r="J6229" t="str">
        <f>HYPERLINK("https://climate.onebuilding.org/WMO_Region_6_Europe/GRL_Greenland/KU_Kujalleq/GRL_KU_Qaqortoq-Julianehaab.042720_TMYx.2007-2021.zip")</f>
        <v>https://climate.onebuilding.org/WMO_Region_6_Europe/GRL_Greenland/KU_Kujalleq/GRL_KU_Qaqortoq-Julianehaab.042720_TMYx.2007-2021.zip</v>
      </c>
    </row>
    <row r="6230" spans="1:10" x14ac:dyDescent="0.25">
      <c r="A6230" t="s">
        <v>4765</v>
      </c>
      <c r="B6230" t="s">
        <v>4827</v>
      </c>
      <c r="C6230" t="s">
        <v>4834</v>
      </c>
      <c r="D6230" s="1" t="s">
        <v>4835</v>
      </c>
      <c r="E6230" t="s">
        <v>14</v>
      </c>
      <c r="F6230">
        <v>60.716999999999999</v>
      </c>
      <c r="G6230">
        <v>-46.05</v>
      </c>
      <c r="H6230">
        <v>-3</v>
      </c>
      <c r="I6230">
        <v>34</v>
      </c>
      <c r="J6230" t="str">
        <f>HYPERLINK("https://climate.onebuilding.org/WMO_Region_6_Europe/GRL_Greenland/KU_Kujalleq/GRL_KU_Qaqortoq-Julianehaab.042720_TMYx.2009-2023.zip")</f>
        <v>https://climate.onebuilding.org/WMO_Region_6_Europe/GRL_Greenland/KU_Kujalleq/GRL_KU_Qaqortoq-Julianehaab.042720_TMYx.2009-2023.zip</v>
      </c>
    </row>
    <row r="6231" spans="1:10" x14ac:dyDescent="0.25">
      <c r="A6231" t="s">
        <v>4765</v>
      </c>
      <c r="B6231" t="s">
        <v>4827</v>
      </c>
      <c r="C6231" t="s">
        <v>4834</v>
      </c>
      <c r="D6231" s="1" t="s">
        <v>4835</v>
      </c>
      <c r="E6231" t="s">
        <v>14</v>
      </c>
      <c r="F6231">
        <v>60.716999999999999</v>
      </c>
      <c r="G6231">
        <v>-46.05</v>
      </c>
      <c r="H6231">
        <v>-3</v>
      </c>
      <c r="I6231">
        <v>34</v>
      </c>
      <c r="J6231" t="str">
        <f>HYPERLINK("https://climate.onebuilding.org/WMO_Region_6_Europe/GRL_Greenland/KU_Kujalleq/GRL_KU_Qaqortoq-Julianehaab.042720_TMYx.zip")</f>
        <v>https://climate.onebuilding.org/WMO_Region_6_Europe/GRL_Greenland/KU_Kujalleq/GRL_KU_Qaqortoq-Julianehaab.042720_TMYx.zip</v>
      </c>
    </row>
    <row r="6232" spans="1:10" x14ac:dyDescent="0.25">
      <c r="A6232" t="s">
        <v>4765</v>
      </c>
      <c r="B6232" t="s">
        <v>4827</v>
      </c>
      <c r="C6232" t="s">
        <v>4837</v>
      </c>
      <c r="D6232" s="1" t="s">
        <v>4838</v>
      </c>
      <c r="E6232" t="s">
        <v>4839</v>
      </c>
      <c r="F6232">
        <v>59.982999999999997</v>
      </c>
      <c r="G6232">
        <v>-45.2</v>
      </c>
      <c r="H6232">
        <v>-3</v>
      </c>
      <c r="I6232">
        <v>16</v>
      </c>
      <c r="J6232" t="str">
        <f>HYPERLINK("https://climate.onebuilding.org/WMO_Region_6_Europe/GRL_Greenland/KU_Kujalleq/GRL_KU_Angisoq.042850_TMYx.2004-2018.zip")</f>
        <v>https://climate.onebuilding.org/WMO_Region_6_Europe/GRL_Greenland/KU_Kujalleq/GRL_KU_Angisoq.042850_TMYx.2004-2018.zip</v>
      </c>
    </row>
    <row r="6233" spans="1:10" x14ac:dyDescent="0.25">
      <c r="A6233" t="s">
        <v>4765</v>
      </c>
      <c r="B6233" t="s">
        <v>4827</v>
      </c>
      <c r="C6233" t="s">
        <v>4837</v>
      </c>
      <c r="D6233" s="1" t="s">
        <v>4838</v>
      </c>
      <c r="E6233" t="s">
        <v>14</v>
      </c>
      <c r="F6233">
        <v>59.982999999999997</v>
      </c>
      <c r="G6233">
        <v>-45.2</v>
      </c>
      <c r="H6233">
        <v>-3</v>
      </c>
      <c r="I6233">
        <v>16</v>
      </c>
      <c r="J6233" t="str">
        <f>HYPERLINK("https://climate.onebuilding.org/WMO_Region_6_Europe/GRL_Greenland/KU_Kujalleq/GRL_KU_Angisoq.042850_TMYx.2007-2021.zip")</f>
        <v>https://climate.onebuilding.org/WMO_Region_6_Europe/GRL_Greenland/KU_Kujalleq/GRL_KU_Angisoq.042850_TMYx.2007-2021.zip</v>
      </c>
    </row>
    <row r="6234" spans="1:10" x14ac:dyDescent="0.25">
      <c r="A6234" t="s">
        <v>4765</v>
      </c>
      <c r="B6234" t="s">
        <v>4827</v>
      </c>
      <c r="C6234" t="s">
        <v>4837</v>
      </c>
      <c r="D6234" s="1" t="s">
        <v>4838</v>
      </c>
      <c r="E6234" t="s">
        <v>14</v>
      </c>
      <c r="F6234">
        <v>59.982999999999997</v>
      </c>
      <c r="G6234">
        <v>-45.2</v>
      </c>
      <c r="H6234">
        <v>-3</v>
      </c>
      <c r="I6234">
        <v>16</v>
      </c>
      <c r="J6234" t="str">
        <f>HYPERLINK("https://climate.onebuilding.org/WMO_Region_6_Europe/GRL_Greenland/KU_Kujalleq/GRL_KU_Angisoq.042850_TMYx.2009-2023.zip")</f>
        <v>https://climate.onebuilding.org/WMO_Region_6_Europe/GRL_Greenland/KU_Kujalleq/GRL_KU_Angisoq.042850_TMYx.2009-2023.zip</v>
      </c>
    </row>
    <row r="6235" spans="1:10" x14ac:dyDescent="0.25">
      <c r="A6235" t="s">
        <v>4765</v>
      </c>
      <c r="B6235" t="s">
        <v>4827</v>
      </c>
      <c r="C6235" t="s">
        <v>4837</v>
      </c>
      <c r="D6235" s="1" t="s">
        <v>4838</v>
      </c>
      <c r="E6235" t="s">
        <v>14</v>
      </c>
      <c r="F6235">
        <v>59.982999999999997</v>
      </c>
      <c r="G6235">
        <v>-45.2</v>
      </c>
      <c r="H6235">
        <v>-3</v>
      </c>
      <c r="I6235">
        <v>16</v>
      </c>
      <c r="J6235" t="str">
        <f>HYPERLINK("https://climate.onebuilding.org/WMO_Region_6_Europe/GRL_Greenland/KU_Kujalleq/GRL_KU_Angisoq.042850_TMYx.zip")</f>
        <v>https://climate.onebuilding.org/WMO_Region_6_Europe/GRL_Greenland/KU_Kujalleq/GRL_KU_Angisoq.042850_TMYx.zip</v>
      </c>
    </row>
    <row r="6236" spans="1:10" x14ac:dyDescent="0.25">
      <c r="A6236" t="s">
        <v>4765</v>
      </c>
      <c r="B6236" t="s">
        <v>4840</v>
      </c>
      <c r="C6236" t="s">
        <v>4841</v>
      </c>
      <c r="D6236" s="1" t="s">
        <v>4842</v>
      </c>
      <c r="E6236" t="s">
        <v>4843</v>
      </c>
      <c r="F6236">
        <v>83.587999999999994</v>
      </c>
      <c r="G6236">
        <v>-33.295999999999999</v>
      </c>
      <c r="H6236">
        <v>-3</v>
      </c>
      <c r="I6236">
        <v>4</v>
      </c>
      <c r="J6236" t="str">
        <f>HYPERLINK("https://climate.onebuilding.org/WMO_Region_6_Europe/GRL_Greenland/UO_Unorganized/GRL_UO_Cape.Morris.Jesup.043010_TMYx.2004-2018.zip")</f>
        <v>https://climate.onebuilding.org/WMO_Region_6_Europe/GRL_Greenland/UO_Unorganized/GRL_UO_Cape.Morris.Jesup.043010_TMYx.2004-2018.zip</v>
      </c>
    </row>
    <row r="6237" spans="1:10" x14ac:dyDescent="0.25">
      <c r="A6237" t="s">
        <v>4765</v>
      </c>
      <c r="B6237" t="s">
        <v>4840</v>
      </c>
      <c r="C6237" t="s">
        <v>4841</v>
      </c>
      <c r="D6237" s="1" t="s">
        <v>4842</v>
      </c>
      <c r="E6237" t="s">
        <v>14</v>
      </c>
      <c r="F6237">
        <v>83.587999999999994</v>
      </c>
      <c r="G6237">
        <v>-33.295999999999999</v>
      </c>
      <c r="H6237">
        <v>-3</v>
      </c>
      <c r="I6237">
        <v>733</v>
      </c>
      <c r="J6237" t="str">
        <f>HYPERLINK("https://climate.onebuilding.org/WMO_Region_6_Europe/GRL_Greenland/UO_Unorganized/GRL_UO_Cape.Morris.Jesup.043010_TMYx.2007-2021.zip")</f>
        <v>https://climate.onebuilding.org/WMO_Region_6_Europe/GRL_Greenland/UO_Unorganized/GRL_UO_Cape.Morris.Jesup.043010_TMYx.2007-2021.zip</v>
      </c>
    </row>
    <row r="6238" spans="1:10" x14ac:dyDescent="0.25">
      <c r="A6238" t="s">
        <v>4765</v>
      </c>
      <c r="B6238" t="s">
        <v>4840</v>
      </c>
      <c r="C6238" t="s">
        <v>4841</v>
      </c>
      <c r="D6238" s="1" t="s">
        <v>4842</v>
      </c>
      <c r="E6238" t="s">
        <v>14</v>
      </c>
      <c r="F6238">
        <v>83.587999999999994</v>
      </c>
      <c r="G6238">
        <v>-33.295999999999999</v>
      </c>
      <c r="H6238">
        <v>-3</v>
      </c>
      <c r="I6238">
        <v>733</v>
      </c>
      <c r="J6238" t="str">
        <f>HYPERLINK("https://climate.onebuilding.org/WMO_Region_6_Europe/GRL_Greenland/UO_Unorganized/GRL_UO_Cape.Morris.Jesup.043010_TMYx.2009-2023.zip")</f>
        <v>https://climate.onebuilding.org/WMO_Region_6_Europe/GRL_Greenland/UO_Unorganized/GRL_UO_Cape.Morris.Jesup.043010_TMYx.2009-2023.zip</v>
      </c>
    </row>
    <row r="6239" spans="1:10" x14ac:dyDescent="0.25">
      <c r="A6239" t="s">
        <v>4765</v>
      </c>
      <c r="B6239" t="s">
        <v>4840</v>
      </c>
      <c r="C6239" t="s">
        <v>4841</v>
      </c>
      <c r="D6239" s="1" t="s">
        <v>4842</v>
      </c>
      <c r="E6239" t="s">
        <v>14</v>
      </c>
      <c r="F6239">
        <v>83.587999999999994</v>
      </c>
      <c r="G6239">
        <v>-33.295999999999999</v>
      </c>
      <c r="H6239">
        <v>-3</v>
      </c>
      <c r="I6239">
        <v>733</v>
      </c>
      <c r="J6239" t="str">
        <f>HYPERLINK("https://climate.onebuilding.org/WMO_Region_6_Europe/GRL_Greenland/UO_Unorganized/GRL_UO_Cape.Morris.Jesup.043010_TMYx.zip")</f>
        <v>https://climate.onebuilding.org/WMO_Region_6_Europe/GRL_Greenland/UO_Unorganized/GRL_UO_Cape.Morris.Jesup.043010_TMYx.zip</v>
      </c>
    </row>
    <row r="6240" spans="1:10" x14ac:dyDescent="0.25">
      <c r="A6240" t="s">
        <v>4765</v>
      </c>
      <c r="B6240" t="s">
        <v>4840</v>
      </c>
      <c r="C6240" t="s">
        <v>4844</v>
      </c>
      <c r="D6240" s="1" t="s">
        <v>4845</v>
      </c>
      <c r="E6240" t="s">
        <v>4846</v>
      </c>
      <c r="F6240">
        <v>81.599999999999994</v>
      </c>
      <c r="G6240">
        <v>-16.649999999999999</v>
      </c>
      <c r="H6240">
        <v>-3</v>
      </c>
      <c r="I6240">
        <v>36</v>
      </c>
      <c r="J6240" t="str">
        <f>HYPERLINK("https://climate.onebuilding.org/WMO_Region_6_Europe/GRL_Greenland/UO_Unorganized/GRL_UO_Station.Nord.AWS.043120_TMYx.2004-2018.zip")</f>
        <v>https://climate.onebuilding.org/WMO_Region_6_Europe/GRL_Greenland/UO_Unorganized/GRL_UO_Station.Nord.AWS.043120_TMYx.2004-2018.zip</v>
      </c>
    </row>
    <row r="6241" spans="1:10" x14ac:dyDescent="0.25">
      <c r="A6241" t="s">
        <v>4765</v>
      </c>
      <c r="B6241" t="s">
        <v>4840</v>
      </c>
      <c r="C6241" t="s">
        <v>4844</v>
      </c>
      <c r="D6241" s="1" t="s">
        <v>4845</v>
      </c>
      <c r="E6241" t="s">
        <v>14</v>
      </c>
      <c r="F6241">
        <v>81.599999999999994</v>
      </c>
      <c r="G6241">
        <v>-16.649999999999999</v>
      </c>
      <c r="H6241">
        <v>-3</v>
      </c>
      <c r="I6241">
        <v>36</v>
      </c>
      <c r="J6241" t="str">
        <f>HYPERLINK("https://climate.onebuilding.org/WMO_Region_6_Europe/GRL_Greenland/UO_Unorganized/GRL_UO_Station.Nord.AWS.043120_TMYx.2007-2021.zip")</f>
        <v>https://climate.onebuilding.org/WMO_Region_6_Europe/GRL_Greenland/UO_Unorganized/GRL_UO_Station.Nord.AWS.043120_TMYx.2007-2021.zip</v>
      </c>
    </row>
    <row r="6242" spans="1:10" x14ac:dyDescent="0.25">
      <c r="A6242" t="s">
        <v>4765</v>
      </c>
      <c r="B6242" t="s">
        <v>4840</v>
      </c>
      <c r="C6242" t="s">
        <v>4844</v>
      </c>
      <c r="D6242" s="1" t="s">
        <v>4845</v>
      </c>
      <c r="E6242" t="s">
        <v>14</v>
      </c>
      <c r="F6242">
        <v>81.599999999999994</v>
      </c>
      <c r="G6242">
        <v>-16.649999999999999</v>
      </c>
      <c r="H6242">
        <v>-3</v>
      </c>
      <c r="I6242">
        <v>36</v>
      </c>
      <c r="J6242" t="str">
        <f>HYPERLINK("https://climate.onebuilding.org/WMO_Region_6_Europe/GRL_Greenland/UO_Unorganized/GRL_UO_Station.Nord.AWS.043120_TMYx.2009-2023.zip")</f>
        <v>https://climate.onebuilding.org/WMO_Region_6_Europe/GRL_Greenland/UO_Unorganized/GRL_UO_Station.Nord.AWS.043120_TMYx.2009-2023.zip</v>
      </c>
    </row>
    <row r="6243" spans="1:10" x14ac:dyDescent="0.25">
      <c r="A6243" t="s">
        <v>4765</v>
      </c>
      <c r="B6243" t="s">
        <v>4840</v>
      </c>
      <c r="C6243" t="s">
        <v>4844</v>
      </c>
      <c r="D6243" s="1" t="s">
        <v>4845</v>
      </c>
      <c r="E6243" t="s">
        <v>14</v>
      </c>
      <c r="F6243">
        <v>81.599999999999994</v>
      </c>
      <c r="G6243">
        <v>-16.649999999999999</v>
      </c>
      <c r="H6243">
        <v>-3</v>
      </c>
      <c r="I6243">
        <v>36</v>
      </c>
      <c r="J6243" t="str">
        <f>HYPERLINK("https://climate.onebuilding.org/WMO_Region_6_Europe/GRL_Greenland/UO_Unorganized/GRL_UO_Station.Nord.AWS.043120_TMYx.zip")</f>
        <v>https://climate.onebuilding.org/WMO_Region_6_Europe/GRL_Greenland/UO_Unorganized/GRL_UO_Station.Nord.AWS.043120_TMYx.zip</v>
      </c>
    </row>
    <row r="6244" spans="1:10" x14ac:dyDescent="0.25">
      <c r="A6244" t="s">
        <v>4765</v>
      </c>
      <c r="B6244" t="s">
        <v>4840</v>
      </c>
      <c r="C6244" t="s">
        <v>4847</v>
      </c>
      <c r="D6244" s="1" t="s">
        <v>4848</v>
      </c>
      <c r="E6244" t="s">
        <v>4849</v>
      </c>
      <c r="F6244">
        <v>80.650000000000006</v>
      </c>
      <c r="G6244">
        <v>-13.717000000000001</v>
      </c>
      <c r="H6244">
        <v>-3</v>
      </c>
      <c r="I6244">
        <v>10</v>
      </c>
      <c r="J6244" t="str">
        <f>HYPERLINK("https://climate.onebuilding.org/WMO_Region_6_Europe/GRL_Greenland/UO_Unorganized/GRL_UO_Henrik.Kroeyer.Holme.Islands.043130_TMYx.2004-2018.zip")</f>
        <v>https://climate.onebuilding.org/WMO_Region_6_Europe/GRL_Greenland/UO_Unorganized/GRL_UO_Henrik.Kroeyer.Holme.Islands.043130_TMYx.2004-2018.zip</v>
      </c>
    </row>
    <row r="6245" spans="1:10" x14ac:dyDescent="0.25">
      <c r="A6245" t="s">
        <v>4765</v>
      </c>
      <c r="B6245" t="s">
        <v>4840</v>
      </c>
      <c r="C6245" t="s">
        <v>4847</v>
      </c>
      <c r="D6245" s="1" t="s">
        <v>4848</v>
      </c>
      <c r="E6245" t="s">
        <v>14</v>
      </c>
      <c r="F6245">
        <v>80.650000000000006</v>
      </c>
      <c r="G6245">
        <v>-13.717000000000001</v>
      </c>
      <c r="H6245">
        <v>-3</v>
      </c>
      <c r="I6245">
        <v>10</v>
      </c>
      <c r="J6245" t="str">
        <f>HYPERLINK("https://climate.onebuilding.org/WMO_Region_6_Europe/GRL_Greenland/UO_Unorganized/GRL_UO_Henrik.Kroeyer.Holme.Islands.043130_TMYx.2007-2021.zip")</f>
        <v>https://climate.onebuilding.org/WMO_Region_6_Europe/GRL_Greenland/UO_Unorganized/GRL_UO_Henrik.Kroeyer.Holme.Islands.043130_TMYx.2007-2021.zip</v>
      </c>
    </row>
    <row r="6246" spans="1:10" x14ac:dyDescent="0.25">
      <c r="A6246" t="s">
        <v>4765</v>
      </c>
      <c r="B6246" t="s">
        <v>4840</v>
      </c>
      <c r="C6246" t="s">
        <v>4847</v>
      </c>
      <c r="D6246" s="1" t="s">
        <v>4848</v>
      </c>
      <c r="E6246" t="s">
        <v>14</v>
      </c>
      <c r="F6246">
        <v>80.650000000000006</v>
      </c>
      <c r="G6246">
        <v>-13.717000000000001</v>
      </c>
      <c r="H6246">
        <v>-3</v>
      </c>
      <c r="I6246">
        <v>10</v>
      </c>
      <c r="J6246" t="str">
        <f>HYPERLINK("https://climate.onebuilding.org/WMO_Region_6_Europe/GRL_Greenland/UO_Unorganized/GRL_UO_Henrik.Kroeyer.Holme.Islands.043130_TMYx.2009-2023.zip")</f>
        <v>https://climate.onebuilding.org/WMO_Region_6_Europe/GRL_Greenland/UO_Unorganized/GRL_UO_Henrik.Kroeyer.Holme.Islands.043130_TMYx.2009-2023.zip</v>
      </c>
    </row>
    <row r="6247" spans="1:10" x14ac:dyDescent="0.25">
      <c r="A6247" t="s">
        <v>4765</v>
      </c>
      <c r="B6247" t="s">
        <v>4840</v>
      </c>
      <c r="C6247" t="s">
        <v>4847</v>
      </c>
      <c r="D6247" s="1" t="s">
        <v>4848</v>
      </c>
      <c r="E6247" t="s">
        <v>14</v>
      </c>
      <c r="F6247">
        <v>80.650000000000006</v>
      </c>
      <c r="G6247">
        <v>-13.717000000000001</v>
      </c>
      <c r="H6247">
        <v>-3</v>
      </c>
      <c r="I6247">
        <v>10</v>
      </c>
      <c r="J6247" t="str">
        <f>HYPERLINK("https://climate.onebuilding.org/WMO_Region_6_Europe/GRL_Greenland/UO_Unorganized/GRL_UO_Henrik.Kroeyer.Holme.Islands.043130_TMYx.zip")</f>
        <v>https://climate.onebuilding.org/WMO_Region_6_Europe/GRL_Greenland/UO_Unorganized/GRL_UO_Henrik.Kroeyer.Holme.Islands.043130_TMYx.zip</v>
      </c>
    </row>
    <row r="6248" spans="1:10" x14ac:dyDescent="0.25">
      <c r="A6248" t="s">
        <v>4765</v>
      </c>
      <c r="B6248" t="s">
        <v>4840</v>
      </c>
      <c r="C6248" t="s">
        <v>4850</v>
      </c>
      <c r="D6248" s="1" t="s">
        <v>4851</v>
      </c>
      <c r="E6248" t="s">
        <v>4852</v>
      </c>
      <c r="F6248">
        <v>76.766999999999996</v>
      </c>
      <c r="G6248">
        <v>-18.667000000000002</v>
      </c>
      <c r="H6248">
        <v>0</v>
      </c>
      <c r="I6248">
        <v>12</v>
      </c>
      <c r="J6248" t="str">
        <f>HYPERLINK("https://climate.onebuilding.org/WMO_Region_6_Europe/GRL_Greenland/UO_Unorganized/GRL_UO_Danmarkshavn.Port.043200_TMYx.2004-2018.zip")</f>
        <v>https://climate.onebuilding.org/WMO_Region_6_Europe/GRL_Greenland/UO_Unorganized/GRL_UO_Danmarkshavn.Port.043200_TMYx.2004-2018.zip</v>
      </c>
    </row>
    <row r="6249" spans="1:10" x14ac:dyDescent="0.25">
      <c r="A6249" t="s">
        <v>4765</v>
      </c>
      <c r="B6249" t="s">
        <v>4840</v>
      </c>
      <c r="C6249" t="s">
        <v>4850</v>
      </c>
      <c r="D6249" s="1" t="s">
        <v>4851</v>
      </c>
      <c r="E6249" t="s">
        <v>14</v>
      </c>
      <c r="F6249">
        <v>76.766999999999996</v>
      </c>
      <c r="G6249">
        <v>-18.667000000000002</v>
      </c>
      <c r="H6249">
        <v>0</v>
      </c>
      <c r="I6249">
        <v>12</v>
      </c>
      <c r="J6249" t="str">
        <f>HYPERLINK("https://climate.onebuilding.org/WMO_Region_6_Europe/GRL_Greenland/UO_Unorganized/GRL_UO_Danmarkshavn.Port.043200_TMYx.2007-2021.zip")</f>
        <v>https://climate.onebuilding.org/WMO_Region_6_Europe/GRL_Greenland/UO_Unorganized/GRL_UO_Danmarkshavn.Port.043200_TMYx.2007-2021.zip</v>
      </c>
    </row>
    <row r="6250" spans="1:10" x14ac:dyDescent="0.25">
      <c r="A6250" t="s">
        <v>4765</v>
      </c>
      <c r="B6250" t="s">
        <v>4840</v>
      </c>
      <c r="C6250" t="s">
        <v>4850</v>
      </c>
      <c r="D6250" s="1" t="s">
        <v>4851</v>
      </c>
      <c r="E6250" t="s">
        <v>14</v>
      </c>
      <c r="F6250">
        <v>76.766999999999996</v>
      </c>
      <c r="G6250">
        <v>-18.667000000000002</v>
      </c>
      <c r="H6250">
        <v>0</v>
      </c>
      <c r="I6250">
        <v>12</v>
      </c>
      <c r="J6250" t="str">
        <f>HYPERLINK("https://climate.onebuilding.org/WMO_Region_6_Europe/GRL_Greenland/UO_Unorganized/GRL_UO_Danmarkshavn.Port.043200_TMYx.2009-2023.zip")</f>
        <v>https://climate.onebuilding.org/WMO_Region_6_Europe/GRL_Greenland/UO_Unorganized/GRL_UO_Danmarkshavn.Port.043200_TMYx.2009-2023.zip</v>
      </c>
    </row>
    <row r="6251" spans="1:10" x14ac:dyDescent="0.25">
      <c r="A6251" t="s">
        <v>4765</v>
      </c>
      <c r="B6251" t="s">
        <v>4840</v>
      </c>
      <c r="C6251" t="s">
        <v>4850</v>
      </c>
      <c r="D6251" s="1" t="s">
        <v>4851</v>
      </c>
      <c r="E6251" t="s">
        <v>14</v>
      </c>
      <c r="F6251">
        <v>76.766999999999996</v>
      </c>
      <c r="G6251">
        <v>-18.667000000000002</v>
      </c>
      <c r="H6251">
        <v>0</v>
      </c>
      <c r="I6251">
        <v>12</v>
      </c>
      <c r="J6251" t="str">
        <f>HYPERLINK("https://climate.onebuilding.org/WMO_Region_6_Europe/GRL_Greenland/UO_Unorganized/GRL_UO_Danmarkshavn.Port.043200_TMYx.zip")</f>
        <v>https://climate.onebuilding.org/WMO_Region_6_Europe/GRL_Greenland/UO_Unorganized/GRL_UO_Danmarkshavn.Port.043200_TMYx.zip</v>
      </c>
    </row>
    <row r="6252" spans="1:10" x14ac:dyDescent="0.25">
      <c r="A6252" t="s">
        <v>4765</v>
      </c>
      <c r="B6252" t="s">
        <v>4840</v>
      </c>
      <c r="C6252" t="s">
        <v>4853</v>
      </c>
      <c r="D6252" s="1" t="s">
        <v>4854</v>
      </c>
      <c r="E6252" t="s">
        <v>4855</v>
      </c>
      <c r="F6252">
        <v>74.3</v>
      </c>
      <c r="G6252">
        <v>-20.216999999999999</v>
      </c>
      <c r="H6252">
        <v>-3</v>
      </c>
      <c r="I6252">
        <v>44</v>
      </c>
      <c r="J6252" t="str">
        <f>HYPERLINK("https://climate.onebuilding.org/WMO_Region_6_Europe/GRL_Greenland/UO_Unorganized/GRL_UO_Daneborg.043300_TMYx.2004-2018.zip")</f>
        <v>https://climate.onebuilding.org/WMO_Region_6_Europe/GRL_Greenland/UO_Unorganized/GRL_UO_Daneborg.043300_TMYx.2004-2018.zip</v>
      </c>
    </row>
    <row r="6253" spans="1:10" x14ac:dyDescent="0.25">
      <c r="A6253" t="s">
        <v>4765</v>
      </c>
      <c r="B6253" t="s">
        <v>4840</v>
      </c>
      <c r="C6253" t="s">
        <v>4853</v>
      </c>
      <c r="D6253" s="1" t="s">
        <v>4854</v>
      </c>
      <c r="E6253" t="s">
        <v>14</v>
      </c>
      <c r="F6253">
        <v>74.3</v>
      </c>
      <c r="G6253">
        <v>-20.216999999999999</v>
      </c>
      <c r="H6253">
        <v>-3</v>
      </c>
      <c r="I6253">
        <v>44</v>
      </c>
      <c r="J6253" t="str">
        <f>HYPERLINK("https://climate.onebuilding.org/WMO_Region_6_Europe/GRL_Greenland/UO_Unorganized/GRL_UO_Daneborg.043300_TMYx.2007-2021.zip")</f>
        <v>https://climate.onebuilding.org/WMO_Region_6_Europe/GRL_Greenland/UO_Unorganized/GRL_UO_Daneborg.043300_TMYx.2007-2021.zip</v>
      </c>
    </row>
    <row r="6254" spans="1:10" x14ac:dyDescent="0.25">
      <c r="A6254" t="s">
        <v>4765</v>
      </c>
      <c r="B6254" t="s">
        <v>4840</v>
      </c>
      <c r="C6254" t="s">
        <v>4853</v>
      </c>
      <c r="D6254" s="1" t="s">
        <v>4854</v>
      </c>
      <c r="E6254" t="s">
        <v>14</v>
      </c>
      <c r="F6254">
        <v>74.3</v>
      </c>
      <c r="G6254">
        <v>-20.216999999999999</v>
      </c>
      <c r="H6254">
        <v>-3</v>
      </c>
      <c r="I6254">
        <v>44</v>
      </c>
      <c r="J6254" t="str">
        <f>HYPERLINK("https://climate.onebuilding.org/WMO_Region_6_Europe/GRL_Greenland/UO_Unorganized/GRL_UO_Daneborg.043300_TMYx.2009-2023.zip")</f>
        <v>https://climate.onebuilding.org/WMO_Region_6_Europe/GRL_Greenland/UO_Unorganized/GRL_UO_Daneborg.043300_TMYx.2009-2023.zip</v>
      </c>
    </row>
    <row r="6255" spans="1:10" x14ac:dyDescent="0.25">
      <c r="A6255" t="s">
        <v>4765</v>
      </c>
      <c r="B6255" t="s">
        <v>4840</v>
      </c>
      <c r="C6255" t="s">
        <v>4853</v>
      </c>
      <c r="D6255" s="1" t="s">
        <v>4854</v>
      </c>
      <c r="E6255" t="s">
        <v>14</v>
      </c>
      <c r="F6255">
        <v>74.3</v>
      </c>
      <c r="G6255">
        <v>-20.216999999999999</v>
      </c>
      <c r="H6255">
        <v>-3</v>
      </c>
      <c r="I6255">
        <v>44</v>
      </c>
      <c r="J6255" t="str">
        <f>HYPERLINK("https://climate.onebuilding.org/WMO_Region_6_Europe/GRL_Greenland/UO_Unorganized/GRL_UO_Daneborg.043300_TMYx.zip")</f>
        <v>https://climate.onebuilding.org/WMO_Region_6_Europe/GRL_Greenland/UO_Unorganized/GRL_UO_Daneborg.043300_TMYx.zip</v>
      </c>
    </row>
    <row r="6256" spans="1:10" x14ac:dyDescent="0.25">
      <c r="A6256" t="s">
        <v>4765</v>
      </c>
      <c r="B6256" t="s">
        <v>567</v>
      </c>
      <c r="C6256" t="s">
        <v>4856</v>
      </c>
      <c r="D6256" s="1" t="s">
        <v>4857</v>
      </c>
      <c r="E6256" t="s">
        <v>4858</v>
      </c>
      <c r="F6256">
        <v>70.483000000000004</v>
      </c>
      <c r="G6256">
        <v>-21.95</v>
      </c>
      <c r="H6256">
        <v>-1</v>
      </c>
      <c r="I6256">
        <v>69</v>
      </c>
      <c r="J6256" t="str">
        <f>HYPERLINK("https://climate.onebuilding.org/WMO_Region_6_Europe/GRL_Greenland/SM_Sermersooq/GRL_SM_Ittoqqortoormiit-Scoresbysund.043390_TMYx.2004-2018.zip")</f>
        <v>https://climate.onebuilding.org/WMO_Region_6_Europe/GRL_Greenland/SM_Sermersooq/GRL_SM_Ittoqqortoormiit-Scoresbysund.043390_TMYx.2004-2018.zip</v>
      </c>
    </row>
    <row r="6257" spans="1:10" x14ac:dyDescent="0.25">
      <c r="A6257" t="s">
        <v>4765</v>
      </c>
      <c r="B6257" t="s">
        <v>567</v>
      </c>
      <c r="C6257" t="s">
        <v>4856</v>
      </c>
      <c r="D6257" s="1" t="s">
        <v>4857</v>
      </c>
      <c r="E6257" t="s">
        <v>14</v>
      </c>
      <c r="F6257">
        <v>70.483000000000004</v>
      </c>
      <c r="G6257">
        <v>-21.95</v>
      </c>
      <c r="H6257">
        <v>-1</v>
      </c>
      <c r="I6257">
        <v>69</v>
      </c>
      <c r="J6257" t="str">
        <f>HYPERLINK("https://climate.onebuilding.org/WMO_Region_6_Europe/GRL_Greenland/SM_Sermersooq/GRL_SM_Ittoqqortoormiit-Scoresbysund.043390_TMYx.2007-2021.zip")</f>
        <v>https://climate.onebuilding.org/WMO_Region_6_Europe/GRL_Greenland/SM_Sermersooq/GRL_SM_Ittoqqortoormiit-Scoresbysund.043390_TMYx.2007-2021.zip</v>
      </c>
    </row>
    <row r="6258" spans="1:10" x14ac:dyDescent="0.25">
      <c r="A6258" t="s">
        <v>4765</v>
      </c>
      <c r="B6258" t="s">
        <v>567</v>
      </c>
      <c r="C6258" t="s">
        <v>4856</v>
      </c>
      <c r="D6258" s="1" t="s">
        <v>4857</v>
      </c>
      <c r="E6258" t="s">
        <v>14</v>
      </c>
      <c r="F6258">
        <v>70.483000000000004</v>
      </c>
      <c r="G6258">
        <v>-21.95</v>
      </c>
      <c r="H6258">
        <v>-1</v>
      </c>
      <c r="I6258">
        <v>69</v>
      </c>
      <c r="J6258" t="str">
        <f>HYPERLINK("https://climate.onebuilding.org/WMO_Region_6_Europe/GRL_Greenland/SM_Sermersooq/GRL_SM_Ittoqqortoormiit-Scoresbysund.043390_TMYx.2009-2023.zip")</f>
        <v>https://climate.onebuilding.org/WMO_Region_6_Europe/GRL_Greenland/SM_Sermersooq/GRL_SM_Ittoqqortoormiit-Scoresbysund.043390_TMYx.2009-2023.zip</v>
      </c>
    </row>
    <row r="6259" spans="1:10" x14ac:dyDescent="0.25">
      <c r="A6259" t="s">
        <v>4765</v>
      </c>
      <c r="B6259" t="s">
        <v>567</v>
      </c>
      <c r="C6259" t="s">
        <v>4856</v>
      </c>
      <c r="D6259" s="1" t="s">
        <v>4857</v>
      </c>
      <c r="E6259" t="s">
        <v>14</v>
      </c>
      <c r="F6259">
        <v>70.483000000000004</v>
      </c>
      <c r="G6259">
        <v>-21.95</v>
      </c>
      <c r="H6259">
        <v>-1</v>
      </c>
      <c r="I6259">
        <v>69</v>
      </c>
      <c r="J6259" t="str">
        <f>HYPERLINK("https://climate.onebuilding.org/WMO_Region_6_Europe/GRL_Greenland/SM_Sermersooq/GRL_SM_Ittoqqortoormiit-Scoresbysund.043390_TMYx.zip")</f>
        <v>https://climate.onebuilding.org/WMO_Region_6_Europe/GRL_Greenland/SM_Sermersooq/GRL_SM_Ittoqqortoormiit-Scoresbysund.043390_TMYx.zip</v>
      </c>
    </row>
    <row r="6260" spans="1:10" x14ac:dyDescent="0.25">
      <c r="A6260" t="s">
        <v>4765</v>
      </c>
      <c r="B6260" t="s">
        <v>567</v>
      </c>
      <c r="C6260" t="s">
        <v>4859</v>
      </c>
      <c r="D6260" s="1" t="s">
        <v>4860</v>
      </c>
      <c r="E6260" t="s">
        <v>4861</v>
      </c>
      <c r="F6260">
        <v>70.75</v>
      </c>
      <c r="G6260">
        <v>-22.65</v>
      </c>
      <c r="H6260">
        <v>-3</v>
      </c>
      <c r="I6260">
        <v>10</v>
      </c>
      <c r="J6260" t="str">
        <f>HYPERLINK("https://climate.onebuilding.org/WMO_Region_6_Europe/GRL_Greenland/SM_Sermersooq/GRL_SM_Constable.Point.043410_TMYx.2004-2018.zip")</f>
        <v>https://climate.onebuilding.org/WMO_Region_6_Europe/GRL_Greenland/SM_Sermersooq/GRL_SM_Constable.Point.043410_TMYx.2004-2018.zip</v>
      </c>
    </row>
    <row r="6261" spans="1:10" x14ac:dyDescent="0.25">
      <c r="A6261" t="s">
        <v>4765</v>
      </c>
      <c r="B6261" t="s">
        <v>567</v>
      </c>
      <c r="C6261" t="s">
        <v>4859</v>
      </c>
      <c r="D6261" s="1" t="s">
        <v>4860</v>
      </c>
      <c r="E6261" t="s">
        <v>14</v>
      </c>
      <c r="F6261">
        <v>70.75</v>
      </c>
      <c r="G6261">
        <v>-22.65</v>
      </c>
      <c r="H6261">
        <v>-3</v>
      </c>
      <c r="I6261">
        <v>10</v>
      </c>
      <c r="J6261" t="str">
        <f>HYPERLINK("https://climate.onebuilding.org/WMO_Region_6_Europe/GRL_Greenland/SM_Sermersooq/GRL_SM_Constable.Point.043410_TMYx.2007-2021.zip")</f>
        <v>https://climate.onebuilding.org/WMO_Region_6_Europe/GRL_Greenland/SM_Sermersooq/GRL_SM_Constable.Point.043410_TMYx.2007-2021.zip</v>
      </c>
    </row>
    <row r="6262" spans="1:10" x14ac:dyDescent="0.25">
      <c r="A6262" t="s">
        <v>4765</v>
      </c>
      <c r="B6262" t="s">
        <v>567</v>
      </c>
      <c r="C6262" t="s">
        <v>4859</v>
      </c>
      <c r="D6262" s="1" t="s">
        <v>4860</v>
      </c>
      <c r="E6262" t="s">
        <v>14</v>
      </c>
      <c r="F6262">
        <v>70.75</v>
      </c>
      <c r="G6262">
        <v>-22.65</v>
      </c>
      <c r="H6262">
        <v>-3</v>
      </c>
      <c r="I6262">
        <v>10</v>
      </c>
      <c r="J6262" t="str">
        <f>HYPERLINK("https://climate.onebuilding.org/WMO_Region_6_Europe/GRL_Greenland/SM_Sermersooq/GRL_SM_Constable.Point.043410_TMYx.2009-2023.zip")</f>
        <v>https://climate.onebuilding.org/WMO_Region_6_Europe/GRL_Greenland/SM_Sermersooq/GRL_SM_Constable.Point.043410_TMYx.2009-2023.zip</v>
      </c>
    </row>
    <row r="6263" spans="1:10" x14ac:dyDescent="0.25">
      <c r="A6263" t="s">
        <v>4765</v>
      </c>
      <c r="B6263" t="s">
        <v>567</v>
      </c>
      <c r="C6263" t="s">
        <v>4859</v>
      </c>
      <c r="D6263" s="1" t="s">
        <v>4860</v>
      </c>
      <c r="E6263" t="s">
        <v>14</v>
      </c>
      <c r="F6263">
        <v>70.75</v>
      </c>
      <c r="G6263">
        <v>-22.65</v>
      </c>
      <c r="H6263">
        <v>-3</v>
      </c>
      <c r="I6263">
        <v>10</v>
      </c>
      <c r="J6263" t="str">
        <f>HYPERLINK("https://climate.onebuilding.org/WMO_Region_6_Europe/GRL_Greenland/SM_Sermersooq/GRL_SM_Constable.Point.043410_TMYx.zip")</f>
        <v>https://climate.onebuilding.org/WMO_Region_6_Europe/GRL_Greenland/SM_Sermersooq/GRL_SM_Constable.Point.043410_TMYx.zip</v>
      </c>
    </row>
    <row r="6264" spans="1:10" x14ac:dyDescent="0.25">
      <c r="A6264" t="s">
        <v>4765</v>
      </c>
      <c r="B6264" t="s">
        <v>567</v>
      </c>
      <c r="C6264" t="s">
        <v>4862</v>
      </c>
      <c r="D6264" s="1" t="s">
        <v>4863</v>
      </c>
      <c r="E6264" t="s">
        <v>4864</v>
      </c>
      <c r="F6264">
        <v>67.783000000000001</v>
      </c>
      <c r="G6264">
        <v>-32.283000000000001</v>
      </c>
      <c r="H6264">
        <v>-3</v>
      </c>
      <c r="I6264">
        <v>23</v>
      </c>
      <c r="J6264" t="str">
        <f>HYPERLINK("https://climate.onebuilding.org/WMO_Region_6_Europe/GRL_Greenland/SM_Sermersooq/GRL_SM_Aputiteeq.043510_TMYx.2004-2018.zip")</f>
        <v>https://climate.onebuilding.org/WMO_Region_6_Europe/GRL_Greenland/SM_Sermersooq/GRL_SM_Aputiteeq.043510_TMYx.2004-2018.zip</v>
      </c>
    </row>
    <row r="6265" spans="1:10" x14ac:dyDescent="0.25">
      <c r="A6265" t="s">
        <v>4765</v>
      </c>
      <c r="B6265" t="s">
        <v>567</v>
      </c>
      <c r="C6265" t="s">
        <v>4862</v>
      </c>
      <c r="D6265" s="1" t="s">
        <v>4863</v>
      </c>
      <c r="E6265" t="s">
        <v>14</v>
      </c>
      <c r="F6265">
        <v>67.783000000000001</v>
      </c>
      <c r="G6265">
        <v>-32.283000000000001</v>
      </c>
      <c r="H6265">
        <v>-3</v>
      </c>
      <c r="I6265">
        <v>23</v>
      </c>
      <c r="J6265" t="str">
        <f>HYPERLINK("https://climate.onebuilding.org/WMO_Region_6_Europe/GRL_Greenland/SM_Sermersooq/GRL_SM_Aputiteeq.043510_TMYx.2007-2021.zip")</f>
        <v>https://climate.onebuilding.org/WMO_Region_6_Europe/GRL_Greenland/SM_Sermersooq/GRL_SM_Aputiteeq.043510_TMYx.2007-2021.zip</v>
      </c>
    </row>
    <row r="6266" spans="1:10" x14ac:dyDescent="0.25">
      <c r="A6266" t="s">
        <v>4765</v>
      </c>
      <c r="B6266" t="s">
        <v>567</v>
      </c>
      <c r="C6266" t="s">
        <v>4862</v>
      </c>
      <c r="D6266" s="1" t="s">
        <v>4863</v>
      </c>
      <c r="E6266" t="s">
        <v>14</v>
      </c>
      <c r="F6266">
        <v>67.783000000000001</v>
      </c>
      <c r="G6266">
        <v>-32.283000000000001</v>
      </c>
      <c r="H6266">
        <v>-3</v>
      </c>
      <c r="I6266">
        <v>23</v>
      </c>
      <c r="J6266" t="str">
        <f>HYPERLINK("https://climate.onebuilding.org/WMO_Region_6_Europe/GRL_Greenland/SM_Sermersooq/GRL_SM_Aputiteeq.043510_TMYx.2009-2023.zip")</f>
        <v>https://climate.onebuilding.org/WMO_Region_6_Europe/GRL_Greenland/SM_Sermersooq/GRL_SM_Aputiteeq.043510_TMYx.2009-2023.zip</v>
      </c>
    </row>
    <row r="6267" spans="1:10" x14ac:dyDescent="0.25">
      <c r="A6267" t="s">
        <v>4765</v>
      </c>
      <c r="B6267" t="s">
        <v>567</v>
      </c>
      <c r="C6267" t="s">
        <v>4862</v>
      </c>
      <c r="D6267" s="1" t="s">
        <v>4863</v>
      </c>
      <c r="E6267" t="s">
        <v>14</v>
      </c>
      <c r="F6267">
        <v>67.783000000000001</v>
      </c>
      <c r="G6267">
        <v>-32.283000000000001</v>
      </c>
      <c r="H6267">
        <v>-3</v>
      </c>
      <c r="I6267">
        <v>23</v>
      </c>
      <c r="J6267" t="str">
        <f>HYPERLINK("https://climate.onebuilding.org/WMO_Region_6_Europe/GRL_Greenland/SM_Sermersooq/GRL_SM_Aputiteeq.043510_TMYx.zip")</f>
        <v>https://climate.onebuilding.org/WMO_Region_6_Europe/GRL_Greenland/SM_Sermersooq/GRL_SM_Aputiteeq.043510_TMYx.zip</v>
      </c>
    </row>
    <row r="6268" spans="1:10" x14ac:dyDescent="0.25">
      <c r="A6268" t="s">
        <v>4765</v>
      </c>
      <c r="B6268" t="s">
        <v>567</v>
      </c>
      <c r="C6268" t="s">
        <v>4865</v>
      </c>
      <c r="D6268" s="1" t="s">
        <v>4866</v>
      </c>
      <c r="E6268" t="s">
        <v>4867</v>
      </c>
      <c r="F6268">
        <v>65.599999999999994</v>
      </c>
      <c r="G6268">
        <v>-37.633000000000003</v>
      </c>
      <c r="H6268">
        <v>-3</v>
      </c>
      <c r="I6268">
        <v>52</v>
      </c>
      <c r="J6268" t="str">
        <f>HYPERLINK("https://climate.onebuilding.org/WMO_Region_6_Europe/GRL_Greenland/SM_Sermersooq/GRL_SM_Tasiilaq.Ammassalik.043600_TMYx.2004-2018.zip")</f>
        <v>https://climate.onebuilding.org/WMO_Region_6_Europe/GRL_Greenland/SM_Sermersooq/GRL_SM_Tasiilaq.Ammassalik.043600_TMYx.2004-2018.zip</v>
      </c>
    </row>
    <row r="6269" spans="1:10" x14ac:dyDescent="0.25">
      <c r="A6269" t="s">
        <v>4765</v>
      </c>
      <c r="B6269" t="s">
        <v>567</v>
      </c>
      <c r="C6269" t="s">
        <v>4865</v>
      </c>
      <c r="D6269" s="1" t="s">
        <v>4866</v>
      </c>
      <c r="E6269" t="s">
        <v>14</v>
      </c>
      <c r="F6269">
        <v>65.599999999999994</v>
      </c>
      <c r="G6269">
        <v>-37.633000000000003</v>
      </c>
      <c r="H6269">
        <v>-3</v>
      </c>
      <c r="I6269">
        <v>52</v>
      </c>
      <c r="J6269" t="str">
        <f>HYPERLINK("https://climate.onebuilding.org/WMO_Region_6_Europe/GRL_Greenland/SM_Sermersooq/GRL_SM_Tasiilaq.Ammassalik.043600_TMYx.2007-2021.zip")</f>
        <v>https://climate.onebuilding.org/WMO_Region_6_Europe/GRL_Greenland/SM_Sermersooq/GRL_SM_Tasiilaq.Ammassalik.043600_TMYx.2007-2021.zip</v>
      </c>
    </row>
    <row r="6270" spans="1:10" x14ac:dyDescent="0.25">
      <c r="A6270" t="s">
        <v>4765</v>
      </c>
      <c r="B6270" t="s">
        <v>567</v>
      </c>
      <c r="C6270" t="s">
        <v>4865</v>
      </c>
      <c r="D6270" s="1" t="s">
        <v>4866</v>
      </c>
      <c r="E6270" t="s">
        <v>14</v>
      </c>
      <c r="F6270">
        <v>65.599999999999994</v>
      </c>
      <c r="G6270">
        <v>-37.633000000000003</v>
      </c>
      <c r="H6270">
        <v>-3</v>
      </c>
      <c r="I6270">
        <v>52</v>
      </c>
      <c r="J6270" t="str">
        <f>HYPERLINK("https://climate.onebuilding.org/WMO_Region_6_Europe/GRL_Greenland/SM_Sermersooq/GRL_SM_Tasiilaq.Ammassalik.043600_TMYx.2009-2023.zip")</f>
        <v>https://climate.onebuilding.org/WMO_Region_6_Europe/GRL_Greenland/SM_Sermersooq/GRL_SM_Tasiilaq.Ammassalik.043600_TMYx.2009-2023.zip</v>
      </c>
    </row>
    <row r="6271" spans="1:10" x14ac:dyDescent="0.25">
      <c r="A6271" t="s">
        <v>4765</v>
      </c>
      <c r="B6271" t="s">
        <v>567</v>
      </c>
      <c r="C6271" t="s">
        <v>4865</v>
      </c>
      <c r="D6271" s="1" t="s">
        <v>4866</v>
      </c>
      <c r="E6271" t="s">
        <v>14</v>
      </c>
      <c r="F6271">
        <v>65.599999999999994</v>
      </c>
      <c r="G6271">
        <v>-37.633000000000003</v>
      </c>
      <c r="H6271">
        <v>-3</v>
      </c>
      <c r="I6271">
        <v>52</v>
      </c>
      <c r="J6271" t="str">
        <f>HYPERLINK("https://climate.onebuilding.org/WMO_Region_6_Europe/GRL_Greenland/SM_Sermersooq/GRL_SM_Tasiilaq.Ammassalik.043600_TMYx.zip")</f>
        <v>https://climate.onebuilding.org/WMO_Region_6_Europe/GRL_Greenland/SM_Sermersooq/GRL_SM_Tasiilaq.Ammassalik.043600_TMYx.zip</v>
      </c>
    </row>
    <row r="6272" spans="1:10" x14ac:dyDescent="0.25">
      <c r="A6272" t="s">
        <v>4765</v>
      </c>
      <c r="B6272" t="s">
        <v>567</v>
      </c>
      <c r="C6272" t="s">
        <v>4868</v>
      </c>
      <c r="D6272" s="1" t="s">
        <v>4869</v>
      </c>
      <c r="E6272" t="s">
        <v>4870</v>
      </c>
      <c r="F6272">
        <v>65.582999999999998</v>
      </c>
      <c r="G6272">
        <v>-37.15</v>
      </c>
      <c r="H6272">
        <v>-3</v>
      </c>
      <c r="I6272">
        <v>37</v>
      </c>
      <c r="J6272" t="str">
        <f>HYPERLINK("https://climate.onebuilding.org/WMO_Region_6_Europe/GRL_Greenland/SM_Sermersooq/GRL_SM_Kulusuk.AP.043610_TMYx.2004-2018.zip")</f>
        <v>https://climate.onebuilding.org/WMO_Region_6_Europe/GRL_Greenland/SM_Sermersooq/GRL_SM_Kulusuk.AP.043610_TMYx.2004-2018.zip</v>
      </c>
    </row>
    <row r="6273" spans="1:10" x14ac:dyDescent="0.25">
      <c r="A6273" t="s">
        <v>4765</v>
      </c>
      <c r="B6273" t="s">
        <v>567</v>
      </c>
      <c r="C6273" t="s">
        <v>4868</v>
      </c>
      <c r="D6273" s="1" t="s">
        <v>4869</v>
      </c>
      <c r="E6273" t="s">
        <v>14</v>
      </c>
      <c r="F6273">
        <v>65.582999999999998</v>
      </c>
      <c r="G6273">
        <v>-37.15</v>
      </c>
      <c r="H6273">
        <v>-3</v>
      </c>
      <c r="I6273">
        <v>37</v>
      </c>
      <c r="J6273" t="str">
        <f>HYPERLINK("https://climate.onebuilding.org/WMO_Region_6_Europe/GRL_Greenland/SM_Sermersooq/GRL_SM_Kulusuk.AP.043610_TMYx.2007-2021.zip")</f>
        <v>https://climate.onebuilding.org/WMO_Region_6_Europe/GRL_Greenland/SM_Sermersooq/GRL_SM_Kulusuk.AP.043610_TMYx.2007-2021.zip</v>
      </c>
    </row>
    <row r="6274" spans="1:10" x14ac:dyDescent="0.25">
      <c r="A6274" t="s">
        <v>4765</v>
      </c>
      <c r="B6274" t="s">
        <v>567</v>
      </c>
      <c r="C6274" t="s">
        <v>4868</v>
      </c>
      <c r="D6274" s="1" t="s">
        <v>4869</v>
      </c>
      <c r="E6274" t="s">
        <v>14</v>
      </c>
      <c r="F6274">
        <v>65.582999999999998</v>
      </c>
      <c r="G6274">
        <v>-37.15</v>
      </c>
      <c r="H6274">
        <v>-3</v>
      </c>
      <c r="I6274">
        <v>37</v>
      </c>
      <c r="J6274" t="str">
        <f>HYPERLINK("https://climate.onebuilding.org/WMO_Region_6_Europe/GRL_Greenland/SM_Sermersooq/GRL_SM_Kulusuk.AP.043610_TMYx.2009-2023.zip")</f>
        <v>https://climate.onebuilding.org/WMO_Region_6_Europe/GRL_Greenland/SM_Sermersooq/GRL_SM_Kulusuk.AP.043610_TMYx.2009-2023.zip</v>
      </c>
    </row>
    <row r="6275" spans="1:10" x14ac:dyDescent="0.25">
      <c r="A6275" t="s">
        <v>4765</v>
      </c>
      <c r="B6275" t="s">
        <v>567</v>
      </c>
      <c r="C6275" t="s">
        <v>4868</v>
      </c>
      <c r="D6275" s="1" t="s">
        <v>4869</v>
      </c>
      <c r="E6275" t="s">
        <v>14</v>
      </c>
      <c r="F6275">
        <v>65.582999999999998</v>
      </c>
      <c r="G6275">
        <v>-37.15</v>
      </c>
      <c r="H6275">
        <v>-3</v>
      </c>
      <c r="I6275">
        <v>37</v>
      </c>
      <c r="J6275" t="str">
        <f>HYPERLINK("https://climate.onebuilding.org/WMO_Region_6_Europe/GRL_Greenland/SM_Sermersooq/GRL_SM_Kulusuk.AP.043610_TMYx.zip")</f>
        <v>https://climate.onebuilding.org/WMO_Region_6_Europe/GRL_Greenland/SM_Sermersooq/GRL_SM_Kulusuk.AP.043610_TMYx.zip</v>
      </c>
    </row>
    <row r="6276" spans="1:10" x14ac:dyDescent="0.25">
      <c r="A6276" t="s">
        <v>4765</v>
      </c>
      <c r="B6276" t="s">
        <v>567</v>
      </c>
      <c r="C6276" t="s">
        <v>4871</v>
      </c>
      <c r="D6276" s="1" t="s">
        <v>4872</v>
      </c>
      <c r="E6276" t="s">
        <v>4873</v>
      </c>
      <c r="F6276">
        <v>64.783000000000001</v>
      </c>
      <c r="G6276">
        <v>-40.299999999999997</v>
      </c>
      <c r="H6276">
        <v>-3</v>
      </c>
      <c r="I6276">
        <v>80</v>
      </c>
      <c r="J6276" t="str">
        <f>HYPERLINK("https://climate.onebuilding.org/WMO_Region_6_Europe/GRL_Greenland/SM_Sermersooq/GRL_SM_Ikermiit.043730_TMYx.2004-2018.zip")</f>
        <v>https://climate.onebuilding.org/WMO_Region_6_Europe/GRL_Greenland/SM_Sermersooq/GRL_SM_Ikermiit.043730_TMYx.2004-2018.zip</v>
      </c>
    </row>
    <row r="6277" spans="1:10" x14ac:dyDescent="0.25">
      <c r="A6277" t="s">
        <v>4765</v>
      </c>
      <c r="B6277" t="s">
        <v>567</v>
      </c>
      <c r="C6277" t="s">
        <v>4871</v>
      </c>
      <c r="D6277" s="1" t="s">
        <v>4872</v>
      </c>
      <c r="E6277" t="s">
        <v>14</v>
      </c>
      <c r="F6277">
        <v>64.783000000000001</v>
      </c>
      <c r="G6277">
        <v>-40.299999999999997</v>
      </c>
      <c r="H6277">
        <v>-3</v>
      </c>
      <c r="I6277">
        <v>80</v>
      </c>
      <c r="J6277" t="str">
        <f>HYPERLINK("https://climate.onebuilding.org/WMO_Region_6_Europe/GRL_Greenland/SM_Sermersooq/GRL_SM_Ikermiit.043730_TMYx.2007-2021.zip")</f>
        <v>https://climate.onebuilding.org/WMO_Region_6_Europe/GRL_Greenland/SM_Sermersooq/GRL_SM_Ikermiit.043730_TMYx.2007-2021.zip</v>
      </c>
    </row>
    <row r="6278" spans="1:10" x14ac:dyDescent="0.25">
      <c r="A6278" t="s">
        <v>4765</v>
      </c>
      <c r="B6278" t="s">
        <v>567</v>
      </c>
      <c r="C6278" t="s">
        <v>4871</v>
      </c>
      <c r="D6278" s="1" t="s">
        <v>4872</v>
      </c>
      <c r="E6278" t="s">
        <v>14</v>
      </c>
      <c r="F6278">
        <v>64.783000000000001</v>
      </c>
      <c r="G6278">
        <v>-40.299999999999997</v>
      </c>
      <c r="H6278">
        <v>-3</v>
      </c>
      <c r="I6278">
        <v>80</v>
      </c>
      <c r="J6278" t="str">
        <f>HYPERLINK("https://climate.onebuilding.org/WMO_Region_6_Europe/GRL_Greenland/SM_Sermersooq/GRL_SM_Ikermiit.043730_TMYx.2009-2023.zip")</f>
        <v>https://climate.onebuilding.org/WMO_Region_6_Europe/GRL_Greenland/SM_Sermersooq/GRL_SM_Ikermiit.043730_TMYx.2009-2023.zip</v>
      </c>
    </row>
    <row r="6279" spans="1:10" x14ac:dyDescent="0.25">
      <c r="A6279" t="s">
        <v>4765</v>
      </c>
      <c r="B6279" t="s">
        <v>567</v>
      </c>
      <c r="C6279" t="s">
        <v>4871</v>
      </c>
      <c r="D6279" s="1" t="s">
        <v>4872</v>
      </c>
      <c r="E6279" t="s">
        <v>14</v>
      </c>
      <c r="F6279">
        <v>64.783000000000001</v>
      </c>
      <c r="G6279">
        <v>-40.299999999999997</v>
      </c>
      <c r="H6279">
        <v>-3</v>
      </c>
      <c r="I6279">
        <v>80</v>
      </c>
      <c r="J6279" t="str">
        <f>HYPERLINK("https://climate.onebuilding.org/WMO_Region_6_Europe/GRL_Greenland/SM_Sermersooq/GRL_SM_Ikermiit.043730_TMYx.zip")</f>
        <v>https://climate.onebuilding.org/WMO_Region_6_Europe/GRL_Greenland/SM_Sermersooq/GRL_SM_Ikermiit.043730_TMYx.zip</v>
      </c>
    </row>
    <row r="6280" spans="1:10" x14ac:dyDescent="0.25">
      <c r="A6280" t="s">
        <v>4765</v>
      </c>
      <c r="B6280" t="s">
        <v>567</v>
      </c>
      <c r="C6280" t="s">
        <v>4874</v>
      </c>
      <c r="D6280" s="1" t="s">
        <v>4875</v>
      </c>
      <c r="E6280" t="s">
        <v>4876</v>
      </c>
      <c r="F6280">
        <v>61.933</v>
      </c>
      <c r="G6280">
        <v>-42.067</v>
      </c>
      <c r="H6280">
        <v>-3</v>
      </c>
      <c r="I6280">
        <v>39</v>
      </c>
      <c r="J6280" t="str">
        <f>HYPERLINK("https://climate.onebuilding.org/WMO_Region_6_Europe/GRL_Greenland/SM_Sermersooq/GRL_SM_Ikermiuarsuk.043820_TMYx.2004-2018.zip")</f>
        <v>https://climate.onebuilding.org/WMO_Region_6_Europe/GRL_Greenland/SM_Sermersooq/GRL_SM_Ikermiuarsuk.043820_TMYx.2004-2018.zip</v>
      </c>
    </row>
    <row r="6281" spans="1:10" x14ac:dyDescent="0.25">
      <c r="A6281" t="s">
        <v>4765</v>
      </c>
      <c r="B6281" t="s">
        <v>567</v>
      </c>
      <c r="C6281" t="s">
        <v>4874</v>
      </c>
      <c r="D6281" s="1" t="s">
        <v>4875</v>
      </c>
      <c r="E6281" t="s">
        <v>14</v>
      </c>
      <c r="F6281">
        <v>61.933</v>
      </c>
      <c r="G6281">
        <v>-42.067</v>
      </c>
      <c r="H6281">
        <v>-3</v>
      </c>
      <c r="I6281">
        <v>39</v>
      </c>
      <c r="J6281" t="str">
        <f>HYPERLINK("https://climate.onebuilding.org/WMO_Region_6_Europe/GRL_Greenland/SM_Sermersooq/GRL_SM_Ikermiuarsuk.043820_TMYx.2007-2021.zip")</f>
        <v>https://climate.onebuilding.org/WMO_Region_6_Europe/GRL_Greenland/SM_Sermersooq/GRL_SM_Ikermiuarsuk.043820_TMYx.2007-2021.zip</v>
      </c>
    </row>
    <row r="6282" spans="1:10" x14ac:dyDescent="0.25">
      <c r="A6282" t="s">
        <v>4765</v>
      </c>
      <c r="B6282" t="s">
        <v>567</v>
      </c>
      <c r="C6282" t="s">
        <v>4874</v>
      </c>
      <c r="D6282" s="1" t="s">
        <v>4875</v>
      </c>
      <c r="E6282" t="s">
        <v>14</v>
      </c>
      <c r="F6282">
        <v>61.933</v>
      </c>
      <c r="G6282">
        <v>-42.067</v>
      </c>
      <c r="H6282">
        <v>-3</v>
      </c>
      <c r="I6282">
        <v>39</v>
      </c>
      <c r="J6282" t="str">
        <f>HYPERLINK("https://climate.onebuilding.org/WMO_Region_6_Europe/GRL_Greenland/SM_Sermersooq/GRL_SM_Ikermiuarsuk.043820_TMYx.2009-2023.zip")</f>
        <v>https://climate.onebuilding.org/WMO_Region_6_Europe/GRL_Greenland/SM_Sermersooq/GRL_SM_Ikermiuarsuk.043820_TMYx.2009-2023.zip</v>
      </c>
    </row>
    <row r="6283" spans="1:10" x14ac:dyDescent="0.25">
      <c r="A6283" t="s">
        <v>4765</v>
      </c>
      <c r="B6283" t="s">
        <v>567</v>
      </c>
      <c r="C6283" t="s">
        <v>4874</v>
      </c>
      <c r="D6283" s="1" t="s">
        <v>4875</v>
      </c>
      <c r="E6283" t="s">
        <v>14</v>
      </c>
      <c r="F6283">
        <v>61.933</v>
      </c>
      <c r="G6283">
        <v>-42.067</v>
      </c>
      <c r="H6283">
        <v>-3</v>
      </c>
      <c r="I6283">
        <v>39</v>
      </c>
      <c r="J6283" t="str">
        <f>HYPERLINK("https://climate.onebuilding.org/WMO_Region_6_Europe/GRL_Greenland/SM_Sermersooq/GRL_SM_Ikermiuarsuk.043820_TMYx.zip")</f>
        <v>https://climate.onebuilding.org/WMO_Region_6_Europe/GRL_Greenland/SM_Sermersooq/GRL_SM_Ikermiuarsuk.043820_TMYx.zip</v>
      </c>
    </row>
    <row r="6284" spans="1:10" x14ac:dyDescent="0.25">
      <c r="A6284" t="s">
        <v>4765</v>
      </c>
      <c r="B6284" t="s">
        <v>4827</v>
      </c>
      <c r="C6284" t="s">
        <v>4877</v>
      </c>
      <c r="D6284" s="1" t="s">
        <v>4878</v>
      </c>
      <c r="E6284" t="s">
        <v>4879</v>
      </c>
      <c r="F6284">
        <v>60.033000000000001</v>
      </c>
      <c r="G6284">
        <v>-43.116999999999997</v>
      </c>
      <c r="H6284">
        <v>-3</v>
      </c>
      <c r="I6284">
        <v>19</v>
      </c>
      <c r="J6284" t="str">
        <f>HYPERLINK("https://climate.onebuilding.org/WMO_Region_6_Europe/GRL_Greenland/KU_Kujalleq/GRL_KU_Ikerassuaq-Prince.Christian.Sound.043900_TMYx.2004-2018.zip")</f>
        <v>https://climate.onebuilding.org/WMO_Region_6_Europe/GRL_Greenland/KU_Kujalleq/GRL_KU_Ikerassuaq-Prince.Christian.Sound.043900_TMYx.2004-2018.zip</v>
      </c>
    </row>
    <row r="6285" spans="1:10" x14ac:dyDescent="0.25">
      <c r="A6285" t="s">
        <v>4765</v>
      </c>
      <c r="B6285" t="s">
        <v>4827</v>
      </c>
      <c r="C6285" t="s">
        <v>4877</v>
      </c>
      <c r="D6285" s="1" t="s">
        <v>4878</v>
      </c>
      <c r="E6285" t="s">
        <v>14</v>
      </c>
      <c r="F6285">
        <v>60.055</v>
      </c>
      <c r="G6285">
        <v>-43.164999999999999</v>
      </c>
      <c r="H6285">
        <v>-3</v>
      </c>
      <c r="I6285">
        <v>19</v>
      </c>
      <c r="J6285" t="str">
        <f>HYPERLINK("https://climate.onebuilding.org/WMO_Region_6_Europe/GRL_Greenland/KU_Kujalleq/GRL_KU_Ikerassuaq-Prince.Christian.Sound.043900_TMYx.2007-2021.zip")</f>
        <v>https://climate.onebuilding.org/WMO_Region_6_Europe/GRL_Greenland/KU_Kujalleq/GRL_KU_Ikerassuaq-Prince.Christian.Sound.043900_TMYx.2007-2021.zip</v>
      </c>
    </row>
    <row r="6286" spans="1:10" x14ac:dyDescent="0.25">
      <c r="A6286" t="s">
        <v>4765</v>
      </c>
      <c r="B6286" t="s">
        <v>4827</v>
      </c>
      <c r="C6286" t="s">
        <v>4877</v>
      </c>
      <c r="D6286" s="1" t="s">
        <v>4878</v>
      </c>
      <c r="E6286" t="s">
        <v>14</v>
      </c>
      <c r="F6286">
        <v>60.055</v>
      </c>
      <c r="G6286">
        <v>-43.164999999999999</v>
      </c>
      <c r="H6286">
        <v>-3</v>
      </c>
      <c r="I6286">
        <v>19</v>
      </c>
      <c r="J6286" t="str">
        <f>HYPERLINK("https://climate.onebuilding.org/WMO_Region_6_Europe/GRL_Greenland/KU_Kujalleq/GRL_KU_Ikerassuaq-Prince.Christian.Sound.043900_TMYx.2009-2023.zip")</f>
        <v>https://climate.onebuilding.org/WMO_Region_6_Europe/GRL_Greenland/KU_Kujalleq/GRL_KU_Ikerassuaq-Prince.Christian.Sound.043900_TMYx.2009-2023.zip</v>
      </c>
    </row>
    <row r="6287" spans="1:10" x14ac:dyDescent="0.25">
      <c r="A6287" t="s">
        <v>4765</v>
      </c>
      <c r="B6287" t="s">
        <v>4827</v>
      </c>
      <c r="C6287" t="s">
        <v>4877</v>
      </c>
      <c r="D6287" s="1" t="s">
        <v>4878</v>
      </c>
      <c r="E6287" t="s">
        <v>14</v>
      </c>
      <c r="F6287">
        <v>60.055</v>
      </c>
      <c r="G6287">
        <v>-43.164999999999999</v>
      </c>
      <c r="H6287">
        <v>-3</v>
      </c>
      <c r="I6287">
        <v>19</v>
      </c>
      <c r="J6287" t="str">
        <f>HYPERLINK("https://climate.onebuilding.org/WMO_Region_6_Europe/GRL_Greenland/KU_Kujalleq/GRL_KU_Ikerassuaq-Prince.Christian.Sound.043900_TMYx.zip")</f>
        <v>https://climate.onebuilding.org/WMO_Region_6_Europe/GRL_Greenland/KU_Kujalleq/GRL_KU_Ikerassuaq-Prince.Christian.Sound.043900_TMYx.zip</v>
      </c>
    </row>
    <row r="6288" spans="1:10" x14ac:dyDescent="0.25">
      <c r="A6288" t="s">
        <v>4765</v>
      </c>
      <c r="B6288" t="s">
        <v>4840</v>
      </c>
      <c r="C6288" t="s">
        <v>4880</v>
      </c>
      <c r="D6288" s="1" t="s">
        <v>4881</v>
      </c>
      <c r="E6288" t="s">
        <v>4882</v>
      </c>
      <c r="F6288">
        <v>72.582999999999998</v>
      </c>
      <c r="G6288">
        <v>-38.450000000000003</v>
      </c>
      <c r="H6288">
        <v>-3</v>
      </c>
      <c r="I6288">
        <v>3207</v>
      </c>
      <c r="J6288" t="str">
        <f>HYPERLINK("https://climate.onebuilding.org/WMO_Region_6_Europe/GRL_Greenland/UO_Unorganized/GRL_UO_Summit.044160_TMYx.2004-2018.zip")</f>
        <v>https://climate.onebuilding.org/WMO_Region_6_Europe/GRL_Greenland/UO_Unorganized/GRL_UO_Summit.044160_TMYx.2004-2018.zip</v>
      </c>
    </row>
    <row r="6289" spans="1:10" x14ac:dyDescent="0.25">
      <c r="A6289" t="s">
        <v>4765</v>
      </c>
      <c r="B6289" t="s">
        <v>4840</v>
      </c>
      <c r="C6289" t="s">
        <v>4880</v>
      </c>
      <c r="D6289" s="1" t="s">
        <v>4881</v>
      </c>
      <c r="E6289" t="s">
        <v>14</v>
      </c>
      <c r="F6289">
        <v>72.582999999999998</v>
      </c>
      <c r="G6289">
        <v>-38.450000000000003</v>
      </c>
      <c r="H6289">
        <v>-3</v>
      </c>
      <c r="I6289">
        <v>3207</v>
      </c>
      <c r="J6289" t="str">
        <f>HYPERLINK("https://climate.onebuilding.org/WMO_Region_6_Europe/GRL_Greenland/UO_Unorganized/GRL_UO_Summit.044160_TMYx.2007-2021.zip")</f>
        <v>https://climate.onebuilding.org/WMO_Region_6_Europe/GRL_Greenland/UO_Unorganized/GRL_UO_Summit.044160_TMYx.2007-2021.zip</v>
      </c>
    </row>
    <row r="6290" spans="1:10" x14ac:dyDescent="0.25">
      <c r="A6290" t="s">
        <v>4765</v>
      </c>
      <c r="B6290" t="s">
        <v>4840</v>
      </c>
      <c r="C6290" t="s">
        <v>4880</v>
      </c>
      <c r="D6290" s="1" t="s">
        <v>4881</v>
      </c>
      <c r="E6290" t="s">
        <v>14</v>
      </c>
      <c r="F6290">
        <v>72.582999999999998</v>
      </c>
      <c r="G6290">
        <v>-38.450000000000003</v>
      </c>
      <c r="H6290">
        <v>-3</v>
      </c>
      <c r="I6290">
        <v>3207</v>
      </c>
      <c r="J6290" t="str">
        <f>HYPERLINK("https://climate.onebuilding.org/WMO_Region_6_Europe/GRL_Greenland/UO_Unorganized/GRL_UO_Summit.044160_TMYx.2009-2023.zip")</f>
        <v>https://climate.onebuilding.org/WMO_Region_6_Europe/GRL_Greenland/UO_Unorganized/GRL_UO_Summit.044160_TMYx.2009-2023.zip</v>
      </c>
    </row>
    <row r="6291" spans="1:10" x14ac:dyDescent="0.25">
      <c r="A6291" t="s">
        <v>4765</v>
      </c>
      <c r="B6291" t="s">
        <v>4840</v>
      </c>
      <c r="C6291" t="s">
        <v>4880</v>
      </c>
      <c r="D6291" s="1" t="s">
        <v>4881</v>
      </c>
      <c r="E6291" t="s">
        <v>14</v>
      </c>
      <c r="F6291">
        <v>72.582999999999998</v>
      </c>
      <c r="G6291">
        <v>-38.450000000000003</v>
      </c>
      <c r="H6291">
        <v>-3</v>
      </c>
      <c r="I6291">
        <v>3207</v>
      </c>
      <c r="J6291" t="str">
        <f>HYPERLINK("https://climate.onebuilding.org/WMO_Region_6_Europe/GRL_Greenland/UO_Unorganized/GRL_UO_Summit.044160_TMYx.zip")</f>
        <v>https://climate.onebuilding.org/WMO_Region_6_Europe/GRL_Greenland/UO_Unorganized/GRL_UO_Summit.044160_TMYx.zip</v>
      </c>
    </row>
    <row r="6292" spans="1:10" x14ac:dyDescent="0.25">
      <c r="A6292" t="s">
        <v>4883</v>
      </c>
      <c r="B6292" t="s">
        <v>4884</v>
      </c>
      <c r="C6292" t="s">
        <v>4885</v>
      </c>
      <c r="D6292">
        <v>131160</v>
      </c>
      <c r="E6292" t="s">
        <v>14</v>
      </c>
      <c r="F6292">
        <v>45.216999999999999</v>
      </c>
      <c r="G6292">
        <v>14.57</v>
      </c>
      <c r="H6292">
        <v>1</v>
      </c>
      <c r="I6292">
        <v>84.7</v>
      </c>
      <c r="J6292" t="str">
        <f>HYPERLINK("https://climate.onebuilding.org/WMO_Region_6_Europe/HRV_Croatia/PG_Primorsko-Goranska/HRV_PG_Omisalj-Rijeka.AP.131160_TMYx.2007-2021.zip")</f>
        <v>https://climate.onebuilding.org/WMO_Region_6_Europe/HRV_Croatia/PG_Primorsko-Goranska/HRV_PG_Omisalj-Rijeka.AP.131160_TMYx.2007-2021.zip</v>
      </c>
    </row>
    <row r="6293" spans="1:10" x14ac:dyDescent="0.25">
      <c r="A6293" t="s">
        <v>4883</v>
      </c>
      <c r="B6293" t="s">
        <v>4884</v>
      </c>
      <c r="C6293" t="s">
        <v>4885</v>
      </c>
      <c r="D6293">
        <v>131160</v>
      </c>
      <c r="E6293" t="s">
        <v>14</v>
      </c>
      <c r="F6293">
        <v>45.216999999999999</v>
      </c>
      <c r="G6293">
        <v>14.57</v>
      </c>
      <c r="H6293">
        <v>1</v>
      </c>
      <c r="I6293">
        <v>84.7</v>
      </c>
      <c r="J6293" t="str">
        <f>HYPERLINK("https://climate.onebuilding.org/WMO_Region_6_Europe/HRV_Croatia/PG_Primorsko-Goranska/HRV_PG_Omisalj-Rijeka.AP.131160_TMYx.2009-2023.zip")</f>
        <v>https://climate.onebuilding.org/WMO_Region_6_Europe/HRV_Croatia/PG_Primorsko-Goranska/HRV_PG_Omisalj-Rijeka.AP.131160_TMYx.2009-2023.zip</v>
      </c>
    </row>
    <row r="6294" spans="1:10" x14ac:dyDescent="0.25">
      <c r="A6294" t="s">
        <v>4883</v>
      </c>
      <c r="B6294" t="s">
        <v>4884</v>
      </c>
      <c r="C6294" t="s">
        <v>4885</v>
      </c>
      <c r="D6294">
        <v>131160</v>
      </c>
      <c r="E6294" t="s">
        <v>14</v>
      </c>
      <c r="F6294">
        <v>45.216999999999999</v>
      </c>
      <c r="G6294">
        <v>14.57</v>
      </c>
      <c r="H6294">
        <v>1</v>
      </c>
      <c r="I6294">
        <v>84.7</v>
      </c>
      <c r="J6294" t="str">
        <f>HYPERLINK("https://climate.onebuilding.org/WMO_Region_6_Europe/HRV_Croatia/PG_Primorsko-Goranska/HRV_PG_Omisalj-Rijeka.AP.131160_TMYx.zip")</f>
        <v>https://climate.onebuilding.org/WMO_Region_6_Europe/HRV_Croatia/PG_Primorsko-Goranska/HRV_PG_Omisalj-Rijeka.AP.131160_TMYx.zip</v>
      </c>
    </row>
    <row r="6295" spans="1:10" x14ac:dyDescent="0.25">
      <c r="A6295" t="s">
        <v>4883</v>
      </c>
      <c r="B6295" t="s">
        <v>4884</v>
      </c>
      <c r="C6295" t="s">
        <v>4886</v>
      </c>
      <c r="D6295">
        <v>142160</v>
      </c>
      <c r="E6295" t="s">
        <v>14</v>
      </c>
      <c r="F6295">
        <v>45.3369</v>
      </c>
      <c r="G6295">
        <v>14.4428</v>
      </c>
      <c r="H6295">
        <v>1</v>
      </c>
      <c r="I6295">
        <v>125</v>
      </c>
      <c r="J6295" t="str">
        <f>HYPERLINK("https://climate.onebuilding.org/WMO_Region_6_Europe/HRV_Croatia/PG_Primorsko-Goranska/HRV_PG_Rijeka-Kozala.142160_TMYx.2007-2021.zip")</f>
        <v>https://climate.onebuilding.org/WMO_Region_6_Europe/HRV_Croatia/PG_Primorsko-Goranska/HRV_PG_Rijeka-Kozala.142160_TMYx.2007-2021.zip</v>
      </c>
    </row>
    <row r="6296" spans="1:10" x14ac:dyDescent="0.25">
      <c r="A6296" t="s">
        <v>4883</v>
      </c>
      <c r="B6296" t="s">
        <v>4884</v>
      </c>
      <c r="C6296" t="s">
        <v>4886</v>
      </c>
      <c r="D6296">
        <v>142160</v>
      </c>
      <c r="E6296" t="s">
        <v>14</v>
      </c>
      <c r="F6296">
        <v>45.3369</v>
      </c>
      <c r="G6296">
        <v>14.4428</v>
      </c>
      <c r="H6296">
        <v>1</v>
      </c>
      <c r="I6296">
        <v>125</v>
      </c>
      <c r="J6296" t="str">
        <f>HYPERLINK("https://climate.onebuilding.org/WMO_Region_6_Europe/HRV_Croatia/PG_Primorsko-Goranska/HRV_PG_Rijeka-Kozala.142160_TMYx.2009-2023.zip")</f>
        <v>https://climate.onebuilding.org/WMO_Region_6_Europe/HRV_Croatia/PG_Primorsko-Goranska/HRV_PG_Rijeka-Kozala.142160_TMYx.2009-2023.zip</v>
      </c>
    </row>
    <row r="6297" spans="1:10" x14ac:dyDescent="0.25">
      <c r="A6297" t="s">
        <v>4883</v>
      </c>
      <c r="B6297" t="s">
        <v>4884</v>
      </c>
      <c r="C6297" t="s">
        <v>4886</v>
      </c>
      <c r="D6297">
        <v>142160</v>
      </c>
      <c r="E6297" t="s">
        <v>14</v>
      </c>
      <c r="F6297">
        <v>45.3369</v>
      </c>
      <c r="G6297">
        <v>14.4428</v>
      </c>
      <c r="H6297">
        <v>1</v>
      </c>
      <c r="I6297">
        <v>125</v>
      </c>
      <c r="J6297" t="str">
        <f>HYPERLINK("https://climate.onebuilding.org/WMO_Region_6_Europe/HRV_Croatia/PG_Primorsko-Goranska/HRV_PG_Rijeka-Kozala.142160_TMYx.zip")</f>
        <v>https://climate.onebuilding.org/WMO_Region_6_Europe/HRV_Croatia/PG_Primorsko-Goranska/HRV_PG_Rijeka-Kozala.142160_TMYx.zip</v>
      </c>
    </row>
    <row r="6298" spans="1:10" x14ac:dyDescent="0.25">
      <c r="A6298" t="s">
        <v>4883</v>
      </c>
      <c r="B6298" t="s">
        <v>4884</v>
      </c>
      <c r="C6298" t="s">
        <v>4887</v>
      </c>
      <c r="D6298">
        <v>142190</v>
      </c>
      <c r="E6298" t="s">
        <v>4888</v>
      </c>
      <c r="F6298">
        <v>45.593600000000002</v>
      </c>
      <c r="G6298">
        <v>14.630599999999999</v>
      </c>
      <c r="H6298">
        <v>1</v>
      </c>
      <c r="I6298">
        <v>863</v>
      </c>
      <c r="J6298" t="str">
        <f>HYPERLINK("https://climate.onebuilding.org/WMO_Region_6_Europe/HRV_Croatia/PG_Primorsko-Goranska/HRV_PG_Parg.142190_TMYx.2004-2018.zip")</f>
        <v>https://climate.onebuilding.org/WMO_Region_6_Europe/HRV_Croatia/PG_Primorsko-Goranska/HRV_PG_Parg.142190_TMYx.2004-2018.zip</v>
      </c>
    </row>
    <row r="6299" spans="1:10" x14ac:dyDescent="0.25">
      <c r="A6299" t="s">
        <v>4883</v>
      </c>
      <c r="B6299" t="s">
        <v>4884</v>
      </c>
      <c r="C6299" t="s">
        <v>4887</v>
      </c>
      <c r="D6299">
        <v>142190</v>
      </c>
      <c r="E6299" t="s">
        <v>14</v>
      </c>
      <c r="F6299">
        <v>45.593600000000002</v>
      </c>
      <c r="G6299">
        <v>14.630599999999999</v>
      </c>
      <c r="H6299">
        <v>1</v>
      </c>
      <c r="I6299">
        <v>863</v>
      </c>
      <c r="J6299" t="str">
        <f>HYPERLINK("https://climate.onebuilding.org/WMO_Region_6_Europe/HRV_Croatia/PG_Primorsko-Goranska/HRV_PG_Parg.142190_TMYx.2007-2021.zip")</f>
        <v>https://climate.onebuilding.org/WMO_Region_6_Europe/HRV_Croatia/PG_Primorsko-Goranska/HRV_PG_Parg.142190_TMYx.2007-2021.zip</v>
      </c>
    </row>
    <row r="6300" spans="1:10" x14ac:dyDescent="0.25">
      <c r="A6300" t="s">
        <v>4883</v>
      </c>
      <c r="B6300" t="s">
        <v>4884</v>
      </c>
      <c r="C6300" t="s">
        <v>4887</v>
      </c>
      <c r="D6300">
        <v>142190</v>
      </c>
      <c r="E6300" t="s">
        <v>14</v>
      </c>
      <c r="F6300">
        <v>45.593600000000002</v>
      </c>
      <c r="G6300">
        <v>14.630599999999999</v>
      </c>
      <c r="H6300">
        <v>1</v>
      </c>
      <c r="I6300">
        <v>863</v>
      </c>
      <c r="J6300" t="str">
        <f>HYPERLINK("https://climate.onebuilding.org/WMO_Region_6_Europe/HRV_Croatia/PG_Primorsko-Goranska/HRV_PG_Parg.142190_TMYx.2009-2023.zip")</f>
        <v>https://climate.onebuilding.org/WMO_Region_6_Europe/HRV_Croatia/PG_Primorsko-Goranska/HRV_PG_Parg.142190_TMYx.2009-2023.zip</v>
      </c>
    </row>
    <row r="6301" spans="1:10" x14ac:dyDescent="0.25">
      <c r="A6301" t="s">
        <v>4883</v>
      </c>
      <c r="B6301" t="s">
        <v>4884</v>
      </c>
      <c r="C6301" t="s">
        <v>4887</v>
      </c>
      <c r="D6301">
        <v>142190</v>
      </c>
      <c r="E6301" t="s">
        <v>14</v>
      </c>
      <c r="F6301">
        <v>45.593600000000002</v>
      </c>
      <c r="G6301">
        <v>14.630599999999999</v>
      </c>
      <c r="H6301">
        <v>1</v>
      </c>
      <c r="I6301">
        <v>863</v>
      </c>
      <c r="J6301" t="str">
        <f>HYPERLINK("https://climate.onebuilding.org/WMO_Region_6_Europe/HRV_Croatia/PG_Primorsko-Goranska/HRV_PG_Parg.142190_TMYx.zip")</f>
        <v>https://climate.onebuilding.org/WMO_Region_6_Europe/HRV_Croatia/PG_Primorsko-Goranska/HRV_PG_Parg.142190_TMYx.zip</v>
      </c>
    </row>
    <row r="6302" spans="1:10" x14ac:dyDescent="0.25">
      <c r="A6302" t="s">
        <v>4883</v>
      </c>
      <c r="B6302" t="s">
        <v>246</v>
      </c>
      <c r="C6302" t="s">
        <v>4889</v>
      </c>
      <c r="D6302">
        <v>142320</v>
      </c>
      <c r="E6302" t="s">
        <v>14</v>
      </c>
      <c r="F6302">
        <v>45.493600000000001</v>
      </c>
      <c r="G6302">
        <v>15.565</v>
      </c>
      <c r="H6302">
        <v>1</v>
      </c>
      <c r="I6302">
        <v>111</v>
      </c>
      <c r="J6302" t="str">
        <f>HYPERLINK("https://climate.onebuilding.org/WMO_Region_6_Europe/HRV_Croatia/KA_Karlovacka/HRV_KA_Karlovac.142320_TMYx.2007-2021.zip")</f>
        <v>https://climate.onebuilding.org/WMO_Region_6_Europe/HRV_Croatia/KA_Karlovacka/HRV_KA_Karlovac.142320_TMYx.2007-2021.zip</v>
      </c>
    </row>
    <row r="6303" spans="1:10" x14ac:dyDescent="0.25">
      <c r="A6303" t="s">
        <v>4883</v>
      </c>
      <c r="B6303" t="s">
        <v>246</v>
      </c>
      <c r="C6303" t="s">
        <v>4889</v>
      </c>
      <c r="D6303">
        <v>142320</v>
      </c>
      <c r="E6303" t="s">
        <v>14</v>
      </c>
      <c r="F6303">
        <v>45.493600000000001</v>
      </c>
      <c r="G6303">
        <v>15.565</v>
      </c>
      <c r="H6303">
        <v>1</v>
      </c>
      <c r="I6303">
        <v>111</v>
      </c>
      <c r="J6303" t="str">
        <f>HYPERLINK("https://climate.onebuilding.org/WMO_Region_6_Europe/HRV_Croatia/KA_Karlovacka/HRV_KA_Karlovac.142320_TMYx.2009-2023.zip")</f>
        <v>https://climate.onebuilding.org/WMO_Region_6_Europe/HRV_Croatia/KA_Karlovacka/HRV_KA_Karlovac.142320_TMYx.2009-2023.zip</v>
      </c>
    </row>
    <row r="6304" spans="1:10" x14ac:dyDescent="0.25">
      <c r="A6304" t="s">
        <v>4883</v>
      </c>
      <c r="B6304" t="s">
        <v>246</v>
      </c>
      <c r="C6304" t="s">
        <v>4889</v>
      </c>
      <c r="D6304">
        <v>142320</v>
      </c>
      <c r="E6304" t="s">
        <v>14</v>
      </c>
      <c r="F6304">
        <v>45.493600000000001</v>
      </c>
      <c r="G6304">
        <v>15.565</v>
      </c>
      <c r="H6304">
        <v>1</v>
      </c>
      <c r="I6304">
        <v>111</v>
      </c>
      <c r="J6304" t="str">
        <f>HYPERLINK("https://climate.onebuilding.org/WMO_Region_6_Europe/HRV_Croatia/KA_Karlovacka/HRV_KA_Karlovac.142320_TMYx.zip")</f>
        <v>https://climate.onebuilding.org/WMO_Region_6_Europe/HRV_Croatia/KA_Karlovacka/HRV_KA_Karlovac.142320_TMYx.zip</v>
      </c>
    </row>
    <row r="6305" spans="1:10" x14ac:dyDescent="0.25">
      <c r="A6305" t="s">
        <v>4883</v>
      </c>
      <c r="B6305" t="s">
        <v>512</v>
      </c>
      <c r="C6305" t="s">
        <v>4890</v>
      </c>
      <c r="D6305">
        <v>142340</v>
      </c>
      <c r="E6305" t="s">
        <v>14</v>
      </c>
      <c r="F6305">
        <v>46.137799999999999</v>
      </c>
      <c r="G6305">
        <v>15.888299999999999</v>
      </c>
      <c r="H6305">
        <v>1</v>
      </c>
      <c r="I6305">
        <v>203.1</v>
      </c>
      <c r="J6305" t="str">
        <f>HYPERLINK("https://climate.onebuilding.org/WMO_Region_6_Europe/HRV_Croatia/KZ_Krapinsko-Zagorska/HRV_KZ_Krapina.142340_TMYx.2007-2021.zip")</f>
        <v>https://climate.onebuilding.org/WMO_Region_6_Europe/HRV_Croatia/KZ_Krapinsko-Zagorska/HRV_KZ_Krapina.142340_TMYx.2007-2021.zip</v>
      </c>
    </row>
    <row r="6306" spans="1:10" x14ac:dyDescent="0.25">
      <c r="A6306" t="s">
        <v>4883</v>
      </c>
      <c r="B6306" t="s">
        <v>512</v>
      </c>
      <c r="C6306" t="s">
        <v>4890</v>
      </c>
      <c r="D6306">
        <v>142340</v>
      </c>
      <c r="E6306" t="s">
        <v>14</v>
      </c>
      <c r="F6306">
        <v>46.137799999999999</v>
      </c>
      <c r="G6306">
        <v>15.888299999999999</v>
      </c>
      <c r="H6306">
        <v>1</v>
      </c>
      <c r="I6306">
        <v>203.1</v>
      </c>
      <c r="J6306" t="str">
        <f>HYPERLINK("https://climate.onebuilding.org/WMO_Region_6_Europe/HRV_Croatia/KZ_Krapinsko-Zagorska/HRV_KZ_Krapina.142340_TMYx.2009-2023.zip")</f>
        <v>https://climate.onebuilding.org/WMO_Region_6_Europe/HRV_Croatia/KZ_Krapinsko-Zagorska/HRV_KZ_Krapina.142340_TMYx.2009-2023.zip</v>
      </c>
    </row>
    <row r="6307" spans="1:10" x14ac:dyDescent="0.25">
      <c r="A6307" t="s">
        <v>4883</v>
      </c>
      <c r="B6307" t="s">
        <v>512</v>
      </c>
      <c r="C6307" t="s">
        <v>4890</v>
      </c>
      <c r="D6307">
        <v>142340</v>
      </c>
      <c r="E6307" t="s">
        <v>14</v>
      </c>
      <c r="F6307">
        <v>46.137799999999999</v>
      </c>
      <c r="G6307">
        <v>15.888299999999999</v>
      </c>
      <c r="H6307">
        <v>1</v>
      </c>
      <c r="I6307">
        <v>203.1</v>
      </c>
      <c r="J6307" t="str">
        <f>HYPERLINK("https://climate.onebuilding.org/WMO_Region_6_Europe/HRV_Croatia/KZ_Krapinsko-Zagorska/HRV_KZ_Krapina.142340_TMYx.zip")</f>
        <v>https://climate.onebuilding.org/WMO_Region_6_Europe/HRV_Croatia/KZ_Krapinsko-Zagorska/HRV_KZ_Krapina.142340_TMYx.zip</v>
      </c>
    </row>
    <row r="6308" spans="1:10" x14ac:dyDescent="0.25">
      <c r="A6308" t="s">
        <v>4883</v>
      </c>
      <c r="B6308" t="s">
        <v>883</v>
      </c>
      <c r="C6308" t="s">
        <v>4891</v>
      </c>
      <c r="D6308">
        <v>142350</v>
      </c>
      <c r="E6308" t="s">
        <v>4892</v>
      </c>
      <c r="F6308">
        <v>45.907499999999999</v>
      </c>
      <c r="G6308">
        <v>15.968299999999999</v>
      </c>
      <c r="H6308">
        <v>1</v>
      </c>
      <c r="I6308">
        <v>988</v>
      </c>
      <c r="J6308" t="str">
        <f>HYPERLINK("https://climate.onebuilding.org/WMO_Region_6_Europe/HRV_Croatia/ZG_Zagrebacka/HRV_ZG_Puntijarka.Mtn.142350_TMYx.2004-2018.zip")</f>
        <v>https://climate.onebuilding.org/WMO_Region_6_Europe/HRV_Croatia/ZG_Zagrebacka/HRV_ZG_Puntijarka.Mtn.142350_TMYx.2004-2018.zip</v>
      </c>
    </row>
    <row r="6309" spans="1:10" x14ac:dyDescent="0.25">
      <c r="A6309" t="s">
        <v>4883</v>
      </c>
      <c r="B6309" t="s">
        <v>883</v>
      </c>
      <c r="C6309" t="s">
        <v>4891</v>
      </c>
      <c r="D6309">
        <v>142350</v>
      </c>
      <c r="E6309" t="s">
        <v>14</v>
      </c>
      <c r="F6309">
        <v>45.907499999999999</v>
      </c>
      <c r="G6309">
        <v>15.968299999999999</v>
      </c>
      <c r="H6309">
        <v>1</v>
      </c>
      <c r="I6309">
        <v>988</v>
      </c>
      <c r="J6309" t="str">
        <f>HYPERLINK("https://climate.onebuilding.org/WMO_Region_6_Europe/HRV_Croatia/ZG_Zagrebacka/HRV_ZG_Puntijarka.Mtn.142350_TMYx.2007-2021.zip")</f>
        <v>https://climate.onebuilding.org/WMO_Region_6_Europe/HRV_Croatia/ZG_Zagrebacka/HRV_ZG_Puntijarka.Mtn.142350_TMYx.2007-2021.zip</v>
      </c>
    </row>
    <row r="6310" spans="1:10" x14ac:dyDescent="0.25">
      <c r="A6310" t="s">
        <v>4883</v>
      </c>
      <c r="B6310" t="s">
        <v>883</v>
      </c>
      <c r="C6310" t="s">
        <v>4891</v>
      </c>
      <c r="D6310">
        <v>142350</v>
      </c>
      <c r="E6310" t="s">
        <v>14</v>
      </c>
      <c r="F6310">
        <v>45.907499999999999</v>
      </c>
      <c r="G6310">
        <v>15.968299999999999</v>
      </c>
      <c r="H6310">
        <v>1</v>
      </c>
      <c r="I6310">
        <v>988</v>
      </c>
      <c r="J6310" t="str">
        <f>HYPERLINK("https://climate.onebuilding.org/WMO_Region_6_Europe/HRV_Croatia/ZG_Zagrebacka/HRV_ZG_Puntijarka.Mtn.142350_TMYx.2009-2023.zip")</f>
        <v>https://climate.onebuilding.org/WMO_Region_6_Europe/HRV_Croatia/ZG_Zagrebacka/HRV_ZG_Puntijarka.Mtn.142350_TMYx.2009-2023.zip</v>
      </c>
    </row>
    <row r="6311" spans="1:10" x14ac:dyDescent="0.25">
      <c r="A6311" t="s">
        <v>4883</v>
      </c>
      <c r="B6311" t="s">
        <v>883</v>
      </c>
      <c r="C6311" t="s">
        <v>4891</v>
      </c>
      <c r="D6311">
        <v>142350</v>
      </c>
      <c r="E6311" t="s">
        <v>14</v>
      </c>
      <c r="F6311">
        <v>45.907499999999999</v>
      </c>
      <c r="G6311">
        <v>15.968299999999999</v>
      </c>
      <c r="H6311">
        <v>1</v>
      </c>
      <c r="I6311">
        <v>988</v>
      </c>
      <c r="J6311" t="str">
        <f>HYPERLINK("https://climate.onebuilding.org/WMO_Region_6_Europe/HRV_Croatia/ZG_Zagrebacka/HRV_ZG_Puntijarka.Mtn.142350_TMYx.zip")</f>
        <v>https://climate.onebuilding.org/WMO_Region_6_Europe/HRV_Croatia/ZG_Zagrebacka/HRV_ZG_Puntijarka.Mtn.142350_TMYx.zip</v>
      </c>
    </row>
    <row r="6312" spans="1:10" x14ac:dyDescent="0.25">
      <c r="A6312" t="s">
        <v>4883</v>
      </c>
      <c r="B6312" t="s">
        <v>4893</v>
      </c>
      <c r="C6312" t="s">
        <v>4894</v>
      </c>
      <c r="D6312">
        <v>142360</v>
      </c>
      <c r="E6312" t="s">
        <v>4895</v>
      </c>
      <c r="F6312">
        <v>45.814399999999999</v>
      </c>
      <c r="G6312">
        <v>15.9719</v>
      </c>
      <c r="H6312">
        <v>1</v>
      </c>
      <c r="I6312">
        <v>157</v>
      </c>
      <c r="J6312" t="str">
        <f>HYPERLINK("https://climate.onebuilding.org/WMO_Region_6_Europe/HRV_Croatia/GZ_Grad_Zagreb/HRV_GZ_Zagreb-Gradec.142360_TMYx.2004-2018.zip")</f>
        <v>https://climate.onebuilding.org/WMO_Region_6_Europe/HRV_Croatia/GZ_Grad_Zagreb/HRV_GZ_Zagreb-Gradec.142360_TMYx.2004-2018.zip</v>
      </c>
    </row>
    <row r="6313" spans="1:10" x14ac:dyDescent="0.25">
      <c r="A6313" t="s">
        <v>4883</v>
      </c>
      <c r="B6313" t="s">
        <v>4893</v>
      </c>
      <c r="C6313" t="s">
        <v>4894</v>
      </c>
      <c r="D6313">
        <v>142360</v>
      </c>
      <c r="E6313" t="s">
        <v>14</v>
      </c>
      <c r="F6313">
        <v>45.814399999999999</v>
      </c>
      <c r="G6313">
        <v>15.9719</v>
      </c>
      <c r="H6313">
        <v>1</v>
      </c>
      <c r="I6313">
        <v>157</v>
      </c>
      <c r="J6313" t="str">
        <f>HYPERLINK("https://climate.onebuilding.org/WMO_Region_6_Europe/HRV_Croatia/GZ_Grad_Zagreb/HRV_GZ_Zagreb-Gradec.142360_TMYx.2007-2021.zip")</f>
        <v>https://climate.onebuilding.org/WMO_Region_6_Europe/HRV_Croatia/GZ_Grad_Zagreb/HRV_GZ_Zagreb-Gradec.142360_TMYx.2007-2021.zip</v>
      </c>
    </row>
    <row r="6314" spans="1:10" x14ac:dyDescent="0.25">
      <c r="A6314" t="s">
        <v>4883</v>
      </c>
      <c r="B6314" t="s">
        <v>4893</v>
      </c>
      <c r="C6314" t="s">
        <v>4894</v>
      </c>
      <c r="D6314">
        <v>142360</v>
      </c>
      <c r="E6314" t="s">
        <v>14</v>
      </c>
      <c r="F6314">
        <v>45.814399999999999</v>
      </c>
      <c r="G6314">
        <v>15.9719</v>
      </c>
      <c r="H6314">
        <v>1</v>
      </c>
      <c r="I6314">
        <v>157</v>
      </c>
      <c r="J6314" t="str">
        <f>HYPERLINK("https://climate.onebuilding.org/WMO_Region_6_Europe/HRV_Croatia/GZ_Grad_Zagreb/HRV_GZ_Zagreb-Gradec.142360_TMYx.2009-2023.zip")</f>
        <v>https://climate.onebuilding.org/WMO_Region_6_Europe/HRV_Croatia/GZ_Grad_Zagreb/HRV_GZ_Zagreb-Gradec.142360_TMYx.2009-2023.zip</v>
      </c>
    </row>
    <row r="6315" spans="1:10" x14ac:dyDescent="0.25">
      <c r="A6315" t="s">
        <v>4883</v>
      </c>
      <c r="B6315" t="s">
        <v>4893</v>
      </c>
      <c r="C6315" t="s">
        <v>4894</v>
      </c>
      <c r="D6315">
        <v>142360</v>
      </c>
      <c r="E6315" t="s">
        <v>14</v>
      </c>
      <c r="F6315">
        <v>45.814399999999999</v>
      </c>
      <c r="G6315">
        <v>15.9719</v>
      </c>
      <c r="H6315">
        <v>1</v>
      </c>
      <c r="I6315">
        <v>157</v>
      </c>
      <c r="J6315" t="str">
        <f>HYPERLINK("https://climate.onebuilding.org/WMO_Region_6_Europe/HRV_Croatia/GZ_Grad_Zagreb/HRV_GZ_Zagreb-Gradec.142360_TMYx.zip")</f>
        <v>https://climate.onebuilding.org/WMO_Region_6_Europe/HRV_Croatia/GZ_Grad_Zagreb/HRV_GZ_Zagreb-Gradec.142360_TMYx.zip</v>
      </c>
    </row>
    <row r="6316" spans="1:10" x14ac:dyDescent="0.25">
      <c r="A6316" t="s">
        <v>4883</v>
      </c>
      <c r="B6316" t="s">
        <v>4893</v>
      </c>
      <c r="C6316" t="s">
        <v>4896</v>
      </c>
      <c r="D6316">
        <v>142400</v>
      </c>
      <c r="E6316" t="s">
        <v>4897</v>
      </c>
      <c r="F6316">
        <v>45.821899999999999</v>
      </c>
      <c r="G6316">
        <v>16.0336</v>
      </c>
      <c r="H6316">
        <v>1</v>
      </c>
      <c r="I6316">
        <v>128</v>
      </c>
      <c r="J6316" t="str">
        <f>HYPERLINK("https://climate.onebuilding.org/WMO_Region_6_Europe/HRV_Croatia/GZ_Grad_Zagreb/HRV_GZ_Zagreb-Maksimir.142400_TMYx.2004-2018.zip")</f>
        <v>https://climate.onebuilding.org/WMO_Region_6_Europe/HRV_Croatia/GZ_Grad_Zagreb/HRV_GZ_Zagreb-Maksimir.142400_TMYx.2004-2018.zip</v>
      </c>
    </row>
    <row r="6317" spans="1:10" x14ac:dyDescent="0.25">
      <c r="A6317" t="s">
        <v>4883</v>
      </c>
      <c r="B6317" t="s">
        <v>4893</v>
      </c>
      <c r="C6317" t="s">
        <v>4896</v>
      </c>
      <c r="D6317">
        <v>142400</v>
      </c>
      <c r="E6317" t="s">
        <v>14</v>
      </c>
      <c r="F6317">
        <v>45.821899999999999</v>
      </c>
      <c r="G6317">
        <v>16.0336</v>
      </c>
      <c r="H6317">
        <v>1</v>
      </c>
      <c r="I6317">
        <v>128</v>
      </c>
      <c r="J6317" t="str">
        <f>HYPERLINK("https://climate.onebuilding.org/WMO_Region_6_Europe/HRV_Croatia/GZ_Grad_Zagreb/HRV_GZ_Zagreb-Maksimir.142400_TMYx.2007-2021.zip")</f>
        <v>https://climate.onebuilding.org/WMO_Region_6_Europe/HRV_Croatia/GZ_Grad_Zagreb/HRV_GZ_Zagreb-Maksimir.142400_TMYx.2007-2021.zip</v>
      </c>
    </row>
    <row r="6318" spans="1:10" x14ac:dyDescent="0.25">
      <c r="A6318" t="s">
        <v>4883</v>
      </c>
      <c r="B6318" t="s">
        <v>4893</v>
      </c>
      <c r="C6318" t="s">
        <v>4896</v>
      </c>
      <c r="D6318">
        <v>142400</v>
      </c>
      <c r="E6318" t="s">
        <v>14</v>
      </c>
      <c r="F6318">
        <v>45.821899999999999</v>
      </c>
      <c r="G6318">
        <v>16.0336</v>
      </c>
      <c r="H6318">
        <v>1</v>
      </c>
      <c r="I6318">
        <v>128</v>
      </c>
      <c r="J6318" t="str">
        <f>HYPERLINK("https://climate.onebuilding.org/WMO_Region_6_Europe/HRV_Croatia/GZ_Grad_Zagreb/HRV_GZ_Zagreb-Maksimir.142400_TMYx.2009-2023.zip")</f>
        <v>https://climate.onebuilding.org/WMO_Region_6_Europe/HRV_Croatia/GZ_Grad_Zagreb/HRV_GZ_Zagreb-Maksimir.142400_TMYx.2009-2023.zip</v>
      </c>
    </row>
    <row r="6319" spans="1:10" x14ac:dyDescent="0.25">
      <c r="A6319" t="s">
        <v>4883</v>
      </c>
      <c r="B6319" t="s">
        <v>4893</v>
      </c>
      <c r="C6319" t="s">
        <v>4896</v>
      </c>
      <c r="D6319">
        <v>142400</v>
      </c>
      <c r="E6319" t="s">
        <v>14</v>
      </c>
      <c r="F6319">
        <v>45.821899999999999</v>
      </c>
      <c r="G6319">
        <v>16.0336</v>
      </c>
      <c r="H6319">
        <v>1</v>
      </c>
      <c r="I6319">
        <v>128</v>
      </c>
      <c r="J6319" t="str">
        <f>HYPERLINK("https://climate.onebuilding.org/WMO_Region_6_Europe/HRV_Croatia/GZ_Grad_Zagreb/HRV_GZ_Zagreb-Maksimir.142400_TMYx.zip")</f>
        <v>https://climate.onebuilding.org/WMO_Region_6_Europe/HRV_Croatia/GZ_Grad_Zagreb/HRV_GZ_Zagreb-Maksimir.142400_TMYx.zip</v>
      </c>
    </row>
    <row r="6320" spans="1:10" x14ac:dyDescent="0.25">
      <c r="A6320" t="s">
        <v>4883</v>
      </c>
      <c r="B6320" t="s">
        <v>4893</v>
      </c>
      <c r="C6320" t="s">
        <v>4898</v>
      </c>
      <c r="D6320">
        <v>142410</v>
      </c>
      <c r="E6320" t="s">
        <v>4899</v>
      </c>
      <c r="F6320">
        <v>45.729199999999999</v>
      </c>
      <c r="G6320">
        <v>16.053899999999999</v>
      </c>
      <c r="H6320">
        <v>1</v>
      </c>
      <c r="I6320">
        <v>107.6</v>
      </c>
      <c r="J6320" t="str">
        <f>HYPERLINK("https://climate.onebuilding.org/WMO_Region_6_Europe/HRV_Croatia/GZ_Grad_Zagreb/HRV_GZ_Zagreb-Tudman.AP.142410_TMYx.2004-2018.zip")</f>
        <v>https://climate.onebuilding.org/WMO_Region_6_Europe/HRV_Croatia/GZ_Grad_Zagreb/HRV_GZ_Zagreb-Tudman.AP.142410_TMYx.2004-2018.zip</v>
      </c>
    </row>
    <row r="6321" spans="1:10" x14ac:dyDescent="0.25">
      <c r="A6321" t="s">
        <v>4883</v>
      </c>
      <c r="B6321" t="s">
        <v>4893</v>
      </c>
      <c r="C6321" t="s">
        <v>4898</v>
      </c>
      <c r="D6321">
        <v>142410</v>
      </c>
      <c r="E6321" t="s">
        <v>14</v>
      </c>
      <c r="F6321">
        <v>45.729199999999999</v>
      </c>
      <c r="G6321">
        <v>16.053899999999999</v>
      </c>
      <c r="H6321">
        <v>1</v>
      </c>
      <c r="I6321">
        <v>107.6</v>
      </c>
      <c r="J6321" t="str">
        <f>HYPERLINK("https://climate.onebuilding.org/WMO_Region_6_Europe/HRV_Croatia/GZ_Grad_Zagreb/HRV_GZ_Zagreb-Tudman.AP.142410_TMYx.2007-2021.zip")</f>
        <v>https://climate.onebuilding.org/WMO_Region_6_Europe/HRV_Croatia/GZ_Grad_Zagreb/HRV_GZ_Zagreb-Tudman.AP.142410_TMYx.2007-2021.zip</v>
      </c>
    </row>
    <row r="6322" spans="1:10" x14ac:dyDescent="0.25">
      <c r="A6322" t="s">
        <v>4883</v>
      </c>
      <c r="B6322" t="s">
        <v>4893</v>
      </c>
      <c r="C6322" t="s">
        <v>4898</v>
      </c>
      <c r="D6322">
        <v>142410</v>
      </c>
      <c r="E6322" t="s">
        <v>14</v>
      </c>
      <c r="F6322">
        <v>45.729199999999999</v>
      </c>
      <c r="G6322">
        <v>16.053899999999999</v>
      </c>
      <c r="H6322">
        <v>1</v>
      </c>
      <c r="I6322">
        <v>107.6</v>
      </c>
      <c r="J6322" t="str">
        <f>HYPERLINK("https://climate.onebuilding.org/WMO_Region_6_Europe/HRV_Croatia/GZ_Grad_Zagreb/HRV_GZ_Zagreb-Tudman.AP.142410_TMYx.2009-2023.zip")</f>
        <v>https://climate.onebuilding.org/WMO_Region_6_Europe/HRV_Croatia/GZ_Grad_Zagreb/HRV_GZ_Zagreb-Tudman.AP.142410_TMYx.2009-2023.zip</v>
      </c>
    </row>
    <row r="6323" spans="1:10" x14ac:dyDescent="0.25">
      <c r="A6323" t="s">
        <v>4883</v>
      </c>
      <c r="B6323" t="s">
        <v>4893</v>
      </c>
      <c r="C6323" t="s">
        <v>4898</v>
      </c>
      <c r="D6323">
        <v>142410</v>
      </c>
      <c r="E6323" t="s">
        <v>14</v>
      </c>
      <c r="F6323">
        <v>45.729199999999999</v>
      </c>
      <c r="G6323">
        <v>16.053899999999999</v>
      </c>
      <c r="H6323">
        <v>1</v>
      </c>
      <c r="I6323">
        <v>107.6</v>
      </c>
      <c r="J6323" t="str">
        <f>HYPERLINK("https://climate.onebuilding.org/WMO_Region_6_Europe/HRV_Croatia/GZ_Grad_Zagreb/HRV_GZ_Zagreb-Tudman.AP.142410_TMYx.zip")</f>
        <v>https://climate.onebuilding.org/WMO_Region_6_Europe/HRV_Croatia/GZ_Grad_Zagreb/HRV_GZ_Zagreb-Tudman.AP.142410_TMYx.zip</v>
      </c>
    </row>
    <row r="6324" spans="1:10" x14ac:dyDescent="0.25">
      <c r="A6324" t="s">
        <v>4883</v>
      </c>
      <c r="B6324" t="s">
        <v>567</v>
      </c>
      <c r="C6324" t="s">
        <v>4900</v>
      </c>
      <c r="D6324">
        <v>142440</v>
      </c>
      <c r="E6324" t="s">
        <v>14</v>
      </c>
      <c r="F6324">
        <v>45.499699999999997</v>
      </c>
      <c r="G6324">
        <v>16.366700000000002</v>
      </c>
      <c r="H6324">
        <v>1</v>
      </c>
      <c r="I6324">
        <v>106</v>
      </c>
      <c r="J6324" t="str">
        <f>HYPERLINK("https://climate.onebuilding.org/WMO_Region_6_Europe/HRV_Croatia/SM_Sisacko-Moslavacka/HRV_SM_Sisak.142440_TMYx.2007-2021.zip")</f>
        <v>https://climate.onebuilding.org/WMO_Region_6_Europe/HRV_Croatia/SM_Sisacko-Moslavacka/HRV_SM_Sisak.142440_TMYx.2007-2021.zip</v>
      </c>
    </row>
    <row r="6325" spans="1:10" x14ac:dyDescent="0.25">
      <c r="A6325" t="s">
        <v>4883</v>
      </c>
      <c r="B6325" t="s">
        <v>567</v>
      </c>
      <c r="C6325" t="s">
        <v>4900</v>
      </c>
      <c r="D6325">
        <v>142440</v>
      </c>
      <c r="E6325" t="s">
        <v>14</v>
      </c>
      <c r="F6325">
        <v>45.499699999999997</v>
      </c>
      <c r="G6325">
        <v>16.366700000000002</v>
      </c>
      <c r="H6325">
        <v>1</v>
      </c>
      <c r="I6325">
        <v>106</v>
      </c>
      <c r="J6325" t="str">
        <f>HYPERLINK("https://climate.onebuilding.org/WMO_Region_6_Europe/HRV_Croatia/SM_Sisacko-Moslavacka/HRV_SM_Sisak.142440_TMYx.2009-2023.zip")</f>
        <v>https://climate.onebuilding.org/WMO_Region_6_Europe/HRV_Croatia/SM_Sisacko-Moslavacka/HRV_SM_Sisak.142440_TMYx.2009-2023.zip</v>
      </c>
    </row>
    <row r="6326" spans="1:10" x14ac:dyDescent="0.25">
      <c r="A6326" t="s">
        <v>4883</v>
      </c>
      <c r="B6326" t="s">
        <v>567</v>
      </c>
      <c r="C6326" t="s">
        <v>4900</v>
      </c>
      <c r="D6326">
        <v>142440</v>
      </c>
      <c r="E6326" t="s">
        <v>14</v>
      </c>
      <c r="F6326">
        <v>45.499699999999997</v>
      </c>
      <c r="G6326">
        <v>16.366700000000002</v>
      </c>
      <c r="H6326">
        <v>1</v>
      </c>
      <c r="I6326">
        <v>106</v>
      </c>
      <c r="J6326" t="str">
        <f>HYPERLINK("https://climate.onebuilding.org/WMO_Region_6_Europe/HRV_Croatia/SM_Sisacko-Moslavacka/HRV_SM_Sisak.142440_TMYx.zip")</f>
        <v>https://climate.onebuilding.org/WMO_Region_6_Europe/HRV_Croatia/SM_Sisacko-Moslavacka/HRV_SM_Sisak.142440_TMYx.zip</v>
      </c>
    </row>
    <row r="6327" spans="1:10" x14ac:dyDescent="0.25">
      <c r="A6327" t="s">
        <v>4883</v>
      </c>
      <c r="B6327" t="s">
        <v>4901</v>
      </c>
      <c r="C6327" t="s">
        <v>4902</v>
      </c>
      <c r="D6327">
        <v>142460</v>
      </c>
      <c r="E6327" t="s">
        <v>14</v>
      </c>
      <c r="F6327">
        <v>46.295000000000002</v>
      </c>
      <c r="G6327">
        <v>16.381</v>
      </c>
      <c r="H6327">
        <v>1</v>
      </c>
      <c r="I6327">
        <v>167</v>
      </c>
      <c r="J6327" t="str">
        <f>HYPERLINK("https://climate.onebuilding.org/WMO_Region_6_Europe/HRV_Croatia/VA_Varazdinska/HRV_VA_Varazdin.AP.142460_TMYx.2007-2021.zip")</f>
        <v>https://climate.onebuilding.org/WMO_Region_6_Europe/HRV_Croatia/VA_Varazdinska/HRV_VA_Varazdin.AP.142460_TMYx.2007-2021.zip</v>
      </c>
    </row>
    <row r="6328" spans="1:10" x14ac:dyDescent="0.25">
      <c r="A6328" t="s">
        <v>4883</v>
      </c>
      <c r="B6328" t="s">
        <v>4901</v>
      </c>
      <c r="C6328" t="s">
        <v>4902</v>
      </c>
      <c r="D6328">
        <v>142460</v>
      </c>
      <c r="E6328" t="s">
        <v>14</v>
      </c>
      <c r="F6328">
        <v>46.295000000000002</v>
      </c>
      <c r="G6328">
        <v>16.381</v>
      </c>
      <c r="H6328">
        <v>1</v>
      </c>
      <c r="I6328">
        <v>167</v>
      </c>
      <c r="J6328" t="str">
        <f>HYPERLINK("https://climate.onebuilding.org/WMO_Region_6_Europe/HRV_Croatia/VA_Varazdinska/HRV_VA_Varazdin.AP.142460_TMYx.2009-2023.zip")</f>
        <v>https://climate.onebuilding.org/WMO_Region_6_Europe/HRV_Croatia/VA_Varazdinska/HRV_VA_Varazdin.AP.142460_TMYx.2009-2023.zip</v>
      </c>
    </row>
    <row r="6329" spans="1:10" x14ac:dyDescent="0.25">
      <c r="A6329" t="s">
        <v>4883</v>
      </c>
      <c r="B6329" t="s">
        <v>4901</v>
      </c>
      <c r="C6329" t="s">
        <v>4902</v>
      </c>
      <c r="D6329">
        <v>142460</v>
      </c>
      <c r="E6329" t="s">
        <v>14</v>
      </c>
      <c r="F6329">
        <v>46.295000000000002</v>
      </c>
      <c r="G6329">
        <v>16.381</v>
      </c>
      <c r="H6329">
        <v>1</v>
      </c>
      <c r="I6329">
        <v>167</v>
      </c>
      <c r="J6329" t="str">
        <f>HYPERLINK("https://climate.onebuilding.org/WMO_Region_6_Europe/HRV_Croatia/VA_Varazdinska/HRV_VA_Varazdin.AP.142460_TMYx.zip")</f>
        <v>https://climate.onebuilding.org/WMO_Region_6_Europe/HRV_Croatia/VA_Varazdinska/HRV_VA_Varazdin.AP.142460_TMYx.zip</v>
      </c>
    </row>
    <row r="6330" spans="1:10" x14ac:dyDescent="0.25">
      <c r="A6330" t="s">
        <v>4883</v>
      </c>
      <c r="B6330" t="s">
        <v>26</v>
      </c>
      <c r="C6330" t="s">
        <v>4903</v>
      </c>
      <c r="D6330">
        <v>142480</v>
      </c>
      <c r="E6330" t="s">
        <v>4904</v>
      </c>
      <c r="F6330">
        <v>46.0289</v>
      </c>
      <c r="G6330">
        <v>16.553599999999999</v>
      </c>
      <c r="H6330">
        <v>1</v>
      </c>
      <c r="I6330">
        <v>146</v>
      </c>
      <c r="J6330" t="str">
        <f>HYPERLINK("https://climate.onebuilding.org/WMO_Region_6_Europe/HRV_Croatia/KK_Koprivnicko-Krizevacka/HRV_KK_Krizevci.142480_TMYx.2004-2018.zip")</f>
        <v>https://climate.onebuilding.org/WMO_Region_6_Europe/HRV_Croatia/KK_Koprivnicko-Krizevacka/HRV_KK_Krizevci.142480_TMYx.2004-2018.zip</v>
      </c>
    </row>
    <row r="6331" spans="1:10" x14ac:dyDescent="0.25">
      <c r="A6331" t="s">
        <v>4883</v>
      </c>
      <c r="B6331" t="s">
        <v>26</v>
      </c>
      <c r="C6331" t="s">
        <v>4903</v>
      </c>
      <c r="D6331">
        <v>142480</v>
      </c>
      <c r="E6331" t="s">
        <v>14</v>
      </c>
      <c r="F6331">
        <v>46.0289</v>
      </c>
      <c r="G6331">
        <v>16.553599999999999</v>
      </c>
      <c r="H6331">
        <v>1</v>
      </c>
      <c r="I6331">
        <v>146</v>
      </c>
      <c r="J6331" t="str">
        <f>HYPERLINK("https://climate.onebuilding.org/WMO_Region_6_Europe/HRV_Croatia/KK_Koprivnicko-Krizevacka/HRV_KK_Krizevci.142480_TMYx.2007-2021.zip")</f>
        <v>https://climate.onebuilding.org/WMO_Region_6_Europe/HRV_Croatia/KK_Koprivnicko-Krizevacka/HRV_KK_Krizevci.142480_TMYx.2007-2021.zip</v>
      </c>
    </row>
    <row r="6332" spans="1:10" x14ac:dyDescent="0.25">
      <c r="A6332" t="s">
        <v>4883</v>
      </c>
      <c r="B6332" t="s">
        <v>26</v>
      </c>
      <c r="C6332" t="s">
        <v>4903</v>
      </c>
      <c r="D6332">
        <v>142480</v>
      </c>
      <c r="E6332" t="s">
        <v>14</v>
      </c>
      <c r="F6332">
        <v>46.0289</v>
      </c>
      <c r="G6332">
        <v>16.553599999999999</v>
      </c>
      <c r="H6332">
        <v>1</v>
      </c>
      <c r="I6332">
        <v>146</v>
      </c>
      <c r="J6332" t="str">
        <f>HYPERLINK("https://climate.onebuilding.org/WMO_Region_6_Europe/HRV_Croatia/KK_Koprivnicko-Krizevacka/HRV_KK_Krizevci.142480_TMYx.2009-2023.zip")</f>
        <v>https://climate.onebuilding.org/WMO_Region_6_Europe/HRV_Croatia/KK_Koprivnicko-Krizevacka/HRV_KK_Krizevci.142480_TMYx.2009-2023.zip</v>
      </c>
    </row>
    <row r="6333" spans="1:10" x14ac:dyDescent="0.25">
      <c r="A6333" t="s">
        <v>4883</v>
      </c>
      <c r="B6333" t="s">
        <v>26</v>
      </c>
      <c r="C6333" t="s">
        <v>4903</v>
      </c>
      <c r="D6333">
        <v>142480</v>
      </c>
      <c r="E6333" t="s">
        <v>14</v>
      </c>
      <c r="F6333">
        <v>46.0289</v>
      </c>
      <c r="G6333">
        <v>16.553599999999999</v>
      </c>
      <c r="H6333">
        <v>1</v>
      </c>
      <c r="I6333">
        <v>146</v>
      </c>
      <c r="J6333" t="str">
        <f>HYPERLINK("https://climate.onebuilding.org/WMO_Region_6_Europe/HRV_Croatia/KK_Koprivnicko-Krizevacka/HRV_KK_Krizevci.142480_TMYx.zip")</f>
        <v>https://climate.onebuilding.org/WMO_Region_6_Europe/HRV_Croatia/KK_Koprivnicko-Krizevacka/HRV_KK_Krizevci.142480_TMYx.zip</v>
      </c>
    </row>
    <row r="6334" spans="1:10" x14ac:dyDescent="0.25">
      <c r="A6334" t="s">
        <v>4883</v>
      </c>
      <c r="B6334" t="s">
        <v>1395</v>
      </c>
      <c r="C6334" t="s">
        <v>4905</v>
      </c>
      <c r="D6334">
        <v>142530</v>
      </c>
      <c r="E6334" t="s">
        <v>14</v>
      </c>
      <c r="F6334">
        <v>45.909700000000001</v>
      </c>
      <c r="G6334">
        <v>16.869399999999999</v>
      </c>
      <c r="H6334">
        <v>1</v>
      </c>
      <c r="I6334">
        <v>142.4</v>
      </c>
      <c r="J6334" t="str">
        <f>HYPERLINK("https://climate.onebuilding.org/WMO_Region_6_Europe/HRV_Croatia/BB_Bjelovarska-Bilogorska/HRV_BB_Bjelovar.142530_TMYx.2007-2021.zip")</f>
        <v>https://climate.onebuilding.org/WMO_Region_6_Europe/HRV_Croatia/BB_Bjelovarska-Bilogorska/HRV_BB_Bjelovar.142530_TMYx.2007-2021.zip</v>
      </c>
    </row>
    <row r="6335" spans="1:10" x14ac:dyDescent="0.25">
      <c r="A6335" t="s">
        <v>4883</v>
      </c>
      <c r="B6335" t="s">
        <v>1395</v>
      </c>
      <c r="C6335" t="s">
        <v>4905</v>
      </c>
      <c r="D6335">
        <v>142530</v>
      </c>
      <c r="E6335" t="s">
        <v>14</v>
      </c>
      <c r="F6335">
        <v>45.909700000000001</v>
      </c>
      <c r="G6335">
        <v>16.869399999999999</v>
      </c>
      <c r="H6335">
        <v>1</v>
      </c>
      <c r="I6335">
        <v>142.4</v>
      </c>
      <c r="J6335" t="str">
        <f>HYPERLINK("https://climate.onebuilding.org/WMO_Region_6_Europe/HRV_Croatia/BB_Bjelovarska-Bilogorska/HRV_BB_Bjelovar.142530_TMYx.2009-2023.zip")</f>
        <v>https://climate.onebuilding.org/WMO_Region_6_Europe/HRV_Croatia/BB_Bjelovarska-Bilogorska/HRV_BB_Bjelovar.142530_TMYx.2009-2023.zip</v>
      </c>
    </row>
    <row r="6336" spans="1:10" x14ac:dyDescent="0.25">
      <c r="A6336" t="s">
        <v>4883</v>
      </c>
      <c r="B6336" t="s">
        <v>1395</v>
      </c>
      <c r="C6336" t="s">
        <v>4905</v>
      </c>
      <c r="D6336">
        <v>142530</v>
      </c>
      <c r="E6336" t="s">
        <v>14</v>
      </c>
      <c r="F6336">
        <v>45.909700000000001</v>
      </c>
      <c r="G6336">
        <v>16.869399999999999</v>
      </c>
      <c r="H6336">
        <v>1</v>
      </c>
      <c r="I6336">
        <v>142.4</v>
      </c>
      <c r="J6336" t="str">
        <f>HYPERLINK("https://climate.onebuilding.org/WMO_Region_6_Europe/HRV_Croatia/BB_Bjelovarska-Bilogorska/HRV_BB_Bjelovar.142530_TMYx.zip")</f>
        <v>https://climate.onebuilding.org/WMO_Region_6_Europe/HRV_Croatia/BB_Bjelovarska-Bilogorska/HRV_BB_Bjelovar.142530_TMYx.zip</v>
      </c>
    </row>
    <row r="6337" spans="1:10" x14ac:dyDescent="0.25">
      <c r="A6337" t="s">
        <v>4883</v>
      </c>
      <c r="B6337" t="s">
        <v>4884</v>
      </c>
      <c r="C6337" t="s">
        <v>4906</v>
      </c>
      <c r="D6337">
        <v>142531</v>
      </c>
      <c r="E6337" t="s">
        <v>4907</v>
      </c>
      <c r="F6337">
        <v>44.566299999999998</v>
      </c>
      <c r="G6337">
        <v>14.391999999999999</v>
      </c>
      <c r="H6337">
        <v>1</v>
      </c>
      <c r="I6337">
        <v>45</v>
      </c>
      <c r="J6337" t="str">
        <f>HYPERLINK("https://climate.onebuilding.org/WMO_Region_6_Europe/HRV_Croatia/PG_Primorsko-Goranska/HRV_PG_Losinj.Island.AP.142531_TMYx.2004-2018.zip")</f>
        <v>https://climate.onebuilding.org/WMO_Region_6_Europe/HRV_Croatia/PG_Primorsko-Goranska/HRV_PG_Losinj.Island.AP.142531_TMYx.2004-2018.zip</v>
      </c>
    </row>
    <row r="6338" spans="1:10" x14ac:dyDescent="0.25">
      <c r="A6338" t="s">
        <v>4883</v>
      </c>
      <c r="B6338" t="s">
        <v>4884</v>
      </c>
      <c r="C6338" t="s">
        <v>4906</v>
      </c>
      <c r="D6338">
        <v>142531</v>
      </c>
      <c r="E6338" t="s">
        <v>14</v>
      </c>
      <c r="F6338">
        <v>44.566299999999998</v>
      </c>
      <c r="G6338">
        <v>14.391999999999999</v>
      </c>
      <c r="H6338">
        <v>1</v>
      </c>
      <c r="I6338">
        <v>45</v>
      </c>
      <c r="J6338" t="str">
        <f>HYPERLINK("https://climate.onebuilding.org/WMO_Region_6_Europe/HRV_Croatia/PG_Primorsko-Goranska/HRV_PG_Losinj.Island.AP.142531_TMYx.2007-2021.zip")</f>
        <v>https://climate.onebuilding.org/WMO_Region_6_Europe/HRV_Croatia/PG_Primorsko-Goranska/HRV_PG_Losinj.Island.AP.142531_TMYx.2007-2021.zip</v>
      </c>
    </row>
    <row r="6339" spans="1:10" x14ac:dyDescent="0.25">
      <c r="A6339" t="s">
        <v>4883</v>
      </c>
      <c r="B6339" t="s">
        <v>4884</v>
      </c>
      <c r="C6339" t="s">
        <v>4906</v>
      </c>
      <c r="D6339">
        <v>142531</v>
      </c>
      <c r="E6339" t="s">
        <v>14</v>
      </c>
      <c r="F6339">
        <v>44.566299999999998</v>
      </c>
      <c r="G6339">
        <v>14.391999999999999</v>
      </c>
      <c r="H6339">
        <v>1</v>
      </c>
      <c r="I6339">
        <v>45</v>
      </c>
      <c r="J6339" t="str">
        <f>HYPERLINK("https://climate.onebuilding.org/WMO_Region_6_Europe/HRV_Croatia/PG_Primorsko-Goranska/HRV_PG_Losinj.Island.AP.142531_TMYx.2009-2023.zip")</f>
        <v>https://climate.onebuilding.org/WMO_Region_6_Europe/HRV_Croatia/PG_Primorsko-Goranska/HRV_PG_Losinj.Island.AP.142531_TMYx.2009-2023.zip</v>
      </c>
    </row>
    <row r="6340" spans="1:10" x14ac:dyDescent="0.25">
      <c r="A6340" t="s">
        <v>4883</v>
      </c>
      <c r="B6340" t="s">
        <v>4884</v>
      </c>
      <c r="C6340" t="s">
        <v>4906</v>
      </c>
      <c r="D6340">
        <v>142531</v>
      </c>
      <c r="E6340" t="s">
        <v>14</v>
      </c>
      <c r="F6340">
        <v>44.566299999999998</v>
      </c>
      <c r="G6340">
        <v>14.391999999999999</v>
      </c>
      <c r="H6340">
        <v>1</v>
      </c>
      <c r="I6340">
        <v>45</v>
      </c>
      <c r="J6340" t="str">
        <f>HYPERLINK("https://climate.onebuilding.org/WMO_Region_6_Europe/HRV_Croatia/PG_Primorsko-Goranska/HRV_PG_Losinj.Island.AP.142531_TMYx.zip")</f>
        <v>https://climate.onebuilding.org/WMO_Region_6_Europe/HRV_Croatia/PG_Primorsko-Goranska/HRV_PG_Losinj.Island.AP.142531_TMYx.zip</v>
      </c>
    </row>
    <row r="6341" spans="1:10" x14ac:dyDescent="0.25">
      <c r="A6341" t="s">
        <v>4883</v>
      </c>
      <c r="B6341" t="s">
        <v>4908</v>
      </c>
      <c r="C6341" t="s">
        <v>4909</v>
      </c>
      <c r="D6341">
        <v>142560</v>
      </c>
      <c r="E6341" t="s">
        <v>4910</v>
      </c>
      <c r="F6341">
        <v>45.883600000000001</v>
      </c>
      <c r="G6341">
        <v>17.200299999999999</v>
      </c>
      <c r="H6341">
        <v>1</v>
      </c>
      <c r="I6341">
        <v>263</v>
      </c>
      <c r="J6341" t="str">
        <f>HYPERLINK("https://climate.onebuilding.org/WMO_Region_6_Europe/HRV_Croatia/VP_Viroviticko-Podravska/HRV_VP_Bilogora.142560_TMYx.2004-2018.zip")</f>
        <v>https://climate.onebuilding.org/WMO_Region_6_Europe/HRV_Croatia/VP_Viroviticko-Podravska/HRV_VP_Bilogora.142560_TMYx.2004-2018.zip</v>
      </c>
    </row>
    <row r="6342" spans="1:10" x14ac:dyDescent="0.25">
      <c r="A6342" t="s">
        <v>4883</v>
      </c>
      <c r="B6342" t="s">
        <v>4908</v>
      </c>
      <c r="C6342" t="s">
        <v>4909</v>
      </c>
      <c r="D6342">
        <v>142560</v>
      </c>
      <c r="E6342" t="s">
        <v>14</v>
      </c>
      <c r="F6342">
        <v>45.883600000000001</v>
      </c>
      <c r="G6342">
        <v>17.200299999999999</v>
      </c>
      <c r="H6342">
        <v>1</v>
      </c>
      <c r="I6342">
        <v>263</v>
      </c>
      <c r="J6342" t="str">
        <f>HYPERLINK("https://climate.onebuilding.org/WMO_Region_6_Europe/HRV_Croatia/VP_Viroviticko-Podravska/HRV_VP_Bilogora.142560_TMYx.2007-2021.zip")</f>
        <v>https://climate.onebuilding.org/WMO_Region_6_Europe/HRV_Croatia/VP_Viroviticko-Podravska/HRV_VP_Bilogora.142560_TMYx.2007-2021.zip</v>
      </c>
    </row>
    <row r="6343" spans="1:10" x14ac:dyDescent="0.25">
      <c r="A6343" t="s">
        <v>4883</v>
      </c>
      <c r="B6343" t="s">
        <v>4908</v>
      </c>
      <c r="C6343" t="s">
        <v>4909</v>
      </c>
      <c r="D6343">
        <v>142560</v>
      </c>
      <c r="E6343" t="s">
        <v>14</v>
      </c>
      <c r="F6343">
        <v>45.883600000000001</v>
      </c>
      <c r="G6343">
        <v>17.200299999999999</v>
      </c>
      <c r="H6343">
        <v>1</v>
      </c>
      <c r="I6343">
        <v>263</v>
      </c>
      <c r="J6343" t="str">
        <f>HYPERLINK("https://climate.onebuilding.org/WMO_Region_6_Europe/HRV_Croatia/VP_Viroviticko-Podravska/HRV_VP_Bilogora.142560_TMYx.2009-2023.zip")</f>
        <v>https://climate.onebuilding.org/WMO_Region_6_Europe/HRV_Croatia/VP_Viroviticko-Podravska/HRV_VP_Bilogora.142560_TMYx.2009-2023.zip</v>
      </c>
    </row>
    <row r="6344" spans="1:10" x14ac:dyDescent="0.25">
      <c r="A6344" t="s">
        <v>4883</v>
      </c>
      <c r="B6344" t="s">
        <v>4908</v>
      </c>
      <c r="C6344" t="s">
        <v>4909</v>
      </c>
      <c r="D6344">
        <v>142560</v>
      </c>
      <c r="E6344" t="s">
        <v>14</v>
      </c>
      <c r="F6344">
        <v>45.883600000000001</v>
      </c>
      <c r="G6344">
        <v>17.200299999999999</v>
      </c>
      <c r="H6344">
        <v>1</v>
      </c>
      <c r="I6344">
        <v>263</v>
      </c>
      <c r="J6344" t="str">
        <f>HYPERLINK("https://climate.onebuilding.org/WMO_Region_6_Europe/HRV_Croatia/VP_Viroviticko-Podravska/HRV_VP_Bilogora.142560_TMYx.zip")</f>
        <v>https://climate.onebuilding.org/WMO_Region_6_Europe/HRV_Croatia/VP_Viroviticko-Podravska/HRV_VP_Bilogora.142560_TMYx.zip</v>
      </c>
    </row>
    <row r="6345" spans="1:10" x14ac:dyDescent="0.25">
      <c r="A6345" t="s">
        <v>4883</v>
      </c>
      <c r="B6345" t="s">
        <v>1395</v>
      </c>
      <c r="C6345" t="s">
        <v>4911</v>
      </c>
      <c r="D6345">
        <v>142580</v>
      </c>
      <c r="E6345" t="s">
        <v>4912</v>
      </c>
      <c r="F6345">
        <v>45.5914</v>
      </c>
      <c r="G6345">
        <v>17.21</v>
      </c>
      <c r="H6345">
        <v>1</v>
      </c>
      <c r="I6345">
        <v>161</v>
      </c>
      <c r="J6345" t="str">
        <f>HYPERLINK("https://climate.onebuilding.org/WMO_Region_6_Europe/HRV_Croatia/BB_Bjelovarska-Bilogorska/HRV_BB_Daruvar.142580_TMYx.2004-2018.zip")</f>
        <v>https://climate.onebuilding.org/WMO_Region_6_Europe/HRV_Croatia/BB_Bjelovarska-Bilogorska/HRV_BB_Daruvar.142580_TMYx.2004-2018.zip</v>
      </c>
    </row>
    <row r="6346" spans="1:10" x14ac:dyDescent="0.25">
      <c r="A6346" t="s">
        <v>4883</v>
      </c>
      <c r="B6346" t="s">
        <v>1395</v>
      </c>
      <c r="C6346" t="s">
        <v>4911</v>
      </c>
      <c r="D6346">
        <v>142580</v>
      </c>
      <c r="E6346" t="s">
        <v>14</v>
      </c>
      <c r="F6346">
        <v>45.5914</v>
      </c>
      <c r="G6346">
        <v>17.21</v>
      </c>
      <c r="H6346">
        <v>1</v>
      </c>
      <c r="I6346">
        <v>161</v>
      </c>
      <c r="J6346" t="str">
        <f>HYPERLINK("https://climate.onebuilding.org/WMO_Region_6_Europe/HRV_Croatia/BB_Bjelovarska-Bilogorska/HRV_BB_Daruvar.142580_TMYx.2007-2021.zip")</f>
        <v>https://climate.onebuilding.org/WMO_Region_6_Europe/HRV_Croatia/BB_Bjelovarska-Bilogorska/HRV_BB_Daruvar.142580_TMYx.2007-2021.zip</v>
      </c>
    </row>
    <row r="6347" spans="1:10" x14ac:dyDescent="0.25">
      <c r="A6347" t="s">
        <v>4883</v>
      </c>
      <c r="B6347" t="s">
        <v>1395</v>
      </c>
      <c r="C6347" t="s">
        <v>4911</v>
      </c>
      <c r="D6347">
        <v>142580</v>
      </c>
      <c r="E6347" t="s">
        <v>14</v>
      </c>
      <c r="F6347">
        <v>45.5914</v>
      </c>
      <c r="G6347">
        <v>17.21</v>
      </c>
      <c r="H6347">
        <v>1</v>
      </c>
      <c r="I6347">
        <v>161</v>
      </c>
      <c r="J6347" t="str">
        <f>HYPERLINK("https://climate.onebuilding.org/WMO_Region_6_Europe/HRV_Croatia/BB_Bjelovarska-Bilogorska/HRV_BB_Daruvar.142580_TMYx.2009-2023.zip")</f>
        <v>https://climate.onebuilding.org/WMO_Region_6_Europe/HRV_Croatia/BB_Bjelovarska-Bilogorska/HRV_BB_Daruvar.142580_TMYx.2009-2023.zip</v>
      </c>
    </row>
    <row r="6348" spans="1:10" x14ac:dyDescent="0.25">
      <c r="A6348" t="s">
        <v>4883</v>
      </c>
      <c r="B6348" t="s">
        <v>1395</v>
      </c>
      <c r="C6348" t="s">
        <v>4911</v>
      </c>
      <c r="D6348">
        <v>142580</v>
      </c>
      <c r="E6348" t="s">
        <v>14</v>
      </c>
      <c r="F6348">
        <v>45.5914</v>
      </c>
      <c r="G6348">
        <v>17.21</v>
      </c>
      <c r="H6348">
        <v>1</v>
      </c>
      <c r="I6348">
        <v>161</v>
      </c>
      <c r="J6348" t="str">
        <f>HYPERLINK("https://climate.onebuilding.org/WMO_Region_6_Europe/HRV_Croatia/BB_Bjelovarska-Bilogorska/HRV_BB_Daruvar.142580_TMYx.zip")</f>
        <v>https://climate.onebuilding.org/WMO_Region_6_Europe/HRV_Croatia/BB_Bjelovarska-Bilogorska/HRV_BB_Daruvar.142580_TMYx.zip</v>
      </c>
    </row>
    <row r="6349" spans="1:10" x14ac:dyDescent="0.25">
      <c r="A6349" t="s">
        <v>4883</v>
      </c>
      <c r="B6349" t="s">
        <v>4913</v>
      </c>
      <c r="C6349" t="s">
        <v>4914</v>
      </c>
      <c r="D6349">
        <v>142790</v>
      </c>
      <c r="E6349" t="s">
        <v>14</v>
      </c>
      <c r="F6349">
        <v>45.533000000000001</v>
      </c>
      <c r="G6349">
        <v>18.632999999999999</v>
      </c>
      <c r="H6349">
        <v>1</v>
      </c>
      <c r="I6349">
        <v>92</v>
      </c>
      <c r="J6349" t="str">
        <f>HYPERLINK("https://climate.onebuilding.org/WMO_Region_6_Europe/HRV_Croatia/OB_Osjecko-Baranjska/HRV_OB_Osijek.AP.142790_TMYx.zip")</f>
        <v>https://climate.onebuilding.org/WMO_Region_6_Europe/HRV_Croatia/OB_Osjecko-Baranjska/HRV_OB_Osijek.AP.142790_TMYx.zip</v>
      </c>
    </row>
    <row r="6350" spans="1:10" x14ac:dyDescent="0.25">
      <c r="A6350" t="s">
        <v>4883</v>
      </c>
      <c r="B6350" t="s">
        <v>4913</v>
      </c>
      <c r="C6350" t="s">
        <v>4915</v>
      </c>
      <c r="D6350">
        <v>142800</v>
      </c>
      <c r="E6350" t="s">
        <v>4916</v>
      </c>
      <c r="F6350">
        <v>45.502499999999998</v>
      </c>
      <c r="G6350">
        <v>18.561399999999999</v>
      </c>
      <c r="H6350">
        <v>1</v>
      </c>
      <c r="I6350">
        <v>89.3</v>
      </c>
      <c r="J6350" t="str">
        <f>HYPERLINK("https://climate.onebuilding.org/WMO_Region_6_Europe/HRV_Croatia/OB_Osjecko-Baranjska/HRV_OB_Osijek.Cepin.142800_TMYx.2004-2018.zip")</f>
        <v>https://climate.onebuilding.org/WMO_Region_6_Europe/HRV_Croatia/OB_Osjecko-Baranjska/HRV_OB_Osijek.Cepin.142800_TMYx.2004-2018.zip</v>
      </c>
    </row>
    <row r="6351" spans="1:10" x14ac:dyDescent="0.25">
      <c r="A6351" t="s">
        <v>4883</v>
      </c>
      <c r="B6351" t="s">
        <v>4913</v>
      </c>
      <c r="C6351" t="s">
        <v>4915</v>
      </c>
      <c r="D6351">
        <v>142800</v>
      </c>
      <c r="E6351" t="s">
        <v>14</v>
      </c>
      <c r="F6351">
        <v>45.502499999999998</v>
      </c>
      <c r="G6351">
        <v>18.561399999999999</v>
      </c>
      <c r="H6351">
        <v>1</v>
      </c>
      <c r="I6351">
        <v>89.3</v>
      </c>
      <c r="J6351" t="str">
        <f>HYPERLINK("https://climate.onebuilding.org/WMO_Region_6_Europe/HRV_Croatia/OB_Osjecko-Baranjska/HRV_OB_Osijek.Cepin.142800_TMYx.2007-2021.zip")</f>
        <v>https://climate.onebuilding.org/WMO_Region_6_Europe/HRV_Croatia/OB_Osjecko-Baranjska/HRV_OB_Osijek.Cepin.142800_TMYx.2007-2021.zip</v>
      </c>
    </row>
    <row r="6352" spans="1:10" x14ac:dyDescent="0.25">
      <c r="A6352" t="s">
        <v>4883</v>
      </c>
      <c r="B6352" t="s">
        <v>4913</v>
      </c>
      <c r="C6352" t="s">
        <v>4915</v>
      </c>
      <c r="D6352">
        <v>142800</v>
      </c>
      <c r="E6352" t="s">
        <v>14</v>
      </c>
      <c r="F6352">
        <v>45.502499999999998</v>
      </c>
      <c r="G6352">
        <v>18.561399999999999</v>
      </c>
      <c r="H6352">
        <v>1</v>
      </c>
      <c r="I6352">
        <v>89.3</v>
      </c>
      <c r="J6352" t="str">
        <f>HYPERLINK("https://climate.onebuilding.org/WMO_Region_6_Europe/HRV_Croatia/OB_Osjecko-Baranjska/HRV_OB_Osijek.Cepin.142800_TMYx.2009-2023.zip")</f>
        <v>https://climate.onebuilding.org/WMO_Region_6_Europe/HRV_Croatia/OB_Osjecko-Baranjska/HRV_OB_Osijek.Cepin.142800_TMYx.2009-2023.zip</v>
      </c>
    </row>
    <row r="6353" spans="1:10" x14ac:dyDescent="0.25">
      <c r="A6353" t="s">
        <v>4883</v>
      </c>
      <c r="B6353" t="s">
        <v>4913</v>
      </c>
      <c r="C6353" t="s">
        <v>4915</v>
      </c>
      <c r="D6353">
        <v>142800</v>
      </c>
      <c r="E6353" t="s">
        <v>14</v>
      </c>
      <c r="F6353">
        <v>45.502499999999998</v>
      </c>
      <c r="G6353">
        <v>18.561399999999999</v>
      </c>
      <c r="H6353">
        <v>1</v>
      </c>
      <c r="I6353">
        <v>89.3</v>
      </c>
      <c r="J6353" t="str">
        <f>HYPERLINK("https://climate.onebuilding.org/WMO_Region_6_Europe/HRV_Croatia/OB_Osjecko-Baranjska/HRV_OB_Osijek.Cepin.142800_TMYx.zip")</f>
        <v>https://climate.onebuilding.org/WMO_Region_6_Europe/HRV_Croatia/OB_Osjecko-Baranjska/HRV_OB_Osijek.Cepin.142800_TMYx.zip</v>
      </c>
    </row>
    <row r="6354" spans="1:10" x14ac:dyDescent="0.25">
      <c r="A6354" t="s">
        <v>4883</v>
      </c>
      <c r="B6354" t="s">
        <v>4913</v>
      </c>
      <c r="C6354" t="s">
        <v>4917</v>
      </c>
      <c r="D6354">
        <v>142840</v>
      </c>
      <c r="E6354" t="s">
        <v>4918</v>
      </c>
      <c r="F6354">
        <v>45.463000000000001</v>
      </c>
      <c r="G6354">
        <v>18.809999999999999</v>
      </c>
      <c r="H6354">
        <v>1</v>
      </c>
      <c r="I6354">
        <v>88.4</v>
      </c>
      <c r="J6354" t="str">
        <f>HYPERLINK("https://climate.onebuilding.org/WMO_Region_6_Europe/HRV_Croatia/OB_Osjecko-Baranjska/HRV_OB_Osijek-Klisa.AP.142840_TMYx.2004-2018.zip")</f>
        <v>https://climate.onebuilding.org/WMO_Region_6_Europe/HRV_Croatia/OB_Osjecko-Baranjska/HRV_OB_Osijek-Klisa.AP.142840_TMYx.2004-2018.zip</v>
      </c>
    </row>
    <row r="6355" spans="1:10" x14ac:dyDescent="0.25">
      <c r="A6355" t="s">
        <v>4883</v>
      </c>
      <c r="B6355" t="s">
        <v>4913</v>
      </c>
      <c r="C6355" t="s">
        <v>4917</v>
      </c>
      <c r="D6355">
        <v>142840</v>
      </c>
      <c r="E6355" t="s">
        <v>14</v>
      </c>
      <c r="F6355">
        <v>45.463000000000001</v>
      </c>
      <c r="G6355">
        <v>18.809999999999999</v>
      </c>
      <c r="H6355">
        <v>1</v>
      </c>
      <c r="I6355">
        <v>88.4</v>
      </c>
      <c r="J6355" t="str">
        <f>HYPERLINK("https://climate.onebuilding.org/WMO_Region_6_Europe/HRV_Croatia/OB_Osjecko-Baranjska/HRV_OB_Osijek-Klisa.AP.142840_TMYx.2007-2021.zip")</f>
        <v>https://climate.onebuilding.org/WMO_Region_6_Europe/HRV_Croatia/OB_Osjecko-Baranjska/HRV_OB_Osijek-Klisa.AP.142840_TMYx.2007-2021.zip</v>
      </c>
    </row>
    <row r="6356" spans="1:10" x14ac:dyDescent="0.25">
      <c r="A6356" t="s">
        <v>4883</v>
      </c>
      <c r="B6356" t="s">
        <v>4913</v>
      </c>
      <c r="C6356" t="s">
        <v>4917</v>
      </c>
      <c r="D6356">
        <v>142840</v>
      </c>
      <c r="E6356" t="s">
        <v>14</v>
      </c>
      <c r="F6356">
        <v>45.463000000000001</v>
      </c>
      <c r="G6356">
        <v>18.809999999999999</v>
      </c>
      <c r="H6356">
        <v>1</v>
      </c>
      <c r="I6356">
        <v>88.4</v>
      </c>
      <c r="J6356" t="str">
        <f>HYPERLINK("https://climate.onebuilding.org/WMO_Region_6_Europe/HRV_Croatia/OB_Osjecko-Baranjska/HRV_OB_Osijek-Klisa.AP.142840_TMYx.2009-2023.zip")</f>
        <v>https://climate.onebuilding.org/WMO_Region_6_Europe/HRV_Croatia/OB_Osjecko-Baranjska/HRV_OB_Osijek-Klisa.AP.142840_TMYx.2009-2023.zip</v>
      </c>
    </row>
    <row r="6357" spans="1:10" x14ac:dyDescent="0.25">
      <c r="A6357" t="s">
        <v>4883</v>
      </c>
      <c r="B6357" t="s">
        <v>4913</v>
      </c>
      <c r="C6357" t="s">
        <v>4917</v>
      </c>
      <c r="D6357">
        <v>142840</v>
      </c>
      <c r="E6357" t="s">
        <v>14</v>
      </c>
      <c r="F6357">
        <v>45.463000000000001</v>
      </c>
      <c r="G6357">
        <v>18.809999999999999</v>
      </c>
      <c r="H6357">
        <v>1</v>
      </c>
      <c r="I6357">
        <v>88.4</v>
      </c>
      <c r="J6357" t="str">
        <f>HYPERLINK("https://climate.onebuilding.org/WMO_Region_6_Europe/HRV_Croatia/OB_Osjecko-Baranjska/HRV_OB_Osijek-Klisa.AP.142840_TMYx.zip")</f>
        <v>https://climate.onebuilding.org/WMO_Region_6_Europe/HRV_Croatia/OB_Osjecko-Baranjska/HRV_OB_Osijek-Klisa.AP.142840_TMYx.zip</v>
      </c>
    </row>
    <row r="6358" spans="1:10" x14ac:dyDescent="0.25">
      <c r="A6358" t="s">
        <v>4883</v>
      </c>
      <c r="B6358" t="s">
        <v>4919</v>
      </c>
      <c r="C6358" t="s">
        <v>4920</v>
      </c>
      <c r="D6358">
        <v>143010</v>
      </c>
      <c r="E6358" t="s">
        <v>14</v>
      </c>
      <c r="F6358">
        <v>45.232999999999997</v>
      </c>
      <c r="G6358">
        <v>13.6</v>
      </c>
      <c r="H6358">
        <v>1</v>
      </c>
      <c r="I6358">
        <v>15</v>
      </c>
      <c r="J6358" t="str">
        <f>HYPERLINK("https://climate.onebuilding.org/WMO_Region_6_Europe/HRV_Croatia/IS_Istarska/HRV_IS_Porec.143010_TMYx.zip")</f>
        <v>https://climate.onebuilding.org/WMO_Region_6_Europe/HRV_Croatia/IS_Istarska/HRV_IS_Porec.143010_TMYx.zip</v>
      </c>
    </row>
    <row r="6359" spans="1:10" x14ac:dyDescent="0.25">
      <c r="A6359" t="s">
        <v>4883</v>
      </c>
      <c r="B6359" t="s">
        <v>4919</v>
      </c>
      <c r="C6359" t="s">
        <v>4921</v>
      </c>
      <c r="D6359">
        <v>143030</v>
      </c>
      <c r="E6359" t="s">
        <v>4922</v>
      </c>
      <c r="F6359">
        <v>45.055900000000001</v>
      </c>
      <c r="G6359">
        <v>13.6256</v>
      </c>
      <c r="H6359">
        <v>1</v>
      </c>
      <c r="I6359">
        <v>18</v>
      </c>
      <c r="J6359" t="str">
        <f>HYPERLINK("https://climate.onebuilding.org/WMO_Region_6_Europe/HRV_Croatia/IS_Istarska/HRV_IS_Rovinj-St.John.Lighthouse.143030_TMYx.2004-2018.zip")</f>
        <v>https://climate.onebuilding.org/WMO_Region_6_Europe/HRV_Croatia/IS_Istarska/HRV_IS_Rovinj-St.John.Lighthouse.143030_TMYx.2004-2018.zip</v>
      </c>
    </row>
    <row r="6360" spans="1:10" x14ac:dyDescent="0.25">
      <c r="A6360" t="s">
        <v>4883</v>
      </c>
      <c r="B6360" t="s">
        <v>4919</v>
      </c>
      <c r="C6360" t="s">
        <v>4921</v>
      </c>
      <c r="D6360">
        <v>143030</v>
      </c>
      <c r="E6360" t="s">
        <v>14</v>
      </c>
      <c r="F6360">
        <v>45.055900000000001</v>
      </c>
      <c r="G6360">
        <v>13.6256</v>
      </c>
      <c r="H6360">
        <v>1</v>
      </c>
      <c r="I6360">
        <v>18</v>
      </c>
      <c r="J6360" t="str">
        <f>HYPERLINK("https://climate.onebuilding.org/WMO_Region_6_Europe/HRV_Croatia/IS_Istarska/HRV_IS_Rovinj-St.John.Lighthouse.143030_TMYx.zip")</f>
        <v>https://climate.onebuilding.org/WMO_Region_6_Europe/HRV_Croatia/IS_Istarska/HRV_IS_Rovinj-St.John.Lighthouse.143030_TMYx.zip</v>
      </c>
    </row>
    <row r="6361" spans="1:10" x14ac:dyDescent="0.25">
      <c r="A6361" t="s">
        <v>4883</v>
      </c>
      <c r="B6361" t="s">
        <v>4919</v>
      </c>
      <c r="C6361" t="s">
        <v>4923</v>
      </c>
      <c r="D6361">
        <v>143070</v>
      </c>
      <c r="E6361" t="s">
        <v>4924</v>
      </c>
      <c r="F6361">
        <v>44.8964</v>
      </c>
      <c r="G6361">
        <v>13.931900000000001</v>
      </c>
      <c r="H6361">
        <v>1</v>
      </c>
      <c r="I6361">
        <v>83.5</v>
      </c>
      <c r="J6361" t="str">
        <f>HYPERLINK("https://climate.onebuilding.org/WMO_Region_6_Europe/HRV_Croatia/IS_Istarska/HRV_IS_Pula.AP.143070_TMYx.2004-2018.zip")</f>
        <v>https://climate.onebuilding.org/WMO_Region_6_Europe/HRV_Croatia/IS_Istarska/HRV_IS_Pula.AP.143070_TMYx.2004-2018.zip</v>
      </c>
    </row>
    <row r="6362" spans="1:10" x14ac:dyDescent="0.25">
      <c r="A6362" t="s">
        <v>4883</v>
      </c>
      <c r="B6362" t="s">
        <v>4919</v>
      </c>
      <c r="C6362" t="s">
        <v>4923</v>
      </c>
      <c r="D6362">
        <v>143070</v>
      </c>
      <c r="E6362" t="s">
        <v>14</v>
      </c>
      <c r="F6362">
        <v>44.8964</v>
      </c>
      <c r="G6362">
        <v>13.931900000000001</v>
      </c>
      <c r="H6362">
        <v>1</v>
      </c>
      <c r="I6362">
        <v>83.5</v>
      </c>
      <c r="J6362" t="str">
        <f>HYPERLINK("https://climate.onebuilding.org/WMO_Region_6_Europe/HRV_Croatia/IS_Istarska/HRV_IS_Pula.AP.143070_TMYx.2007-2021.zip")</f>
        <v>https://climate.onebuilding.org/WMO_Region_6_Europe/HRV_Croatia/IS_Istarska/HRV_IS_Pula.AP.143070_TMYx.2007-2021.zip</v>
      </c>
    </row>
    <row r="6363" spans="1:10" x14ac:dyDescent="0.25">
      <c r="A6363" t="s">
        <v>4883</v>
      </c>
      <c r="B6363" t="s">
        <v>4919</v>
      </c>
      <c r="C6363" t="s">
        <v>4923</v>
      </c>
      <c r="D6363">
        <v>143070</v>
      </c>
      <c r="E6363" t="s">
        <v>14</v>
      </c>
      <c r="F6363">
        <v>44.8964</v>
      </c>
      <c r="G6363">
        <v>13.931900000000001</v>
      </c>
      <c r="H6363">
        <v>1</v>
      </c>
      <c r="I6363">
        <v>83.5</v>
      </c>
      <c r="J6363" t="str">
        <f>HYPERLINK("https://climate.onebuilding.org/WMO_Region_6_Europe/HRV_Croatia/IS_Istarska/HRV_IS_Pula.AP.143070_TMYx.2009-2023.zip")</f>
        <v>https://climate.onebuilding.org/WMO_Region_6_Europe/HRV_Croatia/IS_Istarska/HRV_IS_Pula.AP.143070_TMYx.2009-2023.zip</v>
      </c>
    </row>
    <row r="6364" spans="1:10" x14ac:dyDescent="0.25">
      <c r="A6364" t="s">
        <v>4883</v>
      </c>
      <c r="B6364" t="s">
        <v>4919</v>
      </c>
      <c r="C6364" t="s">
        <v>4923</v>
      </c>
      <c r="D6364">
        <v>143070</v>
      </c>
      <c r="E6364" t="s">
        <v>14</v>
      </c>
      <c r="F6364">
        <v>44.8964</v>
      </c>
      <c r="G6364">
        <v>13.931900000000001</v>
      </c>
      <c r="H6364">
        <v>1</v>
      </c>
      <c r="I6364">
        <v>83.5</v>
      </c>
      <c r="J6364" t="str">
        <f>HYPERLINK("https://climate.onebuilding.org/WMO_Region_6_Europe/HRV_Croatia/IS_Istarska/HRV_IS_Pula.AP.143070_TMYx.zip")</f>
        <v>https://climate.onebuilding.org/WMO_Region_6_Europe/HRV_Croatia/IS_Istarska/HRV_IS_Pula.AP.143070_TMYx.zip</v>
      </c>
    </row>
    <row r="6365" spans="1:10" x14ac:dyDescent="0.25">
      <c r="A6365" t="s">
        <v>4883</v>
      </c>
      <c r="B6365" t="s">
        <v>4919</v>
      </c>
      <c r="C6365" t="s">
        <v>4925</v>
      </c>
      <c r="D6365">
        <v>143080</v>
      </c>
      <c r="E6365" t="s">
        <v>4926</v>
      </c>
      <c r="F6365">
        <v>45.2408</v>
      </c>
      <c r="G6365">
        <v>13.9453</v>
      </c>
      <c r="H6365">
        <v>1</v>
      </c>
      <c r="I6365">
        <v>293</v>
      </c>
      <c r="J6365" t="str">
        <f>HYPERLINK("https://climate.onebuilding.org/WMO_Region_6_Europe/HRV_Croatia/IS_Istarska/HRV_IS_Pazin.143080_TMYx.2004-2018.zip")</f>
        <v>https://climate.onebuilding.org/WMO_Region_6_Europe/HRV_Croatia/IS_Istarska/HRV_IS_Pazin.143080_TMYx.2004-2018.zip</v>
      </c>
    </row>
    <row r="6366" spans="1:10" x14ac:dyDescent="0.25">
      <c r="A6366" t="s">
        <v>4883</v>
      </c>
      <c r="B6366" t="s">
        <v>4919</v>
      </c>
      <c r="C6366" t="s">
        <v>4925</v>
      </c>
      <c r="D6366">
        <v>143080</v>
      </c>
      <c r="E6366" t="s">
        <v>14</v>
      </c>
      <c r="F6366">
        <v>45.2408</v>
      </c>
      <c r="G6366">
        <v>13.9453</v>
      </c>
      <c r="H6366">
        <v>1</v>
      </c>
      <c r="I6366">
        <v>293</v>
      </c>
      <c r="J6366" t="str">
        <f>HYPERLINK("https://climate.onebuilding.org/WMO_Region_6_Europe/HRV_Croatia/IS_Istarska/HRV_IS_Pazin.143080_TMYx.2007-2021.zip")</f>
        <v>https://climate.onebuilding.org/WMO_Region_6_Europe/HRV_Croatia/IS_Istarska/HRV_IS_Pazin.143080_TMYx.2007-2021.zip</v>
      </c>
    </row>
    <row r="6367" spans="1:10" x14ac:dyDescent="0.25">
      <c r="A6367" t="s">
        <v>4883</v>
      </c>
      <c r="B6367" t="s">
        <v>4919</v>
      </c>
      <c r="C6367" t="s">
        <v>4925</v>
      </c>
      <c r="D6367">
        <v>143080</v>
      </c>
      <c r="E6367" t="s">
        <v>14</v>
      </c>
      <c r="F6367">
        <v>45.2408</v>
      </c>
      <c r="G6367">
        <v>13.9453</v>
      </c>
      <c r="H6367">
        <v>1</v>
      </c>
      <c r="I6367">
        <v>293</v>
      </c>
      <c r="J6367" t="str">
        <f>HYPERLINK("https://climate.onebuilding.org/WMO_Region_6_Europe/HRV_Croatia/IS_Istarska/HRV_IS_Pazin.143080_TMYx.2009-2023.zip")</f>
        <v>https://climate.onebuilding.org/WMO_Region_6_Europe/HRV_Croatia/IS_Istarska/HRV_IS_Pazin.143080_TMYx.2009-2023.zip</v>
      </c>
    </row>
    <row r="6368" spans="1:10" x14ac:dyDescent="0.25">
      <c r="A6368" t="s">
        <v>4883</v>
      </c>
      <c r="B6368" t="s">
        <v>4919</v>
      </c>
      <c r="C6368" t="s">
        <v>4925</v>
      </c>
      <c r="D6368">
        <v>143080</v>
      </c>
      <c r="E6368" t="s">
        <v>14</v>
      </c>
      <c r="F6368">
        <v>45.2408</v>
      </c>
      <c r="G6368">
        <v>13.9453</v>
      </c>
      <c r="H6368">
        <v>1</v>
      </c>
      <c r="I6368">
        <v>293</v>
      </c>
      <c r="J6368" t="str">
        <f>HYPERLINK("https://climate.onebuilding.org/WMO_Region_6_Europe/HRV_Croatia/IS_Istarska/HRV_IS_Pazin.143080_TMYx.zip")</f>
        <v>https://climate.onebuilding.org/WMO_Region_6_Europe/HRV_Croatia/IS_Istarska/HRV_IS_Pazin.143080_TMYx.zip</v>
      </c>
    </row>
    <row r="6369" spans="1:10" x14ac:dyDescent="0.25">
      <c r="A6369" t="s">
        <v>4883</v>
      </c>
      <c r="B6369" t="s">
        <v>4884</v>
      </c>
      <c r="C6369" t="s">
        <v>4927</v>
      </c>
      <c r="D6369">
        <v>143140</v>
      </c>
      <c r="E6369" t="s">
        <v>14</v>
      </c>
      <c r="F6369">
        <v>44.532499999999999</v>
      </c>
      <c r="G6369">
        <v>14.4719</v>
      </c>
      <c r="H6369">
        <v>1</v>
      </c>
      <c r="I6369">
        <v>53</v>
      </c>
      <c r="J6369" t="str">
        <f>HYPERLINK("https://climate.onebuilding.org/WMO_Region_6_Europe/HRV_Croatia/PG_Primorsko-Goranska/HRV_PG_Mali.Losinj.143140_TMYx.2007-2021.zip")</f>
        <v>https://climate.onebuilding.org/WMO_Region_6_Europe/HRV_Croatia/PG_Primorsko-Goranska/HRV_PG_Mali.Losinj.143140_TMYx.2007-2021.zip</v>
      </c>
    </row>
    <row r="6370" spans="1:10" x14ac:dyDescent="0.25">
      <c r="A6370" t="s">
        <v>4883</v>
      </c>
      <c r="B6370" t="s">
        <v>4884</v>
      </c>
      <c r="C6370" t="s">
        <v>4927</v>
      </c>
      <c r="D6370">
        <v>143140</v>
      </c>
      <c r="E6370" t="s">
        <v>14</v>
      </c>
      <c r="F6370">
        <v>44.532499999999999</v>
      </c>
      <c r="G6370">
        <v>14.4719</v>
      </c>
      <c r="H6370">
        <v>1</v>
      </c>
      <c r="I6370">
        <v>53</v>
      </c>
      <c r="J6370" t="str">
        <f>HYPERLINK("https://climate.onebuilding.org/WMO_Region_6_Europe/HRV_Croatia/PG_Primorsko-Goranska/HRV_PG_Mali.Losinj.143140_TMYx.2009-2023.zip")</f>
        <v>https://climate.onebuilding.org/WMO_Region_6_Europe/HRV_Croatia/PG_Primorsko-Goranska/HRV_PG_Mali.Losinj.143140_TMYx.2009-2023.zip</v>
      </c>
    </row>
    <row r="6371" spans="1:10" x14ac:dyDescent="0.25">
      <c r="A6371" t="s">
        <v>4883</v>
      </c>
      <c r="B6371" t="s">
        <v>4884</v>
      </c>
      <c r="C6371" t="s">
        <v>4927</v>
      </c>
      <c r="D6371">
        <v>143140</v>
      </c>
      <c r="E6371" t="s">
        <v>14</v>
      </c>
      <c r="F6371">
        <v>44.532499999999999</v>
      </c>
      <c r="G6371">
        <v>14.4719</v>
      </c>
      <c r="H6371">
        <v>1</v>
      </c>
      <c r="I6371">
        <v>53</v>
      </c>
      <c r="J6371" t="str">
        <f>HYPERLINK("https://climate.onebuilding.org/WMO_Region_6_Europe/HRV_Croatia/PG_Primorsko-Goranska/HRV_PG_Mali.Losinj.143140_TMYx.zip")</f>
        <v>https://climate.onebuilding.org/WMO_Region_6_Europe/HRV_Croatia/PG_Primorsko-Goranska/HRV_PG_Mali.Losinj.143140_TMYx.zip</v>
      </c>
    </row>
    <row r="6372" spans="1:10" x14ac:dyDescent="0.25">
      <c r="A6372" t="s">
        <v>4883</v>
      </c>
      <c r="B6372" t="s">
        <v>4884</v>
      </c>
      <c r="C6372" t="s">
        <v>4928</v>
      </c>
      <c r="D6372">
        <v>143200</v>
      </c>
      <c r="E6372" t="s">
        <v>14</v>
      </c>
      <c r="F6372">
        <v>45.168700000000001</v>
      </c>
      <c r="G6372">
        <v>14.703099999999999</v>
      </c>
      <c r="H6372">
        <v>1</v>
      </c>
      <c r="I6372">
        <v>12</v>
      </c>
      <c r="J6372" t="str">
        <f>HYPERLINK("https://climate.onebuilding.org/WMO_Region_6_Europe/HRV_Croatia/PG_Primorsko-Goranska/HRV_PG_Crikvenica.143200_TMYx.zip")</f>
        <v>https://climate.onebuilding.org/WMO_Region_6_Europe/HRV_Croatia/PG_Primorsko-Goranska/HRV_PG_Crikvenica.143200_TMYx.zip</v>
      </c>
    </row>
    <row r="6373" spans="1:10" x14ac:dyDescent="0.25">
      <c r="A6373" t="s">
        <v>4883</v>
      </c>
      <c r="B6373" t="s">
        <v>4884</v>
      </c>
      <c r="C6373" t="s">
        <v>4929</v>
      </c>
      <c r="D6373">
        <v>143210</v>
      </c>
      <c r="E6373" t="s">
        <v>4930</v>
      </c>
      <c r="F6373">
        <v>44.755600000000001</v>
      </c>
      <c r="G6373">
        <v>14.769399999999999</v>
      </c>
      <c r="H6373">
        <v>1</v>
      </c>
      <c r="I6373">
        <v>19.899999999999999</v>
      </c>
      <c r="J6373" t="str">
        <f>HYPERLINK("https://climate.onebuilding.org/WMO_Region_6_Europe/HRV_Croatia/PG_Primorsko-Goranska/HRV_PG_Rab-Rab.Island.143210_TMYx.2004-2018.zip")</f>
        <v>https://climate.onebuilding.org/WMO_Region_6_Europe/HRV_Croatia/PG_Primorsko-Goranska/HRV_PG_Rab-Rab.Island.143210_TMYx.2004-2018.zip</v>
      </c>
    </row>
    <row r="6374" spans="1:10" x14ac:dyDescent="0.25">
      <c r="A6374" t="s">
        <v>4883</v>
      </c>
      <c r="B6374" t="s">
        <v>4884</v>
      </c>
      <c r="C6374" t="s">
        <v>4929</v>
      </c>
      <c r="D6374">
        <v>143210</v>
      </c>
      <c r="E6374" t="s">
        <v>14</v>
      </c>
      <c r="F6374">
        <v>44.755600000000001</v>
      </c>
      <c r="G6374">
        <v>14.769399999999999</v>
      </c>
      <c r="H6374">
        <v>1</v>
      </c>
      <c r="I6374">
        <v>19.899999999999999</v>
      </c>
      <c r="J6374" t="str">
        <f>HYPERLINK("https://climate.onebuilding.org/WMO_Region_6_Europe/HRV_Croatia/PG_Primorsko-Goranska/HRV_PG_Rab-Rab.Island.143210_TMYx.2007-2021.zip")</f>
        <v>https://climate.onebuilding.org/WMO_Region_6_Europe/HRV_Croatia/PG_Primorsko-Goranska/HRV_PG_Rab-Rab.Island.143210_TMYx.2007-2021.zip</v>
      </c>
    </row>
    <row r="6375" spans="1:10" x14ac:dyDescent="0.25">
      <c r="A6375" t="s">
        <v>4883</v>
      </c>
      <c r="B6375" t="s">
        <v>4884</v>
      </c>
      <c r="C6375" t="s">
        <v>4929</v>
      </c>
      <c r="D6375">
        <v>143210</v>
      </c>
      <c r="E6375" t="s">
        <v>14</v>
      </c>
      <c r="F6375">
        <v>44.755600000000001</v>
      </c>
      <c r="G6375">
        <v>14.769399999999999</v>
      </c>
      <c r="H6375">
        <v>1</v>
      </c>
      <c r="I6375">
        <v>19.899999999999999</v>
      </c>
      <c r="J6375" t="str">
        <f>HYPERLINK("https://climate.onebuilding.org/WMO_Region_6_Europe/HRV_Croatia/PG_Primorsko-Goranska/HRV_PG_Rab-Rab.Island.143210_TMYx.2009-2023.zip")</f>
        <v>https://climate.onebuilding.org/WMO_Region_6_Europe/HRV_Croatia/PG_Primorsko-Goranska/HRV_PG_Rab-Rab.Island.143210_TMYx.2009-2023.zip</v>
      </c>
    </row>
    <row r="6376" spans="1:10" x14ac:dyDescent="0.25">
      <c r="A6376" t="s">
        <v>4883</v>
      </c>
      <c r="B6376" t="s">
        <v>4884</v>
      </c>
      <c r="C6376" t="s">
        <v>4929</v>
      </c>
      <c r="D6376">
        <v>143210</v>
      </c>
      <c r="E6376" t="s">
        <v>14</v>
      </c>
      <c r="F6376">
        <v>44.755600000000001</v>
      </c>
      <c r="G6376">
        <v>14.769399999999999</v>
      </c>
      <c r="H6376">
        <v>1</v>
      </c>
      <c r="I6376">
        <v>19.899999999999999</v>
      </c>
      <c r="J6376" t="str">
        <f>HYPERLINK("https://climate.onebuilding.org/WMO_Region_6_Europe/HRV_Croatia/PG_Primorsko-Goranska/HRV_PG_Rab-Rab.Island.143210_TMYx.zip")</f>
        <v>https://climate.onebuilding.org/WMO_Region_6_Europe/HRV_Croatia/PG_Primorsko-Goranska/HRV_PG_Rab-Rab.Island.143210_TMYx.zip</v>
      </c>
    </row>
    <row r="6377" spans="1:10" x14ac:dyDescent="0.25">
      <c r="A6377" t="s">
        <v>4883</v>
      </c>
      <c r="B6377" t="s">
        <v>4931</v>
      </c>
      <c r="C6377" t="s">
        <v>4932</v>
      </c>
      <c r="D6377">
        <v>143230</v>
      </c>
      <c r="E6377" t="s">
        <v>14</v>
      </c>
      <c r="F6377">
        <v>44.9925</v>
      </c>
      <c r="G6377">
        <v>14.9033</v>
      </c>
      <c r="H6377">
        <v>1</v>
      </c>
      <c r="I6377">
        <v>28</v>
      </c>
      <c r="J6377" t="str">
        <f>HYPERLINK("https://climate.onebuilding.org/WMO_Region_6_Europe/HRV_Croatia/LS_Licko-Senjska/HRV_LS_Senj.143230_TMYx.2007-2021.zip")</f>
        <v>https://climate.onebuilding.org/WMO_Region_6_Europe/HRV_Croatia/LS_Licko-Senjska/HRV_LS_Senj.143230_TMYx.2007-2021.zip</v>
      </c>
    </row>
    <row r="6378" spans="1:10" x14ac:dyDescent="0.25">
      <c r="A6378" t="s">
        <v>4883</v>
      </c>
      <c r="B6378" t="s">
        <v>4931</v>
      </c>
      <c r="C6378" t="s">
        <v>4932</v>
      </c>
      <c r="D6378">
        <v>143230</v>
      </c>
      <c r="E6378" t="s">
        <v>14</v>
      </c>
      <c r="F6378">
        <v>44.9925</v>
      </c>
      <c r="G6378">
        <v>14.9033</v>
      </c>
      <c r="H6378">
        <v>1</v>
      </c>
      <c r="I6378">
        <v>28</v>
      </c>
      <c r="J6378" t="str">
        <f>HYPERLINK("https://climate.onebuilding.org/WMO_Region_6_Europe/HRV_Croatia/LS_Licko-Senjska/HRV_LS_Senj.143230_TMYx.2009-2023.zip")</f>
        <v>https://climate.onebuilding.org/WMO_Region_6_Europe/HRV_Croatia/LS_Licko-Senjska/HRV_LS_Senj.143230_TMYx.2009-2023.zip</v>
      </c>
    </row>
    <row r="6379" spans="1:10" x14ac:dyDescent="0.25">
      <c r="A6379" t="s">
        <v>4883</v>
      </c>
      <c r="B6379" t="s">
        <v>4931</v>
      </c>
      <c r="C6379" t="s">
        <v>4932</v>
      </c>
      <c r="D6379">
        <v>143230</v>
      </c>
      <c r="E6379" t="s">
        <v>14</v>
      </c>
      <c r="F6379">
        <v>44.9925</v>
      </c>
      <c r="G6379">
        <v>14.9033</v>
      </c>
      <c r="H6379">
        <v>1</v>
      </c>
      <c r="I6379">
        <v>28</v>
      </c>
      <c r="J6379" t="str">
        <f>HYPERLINK("https://climate.onebuilding.org/WMO_Region_6_Europe/HRV_Croatia/LS_Licko-Senjska/HRV_LS_Senj.143230_TMYx.zip")</f>
        <v>https://climate.onebuilding.org/WMO_Region_6_Europe/HRV_Croatia/LS_Licko-Senjska/HRV_LS_Senj.143230_TMYx.zip</v>
      </c>
    </row>
    <row r="6380" spans="1:10" x14ac:dyDescent="0.25">
      <c r="A6380" t="s">
        <v>4883</v>
      </c>
      <c r="B6380" t="s">
        <v>4931</v>
      </c>
      <c r="C6380" t="s">
        <v>4933</v>
      </c>
      <c r="D6380">
        <v>143240</v>
      </c>
      <c r="E6380" t="s">
        <v>14</v>
      </c>
      <c r="F6380">
        <v>44.814700000000002</v>
      </c>
      <c r="G6380">
        <v>14.975300000000001</v>
      </c>
      <c r="H6380">
        <v>1</v>
      </c>
      <c r="I6380">
        <v>1597</v>
      </c>
      <c r="J6380" t="str">
        <f>HYPERLINK("https://climate.onebuilding.org/WMO_Region_6_Europe/HRV_Croatia/LS_Licko-Senjska/HRV_LS_Zavizan.Mtn-Northern.Velebit.Natl.Park.143240_TMYx.2007-2021.zip")</f>
        <v>https://climate.onebuilding.org/WMO_Region_6_Europe/HRV_Croatia/LS_Licko-Senjska/HRV_LS_Zavizan.Mtn-Northern.Velebit.Natl.Park.143240_TMYx.2007-2021.zip</v>
      </c>
    </row>
    <row r="6381" spans="1:10" x14ac:dyDescent="0.25">
      <c r="A6381" t="s">
        <v>4883</v>
      </c>
      <c r="B6381" t="s">
        <v>4931</v>
      </c>
      <c r="C6381" t="s">
        <v>4933</v>
      </c>
      <c r="D6381">
        <v>143240</v>
      </c>
      <c r="E6381" t="s">
        <v>14</v>
      </c>
      <c r="F6381">
        <v>44.814700000000002</v>
      </c>
      <c r="G6381">
        <v>14.975300000000001</v>
      </c>
      <c r="H6381">
        <v>1</v>
      </c>
      <c r="I6381">
        <v>1597</v>
      </c>
      <c r="J6381" t="str">
        <f>HYPERLINK("https://climate.onebuilding.org/WMO_Region_6_Europe/HRV_Croatia/LS_Licko-Senjska/HRV_LS_Zavizan.Mtn-Northern.Velebit.Natl.Park.143240_TMYx.2009-2023.zip")</f>
        <v>https://climate.onebuilding.org/WMO_Region_6_Europe/HRV_Croatia/LS_Licko-Senjska/HRV_LS_Zavizan.Mtn-Northern.Velebit.Natl.Park.143240_TMYx.2009-2023.zip</v>
      </c>
    </row>
    <row r="6382" spans="1:10" x14ac:dyDescent="0.25">
      <c r="A6382" t="s">
        <v>4883</v>
      </c>
      <c r="B6382" t="s">
        <v>4931</v>
      </c>
      <c r="C6382" t="s">
        <v>4933</v>
      </c>
      <c r="D6382">
        <v>143240</v>
      </c>
      <c r="E6382" t="s">
        <v>14</v>
      </c>
      <c r="F6382">
        <v>44.814700000000002</v>
      </c>
      <c r="G6382">
        <v>14.975300000000001</v>
      </c>
      <c r="H6382">
        <v>1</v>
      </c>
      <c r="I6382">
        <v>1597</v>
      </c>
      <c r="J6382" t="str">
        <f>HYPERLINK("https://climate.onebuilding.org/WMO_Region_6_Europe/HRV_Croatia/LS_Licko-Senjska/HRV_LS_Zavizan.Mtn-Northern.Velebit.Natl.Park.143240_TMYx.zip")</f>
        <v>https://climate.onebuilding.org/WMO_Region_6_Europe/HRV_Croatia/LS_Licko-Senjska/HRV_LS_Zavizan.Mtn-Northern.Velebit.Natl.Park.143240_TMYx.zip</v>
      </c>
    </row>
    <row r="6383" spans="1:10" x14ac:dyDescent="0.25">
      <c r="A6383" t="s">
        <v>4883</v>
      </c>
      <c r="B6383" t="s">
        <v>246</v>
      </c>
      <c r="C6383" t="s">
        <v>4934</v>
      </c>
      <c r="D6383">
        <v>143280</v>
      </c>
      <c r="E6383" t="s">
        <v>4935</v>
      </c>
      <c r="F6383">
        <v>45.262799999999999</v>
      </c>
      <c r="G6383">
        <v>15.222200000000001</v>
      </c>
      <c r="H6383">
        <v>1</v>
      </c>
      <c r="I6383">
        <v>328</v>
      </c>
      <c r="J6383" t="str">
        <f>HYPERLINK("https://climate.onebuilding.org/WMO_Region_6_Europe/HRV_Croatia/KA_Karlovacka/HRV_KA_Ogulin.143280_TMYx.2004-2018.zip")</f>
        <v>https://climate.onebuilding.org/WMO_Region_6_Europe/HRV_Croatia/KA_Karlovacka/HRV_KA_Ogulin.143280_TMYx.2004-2018.zip</v>
      </c>
    </row>
    <row r="6384" spans="1:10" x14ac:dyDescent="0.25">
      <c r="A6384" t="s">
        <v>4883</v>
      </c>
      <c r="B6384" t="s">
        <v>246</v>
      </c>
      <c r="C6384" t="s">
        <v>4934</v>
      </c>
      <c r="D6384">
        <v>143280</v>
      </c>
      <c r="E6384" t="s">
        <v>14</v>
      </c>
      <c r="F6384">
        <v>45.262799999999999</v>
      </c>
      <c r="G6384">
        <v>15.222200000000001</v>
      </c>
      <c r="H6384">
        <v>1</v>
      </c>
      <c r="I6384">
        <v>328</v>
      </c>
      <c r="J6384" t="str">
        <f>HYPERLINK("https://climate.onebuilding.org/WMO_Region_6_Europe/HRV_Croatia/KA_Karlovacka/HRV_KA_Ogulin.143280_TMYx.2007-2021.zip")</f>
        <v>https://climate.onebuilding.org/WMO_Region_6_Europe/HRV_Croatia/KA_Karlovacka/HRV_KA_Ogulin.143280_TMYx.2007-2021.zip</v>
      </c>
    </row>
    <row r="6385" spans="1:10" x14ac:dyDescent="0.25">
      <c r="A6385" t="s">
        <v>4883</v>
      </c>
      <c r="B6385" t="s">
        <v>246</v>
      </c>
      <c r="C6385" t="s">
        <v>4934</v>
      </c>
      <c r="D6385">
        <v>143280</v>
      </c>
      <c r="E6385" t="s">
        <v>14</v>
      </c>
      <c r="F6385">
        <v>45.262799999999999</v>
      </c>
      <c r="G6385">
        <v>15.222200000000001</v>
      </c>
      <c r="H6385">
        <v>1</v>
      </c>
      <c r="I6385">
        <v>328</v>
      </c>
      <c r="J6385" t="str">
        <f>HYPERLINK("https://climate.onebuilding.org/WMO_Region_6_Europe/HRV_Croatia/KA_Karlovacka/HRV_KA_Ogulin.143280_TMYx.2009-2023.zip")</f>
        <v>https://climate.onebuilding.org/WMO_Region_6_Europe/HRV_Croatia/KA_Karlovacka/HRV_KA_Ogulin.143280_TMYx.2009-2023.zip</v>
      </c>
    </row>
    <row r="6386" spans="1:10" x14ac:dyDescent="0.25">
      <c r="A6386" t="s">
        <v>4883</v>
      </c>
      <c r="B6386" t="s">
        <v>246</v>
      </c>
      <c r="C6386" t="s">
        <v>4934</v>
      </c>
      <c r="D6386">
        <v>143280</v>
      </c>
      <c r="E6386" t="s">
        <v>14</v>
      </c>
      <c r="F6386">
        <v>45.262799999999999</v>
      </c>
      <c r="G6386">
        <v>15.222200000000001</v>
      </c>
      <c r="H6386">
        <v>1</v>
      </c>
      <c r="I6386">
        <v>328</v>
      </c>
      <c r="J6386" t="str">
        <f>HYPERLINK("https://climate.onebuilding.org/WMO_Region_6_Europe/HRV_Croatia/KA_Karlovacka/HRV_KA_Ogulin.143280_TMYx.zip")</f>
        <v>https://climate.onebuilding.org/WMO_Region_6_Europe/HRV_Croatia/KA_Karlovacka/HRV_KA_Ogulin.143280_TMYx.zip</v>
      </c>
    </row>
    <row r="6387" spans="1:10" x14ac:dyDescent="0.25">
      <c r="A6387" t="s">
        <v>4883</v>
      </c>
      <c r="B6387" t="s">
        <v>4931</v>
      </c>
      <c r="C6387" t="s">
        <v>4936</v>
      </c>
      <c r="D6387">
        <v>143300</v>
      </c>
      <c r="E6387" t="s">
        <v>4937</v>
      </c>
      <c r="F6387">
        <v>44.550600000000003</v>
      </c>
      <c r="G6387">
        <v>15.373100000000001</v>
      </c>
      <c r="H6387">
        <v>1</v>
      </c>
      <c r="I6387">
        <v>565</v>
      </c>
      <c r="J6387" t="str">
        <f>HYPERLINK("https://climate.onebuilding.org/WMO_Region_6_Europe/HRV_Croatia/LS_Licko-Senjska/HRV_LS_Gospic.143300_TMYx.2004-2018.zip")</f>
        <v>https://climate.onebuilding.org/WMO_Region_6_Europe/HRV_Croatia/LS_Licko-Senjska/HRV_LS_Gospic.143300_TMYx.2004-2018.zip</v>
      </c>
    </row>
    <row r="6388" spans="1:10" x14ac:dyDescent="0.25">
      <c r="A6388" t="s">
        <v>4883</v>
      </c>
      <c r="B6388" t="s">
        <v>4931</v>
      </c>
      <c r="C6388" t="s">
        <v>4936</v>
      </c>
      <c r="D6388">
        <v>143300</v>
      </c>
      <c r="E6388" t="s">
        <v>14</v>
      </c>
      <c r="F6388">
        <v>44.550600000000003</v>
      </c>
      <c r="G6388">
        <v>15.373100000000001</v>
      </c>
      <c r="H6388">
        <v>1</v>
      </c>
      <c r="I6388">
        <v>565</v>
      </c>
      <c r="J6388" t="str">
        <f>HYPERLINK("https://climate.onebuilding.org/WMO_Region_6_Europe/HRV_Croatia/LS_Licko-Senjska/HRV_LS_Gospic.143300_TMYx.2007-2021.zip")</f>
        <v>https://climate.onebuilding.org/WMO_Region_6_Europe/HRV_Croatia/LS_Licko-Senjska/HRV_LS_Gospic.143300_TMYx.2007-2021.zip</v>
      </c>
    </row>
    <row r="6389" spans="1:10" x14ac:dyDescent="0.25">
      <c r="A6389" t="s">
        <v>4883</v>
      </c>
      <c r="B6389" t="s">
        <v>4931</v>
      </c>
      <c r="C6389" t="s">
        <v>4936</v>
      </c>
      <c r="D6389">
        <v>143300</v>
      </c>
      <c r="E6389" t="s">
        <v>14</v>
      </c>
      <c r="F6389">
        <v>44.550600000000003</v>
      </c>
      <c r="G6389">
        <v>15.373100000000001</v>
      </c>
      <c r="H6389">
        <v>1</v>
      </c>
      <c r="I6389">
        <v>565</v>
      </c>
      <c r="J6389" t="str">
        <f>HYPERLINK("https://climate.onebuilding.org/WMO_Region_6_Europe/HRV_Croatia/LS_Licko-Senjska/HRV_LS_Gospic.143300_TMYx.2009-2023.zip")</f>
        <v>https://climate.onebuilding.org/WMO_Region_6_Europe/HRV_Croatia/LS_Licko-Senjska/HRV_LS_Gospic.143300_TMYx.2009-2023.zip</v>
      </c>
    </row>
    <row r="6390" spans="1:10" x14ac:dyDescent="0.25">
      <c r="A6390" t="s">
        <v>4883</v>
      </c>
      <c r="B6390" t="s">
        <v>4931</v>
      </c>
      <c r="C6390" t="s">
        <v>4936</v>
      </c>
      <c r="D6390">
        <v>143300</v>
      </c>
      <c r="E6390" t="s">
        <v>14</v>
      </c>
      <c r="F6390">
        <v>44.550600000000003</v>
      </c>
      <c r="G6390">
        <v>15.373100000000001</v>
      </c>
      <c r="H6390">
        <v>1</v>
      </c>
      <c r="I6390">
        <v>565</v>
      </c>
      <c r="J6390" t="str">
        <f>HYPERLINK("https://climate.onebuilding.org/WMO_Region_6_Europe/HRV_Croatia/LS_Licko-Senjska/HRV_LS_Gospic.143300_TMYx.zip")</f>
        <v>https://climate.onebuilding.org/WMO_Region_6_Europe/HRV_Croatia/LS_Licko-Senjska/HRV_LS_Gospic.143300_TMYx.zip</v>
      </c>
    </row>
    <row r="6391" spans="1:10" x14ac:dyDescent="0.25">
      <c r="A6391" t="s">
        <v>4883</v>
      </c>
      <c r="B6391" t="s">
        <v>4938</v>
      </c>
      <c r="C6391" t="s">
        <v>4939</v>
      </c>
      <c r="D6391">
        <v>143700</v>
      </c>
      <c r="E6391" t="s">
        <v>4940</v>
      </c>
      <c r="F6391">
        <v>45.159199999999998</v>
      </c>
      <c r="G6391">
        <v>17.9953</v>
      </c>
      <c r="H6391">
        <v>1</v>
      </c>
      <c r="I6391">
        <v>89</v>
      </c>
      <c r="J6391" t="str">
        <f>HYPERLINK("https://climate.onebuilding.org/WMO_Region_6_Europe/HRV_Croatia/SP_Brodsko-Posavska/HRV_SP_Slavonski.Brod.143700_TMYx.2004-2018.zip")</f>
        <v>https://climate.onebuilding.org/WMO_Region_6_Europe/HRV_Croatia/SP_Brodsko-Posavska/HRV_SP_Slavonski.Brod.143700_TMYx.2004-2018.zip</v>
      </c>
    </row>
    <row r="6392" spans="1:10" x14ac:dyDescent="0.25">
      <c r="A6392" t="s">
        <v>4883</v>
      </c>
      <c r="B6392" t="s">
        <v>4938</v>
      </c>
      <c r="C6392" t="s">
        <v>4939</v>
      </c>
      <c r="D6392">
        <v>143700</v>
      </c>
      <c r="E6392" t="s">
        <v>14</v>
      </c>
      <c r="F6392">
        <v>45.159199999999998</v>
      </c>
      <c r="G6392">
        <v>17.9953</v>
      </c>
      <c r="H6392">
        <v>1</v>
      </c>
      <c r="I6392">
        <v>89</v>
      </c>
      <c r="J6392" t="str">
        <f>HYPERLINK("https://climate.onebuilding.org/WMO_Region_6_Europe/HRV_Croatia/SP_Brodsko-Posavska/HRV_SP_Slavonski.Brod.143700_TMYx.2007-2021.zip")</f>
        <v>https://climate.onebuilding.org/WMO_Region_6_Europe/HRV_Croatia/SP_Brodsko-Posavska/HRV_SP_Slavonski.Brod.143700_TMYx.2007-2021.zip</v>
      </c>
    </row>
    <row r="6393" spans="1:10" x14ac:dyDescent="0.25">
      <c r="A6393" t="s">
        <v>4883</v>
      </c>
      <c r="B6393" t="s">
        <v>4938</v>
      </c>
      <c r="C6393" t="s">
        <v>4939</v>
      </c>
      <c r="D6393">
        <v>143700</v>
      </c>
      <c r="E6393" t="s">
        <v>14</v>
      </c>
      <c r="F6393">
        <v>45.159199999999998</v>
      </c>
      <c r="G6393">
        <v>17.9953</v>
      </c>
      <c r="H6393">
        <v>1</v>
      </c>
      <c r="I6393">
        <v>89</v>
      </c>
      <c r="J6393" t="str">
        <f>HYPERLINK("https://climate.onebuilding.org/WMO_Region_6_Europe/HRV_Croatia/SP_Brodsko-Posavska/HRV_SP_Slavonski.Brod.143700_TMYx.2009-2023.zip")</f>
        <v>https://climate.onebuilding.org/WMO_Region_6_Europe/HRV_Croatia/SP_Brodsko-Posavska/HRV_SP_Slavonski.Brod.143700_TMYx.2009-2023.zip</v>
      </c>
    </row>
    <row r="6394" spans="1:10" x14ac:dyDescent="0.25">
      <c r="A6394" t="s">
        <v>4883</v>
      </c>
      <c r="B6394" t="s">
        <v>4938</v>
      </c>
      <c r="C6394" t="s">
        <v>4939</v>
      </c>
      <c r="D6394">
        <v>143700</v>
      </c>
      <c r="E6394" t="s">
        <v>14</v>
      </c>
      <c r="F6394">
        <v>45.159199999999998</v>
      </c>
      <c r="G6394">
        <v>17.9953</v>
      </c>
      <c r="H6394">
        <v>1</v>
      </c>
      <c r="I6394">
        <v>89</v>
      </c>
      <c r="J6394" t="str">
        <f>HYPERLINK("https://climate.onebuilding.org/WMO_Region_6_Europe/HRV_Croatia/SP_Brodsko-Posavska/HRV_SP_Slavonski.Brod.143700_TMYx.zip")</f>
        <v>https://climate.onebuilding.org/WMO_Region_6_Europe/HRV_Croatia/SP_Brodsko-Posavska/HRV_SP_Slavonski.Brod.143700_TMYx.zip</v>
      </c>
    </row>
    <row r="6395" spans="1:10" x14ac:dyDescent="0.25">
      <c r="A6395" t="s">
        <v>4883</v>
      </c>
      <c r="B6395" t="s">
        <v>954</v>
      </c>
      <c r="C6395" t="s">
        <v>4941</v>
      </c>
      <c r="D6395">
        <v>143820</v>
      </c>
      <c r="E6395" t="s">
        <v>4942</v>
      </c>
      <c r="F6395">
        <v>45.159199999999998</v>
      </c>
      <c r="G6395">
        <v>18.703600000000002</v>
      </c>
      <c r="H6395">
        <v>1</v>
      </c>
      <c r="I6395">
        <v>98</v>
      </c>
      <c r="J6395" t="str">
        <f>HYPERLINK("https://climate.onebuilding.org/WMO_Region_6_Europe/HRV_Croatia/VS_Vukovarsko-Srijemska/HRV_VS_Gradiste.143820_TMYx.2004-2018.zip")</f>
        <v>https://climate.onebuilding.org/WMO_Region_6_Europe/HRV_Croatia/VS_Vukovarsko-Srijemska/HRV_VS_Gradiste.143820_TMYx.2004-2018.zip</v>
      </c>
    </row>
    <row r="6396" spans="1:10" x14ac:dyDescent="0.25">
      <c r="A6396" t="s">
        <v>4883</v>
      </c>
      <c r="B6396" t="s">
        <v>954</v>
      </c>
      <c r="C6396" t="s">
        <v>4941</v>
      </c>
      <c r="D6396">
        <v>143820</v>
      </c>
      <c r="E6396" t="s">
        <v>14</v>
      </c>
      <c r="F6396">
        <v>45.159199999999998</v>
      </c>
      <c r="G6396">
        <v>18.703600000000002</v>
      </c>
      <c r="H6396">
        <v>1</v>
      </c>
      <c r="I6396">
        <v>98</v>
      </c>
      <c r="J6396" t="str">
        <f>HYPERLINK("https://climate.onebuilding.org/WMO_Region_6_Europe/HRV_Croatia/VS_Vukovarsko-Srijemska/HRV_VS_Gradiste.143820_TMYx.2007-2021.zip")</f>
        <v>https://climate.onebuilding.org/WMO_Region_6_Europe/HRV_Croatia/VS_Vukovarsko-Srijemska/HRV_VS_Gradiste.143820_TMYx.2007-2021.zip</v>
      </c>
    </row>
    <row r="6397" spans="1:10" x14ac:dyDescent="0.25">
      <c r="A6397" t="s">
        <v>4883</v>
      </c>
      <c r="B6397" t="s">
        <v>954</v>
      </c>
      <c r="C6397" t="s">
        <v>4941</v>
      </c>
      <c r="D6397">
        <v>143820</v>
      </c>
      <c r="E6397" t="s">
        <v>14</v>
      </c>
      <c r="F6397">
        <v>45.159199999999998</v>
      </c>
      <c r="G6397">
        <v>18.703600000000002</v>
      </c>
      <c r="H6397">
        <v>1</v>
      </c>
      <c r="I6397">
        <v>98</v>
      </c>
      <c r="J6397" t="str">
        <f>HYPERLINK("https://climate.onebuilding.org/WMO_Region_6_Europe/HRV_Croatia/VS_Vukovarsko-Srijemska/HRV_VS_Gradiste.143820_TMYx.2009-2023.zip")</f>
        <v>https://climate.onebuilding.org/WMO_Region_6_Europe/HRV_Croatia/VS_Vukovarsko-Srijemska/HRV_VS_Gradiste.143820_TMYx.2009-2023.zip</v>
      </c>
    </row>
    <row r="6398" spans="1:10" x14ac:dyDescent="0.25">
      <c r="A6398" t="s">
        <v>4883</v>
      </c>
      <c r="B6398" t="s">
        <v>954</v>
      </c>
      <c r="C6398" t="s">
        <v>4941</v>
      </c>
      <c r="D6398">
        <v>143820</v>
      </c>
      <c r="E6398" t="s">
        <v>14</v>
      </c>
      <c r="F6398">
        <v>45.159199999999998</v>
      </c>
      <c r="G6398">
        <v>18.703600000000002</v>
      </c>
      <c r="H6398">
        <v>1</v>
      </c>
      <c r="I6398">
        <v>98</v>
      </c>
      <c r="J6398" t="str">
        <f>HYPERLINK("https://climate.onebuilding.org/WMO_Region_6_Europe/HRV_Croatia/VS_Vukovarsko-Srijemska/HRV_VS_Gradiste.143820_TMYx.zip")</f>
        <v>https://climate.onebuilding.org/WMO_Region_6_Europe/HRV_Croatia/VS_Vukovarsko-Srijemska/HRV_VS_Gradiste.143820_TMYx.zip</v>
      </c>
    </row>
    <row r="6399" spans="1:10" x14ac:dyDescent="0.25">
      <c r="A6399" t="s">
        <v>4883</v>
      </c>
      <c r="B6399" t="s">
        <v>4943</v>
      </c>
      <c r="C6399" t="s">
        <v>4944</v>
      </c>
      <c r="D6399">
        <v>144270</v>
      </c>
      <c r="E6399" t="s">
        <v>4945</v>
      </c>
      <c r="F6399">
        <v>43.852200000000003</v>
      </c>
      <c r="G6399">
        <v>15.2074</v>
      </c>
      <c r="H6399">
        <v>1</v>
      </c>
      <c r="I6399">
        <v>35</v>
      </c>
      <c r="J6399" t="str">
        <f>HYPERLINK("https://climate.onebuilding.org/WMO_Region_6_Europe/HRV_Croatia/ZD_Zadarska/HRV_ZD_Otocic.Sestrica.Vela.Island.144270_TMYx.2004-2018.zip")</f>
        <v>https://climate.onebuilding.org/WMO_Region_6_Europe/HRV_Croatia/ZD_Zadarska/HRV_ZD_Otocic.Sestrica.Vela.Island.144270_TMYx.2004-2018.zip</v>
      </c>
    </row>
    <row r="6400" spans="1:10" x14ac:dyDescent="0.25">
      <c r="A6400" t="s">
        <v>4883</v>
      </c>
      <c r="B6400" t="s">
        <v>4943</v>
      </c>
      <c r="C6400" t="s">
        <v>4944</v>
      </c>
      <c r="D6400">
        <v>144270</v>
      </c>
      <c r="E6400" t="s">
        <v>14</v>
      </c>
      <c r="F6400">
        <v>43.852200000000003</v>
      </c>
      <c r="G6400">
        <v>15.2074</v>
      </c>
      <c r="H6400">
        <v>1</v>
      </c>
      <c r="I6400">
        <v>35</v>
      </c>
      <c r="J6400" t="str">
        <f>HYPERLINK("https://climate.onebuilding.org/WMO_Region_6_Europe/HRV_Croatia/ZD_Zadarska/HRV_ZD_Otocic.Sestrica.Vela.Island.144270_TMYx.zip")</f>
        <v>https://climate.onebuilding.org/WMO_Region_6_Europe/HRV_Croatia/ZD_Zadarska/HRV_ZD_Otocic.Sestrica.Vela.Island.144270_TMYx.zip</v>
      </c>
    </row>
    <row r="6401" spans="1:10" x14ac:dyDescent="0.25">
      <c r="A6401" t="s">
        <v>4883</v>
      </c>
      <c r="B6401" t="s">
        <v>4943</v>
      </c>
      <c r="C6401" t="s">
        <v>4946</v>
      </c>
      <c r="D6401">
        <v>144280</v>
      </c>
      <c r="E6401" t="s">
        <v>14</v>
      </c>
      <c r="F6401">
        <v>44.13</v>
      </c>
      <c r="G6401">
        <v>15.2058</v>
      </c>
      <c r="H6401">
        <v>1</v>
      </c>
      <c r="I6401">
        <v>7</v>
      </c>
      <c r="J6401" t="str">
        <f>HYPERLINK("https://climate.onebuilding.org/WMO_Region_6_Europe/HRV_Croatia/ZD_Zadarska/HRV_ZD_Zadar.144280_TMYx.2007-2021.zip")</f>
        <v>https://climate.onebuilding.org/WMO_Region_6_Europe/HRV_Croatia/ZD_Zadarska/HRV_ZD_Zadar.144280_TMYx.2007-2021.zip</v>
      </c>
    </row>
    <row r="6402" spans="1:10" x14ac:dyDescent="0.25">
      <c r="A6402" t="s">
        <v>4883</v>
      </c>
      <c r="B6402" t="s">
        <v>4943</v>
      </c>
      <c r="C6402" t="s">
        <v>4946</v>
      </c>
      <c r="D6402">
        <v>144280</v>
      </c>
      <c r="E6402" t="s">
        <v>14</v>
      </c>
      <c r="F6402">
        <v>44.13</v>
      </c>
      <c r="G6402">
        <v>15.2058</v>
      </c>
      <c r="H6402">
        <v>1</v>
      </c>
      <c r="I6402">
        <v>7</v>
      </c>
      <c r="J6402" t="str">
        <f>HYPERLINK("https://climate.onebuilding.org/WMO_Region_6_Europe/HRV_Croatia/ZD_Zadarska/HRV_ZD_Zadar.144280_TMYx.2009-2023.zip")</f>
        <v>https://climate.onebuilding.org/WMO_Region_6_Europe/HRV_Croatia/ZD_Zadarska/HRV_ZD_Zadar.144280_TMYx.2009-2023.zip</v>
      </c>
    </row>
    <row r="6403" spans="1:10" x14ac:dyDescent="0.25">
      <c r="A6403" t="s">
        <v>4883</v>
      </c>
      <c r="B6403" t="s">
        <v>4943</v>
      </c>
      <c r="C6403" t="s">
        <v>4946</v>
      </c>
      <c r="D6403">
        <v>144280</v>
      </c>
      <c r="E6403" t="s">
        <v>14</v>
      </c>
      <c r="F6403">
        <v>44.13</v>
      </c>
      <c r="G6403">
        <v>15.2058</v>
      </c>
      <c r="H6403">
        <v>1</v>
      </c>
      <c r="I6403">
        <v>7</v>
      </c>
      <c r="J6403" t="str">
        <f>HYPERLINK("https://climate.onebuilding.org/WMO_Region_6_Europe/HRV_Croatia/ZD_Zadarska/HRV_ZD_Zadar.144280_TMYx.zip")</f>
        <v>https://climate.onebuilding.org/WMO_Region_6_Europe/HRV_Croatia/ZD_Zadarska/HRV_ZD_Zadar.144280_TMYx.zip</v>
      </c>
    </row>
    <row r="6404" spans="1:10" x14ac:dyDescent="0.25">
      <c r="A6404" t="s">
        <v>4883</v>
      </c>
      <c r="B6404" t="s">
        <v>4943</v>
      </c>
      <c r="C6404" t="s">
        <v>4947</v>
      </c>
      <c r="D6404">
        <v>144310</v>
      </c>
      <c r="E6404" t="s">
        <v>4948</v>
      </c>
      <c r="F6404">
        <v>44.096899999999998</v>
      </c>
      <c r="G6404">
        <v>15.3628</v>
      </c>
      <c r="H6404">
        <v>1</v>
      </c>
      <c r="I6404">
        <v>88.1</v>
      </c>
      <c r="J6404" t="str">
        <f>HYPERLINK("https://climate.onebuilding.org/WMO_Region_6_Europe/HRV_Croatia/ZD_Zadarska/HRV_ZD_Zadar.AP.144310_TMYx.2004-2018.zip")</f>
        <v>https://climate.onebuilding.org/WMO_Region_6_Europe/HRV_Croatia/ZD_Zadarska/HRV_ZD_Zadar.AP.144310_TMYx.2004-2018.zip</v>
      </c>
    </row>
    <row r="6405" spans="1:10" x14ac:dyDescent="0.25">
      <c r="A6405" t="s">
        <v>4883</v>
      </c>
      <c r="B6405" t="s">
        <v>4943</v>
      </c>
      <c r="C6405" t="s">
        <v>4947</v>
      </c>
      <c r="D6405">
        <v>144310</v>
      </c>
      <c r="E6405" t="s">
        <v>14</v>
      </c>
      <c r="F6405">
        <v>44.096899999999998</v>
      </c>
      <c r="G6405">
        <v>15.3628</v>
      </c>
      <c r="H6405">
        <v>1</v>
      </c>
      <c r="I6405">
        <v>88.1</v>
      </c>
      <c r="J6405" t="str">
        <f>HYPERLINK("https://climate.onebuilding.org/WMO_Region_6_Europe/HRV_Croatia/ZD_Zadarska/HRV_ZD_Zadar.AP.144310_TMYx.2007-2021.zip")</f>
        <v>https://climate.onebuilding.org/WMO_Region_6_Europe/HRV_Croatia/ZD_Zadarska/HRV_ZD_Zadar.AP.144310_TMYx.2007-2021.zip</v>
      </c>
    </row>
    <row r="6406" spans="1:10" x14ac:dyDescent="0.25">
      <c r="A6406" t="s">
        <v>4883</v>
      </c>
      <c r="B6406" t="s">
        <v>4943</v>
      </c>
      <c r="C6406" t="s">
        <v>4947</v>
      </c>
      <c r="D6406">
        <v>144310</v>
      </c>
      <c r="E6406" t="s">
        <v>14</v>
      </c>
      <c r="F6406">
        <v>44.096899999999998</v>
      </c>
      <c r="G6406">
        <v>15.3628</v>
      </c>
      <c r="H6406">
        <v>1</v>
      </c>
      <c r="I6406">
        <v>88.1</v>
      </c>
      <c r="J6406" t="str">
        <f>HYPERLINK("https://climate.onebuilding.org/WMO_Region_6_Europe/HRV_Croatia/ZD_Zadarska/HRV_ZD_Zadar.AP.144310_TMYx.2009-2023.zip")</f>
        <v>https://climate.onebuilding.org/WMO_Region_6_Europe/HRV_Croatia/ZD_Zadarska/HRV_ZD_Zadar.AP.144310_TMYx.2009-2023.zip</v>
      </c>
    </row>
    <row r="6407" spans="1:10" x14ac:dyDescent="0.25">
      <c r="A6407" t="s">
        <v>4883</v>
      </c>
      <c r="B6407" t="s">
        <v>4943</v>
      </c>
      <c r="C6407" t="s">
        <v>4947</v>
      </c>
      <c r="D6407">
        <v>144310</v>
      </c>
      <c r="E6407" t="s">
        <v>14</v>
      </c>
      <c r="F6407">
        <v>44.096899999999998</v>
      </c>
      <c r="G6407">
        <v>15.3628</v>
      </c>
      <c r="H6407">
        <v>1</v>
      </c>
      <c r="I6407">
        <v>88.1</v>
      </c>
      <c r="J6407" t="str">
        <f>HYPERLINK("https://climate.onebuilding.org/WMO_Region_6_Europe/HRV_Croatia/ZD_Zadarska/HRV_ZD_Zadar.AP.144310_TMYx.zip")</f>
        <v>https://climate.onebuilding.org/WMO_Region_6_Europe/HRV_Croatia/ZD_Zadarska/HRV_ZD_Zadar.AP.144310_TMYx.zip</v>
      </c>
    </row>
    <row r="6408" spans="1:10" x14ac:dyDescent="0.25">
      <c r="A6408" t="s">
        <v>4883</v>
      </c>
      <c r="B6408" t="s">
        <v>4949</v>
      </c>
      <c r="C6408" t="s">
        <v>4950</v>
      </c>
      <c r="D6408">
        <v>144380</v>
      </c>
      <c r="E6408" t="s">
        <v>14</v>
      </c>
      <c r="F6408">
        <v>43.728099999999998</v>
      </c>
      <c r="G6408">
        <v>15.9064</v>
      </c>
      <c r="H6408">
        <v>1</v>
      </c>
      <c r="I6408">
        <v>75.2</v>
      </c>
      <c r="J6408" t="str">
        <f>HYPERLINK("https://climate.onebuilding.org/WMO_Region_6_Europe/HRV_Croatia/SB_Sibensko-Kninska/HRV_SB_Sibenik.144380_TMYx.2007-2021.zip")</f>
        <v>https://climate.onebuilding.org/WMO_Region_6_Europe/HRV_Croatia/SB_Sibensko-Kninska/HRV_SB_Sibenik.144380_TMYx.2007-2021.zip</v>
      </c>
    </row>
    <row r="6409" spans="1:10" x14ac:dyDescent="0.25">
      <c r="A6409" t="s">
        <v>4883</v>
      </c>
      <c r="B6409" t="s">
        <v>4949</v>
      </c>
      <c r="C6409" t="s">
        <v>4950</v>
      </c>
      <c r="D6409">
        <v>144380</v>
      </c>
      <c r="E6409" t="s">
        <v>14</v>
      </c>
      <c r="F6409">
        <v>43.728099999999998</v>
      </c>
      <c r="G6409">
        <v>15.9064</v>
      </c>
      <c r="H6409">
        <v>1</v>
      </c>
      <c r="I6409">
        <v>75.2</v>
      </c>
      <c r="J6409" t="str">
        <f>HYPERLINK("https://climate.onebuilding.org/WMO_Region_6_Europe/HRV_Croatia/SB_Sibensko-Kninska/HRV_SB_Sibenik.144380_TMYx.2009-2023.zip")</f>
        <v>https://climate.onebuilding.org/WMO_Region_6_Europe/HRV_Croatia/SB_Sibensko-Kninska/HRV_SB_Sibenik.144380_TMYx.2009-2023.zip</v>
      </c>
    </row>
    <row r="6410" spans="1:10" x14ac:dyDescent="0.25">
      <c r="A6410" t="s">
        <v>4883</v>
      </c>
      <c r="B6410" t="s">
        <v>4949</v>
      </c>
      <c r="C6410" t="s">
        <v>4950</v>
      </c>
      <c r="D6410">
        <v>144380</v>
      </c>
      <c r="E6410" t="s">
        <v>14</v>
      </c>
      <c r="F6410">
        <v>43.728099999999998</v>
      </c>
      <c r="G6410">
        <v>15.9064</v>
      </c>
      <c r="H6410">
        <v>1</v>
      </c>
      <c r="I6410">
        <v>75.2</v>
      </c>
      <c r="J6410" t="str">
        <f>HYPERLINK("https://climate.onebuilding.org/WMO_Region_6_Europe/HRV_Croatia/SB_Sibensko-Kninska/HRV_SB_Sibenik.144380_TMYx.zip")</f>
        <v>https://climate.onebuilding.org/WMO_Region_6_Europe/HRV_Croatia/SB_Sibensko-Kninska/HRV_SB_Sibenik.144380_TMYx.zip</v>
      </c>
    </row>
    <row r="6411" spans="1:10" x14ac:dyDescent="0.25">
      <c r="A6411" t="s">
        <v>4883</v>
      </c>
      <c r="B6411" t="s">
        <v>44</v>
      </c>
      <c r="C6411" t="s">
        <v>4951</v>
      </c>
      <c r="D6411">
        <v>144410</v>
      </c>
      <c r="E6411" t="s">
        <v>14</v>
      </c>
      <c r="F6411">
        <v>43.048299999999998</v>
      </c>
      <c r="G6411">
        <v>16.0853</v>
      </c>
      <c r="H6411">
        <v>1</v>
      </c>
      <c r="I6411">
        <v>20</v>
      </c>
      <c r="J6411" t="str">
        <f>HYPERLINK("https://climate.onebuilding.org/WMO_Region_6_Europe/HRV_Croatia/SD_Splitsko-Dalmatinska/HRV_SD_Komiza-Vis.Island.144410_TMYx.2007-2021.zip")</f>
        <v>https://climate.onebuilding.org/WMO_Region_6_Europe/HRV_Croatia/SD_Splitsko-Dalmatinska/HRV_SD_Komiza-Vis.Island.144410_TMYx.2007-2021.zip</v>
      </c>
    </row>
    <row r="6412" spans="1:10" x14ac:dyDescent="0.25">
      <c r="A6412" t="s">
        <v>4883</v>
      </c>
      <c r="B6412" t="s">
        <v>44</v>
      </c>
      <c r="C6412" t="s">
        <v>4951</v>
      </c>
      <c r="D6412">
        <v>144410</v>
      </c>
      <c r="E6412" t="s">
        <v>14</v>
      </c>
      <c r="F6412">
        <v>43.048299999999998</v>
      </c>
      <c r="G6412">
        <v>16.0853</v>
      </c>
      <c r="H6412">
        <v>1</v>
      </c>
      <c r="I6412">
        <v>20</v>
      </c>
      <c r="J6412" t="str">
        <f>HYPERLINK("https://climate.onebuilding.org/WMO_Region_6_Europe/HRV_Croatia/SD_Splitsko-Dalmatinska/HRV_SD_Komiza-Vis.Island.144410_TMYx.2009-2023.zip")</f>
        <v>https://climate.onebuilding.org/WMO_Region_6_Europe/HRV_Croatia/SD_Splitsko-Dalmatinska/HRV_SD_Komiza-Vis.Island.144410_TMYx.2009-2023.zip</v>
      </c>
    </row>
    <row r="6413" spans="1:10" x14ac:dyDescent="0.25">
      <c r="A6413" t="s">
        <v>4883</v>
      </c>
      <c r="B6413" t="s">
        <v>44</v>
      </c>
      <c r="C6413" t="s">
        <v>4951</v>
      </c>
      <c r="D6413">
        <v>144410</v>
      </c>
      <c r="E6413" t="s">
        <v>14</v>
      </c>
      <c r="F6413">
        <v>43.048299999999998</v>
      </c>
      <c r="G6413">
        <v>16.0853</v>
      </c>
      <c r="H6413">
        <v>1</v>
      </c>
      <c r="I6413">
        <v>20</v>
      </c>
      <c r="J6413" t="str">
        <f>HYPERLINK("https://climate.onebuilding.org/WMO_Region_6_Europe/HRV_Croatia/SD_Splitsko-Dalmatinska/HRV_SD_Komiza-Vis.Island.144410_TMYx.zip")</f>
        <v>https://climate.onebuilding.org/WMO_Region_6_Europe/HRV_Croatia/SD_Splitsko-Dalmatinska/HRV_SD_Komiza-Vis.Island.144410_TMYx.zip</v>
      </c>
    </row>
    <row r="6414" spans="1:10" x14ac:dyDescent="0.25">
      <c r="A6414" t="s">
        <v>4883</v>
      </c>
      <c r="B6414" t="s">
        <v>4949</v>
      </c>
      <c r="C6414" t="s">
        <v>4952</v>
      </c>
      <c r="D6414">
        <v>144420</v>
      </c>
      <c r="E6414" t="s">
        <v>4953</v>
      </c>
      <c r="F6414">
        <v>44.040799999999997</v>
      </c>
      <c r="G6414">
        <v>16.206900000000001</v>
      </c>
      <c r="H6414">
        <v>1</v>
      </c>
      <c r="I6414">
        <v>255</v>
      </c>
      <c r="J6414" t="str">
        <f>HYPERLINK("https://climate.onebuilding.org/WMO_Region_6_Europe/HRV_Croatia/SB_Sibensko-Kninska/HRV_SB_Knin.144420_TMYx.2004-2018.zip")</f>
        <v>https://climate.onebuilding.org/WMO_Region_6_Europe/HRV_Croatia/SB_Sibensko-Kninska/HRV_SB_Knin.144420_TMYx.2004-2018.zip</v>
      </c>
    </row>
    <row r="6415" spans="1:10" x14ac:dyDescent="0.25">
      <c r="A6415" t="s">
        <v>4883</v>
      </c>
      <c r="B6415" t="s">
        <v>4949</v>
      </c>
      <c r="C6415" t="s">
        <v>4952</v>
      </c>
      <c r="D6415">
        <v>144420</v>
      </c>
      <c r="E6415" t="s">
        <v>14</v>
      </c>
      <c r="F6415">
        <v>44.040799999999997</v>
      </c>
      <c r="G6415">
        <v>16.206900000000001</v>
      </c>
      <c r="H6415">
        <v>1</v>
      </c>
      <c r="I6415">
        <v>255</v>
      </c>
      <c r="J6415" t="str">
        <f>HYPERLINK("https://climate.onebuilding.org/WMO_Region_6_Europe/HRV_Croatia/SB_Sibensko-Kninska/HRV_SB_Knin.144420_TMYx.2007-2021.zip")</f>
        <v>https://climate.onebuilding.org/WMO_Region_6_Europe/HRV_Croatia/SB_Sibensko-Kninska/HRV_SB_Knin.144420_TMYx.2007-2021.zip</v>
      </c>
    </row>
    <row r="6416" spans="1:10" x14ac:dyDescent="0.25">
      <c r="A6416" t="s">
        <v>4883</v>
      </c>
      <c r="B6416" t="s">
        <v>4949</v>
      </c>
      <c r="C6416" t="s">
        <v>4952</v>
      </c>
      <c r="D6416">
        <v>144420</v>
      </c>
      <c r="E6416" t="s">
        <v>14</v>
      </c>
      <c r="F6416">
        <v>44.040799999999997</v>
      </c>
      <c r="G6416">
        <v>16.206900000000001</v>
      </c>
      <c r="H6416">
        <v>1</v>
      </c>
      <c r="I6416">
        <v>255</v>
      </c>
      <c r="J6416" t="str">
        <f>HYPERLINK("https://climate.onebuilding.org/WMO_Region_6_Europe/HRV_Croatia/SB_Sibensko-Kninska/HRV_SB_Knin.144420_TMYx.2009-2023.zip")</f>
        <v>https://climate.onebuilding.org/WMO_Region_6_Europe/HRV_Croatia/SB_Sibensko-Kninska/HRV_SB_Knin.144420_TMYx.2009-2023.zip</v>
      </c>
    </row>
    <row r="6417" spans="1:10" x14ac:dyDescent="0.25">
      <c r="A6417" t="s">
        <v>4883</v>
      </c>
      <c r="B6417" t="s">
        <v>4949</v>
      </c>
      <c r="C6417" t="s">
        <v>4952</v>
      </c>
      <c r="D6417">
        <v>144420</v>
      </c>
      <c r="E6417" t="s">
        <v>14</v>
      </c>
      <c r="F6417">
        <v>44.040799999999997</v>
      </c>
      <c r="G6417">
        <v>16.206900000000001</v>
      </c>
      <c r="H6417">
        <v>1</v>
      </c>
      <c r="I6417">
        <v>255</v>
      </c>
      <c r="J6417" t="str">
        <f>HYPERLINK("https://climate.onebuilding.org/WMO_Region_6_Europe/HRV_Croatia/SB_Sibensko-Kninska/HRV_SB_Knin.144420_TMYx.zip")</f>
        <v>https://climate.onebuilding.org/WMO_Region_6_Europe/HRV_Croatia/SB_Sibensko-Kninska/HRV_SB_Knin.144420_TMYx.zip</v>
      </c>
    </row>
    <row r="6418" spans="1:10" x14ac:dyDescent="0.25">
      <c r="A6418" t="s">
        <v>4883</v>
      </c>
      <c r="B6418" t="s">
        <v>4954</v>
      </c>
      <c r="C6418" t="s">
        <v>4955</v>
      </c>
      <c r="D6418">
        <v>144430</v>
      </c>
      <c r="E6418" t="s">
        <v>4956</v>
      </c>
      <c r="F6418">
        <v>42.392899999999997</v>
      </c>
      <c r="G6418">
        <v>16.258800000000001</v>
      </c>
      <c r="H6418">
        <v>1</v>
      </c>
      <c r="I6418">
        <v>98</v>
      </c>
      <c r="J6418" t="str">
        <f>HYPERLINK("https://climate.onebuilding.org/WMO_Region_6_Europe/HRV_Croatia/DN_Dubrovacko-Neretvanska/HRV_DN_Palagruza.Lighthouse.144430_TMYx.2004-2018.zip")</f>
        <v>https://climate.onebuilding.org/WMO_Region_6_Europe/HRV_Croatia/DN_Dubrovacko-Neretvanska/HRV_DN_Palagruza.Lighthouse.144430_TMYx.2004-2018.zip</v>
      </c>
    </row>
    <row r="6419" spans="1:10" x14ac:dyDescent="0.25">
      <c r="A6419" t="s">
        <v>4883</v>
      </c>
      <c r="B6419" t="s">
        <v>4954</v>
      </c>
      <c r="C6419" t="s">
        <v>4955</v>
      </c>
      <c r="D6419">
        <v>144430</v>
      </c>
      <c r="E6419" t="s">
        <v>14</v>
      </c>
      <c r="F6419">
        <v>42.392899999999997</v>
      </c>
      <c r="G6419">
        <v>16.258800000000001</v>
      </c>
      <c r="H6419">
        <v>1</v>
      </c>
      <c r="I6419">
        <v>98</v>
      </c>
      <c r="J6419" t="str">
        <f>HYPERLINK("https://climate.onebuilding.org/WMO_Region_6_Europe/HRV_Croatia/DN_Dubrovacko-Neretvanska/HRV_DN_Palagruza.Lighthouse.144430_TMYx.2007-2021.zip")</f>
        <v>https://climate.onebuilding.org/WMO_Region_6_Europe/HRV_Croatia/DN_Dubrovacko-Neretvanska/HRV_DN_Palagruza.Lighthouse.144430_TMYx.2007-2021.zip</v>
      </c>
    </row>
    <row r="6420" spans="1:10" x14ac:dyDescent="0.25">
      <c r="A6420" t="s">
        <v>4883</v>
      </c>
      <c r="B6420" t="s">
        <v>4954</v>
      </c>
      <c r="C6420" t="s">
        <v>4955</v>
      </c>
      <c r="D6420">
        <v>144430</v>
      </c>
      <c r="E6420" t="s">
        <v>14</v>
      </c>
      <c r="F6420">
        <v>42.392899999999997</v>
      </c>
      <c r="G6420">
        <v>16.258800000000001</v>
      </c>
      <c r="H6420">
        <v>1</v>
      </c>
      <c r="I6420">
        <v>98</v>
      </c>
      <c r="J6420" t="str">
        <f>HYPERLINK("https://climate.onebuilding.org/WMO_Region_6_Europe/HRV_Croatia/DN_Dubrovacko-Neretvanska/HRV_DN_Palagruza.Lighthouse.144430_TMYx.2009-2023.zip")</f>
        <v>https://climate.onebuilding.org/WMO_Region_6_Europe/HRV_Croatia/DN_Dubrovacko-Neretvanska/HRV_DN_Palagruza.Lighthouse.144430_TMYx.2009-2023.zip</v>
      </c>
    </row>
    <row r="6421" spans="1:10" x14ac:dyDescent="0.25">
      <c r="A6421" t="s">
        <v>4883</v>
      </c>
      <c r="B6421" t="s">
        <v>4954</v>
      </c>
      <c r="C6421" t="s">
        <v>4955</v>
      </c>
      <c r="D6421">
        <v>144430</v>
      </c>
      <c r="E6421" t="s">
        <v>14</v>
      </c>
      <c r="F6421">
        <v>42.392899999999997</v>
      </c>
      <c r="G6421">
        <v>16.258800000000001</v>
      </c>
      <c r="H6421">
        <v>1</v>
      </c>
      <c r="I6421">
        <v>98</v>
      </c>
      <c r="J6421" t="str">
        <f>HYPERLINK("https://climate.onebuilding.org/WMO_Region_6_Europe/HRV_Croatia/DN_Dubrovacko-Neretvanska/HRV_DN_Palagruza.Lighthouse.144430_TMYx.zip")</f>
        <v>https://climate.onebuilding.org/WMO_Region_6_Europe/HRV_Croatia/DN_Dubrovacko-Neretvanska/HRV_DN_Palagruza.Lighthouse.144430_TMYx.zip</v>
      </c>
    </row>
    <row r="6422" spans="1:10" x14ac:dyDescent="0.25">
      <c r="A6422" t="s">
        <v>4883</v>
      </c>
      <c r="B6422" t="s">
        <v>44</v>
      </c>
      <c r="C6422" t="s">
        <v>4957</v>
      </c>
      <c r="D6422">
        <v>144440</v>
      </c>
      <c r="E6422" t="s">
        <v>4958</v>
      </c>
      <c r="F6422">
        <v>43.539400000000001</v>
      </c>
      <c r="G6422">
        <v>16.301100000000002</v>
      </c>
      <c r="H6422">
        <v>1</v>
      </c>
      <c r="I6422">
        <v>24.1</v>
      </c>
      <c r="J6422" t="str">
        <f>HYPERLINK("https://climate.onebuilding.org/WMO_Region_6_Europe/HRV_Croatia/SD_Splitsko-Dalmatinska/HRV_SD_Split.AP.144440_TMYx.2004-2018.zip")</f>
        <v>https://climate.onebuilding.org/WMO_Region_6_Europe/HRV_Croatia/SD_Splitsko-Dalmatinska/HRV_SD_Split.AP.144440_TMYx.2004-2018.zip</v>
      </c>
    </row>
    <row r="6423" spans="1:10" x14ac:dyDescent="0.25">
      <c r="A6423" t="s">
        <v>4883</v>
      </c>
      <c r="B6423" t="s">
        <v>44</v>
      </c>
      <c r="C6423" t="s">
        <v>4957</v>
      </c>
      <c r="D6423">
        <v>144440</v>
      </c>
      <c r="E6423" t="s">
        <v>14</v>
      </c>
      <c r="F6423">
        <v>43.539400000000001</v>
      </c>
      <c r="G6423">
        <v>16.301100000000002</v>
      </c>
      <c r="H6423">
        <v>1</v>
      </c>
      <c r="I6423">
        <v>24.1</v>
      </c>
      <c r="J6423" t="str">
        <f>HYPERLINK("https://climate.onebuilding.org/WMO_Region_6_Europe/HRV_Croatia/SD_Splitsko-Dalmatinska/HRV_SD_Split.AP.144440_TMYx.2007-2021.zip")</f>
        <v>https://climate.onebuilding.org/WMO_Region_6_Europe/HRV_Croatia/SD_Splitsko-Dalmatinska/HRV_SD_Split.AP.144440_TMYx.2007-2021.zip</v>
      </c>
    </row>
    <row r="6424" spans="1:10" x14ac:dyDescent="0.25">
      <c r="A6424" t="s">
        <v>4883</v>
      </c>
      <c r="B6424" t="s">
        <v>44</v>
      </c>
      <c r="C6424" t="s">
        <v>4957</v>
      </c>
      <c r="D6424">
        <v>144440</v>
      </c>
      <c r="E6424" t="s">
        <v>14</v>
      </c>
      <c r="F6424">
        <v>43.539400000000001</v>
      </c>
      <c r="G6424">
        <v>16.301100000000002</v>
      </c>
      <c r="H6424">
        <v>1</v>
      </c>
      <c r="I6424">
        <v>24.1</v>
      </c>
      <c r="J6424" t="str">
        <f>HYPERLINK("https://climate.onebuilding.org/WMO_Region_6_Europe/HRV_Croatia/SD_Splitsko-Dalmatinska/HRV_SD_Split.AP.144440_TMYx.2009-2023.zip")</f>
        <v>https://climate.onebuilding.org/WMO_Region_6_Europe/HRV_Croatia/SD_Splitsko-Dalmatinska/HRV_SD_Split.AP.144440_TMYx.2009-2023.zip</v>
      </c>
    </row>
    <row r="6425" spans="1:10" x14ac:dyDescent="0.25">
      <c r="A6425" t="s">
        <v>4883</v>
      </c>
      <c r="B6425" t="s">
        <v>44</v>
      </c>
      <c r="C6425" t="s">
        <v>4957</v>
      </c>
      <c r="D6425">
        <v>144440</v>
      </c>
      <c r="E6425" t="s">
        <v>14</v>
      </c>
      <c r="F6425">
        <v>43.539400000000001</v>
      </c>
      <c r="G6425">
        <v>16.301100000000002</v>
      </c>
      <c r="H6425">
        <v>1</v>
      </c>
      <c r="I6425">
        <v>24.1</v>
      </c>
      <c r="J6425" t="str">
        <f>HYPERLINK("https://climate.onebuilding.org/WMO_Region_6_Europe/HRV_Croatia/SD_Splitsko-Dalmatinska/HRV_SD_Split.AP.144440_TMYx.zip")</f>
        <v>https://climate.onebuilding.org/WMO_Region_6_Europe/HRV_Croatia/SD_Splitsko-Dalmatinska/HRV_SD_Split.AP.144440_TMYx.zip</v>
      </c>
    </row>
    <row r="6426" spans="1:10" x14ac:dyDescent="0.25">
      <c r="A6426" t="s">
        <v>4883</v>
      </c>
      <c r="B6426" t="s">
        <v>44</v>
      </c>
      <c r="C6426" t="s">
        <v>4959</v>
      </c>
      <c r="D6426">
        <v>144450</v>
      </c>
      <c r="E6426" t="s">
        <v>4960</v>
      </c>
      <c r="F6426">
        <v>43.508299999999998</v>
      </c>
      <c r="G6426">
        <v>16.426400000000001</v>
      </c>
      <c r="H6426">
        <v>1</v>
      </c>
      <c r="I6426">
        <v>128</v>
      </c>
      <c r="J6426" t="str">
        <f>HYPERLINK("https://climate.onebuilding.org/WMO_Region_6_Europe/HRV_Croatia/SD_Splitsko-Dalmatinska/HRV_SD_Split-Marjan.Hill.144450_TMYx.2004-2018.zip")</f>
        <v>https://climate.onebuilding.org/WMO_Region_6_Europe/HRV_Croatia/SD_Splitsko-Dalmatinska/HRV_SD_Split-Marjan.Hill.144450_TMYx.2004-2018.zip</v>
      </c>
    </row>
    <row r="6427" spans="1:10" x14ac:dyDescent="0.25">
      <c r="A6427" t="s">
        <v>4883</v>
      </c>
      <c r="B6427" t="s">
        <v>44</v>
      </c>
      <c r="C6427" t="s">
        <v>4959</v>
      </c>
      <c r="D6427">
        <v>144450</v>
      </c>
      <c r="E6427" t="s">
        <v>14</v>
      </c>
      <c r="F6427">
        <v>43.508299999999998</v>
      </c>
      <c r="G6427">
        <v>16.426400000000001</v>
      </c>
      <c r="H6427">
        <v>1</v>
      </c>
      <c r="I6427">
        <v>128</v>
      </c>
      <c r="J6427" t="str">
        <f>HYPERLINK("https://climate.onebuilding.org/WMO_Region_6_Europe/HRV_Croatia/SD_Splitsko-Dalmatinska/HRV_SD_Split-Marjan.Hill.144450_TMYx.2007-2021.zip")</f>
        <v>https://climate.onebuilding.org/WMO_Region_6_Europe/HRV_Croatia/SD_Splitsko-Dalmatinska/HRV_SD_Split-Marjan.Hill.144450_TMYx.2007-2021.zip</v>
      </c>
    </row>
    <row r="6428" spans="1:10" x14ac:dyDescent="0.25">
      <c r="A6428" t="s">
        <v>4883</v>
      </c>
      <c r="B6428" t="s">
        <v>44</v>
      </c>
      <c r="C6428" t="s">
        <v>4959</v>
      </c>
      <c r="D6428">
        <v>144450</v>
      </c>
      <c r="E6428" t="s">
        <v>14</v>
      </c>
      <c r="F6428">
        <v>43.508299999999998</v>
      </c>
      <c r="G6428">
        <v>16.426400000000001</v>
      </c>
      <c r="H6428">
        <v>1</v>
      </c>
      <c r="I6428">
        <v>128</v>
      </c>
      <c r="J6428" t="str">
        <f>HYPERLINK("https://climate.onebuilding.org/WMO_Region_6_Europe/HRV_Croatia/SD_Splitsko-Dalmatinska/HRV_SD_Split-Marjan.Hill.144450_TMYx.2009-2023.zip")</f>
        <v>https://climate.onebuilding.org/WMO_Region_6_Europe/HRV_Croatia/SD_Splitsko-Dalmatinska/HRV_SD_Split-Marjan.Hill.144450_TMYx.2009-2023.zip</v>
      </c>
    </row>
    <row r="6429" spans="1:10" x14ac:dyDescent="0.25">
      <c r="A6429" t="s">
        <v>4883</v>
      </c>
      <c r="B6429" t="s">
        <v>44</v>
      </c>
      <c r="C6429" t="s">
        <v>4959</v>
      </c>
      <c r="D6429">
        <v>144450</v>
      </c>
      <c r="E6429" t="s">
        <v>14</v>
      </c>
      <c r="F6429">
        <v>43.508299999999998</v>
      </c>
      <c r="G6429">
        <v>16.426400000000001</v>
      </c>
      <c r="H6429">
        <v>1</v>
      </c>
      <c r="I6429">
        <v>128</v>
      </c>
      <c r="J6429" t="str">
        <f>HYPERLINK("https://climate.onebuilding.org/WMO_Region_6_Europe/HRV_Croatia/SD_Splitsko-Dalmatinska/HRV_SD_Split-Marjan.Hill.144450_TMYx.zip")</f>
        <v>https://climate.onebuilding.org/WMO_Region_6_Europe/HRV_Croatia/SD_Splitsko-Dalmatinska/HRV_SD_Split-Marjan.Hill.144450_TMYx.zip</v>
      </c>
    </row>
    <row r="6430" spans="1:10" x14ac:dyDescent="0.25">
      <c r="A6430" t="s">
        <v>4883</v>
      </c>
      <c r="B6430" t="s">
        <v>44</v>
      </c>
      <c r="C6430" t="s">
        <v>4961</v>
      </c>
      <c r="D6430">
        <v>144460</v>
      </c>
      <c r="E6430" t="s">
        <v>14</v>
      </c>
      <c r="F6430">
        <v>43.286000000000001</v>
      </c>
      <c r="G6430">
        <v>16.68</v>
      </c>
      <c r="H6430">
        <v>1</v>
      </c>
      <c r="I6430">
        <v>541.29999999999995</v>
      </c>
      <c r="J6430" t="str">
        <f>HYPERLINK("https://climate.onebuilding.org/WMO_Region_6_Europe/HRV_Croatia/SD_Splitsko-Dalmatinska/HRV_SD_Bol-Brac.AP-Brac.Island.144460_TMYx.2007-2021.zip")</f>
        <v>https://climate.onebuilding.org/WMO_Region_6_Europe/HRV_Croatia/SD_Splitsko-Dalmatinska/HRV_SD_Bol-Brac.AP-Brac.Island.144460_TMYx.2007-2021.zip</v>
      </c>
    </row>
    <row r="6431" spans="1:10" x14ac:dyDescent="0.25">
      <c r="A6431" t="s">
        <v>4883</v>
      </c>
      <c r="B6431" t="s">
        <v>44</v>
      </c>
      <c r="C6431" t="s">
        <v>4961</v>
      </c>
      <c r="D6431">
        <v>144460</v>
      </c>
      <c r="E6431" t="s">
        <v>14</v>
      </c>
      <c r="F6431">
        <v>43.286000000000001</v>
      </c>
      <c r="G6431">
        <v>16.68</v>
      </c>
      <c r="H6431">
        <v>1</v>
      </c>
      <c r="I6431">
        <v>541.29999999999995</v>
      </c>
      <c r="J6431" t="str">
        <f>HYPERLINK("https://climate.onebuilding.org/WMO_Region_6_Europe/HRV_Croatia/SD_Splitsko-Dalmatinska/HRV_SD_Bol-Brac.AP-Brac.Island.144460_TMYx.2009-2023.zip")</f>
        <v>https://climate.onebuilding.org/WMO_Region_6_Europe/HRV_Croatia/SD_Splitsko-Dalmatinska/HRV_SD_Bol-Brac.AP-Brac.Island.144460_TMYx.2009-2023.zip</v>
      </c>
    </row>
    <row r="6432" spans="1:10" x14ac:dyDescent="0.25">
      <c r="A6432" t="s">
        <v>4883</v>
      </c>
      <c r="B6432" t="s">
        <v>44</v>
      </c>
      <c r="C6432" t="s">
        <v>4961</v>
      </c>
      <c r="D6432">
        <v>144460</v>
      </c>
      <c r="E6432" t="s">
        <v>14</v>
      </c>
      <c r="F6432">
        <v>43.286000000000001</v>
      </c>
      <c r="G6432">
        <v>16.68</v>
      </c>
      <c r="H6432">
        <v>1</v>
      </c>
      <c r="I6432">
        <v>541.29999999999995</v>
      </c>
      <c r="J6432" t="str">
        <f>HYPERLINK("https://climate.onebuilding.org/WMO_Region_6_Europe/HRV_Croatia/SD_Splitsko-Dalmatinska/HRV_SD_Bol-Brac.AP-Brac.Island.144460_TMYx.zip")</f>
        <v>https://climate.onebuilding.org/WMO_Region_6_Europe/HRV_Croatia/SD_Splitsko-Dalmatinska/HRV_SD_Bol-Brac.AP-Brac.Island.144460_TMYx.zip</v>
      </c>
    </row>
    <row r="6433" spans="1:10" x14ac:dyDescent="0.25">
      <c r="A6433" t="s">
        <v>4883</v>
      </c>
      <c r="B6433" t="s">
        <v>44</v>
      </c>
      <c r="C6433" t="s">
        <v>4962</v>
      </c>
      <c r="D6433">
        <v>144470</v>
      </c>
      <c r="E6433" t="s">
        <v>4963</v>
      </c>
      <c r="F6433">
        <v>43.171100000000003</v>
      </c>
      <c r="G6433">
        <v>16.436900000000001</v>
      </c>
      <c r="H6433">
        <v>1</v>
      </c>
      <c r="I6433">
        <v>25</v>
      </c>
      <c r="J6433" t="str">
        <f>HYPERLINK("https://climate.onebuilding.org/WMO_Region_6_Europe/HRV_Croatia/SD_Splitsko-Dalmatinska/HRV_SD_Hvar-Hvar.Island.144470_TMYx.2004-2018.zip")</f>
        <v>https://climate.onebuilding.org/WMO_Region_6_Europe/HRV_Croatia/SD_Splitsko-Dalmatinska/HRV_SD_Hvar-Hvar.Island.144470_TMYx.2004-2018.zip</v>
      </c>
    </row>
    <row r="6434" spans="1:10" x14ac:dyDescent="0.25">
      <c r="A6434" t="s">
        <v>4883</v>
      </c>
      <c r="B6434" t="s">
        <v>44</v>
      </c>
      <c r="C6434" t="s">
        <v>4962</v>
      </c>
      <c r="D6434">
        <v>144470</v>
      </c>
      <c r="E6434" t="s">
        <v>14</v>
      </c>
      <c r="F6434">
        <v>43.171100000000003</v>
      </c>
      <c r="G6434">
        <v>16.436900000000001</v>
      </c>
      <c r="H6434">
        <v>1</v>
      </c>
      <c r="I6434">
        <v>25</v>
      </c>
      <c r="J6434" t="str">
        <f>HYPERLINK("https://climate.onebuilding.org/WMO_Region_6_Europe/HRV_Croatia/SD_Splitsko-Dalmatinska/HRV_SD_Hvar-Hvar.Island.144470_TMYx.2007-2021.zip")</f>
        <v>https://climate.onebuilding.org/WMO_Region_6_Europe/HRV_Croatia/SD_Splitsko-Dalmatinska/HRV_SD_Hvar-Hvar.Island.144470_TMYx.2007-2021.zip</v>
      </c>
    </row>
    <row r="6435" spans="1:10" x14ac:dyDescent="0.25">
      <c r="A6435" t="s">
        <v>4883</v>
      </c>
      <c r="B6435" t="s">
        <v>44</v>
      </c>
      <c r="C6435" t="s">
        <v>4962</v>
      </c>
      <c r="D6435">
        <v>144470</v>
      </c>
      <c r="E6435" t="s">
        <v>14</v>
      </c>
      <c r="F6435">
        <v>43.171100000000003</v>
      </c>
      <c r="G6435">
        <v>16.436900000000001</v>
      </c>
      <c r="H6435">
        <v>1</v>
      </c>
      <c r="I6435">
        <v>25</v>
      </c>
      <c r="J6435" t="str">
        <f>HYPERLINK("https://climate.onebuilding.org/WMO_Region_6_Europe/HRV_Croatia/SD_Splitsko-Dalmatinska/HRV_SD_Hvar-Hvar.Island.144470_TMYx.2009-2023.zip")</f>
        <v>https://climate.onebuilding.org/WMO_Region_6_Europe/HRV_Croatia/SD_Splitsko-Dalmatinska/HRV_SD_Hvar-Hvar.Island.144470_TMYx.2009-2023.zip</v>
      </c>
    </row>
    <row r="6436" spans="1:10" x14ac:dyDescent="0.25">
      <c r="A6436" t="s">
        <v>4883</v>
      </c>
      <c r="B6436" t="s">
        <v>44</v>
      </c>
      <c r="C6436" t="s">
        <v>4962</v>
      </c>
      <c r="D6436">
        <v>144470</v>
      </c>
      <c r="E6436" t="s">
        <v>14</v>
      </c>
      <c r="F6436">
        <v>43.171100000000003</v>
      </c>
      <c r="G6436">
        <v>16.436900000000001</v>
      </c>
      <c r="H6436">
        <v>1</v>
      </c>
      <c r="I6436">
        <v>25</v>
      </c>
      <c r="J6436" t="str">
        <f>HYPERLINK("https://climate.onebuilding.org/WMO_Region_6_Europe/HRV_Croatia/SD_Splitsko-Dalmatinska/HRV_SD_Hvar-Hvar.Island.144470_TMYx.zip")</f>
        <v>https://climate.onebuilding.org/WMO_Region_6_Europe/HRV_Croatia/SD_Splitsko-Dalmatinska/HRV_SD_Hvar-Hvar.Island.144470_TMYx.zip</v>
      </c>
    </row>
    <row r="6437" spans="1:10" x14ac:dyDescent="0.25">
      <c r="A6437" t="s">
        <v>4883</v>
      </c>
      <c r="B6437" t="s">
        <v>4954</v>
      </c>
      <c r="C6437" t="s">
        <v>4964</v>
      </c>
      <c r="D6437">
        <v>144520</v>
      </c>
      <c r="E6437" t="s">
        <v>4965</v>
      </c>
      <c r="F6437">
        <v>42.768300000000004</v>
      </c>
      <c r="G6437">
        <v>16.899999999999999</v>
      </c>
      <c r="H6437">
        <v>1</v>
      </c>
      <c r="I6437">
        <v>187</v>
      </c>
      <c r="J6437" t="str">
        <f>HYPERLINK("https://climate.onebuilding.org/WMO_Region_6_Europe/HRV_Croatia/DN_Dubrovacko-Neretvanska/HRV_DN_Lastovo-Lastovo.Island.144520_TMYx.2004-2018.zip")</f>
        <v>https://climate.onebuilding.org/WMO_Region_6_Europe/HRV_Croatia/DN_Dubrovacko-Neretvanska/HRV_DN_Lastovo-Lastovo.Island.144520_TMYx.2004-2018.zip</v>
      </c>
    </row>
    <row r="6438" spans="1:10" x14ac:dyDescent="0.25">
      <c r="A6438" t="s">
        <v>4883</v>
      </c>
      <c r="B6438" t="s">
        <v>4954</v>
      </c>
      <c r="C6438" t="s">
        <v>4964</v>
      </c>
      <c r="D6438">
        <v>144520</v>
      </c>
      <c r="E6438" t="s">
        <v>14</v>
      </c>
      <c r="F6438">
        <v>42.768300000000004</v>
      </c>
      <c r="G6438">
        <v>16.899999999999999</v>
      </c>
      <c r="H6438">
        <v>1</v>
      </c>
      <c r="I6438">
        <v>187</v>
      </c>
      <c r="J6438" t="str">
        <f>HYPERLINK("https://climate.onebuilding.org/WMO_Region_6_Europe/HRV_Croatia/DN_Dubrovacko-Neretvanska/HRV_DN_Lastovo-Lastovo.Island.144520_TMYx.2007-2021.zip")</f>
        <v>https://climate.onebuilding.org/WMO_Region_6_Europe/HRV_Croatia/DN_Dubrovacko-Neretvanska/HRV_DN_Lastovo-Lastovo.Island.144520_TMYx.2007-2021.zip</v>
      </c>
    </row>
    <row r="6439" spans="1:10" x14ac:dyDescent="0.25">
      <c r="A6439" t="s">
        <v>4883</v>
      </c>
      <c r="B6439" t="s">
        <v>4954</v>
      </c>
      <c r="C6439" t="s">
        <v>4964</v>
      </c>
      <c r="D6439">
        <v>144520</v>
      </c>
      <c r="E6439" t="s">
        <v>14</v>
      </c>
      <c r="F6439">
        <v>42.768300000000004</v>
      </c>
      <c r="G6439">
        <v>16.899999999999999</v>
      </c>
      <c r="H6439">
        <v>1</v>
      </c>
      <c r="I6439">
        <v>187</v>
      </c>
      <c r="J6439" t="str">
        <f>HYPERLINK("https://climate.onebuilding.org/WMO_Region_6_Europe/HRV_Croatia/DN_Dubrovacko-Neretvanska/HRV_DN_Lastovo-Lastovo.Island.144520_TMYx.2009-2023.zip")</f>
        <v>https://climate.onebuilding.org/WMO_Region_6_Europe/HRV_Croatia/DN_Dubrovacko-Neretvanska/HRV_DN_Lastovo-Lastovo.Island.144520_TMYx.2009-2023.zip</v>
      </c>
    </row>
    <row r="6440" spans="1:10" x14ac:dyDescent="0.25">
      <c r="A6440" t="s">
        <v>4883</v>
      </c>
      <c r="B6440" t="s">
        <v>4954</v>
      </c>
      <c r="C6440" t="s">
        <v>4964</v>
      </c>
      <c r="D6440">
        <v>144520</v>
      </c>
      <c r="E6440" t="s">
        <v>14</v>
      </c>
      <c r="F6440">
        <v>42.768300000000004</v>
      </c>
      <c r="G6440">
        <v>16.899999999999999</v>
      </c>
      <c r="H6440">
        <v>1</v>
      </c>
      <c r="I6440">
        <v>187</v>
      </c>
      <c r="J6440" t="str">
        <f>HYPERLINK("https://climate.onebuilding.org/WMO_Region_6_Europe/HRV_Croatia/DN_Dubrovacko-Neretvanska/HRV_DN_Lastovo-Lastovo.Island.144520_TMYx.zip")</f>
        <v>https://climate.onebuilding.org/WMO_Region_6_Europe/HRV_Croatia/DN_Dubrovacko-Neretvanska/HRV_DN_Lastovo-Lastovo.Island.144520_TMYx.zip</v>
      </c>
    </row>
    <row r="6441" spans="1:10" x14ac:dyDescent="0.25">
      <c r="A6441" t="s">
        <v>4883</v>
      </c>
      <c r="B6441" t="s">
        <v>44</v>
      </c>
      <c r="C6441" t="s">
        <v>4966</v>
      </c>
      <c r="D6441">
        <v>144540</v>
      </c>
      <c r="E6441" t="s">
        <v>4967</v>
      </c>
      <c r="F6441">
        <v>43.287500000000001</v>
      </c>
      <c r="G6441">
        <v>17.0197</v>
      </c>
      <c r="H6441">
        <v>1</v>
      </c>
      <c r="I6441">
        <v>49</v>
      </c>
      <c r="J6441" t="str">
        <f>HYPERLINK("https://climate.onebuilding.org/WMO_Region_6_Europe/HRV_Croatia/SD_Splitsko-Dalmatinska/HRV_SD_Makarska.144540_TMYx.2004-2018.zip")</f>
        <v>https://climate.onebuilding.org/WMO_Region_6_Europe/HRV_Croatia/SD_Splitsko-Dalmatinska/HRV_SD_Makarska.144540_TMYx.2004-2018.zip</v>
      </c>
    </row>
    <row r="6442" spans="1:10" x14ac:dyDescent="0.25">
      <c r="A6442" t="s">
        <v>4883</v>
      </c>
      <c r="B6442" t="s">
        <v>44</v>
      </c>
      <c r="C6442" t="s">
        <v>4966</v>
      </c>
      <c r="D6442">
        <v>144540</v>
      </c>
      <c r="E6442" t="s">
        <v>14</v>
      </c>
      <c r="F6442">
        <v>43.287500000000001</v>
      </c>
      <c r="G6442">
        <v>17.0197</v>
      </c>
      <c r="H6442">
        <v>1</v>
      </c>
      <c r="I6442">
        <v>49</v>
      </c>
      <c r="J6442" t="str">
        <f>HYPERLINK("https://climate.onebuilding.org/WMO_Region_6_Europe/HRV_Croatia/SD_Splitsko-Dalmatinska/HRV_SD_Makarska.144540_TMYx.2007-2021.zip")</f>
        <v>https://climate.onebuilding.org/WMO_Region_6_Europe/HRV_Croatia/SD_Splitsko-Dalmatinska/HRV_SD_Makarska.144540_TMYx.2007-2021.zip</v>
      </c>
    </row>
    <row r="6443" spans="1:10" x14ac:dyDescent="0.25">
      <c r="A6443" t="s">
        <v>4883</v>
      </c>
      <c r="B6443" t="s">
        <v>44</v>
      </c>
      <c r="C6443" t="s">
        <v>4966</v>
      </c>
      <c r="D6443">
        <v>144540</v>
      </c>
      <c r="E6443" t="s">
        <v>14</v>
      </c>
      <c r="F6443">
        <v>43.287500000000001</v>
      </c>
      <c r="G6443">
        <v>17.0197</v>
      </c>
      <c r="H6443">
        <v>1</v>
      </c>
      <c r="I6443">
        <v>49</v>
      </c>
      <c r="J6443" t="str">
        <f>HYPERLINK("https://climate.onebuilding.org/WMO_Region_6_Europe/HRV_Croatia/SD_Splitsko-Dalmatinska/HRV_SD_Makarska.144540_TMYx.2009-2023.zip")</f>
        <v>https://climate.onebuilding.org/WMO_Region_6_Europe/HRV_Croatia/SD_Splitsko-Dalmatinska/HRV_SD_Makarska.144540_TMYx.2009-2023.zip</v>
      </c>
    </row>
    <row r="6444" spans="1:10" x14ac:dyDescent="0.25">
      <c r="A6444" t="s">
        <v>4883</v>
      </c>
      <c r="B6444" t="s">
        <v>44</v>
      </c>
      <c r="C6444" t="s">
        <v>4966</v>
      </c>
      <c r="D6444">
        <v>144540</v>
      </c>
      <c r="E6444" t="s">
        <v>14</v>
      </c>
      <c r="F6444">
        <v>43.287500000000001</v>
      </c>
      <c r="G6444">
        <v>17.0197</v>
      </c>
      <c r="H6444">
        <v>1</v>
      </c>
      <c r="I6444">
        <v>49</v>
      </c>
      <c r="J6444" t="str">
        <f>HYPERLINK("https://climate.onebuilding.org/WMO_Region_6_Europe/HRV_Croatia/SD_Splitsko-Dalmatinska/HRV_SD_Makarska.144540_TMYx.zip")</f>
        <v>https://climate.onebuilding.org/WMO_Region_6_Europe/HRV_Croatia/SD_Splitsko-Dalmatinska/HRV_SD_Makarska.144540_TMYx.zip</v>
      </c>
    </row>
    <row r="6445" spans="1:10" x14ac:dyDescent="0.25">
      <c r="A6445" t="s">
        <v>4883</v>
      </c>
      <c r="B6445" t="s">
        <v>4954</v>
      </c>
      <c r="C6445" t="s">
        <v>4968</v>
      </c>
      <c r="D6445">
        <v>144620</v>
      </c>
      <c r="E6445" t="s">
        <v>4969</v>
      </c>
      <c r="F6445">
        <v>43.047499999999999</v>
      </c>
      <c r="G6445">
        <v>17.442799999999998</v>
      </c>
      <c r="H6445">
        <v>1</v>
      </c>
      <c r="I6445">
        <v>5</v>
      </c>
      <c r="J6445" t="str">
        <f>HYPERLINK("https://climate.onebuilding.org/WMO_Region_6_Europe/HRV_Croatia/DN_Dubrovacko-Neretvanska/HRV_DN_Ploce.144620_TMYx.2004-2018.zip")</f>
        <v>https://climate.onebuilding.org/WMO_Region_6_Europe/HRV_Croatia/DN_Dubrovacko-Neretvanska/HRV_DN_Ploce.144620_TMYx.2004-2018.zip</v>
      </c>
    </row>
    <row r="6446" spans="1:10" x14ac:dyDescent="0.25">
      <c r="A6446" t="s">
        <v>4883</v>
      </c>
      <c r="B6446" t="s">
        <v>4954</v>
      </c>
      <c r="C6446" t="s">
        <v>4968</v>
      </c>
      <c r="D6446">
        <v>144620</v>
      </c>
      <c r="E6446" t="s">
        <v>14</v>
      </c>
      <c r="F6446">
        <v>43.047499999999999</v>
      </c>
      <c r="G6446">
        <v>17.442799999999998</v>
      </c>
      <c r="H6446">
        <v>1</v>
      </c>
      <c r="I6446">
        <v>5</v>
      </c>
      <c r="J6446" t="str">
        <f>HYPERLINK("https://climate.onebuilding.org/WMO_Region_6_Europe/HRV_Croatia/DN_Dubrovacko-Neretvanska/HRV_DN_Ploce.144620_TMYx.2007-2021.zip")</f>
        <v>https://climate.onebuilding.org/WMO_Region_6_Europe/HRV_Croatia/DN_Dubrovacko-Neretvanska/HRV_DN_Ploce.144620_TMYx.2007-2021.zip</v>
      </c>
    </row>
    <row r="6447" spans="1:10" x14ac:dyDescent="0.25">
      <c r="A6447" t="s">
        <v>4883</v>
      </c>
      <c r="B6447" t="s">
        <v>4954</v>
      </c>
      <c r="C6447" t="s">
        <v>4968</v>
      </c>
      <c r="D6447">
        <v>144620</v>
      </c>
      <c r="E6447" t="s">
        <v>14</v>
      </c>
      <c r="F6447">
        <v>43.047499999999999</v>
      </c>
      <c r="G6447">
        <v>17.442799999999998</v>
      </c>
      <c r="H6447">
        <v>1</v>
      </c>
      <c r="I6447">
        <v>5</v>
      </c>
      <c r="J6447" t="str">
        <f>HYPERLINK("https://climate.onebuilding.org/WMO_Region_6_Europe/HRV_Croatia/DN_Dubrovacko-Neretvanska/HRV_DN_Ploce.144620_TMYx.2009-2023.zip")</f>
        <v>https://climate.onebuilding.org/WMO_Region_6_Europe/HRV_Croatia/DN_Dubrovacko-Neretvanska/HRV_DN_Ploce.144620_TMYx.2009-2023.zip</v>
      </c>
    </row>
    <row r="6448" spans="1:10" x14ac:dyDescent="0.25">
      <c r="A6448" t="s">
        <v>4883</v>
      </c>
      <c r="B6448" t="s">
        <v>4954</v>
      </c>
      <c r="C6448" t="s">
        <v>4968</v>
      </c>
      <c r="D6448">
        <v>144620</v>
      </c>
      <c r="E6448" t="s">
        <v>14</v>
      </c>
      <c r="F6448">
        <v>43.047499999999999</v>
      </c>
      <c r="G6448">
        <v>17.442799999999998</v>
      </c>
      <c r="H6448">
        <v>1</v>
      </c>
      <c r="I6448">
        <v>5</v>
      </c>
      <c r="J6448" t="str">
        <f>HYPERLINK("https://climate.onebuilding.org/WMO_Region_6_Europe/HRV_Croatia/DN_Dubrovacko-Neretvanska/HRV_DN_Ploce.144620_TMYx.zip")</f>
        <v>https://climate.onebuilding.org/WMO_Region_6_Europe/HRV_Croatia/DN_Dubrovacko-Neretvanska/HRV_DN_Ploce.144620_TMYx.zip</v>
      </c>
    </row>
    <row r="6449" spans="1:10" x14ac:dyDescent="0.25">
      <c r="A6449" t="s">
        <v>4883</v>
      </c>
      <c r="B6449" t="s">
        <v>4954</v>
      </c>
      <c r="C6449" t="s">
        <v>4970</v>
      </c>
      <c r="D6449">
        <v>144720</v>
      </c>
      <c r="E6449" t="s">
        <v>14</v>
      </c>
      <c r="F6449">
        <v>42.6447</v>
      </c>
      <c r="G6449">
        <v>18.085000000000001</v>
      </c>
      <c r="H6449">
        <v>1</v>
      </c>
      <c r="I6449">
        <v>53</v>
      </c>
      <c r="J6449" t="str">
        <f>HYPERLINK("https://climate.onebuilding.org/WMO_Region_6_Europe/HRV_Croatia/DN_Dubrovacko-Neretvanska/HRV_DN_Dubrovnik.Gorica.144720_TMYx.2007-2021.zip")</f>
        <v>https://climate.onebuilding.org/WMO_Region_6_Europe/HRV_Croatia/DN_Dubrovacko-Neretvanska/HRV_DN_Dubrovnik.Gorica.144720_TMYx.2007-2021.zip</v>
      </c>
    </row>
    <row r="6450" spans="1:10" x14ac:dyDescent="0.25">
      <c r="A6450" t="s">
        <v>4883</v>
      </c>
      <c r="B6450" t="s">
        <v>4954</v>
      </c>
      <c r="C6450" t="s">
        <v>4970</v>
      </c>
      <c r="D6450">
        <v>144720</v>
      </c>
      <c r="E6450" t="s">
        <v>14</v>
      </c>
      <c r="F6450">
        <v>42.6447</v>
      </c>
      <c r="G6450">
        <v>18.085000000000001</v>
      </c>
      <c r="H6450">
        <v>1</v>
      </c>
      <c r="I6450">
        <v>53</v>
      </c>
      <c r="J6450" t="str">
        <f>HYPERLINK("https://climate.onebuilding.org/WMO_Region_6_Europe/HRV_Croatia/DN_Dubrovacko-Neretvanska/HRV_DN_Dubrovnik.Gorica.144720_TMYx.2009-2023.zip")</f>
        <v>https://climate.onebuilding.org/WMO_Region_6_Europe/HRV_Croatia/DN_Dubrovacko-Neretvanska/HRV_DN_Dubrovnik.Gorica.144720_TMYx.2009-2023.zip</v>
      </c>
    </row>
    <row r="6451" spans="1:10" x14ac:dyDescent="0.25">
      <c r="A6451" t="s">
        <v>4883</v>
      </c>
      <c r="B6451" t="s">
        <v>4954</v>
      </c>
      <c r="C6451" t="s">
        <v>4970</v>
      </c>
      <c r="D6451">
        <v>144720</v>
      </c>
      <c r="E6451" t="s">
        <v>14</v>
      </c>
      <c r="F6451">
        <v>42.6447</v>
      </c>
      <c r="G6451">
        <v>18.085000000000001</v>
      </c>
      <c r="H6451">
        <v>1</v>
      </c>
      <c r="I6451">
        <v>53</v>
      </c>
      <c r="J6451" t="str">
        <f>HYPERLINK("https://climate.onebuilding.org/WMO_Region_6_Europe/HRV_Croatia/DN_Dubrovacko-Neretvanska/HRV_DN_Dubrovnik.Gorica.144720_TMYx.zip")</f>
        <v>https://climate.onebuilding.org/WMO_Region_6_Europe/HRV_Croatia/DN_Dubrovacko-Neretvanska/HRV_DN_Dubrovnik.Gorica.144720_TMYx.zip</v>
      </c>
    </row>
    <row r="6452" spans="1:10" x14ac:dyDescent="0.25">
      <c r="A6452" t="s">
        <v>4883</v>
      </c>
      <c r="B6452" t="s">
        <v>4954</v>
      </c>
      <c r="C6452" t="s">
        <v>4971</v>
      </c>
      <c r="D6452">
        <v>144740</v>
      </c>
      <c r="E6452" t="s">
        <v>4972</v>
      </c>
      <c r="F6452">
        <v>42.561</v>
      </c>
      <c r="G6452">
        <v>18.268000000000001</v>
      </c>
      <c r="H6452">
        <v>1</v>
      </c>
      <c r="I6452">
        <v>160.6</v>
      </c>
      <c r="J6452" t="str">
        <f>HYPERLINK("https://climate.onebuilding.org/WMO_Region_6_Europe/HRV_Croatia/DN_Dubrovacko-Neretvanska/HRV_DN_Dubrovnik.Intl.AP.144740_TMYx.2004-2018.zip")</f>
        <v>https://climate.onebuilding.org/WMO_Region_6_Europe/HRV_Croatia/DN_Dubrovacko-Neretvanska/HRV_DN_Dubrovnik.Intl.AP.144740_TMYx.2004-2018.zip</v>
      </c>
    </row>
    <row r="6453" spans="1:10" x14ac:dyDescent="0.25">
      <c r="A6453" t="s">
        <v>4883</v>
      </c>
      <c r="B6453" t="s">
        <v>4954</v>
      </c>
      <c r="C6453" t="s">
        <v>4971</v>
      </c>
      <c r="D6453">
        <v>144740</v>
      </c>
      <c r="E6453" t="s">
        <v>14</v>
      </c>
      <c r="F6453">
        <v>42.561</v>
      </c>
      <c r="G6453">
        <v>18.268000000000001</v>
      </c>
      <c r="H6453">
        <v>1</v>
      </c>
      <c r="I6453">
        <v>160.6</v>
      </c>
      <c r="J6453" t="str">
        <f>HYPERLINK("https://climate.onebuilding.org/WMO_Region_6_Europe/HRV_Croatia/DN_Dubrovacko-Neretvanska/HRV_DN_Dubrovnik.Intl.AP.144740_TMYx.2007-2021.zip")</f>
        <v>https://climate.onebuilding.org/WMO_Region_6_Europe/HRV_Croatia/DN_Dubrovacko-Neretvanska/HRV_DN_Dubrovnik.Intl.AP.144740_TMYx.2007-2021.zip</v>
      </c>
    </row>
    <row r="6454" spans="1:10" x14ac:dyDescent="0.25">
      <c r="A6454" t="s">
        <v>4883</v>
      </c>
      <c r="B6454" t="s">
        <v>4954</v>
      </c>
      <c r="C6454" t="s">
        <v>4971</v>
      </c>
      <c r="D6454">
        <v>144740</v>
      </c>
      <c r="E6454" t="s">
        <v>14</v>
      </c>
      <c r="F6454">
        <v>42.561</v>
      </c>
      <c r="G6454">
        <v>18.268000000000001</v>
      </c>
      <c r="H6454">
        <v>1</v>
      </c>
      <c r="I6454">
        <v>160.6</v>
      </c>
      <c r="J6454" t="str">
        <f>HYPERLINK("https://climate.onebuilding.org/WMO_Region_6_Europe/HRV_Croatia/DN_Dubrovacko-Neretvanska/HRV_DN_Dubrovnik.Intl.AP.144740_TMYx.2009-2023.zip")</f>
        <v>https://climate.onebuilding.org/WMO_Region_6_Europe/HRV_Croatia/DN_Dubrovacko-Neretvanska/HRV_DN_Dubrovnik.Intl.AP.144740_TMYx.2009-2023.zip</v>
      </c>
    </row>
    <row r="6455" spans="1:10" x14ac:dyDescent="0.25">
      <c r="A6455" t="s">
        <v>4883</v>
      </c>
      <c r="B6455" t="s">
        <v>4954</v>
      </c>
      <c r="C6455" t="s">
        <v>4971</v>
      </c>
      <c r="D6455">
        <v>144740</v>
      </c>
      <c r="E6455" t="s">
        <v>14</v>
      </c>
      <c r="F6455">
        <v>42.561</v>
      </c>
      <c r="G6455">
        <v>18.268000000000001</v>
      </c>
      <c r="H6455">
        <v>1</v>
      </c>
      <c r="I6455">
        <v>160.6</v>
      </c>
      <c r="J6455" t="str">
        <f>HYPERLINK("https://climate.onebuilding.org/WMO_Region_6_Europe/HRV_Croatia/DN_Dubrovacko-Neretvanska/HRV_DN_Dubrovnik.Intl.AP.144740_TMYx.zip")</f>
        <v>https://climate.onebuilding.org/WMO_Region_6_Europe/HRV_Croatia/DN_Dubrovacko-Neretvanska/HRV_DN_Dubrovnik.Intl.AP.144740_TMYx.zip</v>
      </c>
    </row>
    <row r="6456" spans="1:10" x14ac:dyDescent="0.25">
      <c r="A6456" t="s">
        <v>4973</v>
      </c>
      <c r="B6456" t="s">
        <v>4974</v>
      </c>
      <c r="C6456" t="s">
        <v>4975</v>
      </c>
      <c r="D6456">
        <v>127560</v>
      </c>
      <c r="E6456" t="s">
        <v>4976</v>
      </c>
      <c r="F6456">
        <v>48.116700000000002</v>
      </c>
      <c r="G6456">
        <v>19.5167</v>
      </c>
      <c r="H6456">
        <v>1</v>
      </c>
      <c r="I6456">
        <v>153</v>
      </c>
      <c r="J6456" t="str">
        <f>HYPERLINK("https://climate.onebuilding.org/WMO_Region_6_Europe/HUN_Hungary/NOR_Northern_Hungary/HUN_NOR_Szecseny.127560_TMYx.2004-2018.zip")</f>
        <v>https://climate.onebuilding.org/WMO_Region_6_Europe/HUN_Hungary/NOR_Northern_Hungary/HUN_NOR_Szecseny.127560_TMYx.2004-2018.zip</v>
      </c>
    </row>
    <row r="6457" spans="1:10" x14ac:dyDescent="0.25">
      <c r="A6457" t="s">
        <v>4973</v>
      </c>
      <c r="B6457" t="s">
        <v>4974</v>
      </c>
      <c r="C6457" t="s">
        <v>4975</v>
      </c>
      <c r="D6457">
        <v>127560</v>
      </c>
      <c r="E6457" t="s">
        <v>14</v>
      </c>
      <c r="F6457">
        <v>48.116700000000002</v>
      </c>
      <c r="G6457">
        <v>19.5167</v>
      </c>
      <c r="H6457">
        <v>1</v>
      </c>
      <c r="I6457">
        <v>153</v>
      </c>
      <c r="J6457" t="str">
        <f>HYPERLINK("https://climate.onebuilding.org/WMO_Region_6_Europe/HUN_Hungary/NOR_Northern_Hungary/HUN_NOR_Szecseny.127560_TMYx.2007-2021.zip")</f>
        <v>https://climate.onebuilding.org/WMO_Region_6_Europe/HUN_Hungary/NOR_Northern_Hungary/HUN_NOR_Szecseny.127560_TMYx.2007-2021.zip</v>
      </c>
    </row>
    <row r="6458" spans="1:10" x14ac:dyDescent="0.25">
      <c r="A6458" t="s">
        <v>4973</v>
      </c>
      <c r="B6458" t="s">
        <v>4974</v>
      </c>
      <c r="C6458" t="s">
        <v>4975</v>
      </c>
      <c r="D6458">
        <v>127560</v>
      </c>
      <c r="E6458" t="s">
        <v>14</v>
      </c>
      <c r="F6458">
        <v>48.116700000000002</v>
      </c>
      <c r="G6458">
        <v>19.5167</v>
      </c>
      <c r="H6458">
        <v>1</v>
      </c>
      <c r="I6458">
        <v>153</v>
      </c>
      <c r="J6458" t="str">
        <f>HYPERLINK("https://climate.onebuilding.org/WMO_Region_6_Europe/HUN_Hungary/NOR_Northern_Hungary/HUN_NOR_Szecseny.127560_TMYx.2009-2023.zip")</f>
        <v>https://climate.onebuilding.org/WMO_Region_6_Europe/HUN_Hungary/NOR_Northern_Hungary/HUN_NOR_Szecseny.127560_TMYx.2009-2023.zip</v>
      </c>
    </row>
    <row r="6459" spans="1:10" x14ac:dyDescent="0.25">
      <c r="A6459" t="s">
        <v>4973</v>
      </c>
      <c r="B6459" t="s">
        <v>4974</v>
      </c>
      <c r="C6459" t="s">
        <v>4975</v>
      </c>
      <c r="D6459">
        <v>127560</v>
      </c>
      <c r="E6459" t="s">
        <v>14</v>
      </c>
      <c r="F6459">
        <v>48.116700000000002</v>
      </c>
      <c r="G6459">
        <v>19.5167</v>
      </c>
      <c r="H6459">
        <v>1</v>
      </c>
      <c r="I6459">
        <v>153</v>
      </c>
      <c r="J6459" t="str">
        <f>HYPERLINK("https://climate.onebuilding.org/WMO_Region_6_Europe/HUN_Hungary/NOR_Northern_Hungary/HUN_NOR_Szecseny.127560_TMYx.zip")</f>
        <v>https://climate.onebuilding.org/WMO_Region_6_Europe/HUN_Hungary/NOR_Northern_Hungary/HUN_NOR_Szecseny.127560_TMYx.zip</v>
      </c>
    </row>
    <row r="6460" spans="1:10" x14ac:dyDescent="0.25">
      <c r="A6460" t="s">
        <v>4973</v>
      </c>
      <c r="B6460" t="s">
        <v>4974</v>
      </c>
      <c r="C6460" t="s">
        <v>4977</v>
      </c>
      <c r="D6460">
        <v>127660</v>
      </c>
      <c r="E6460" t="s">
        <v>4978</v>
      </c>
      <c r="F6460">
        <v>48.483199999999997</v>
      </c>
      <c r="G6460">
        <v>20.551600000000001</v>
      </c>
      <c r="H6460">
        <v>1</v>
      </c>
      <c r="I6460">
        <v>212</v>
      </c>
      <c r="J6460" t="str">
        <f>HYPERLINK("https://climate.onebuilding.org/WMO_Region_6_Europe/HUN_Hungary/NOR_Northern_Hungary/HUN_NOR_Josvafo.127660_TMYx.2004-2018.zip")</f>
        <v>https://climate.onebuilding.org/WMO_Region_6_Europe/HUN_Hungary/NOR_Northern_Hungary/HUN_NOR_Josvafo.127660_TMYx.2004-2018.zip</v>
      </c>
    </row>
    <row r="6461" spans="1:10" x14ac:dyDescent="0.25">
      <c r="A6461" t="s">
        <v>4973</v>
      </c>
      <c r="B6461" t="s">
        <v>4974</v>
      </c>
      <c r="C6461" t="s">
        <v>4977</v>
      </c>
      <c r="D6461">
        <v>127660</v>
      </c>
      <c r="E6461" t="s">
        <v>14</v>
      </c>
      <c r="F6461">
        <v>48.483199999999997</v>
      </c>
      <c r="G6461">
        <v>20.551600000000001</v>
      </c>
      <c r="H6461">
        <v>1</v>
      </c>
      <c r="I6461">
        <v>212</v>
      </c>
      <c r="J6461" t="str">
        <f>HYPERLINK("https://climate.onebuilding.org/WMO_Region_6_Europe/HUN_Hungary/NOR_Northern_Hungary/HUN_NOR_Josvafo.127660_TMYx.2007-2021.zip")</f>
        <v>https://climate.onebuilding.org/WMO_Region_6_Europe/HUN_Hungary/NOR_Northern_Hungary/HUN_NOR_Josvafo.127660_TMYx.2007-2021.zip</v>
      </c>
    </row>
    <row r="6462" spans="1:10" x14ac:dyDescent="0.25">
      <c r="A6462" t="s">
        <v>4973</v>
      </c>
      <c r="B6462" t="s">
        <v>4974</v>
      </c>
      <c r="C6462" t="s">
        <v>4977</v>
      </c>
      <c r="D6462">
        <v>127660</v>
      </c>
      <c r="E6462" t="s">
        <v>14</v>
      </c>
      <c r="F6462">
        <v>48.483199999999997</v>
      </c>
      <c r="G6462">
        <v>20.551600000000001</v>
      </c>
      <c r="H6462">
        <v>1</v>
      </c>
      <c r="I6462">
        <v>212</v>
      </c>
      <c r="J6462" t="str">
        <f>HYPERLINK("https://climate.onebuilding.org/WMO_Region_6_Europe/HUN_Hungary/NOR_Northern_Hungary/HUN_NOR_Josvafo.127660_TMYx.2009-2023.zip")</f>
        <v>https://climate.onebuilding.org/WMO_Region_6_Europe/HUN_Hungary/NOR_Northern_Hungary/HUN_NOR_Josvafo.127660_TMYx.2009-2023.zip</v>
      </c>
    </row>
    <row r="6463" spans="1:10" x14ac:dyDescent="0.25">
      <c r="A6463" t="s">
        <v>4973</v>
      </c>
      <c r="B6463" t="s">
        <v>4974</v>
      </c>
      <c r="C6463" t="s">
        <v>4977</v>
      </c>
      <c r="D6463">
        <v>127660</v>
      </c>
      <c r="E6463" t="s">
        <v>14</v>
      </c>
      <c r="F6463">
        <v>48.483199999999997</v>
      </c>
      <c r="G6463">
        <v>20.551600000000001</v>
      </c>
      <c r="H6463">
        <v>1</v>
      </c>
      <c r="I6463">
        <v>212</v>
      </c>
      <c r="J6463" t="str">
        <f>HYPERLINK("https://climate.onebuilding.org/WMO_Region_6_Europe/HUN_Hungary/NOR_Northern_Hungary/HUN_NOR_Josvafo.127660_TMYx.zip")</f>
        <v>https://climate.onebuilding.org/WMO_Region_6_Europe/HUN_Hungary/NOR_Northern_Hungary/HUN_NOR_Josvafo.127660_TMYx.zip</v>
      </c>
    </row>
    <row r="6464" spans="1:10" x14ac:dyDescent="0.25">
      <c r="A6464" t="s">
        <v>4973</v>
      </c>
      <c r="B6464" t="s">
        <v>4974</v>
      </c>
      <c r="C6464" t="s">
        <v>4979</v>
      </c>
      <c r="D6464">
        <v>127720</v>
      </c>
      <c r="E6464" t="s">
        <v>4980</v>
      </c>
      <c r="F6464">
        <v>48.094700000000003</v>
      </c>
      <c r="G6464">
        <v>20.726700000000001</v>
      </c>
      <c r="H6464">
        <v>1</v>
      </c>
      <c r="I6464">
        <v>162.6</v>
      </c>
      <c r="J6464" t="str">
        <f>HYPERLINK("https://climate.onebuilding.org/WMO_Region_6_Europe/HUN_Hungary/NOR_Northern_Hungary/HUN_NOR_Miskolc.127720_TMYx.2004-2018.zip")</f>
        <v>https://climate.onebuilding.org/WMO_Region_6_Europe/HUN_Hungary/NOR_Northern_Hungary/HUN_NOR_Miskolc.127720_TMYx.2004-2018.zip</v>
      </c>
    </row>
    <row r="6465" spans="1:10" x14ac:dyDescent="0.25">
      <c r="A6465" t="s">
        <v>4973</v>
      </c>
      <c r="B6465" t="s">
        <v>4974</v>
      </c>
      <c r="C6465" t="s">
        <v>4979</v>
      </c>
      <c r="D6465">
        <v>127720</v>
      </c>
      <c r="E6465" t="s">
        <v>14</v>
      </c>
      <c r="F6465">
        <v>48.094700000000003</v>
      </c>
      <c r="G6465">
        <v>20.726700000000001</v>
      </c>
      <c r="H6465">
        <v>1</v>
      </c>
      <c r="I6465">
        <v>162.6</v>
      </c>
      <c r="J6465" t="str">
        <f>HYPERLINK("https://climate.onebuilding.org/WMO_Region_6_Europe/HUN_Hungary/NOR_Northern_Hungary/HUN_NOR_Miskolc.127720_TMYx.2007-2021.zip")</f>
        <v>https://climate.onebuilding.org/WMO_Region_6_Europe/HUN_Hungary/NOR_Northern_Hungary/HUN_NOR_Miskolc.127720_TMYx.2007-2021.zip</v>
      </c>
    </row>
    <row r="6466" spans="1:10" x14ac:dyDescent="0.25">
      <c r="A6466" t="s">
        <v>4973</v>
      </c>
      <c r="B6466" t="s">
        <v>4974</v>
      </c>
      <c r="C6466" t="s">
        <v>4979</v>
      </c>
      <c r="D6466">
        <v>127720</v>
      </c>
      <c r="E6466" t="s">
        <v>14</v>
      </c>
      <c r="F6466">
        <v>48.094700000000003</v>
      </c>
      <c r="G6466">
        <v>20.726700000000001</v>
      </c>
      <c r="H6466">
        <v>1</v>
      </c>
      <c r="I6466">
        <v>162.6</v>
      </c>
      <c r="J6466" t="str">
        <f>HYPERLINK("https://climate.onebuilding.org/WMO_Region_6_Europe/HUN_Hungary/NOR_Northern_Hungary/HUN_NOR_Miskolc.127720_TMYx.2009-2023.zip")</f>
        <v>https://climate.onebuilding.org/WMO_Region_6_Europe/HUN_Hungary/NOR_Northern_Hungary/HUN_NOR_Miskolc.127720_TMYx.2009-2023.zip</v>
      </c>
    </row>
    <row r="6467" spans="1:10" x14ac:dyDescent="0.25">
      <c r="A6467" t="s">
        <v>4973</v>
      </c>
      <c r="B6467" t="s">
        <v>4974</v>
      </c>
      <c r="C6467" t="s">
        <v>4979</v>
      </c>
      <c r="D6467">
        <v>127720</v>
      </c>
      <c r="E6467" t="s">
        <v>14</v>
      </c>
      <c r="F6467">
        <v>48.094700000000003</v>
      </c>
      <c r="G6467">
        <v>20.726700000000001</v>
      </c>
      <c r="H6467">
        <v>1</v>
      </c>
      <c r="I6467">
        <v>162.6</v>
      </c>
      <c r="J6467" t="str">
        <f>HYPERLINK("https://climate.onebuilding.org/WMO_Region_6_Europe/HUN_Hungary/NOR_Northern_Hungary/HUN_NOR_Miskolc.127720_TMYx.zip")</f>
        <v>https://climate.onebuilding.org/WMO_Region_6_Europe/HUN_Hungary/NOR_Northern_Hungary/HUN_NOR_Miskolc.127720_TMYx.zip</v>
      </c>
    </row>
    <row r="6468" spans="1:10" x14ac:dyDescent="0.25">
      <c r="A6468" t="s">
        <v>4973</v>
      </c>
      <c r="B6468" t="s">
        <v>4981</v>
      </c>
      <c r="C6468" t="s">
        <v>4982</v>
      </c>
      <c r="D6468">
        <v>127860</v>
      </c>
      <c r="E6468" t="s">
        <v>4983</v>
      </c>
      <c r="F6468">
        <v>48.4</v>
      </c>
      <c r="G6468">
        <v>22.166699999999999</v>
      </c>
      <c r="H6468">
        <v>1</v>
      </c>
      <c r="I6468">
        <v>104</v>
      </c>
      <c r="J6468" t="str">
        <f>HYPERLINK("https://climate.onebuilding.org/WMO_Region_6_Europe/HUN_Hungary/NGP_Northern_Great_Plain/HUN_NGP_Zahony.127860_TMYx.2004-2018.zip")</f>
        <v>https://climate.onebuilding.org/WMO_Region_6_Europe/HUN_Hungary/NGP_Northern_Great_Plain/HUN_NGP_Zahony.127860_TMYx.2004-2018.zip</v>
      </c>
    </row>
    <row r="6469" spans="1:10" x14ac:dyDescent="0.25">
      <c r="A6469" t="s">
        <v>4973</v>
      </c>
      <c r="B6469" t="s">
        <v>4981</v>
      </c>
      <c r="C6469" t="s">
        <v>4982</v>
      </c>
      <c r="D6469">
        <v>127860</v>
      </c>
      <c r="E6469" t="s">
        <v>14</v>
      </c>
      <c r="F6469">
        <v>48.4</v>
      </c>
      <c r="G6469">
        <v>22.167000000000002</v>
      </c>
      <c r="H6469">
        <v>1</v>
      </c>
      <c r="I6469">
        <v>104</v>
      </c>
      <c r="J6469" t="str">
        <f>HYPERLINK("https://climate.onebuilding.org/WMO_Region_6_Europe/HUN_Hungary/NGP_Northern_Great_Plain/HUN_NGP_Zahony.127860_TMYx.2007-2021.zip")</f>
        <v>https://climate.onebuilding.org/WMO_Region_6_Europe/HUN_Hungary/NGP_Northern_Great_Plain/HUN_NGP_Zahony.127860_TMYx.2007-2021.zip</v>
      </c>
    </row>
    <row r="6470" spans="1:10" x14ac:dyDescent="0.25">
      <c r="A6470" t="s">
        <v>4973</v>
      </c>
      <c r="B6470" t="s">
        <v>4981</v>
      </c>
      <c r="C6470" t="s">
        <v>4982</v>
      </c>
      <c r="D6470">
        <v>127860</v>
      </c>
      <c r="E6470" t="s">
        <v>14</v>
      </c>
      <c r="F6470">
        <v>48.4</v>
      </c>
      <c r="G6470">
        <v>22.167000000000002</v>
      </c>
      <c r="H6470">
        <v>1</v>
      </c>
      <c r="I6470">
        <v>104</v>
      </c>
      <c r="J6470" t="str">
        <f>HYPERLINK("https://climate.onebuilding.org/WMO_Region_6_Europe/HUN_Hungary/NGP_Northern_Great_Plain/HUN_NGP_Zahony.127860_TMYx.2009-2023.zip")</f>
        <v>https://climate.onebuilding.org/WMO_Region_6_Europe/HUN_Hungary/NGP_Northern_Great_Plain/HUN_NGP_Zahony.127860_TMYx.2009-2023.zip</v>
      </c>
    </row>
    <row r="6471" spans="1:10" x14ac:dyDescent="0.25">
      <c r="A6471" t="s">
        <v>4973</v>
      </c>
      <c r="B6471" t="s">
        <v>4981</v>
      </c>
      <c r="C6471" t="s">
        <v>4982</v>
      </c>
      <c r="D6471">
        <v>127860</v>
      </c>
      <c r="E6471" t="s">
        <v>14</v>
      </c>
      <c r="F6471">
        <v>48.4</v>
      </c>
      <c r="G6471">
        <v>22.167000000000002</v>
      </c>
      <c r="H6471">
        <v>1</v>
      </c>
      <c r="I6471">
        <v>104</v>
      </c>
      <c r="J6471" t="str">
        <f>HYPERLINK("https://climate.onebuilding.org/WMO_Region_6_Europe/HUN_Hungary/NGP_Northern_Great_Plain/HUN_NGP_Zahony.127860_TMYx.zip")</f>
        <v>https://climate.onebuilding.org/WMO_Region_6_Europe/HUN_Hungary/NGP_Northern_Great_Plain/HUN_NGP_Zahony.127860_TMYx.zip</v>
      </c>
    </row>
    <row r="6472" spans="1:10" x14ac:dyDescent="0.25">
      <c r="A6472" t="s">
        <v>4973</v>
      </c>
      <c r="B6472" t="s">
        <v>4984</v>
      </c>
      <c r="C6472" t="s">
        <v>4985</v>
      </c>
      <c r="D6472">
        <v>128050</v>
      </c>
      <c r="E6472" t="s">
        <v>4986</v>
      </c>
      <c r="F6472">
        <v>47.683300000000003</v>
      </c>
      <c r="G6472">
        <v>16.600000000000001</v>
      </c>
      <c r="H6472">
        <v>1</v>
      </c>
      <c r="I6472">
        <v>239</v>
      </c>
      <c r="J6472" t="str">
        <f>HYPERLINK("https://climate.onebuilding.org/WMO_Region_6_Europe/HUN_Hungary/WTR_Western_Transdanubia/HUN_WTR_Sopron.128050_TMYx.2004-2018.zip")</f>
        <v>https://climate.onebuilding.org/WMO_Region_6_Europe/HUN_Hungary/WTR_Western_Transdanubia/HUN_WTR_Sopron.128050_TMYx.2004-2018.zip</v>
      </c>
    </row>
    <row r="6473" spans="1:10" x14ac:dyDescent="0.25">
      <c r="A6473" t="s">
        <v>4973</v>
      </c>
      <c r="B6473" t="s">
        <v>4984</v>
      </c>
      <c r="C6473" t="s">
        <v>4985</v>
      </c>
      <c r="D6473">
        <v>128050</v>
      </c>
      <c r="E6473" t="s">
        <v>14</v>
      </c>
      <c r="F6473">
        <v>47.683300000000003</v>
      </c>
      <c r="G6473">
        <v>16.600000000000001</v>
      </c>
      <c r="H6473">
        <v>1</v>
      </c>
      <c r="I6473">
        <v>239</v>
      </c>
      <c r="J6473" t="str">
        <f>HYPERLINK("https://climate.onebuilding.org/WMO_Region_6_Europe/HUN_Hungary/WTR_Western_Transdanubia/HUN_WTR_Sopron.128050_TMYx.2007-2021.zip")</f>
        <v>https://climate.onebuilding.org/WMO_Region_6_Europe/HUN_Hungary/WTR_Western_Transdanubia/HUN_WTR_Sopron.128050_TMYx.2007-2021.zip</v>
      </c>
    </row>
    <row r="6474" spans="1:10" x14ac:dyDescent="0.25">
      <c r="A6474" t="s">
        <v>4973</v>
      </c>
      <c r="B6474" t="s">
        <v>4984</v>
      </c>
      <c r="C6474" t="s">
        <v>4985</v>
      </c>
      <c r="D6474">
        <v>128050</v>
      </c>
      <c r="E6474" t="s">
        <v>14</v>
      </c>
      <c r="F6474">
        <v>47.683300000000003</v>
      </c>
      <c r="G6474">
        <v>16.600000000000001</v>
      </c>
      <c r="H6474">
        <v>1</v>
      </c>
      <c r="I6474">
        <v>239</v>
      </c>
      <c r="J6474" t="str">
        <f>HYPERLINK("https://climate.onebuilding.org/WMO_Region_6_Europe/HUN_Hungary/WTR_Western_Transdanubia/HUN_WTR_Sopron.128050_TMYx.2009-2023.zip")</f>
        <v>https://climate.onebuilding.org/WMO_Region_6_Europe/HUN_Hungary/WTR_Western_Transdanubia/HUN_WTR_Sopron.128050_TMYx.2009-2023.zip</v>
      </c>
    </row>
    <row r="6475" spans="1:10" x14ac:dyDescent="0.25">
      <c r="A6475" t="s">
        <v>4973</v>
      </c>
      <c r="B6475" t="s">
        <v>4984</v>
      </c>
      <c r="C6475" t="s">
        <v>4985</v>
      </c>
      <c r="D6475">
        <v>128050</v>
      </c>
      <c r="E6475" t="s">
        <v>14</v>
      </c>
      <c r="F6475">
        <v>47.683300000000003</v>
      </c>
      <c r="G6475">
        <v>16.600000000000001</v>
      </c>
      <c r="H6475">
        <v>1</v>
      </c>
      <c r="I6475">
        <v>239</v>
      </c>
      <c r="J6475" t="str">
        <f>HYPERLINK("https://climate.onebuilding.org/WMO_Region_6_Europe/HUN_Hungary/WTR_Western_Transdanubia/HUN_WTR_Sopron.128050_TMYx.zip")</f>
        <v>https://climate.onebuilding.org/WMO_Region_6_Europe/HUN_Hungary/WTR_Western_Transdanubia/HUN_WTR_Sopron.128050_TMYx.zip</v>
      </c>
    </row>
    <row r="6476" spans="1:10" x14ac:dyDescent="0.25">
      <c r="A6476" t="s">
        <v>4973</v>
      </c>
      <c r="B6476" t="s">
        <v>4984</v>
      </c>
      <c r="C6476" t="s">
        <v>4987</v>
      </c>
      <c r="D6476">
        <v>128120</v>
      </c>
      <c r="E6476" t="s">
        <v>4988</v>
      </c>
      <c r="F6476">
        <v>47.2667</v>
      </c>
      <c r="G6476">
        <v>16.633299999999998</v>
      </c>
      <c r="H6476">
        <v>1</v>
      </c>
      <c r="I6476">
        <v>221</v>
      </c>
      <c r="J6476" t="str">
        <f>HYPERLINK("https://climate.onebuilding.org/WMO_Region_6_Europe/HUN_Hungary/WTR_Western_Transdanubia/HUN_WTR_Szombathely.128120_TMYx.2004-2018.zip")</f>
        <v>https://climate.onebuilding.org/WMO_Region_6_Europe/HUN_Hungary/WTR_Western_Transdanubia/HUN_WTR_Szombathely.128120_TMYx.2004-2018.zip</v>
      </c>
    </row>
    <row r="6477" spans="1:10" x14ac:dyDescent="0.25">
      <c r="A6477" t="s">
        <v>4973</v>
      </c>
      <c r="B6477" t="s">
        <v>4984</v>
      </c>
      <c r="C6477" t="s">
        <v>4987</v>
      </c>
      <c r="D6477">
        <v>128120</v>
      </c>
      <c r="E6477" t="s">
        <v>14</v>
      </c>
      <c r="F6477">
        <v>47.198300000000003</v>
      </c>
      <c r="G6477">
        <v>16.6478</v>
      </c>
      <c r="H6477">
        <v>1</v>
      </c>
      <c r="I6477">
        <v>221</v>
      </c>
      <c r="J6477" t="str">
        <f>HYPERLINK("https://climate.onebuilding.org/WMO_Region_6_Europe/HUN_Hungary/WTR_Western_Transdanubia/HUN_WTR_Szombathely.128120_TMYx.2007-2021.zip")</f>
        <v>https://climate.onebuilding.org/WMO_Region_6_Europe/HUN_Hungary/WTR_Western_Transdanubia/HUN_WTR_Szombathely.128120_TMYx.2007-2021.zip</v>
      </c>
    </row>
    <row r="6478" spans="1:10" x14ac:dyDescent="0.25">
      <c r="A6478" t="s">
        <v>4973</v>
      </c>
      <c r="B6478" t="s">
        <v>4984</v>
      </c>
      <c r="C6478" t="s">
        <v>4987</v>
      </c>
      <c r="D6478">
        <v>128120</v>
      </c>
      <c r="E6478" t="s">
        <v>14</v>
      </c>
      <c r="F6478">
        <v>47.198300000000003</v>
      </c>
      <c r="G6478">
        <v>16.6478</v>
      </c>
      <c r="H6478">
        <v>1</v>
      </c>
      <c r="I6478">
        <v>221</v>
      </c>
      <c r="J6478" t="str">
        <f>HYPERLINK("https://climate.onebuilding.org/WMO_Region_6_Europe/HUN_Hungary/WTR_Western_Transdanubia/HUN_WTR_Szombathely.128120_TMYx.2009-2023.zip")</f>
        <v>https://climate.onebuilding.org/WMO_Region_6_Europe/HUN_Hungary/WTR_Western_Transdanubia/HUN_WTR_Szombathely.128120_TMYx.2009-2023.zip</v>
      </c>
    </row>
    <row r="6479" spans="1:10" x14ac:dyDescent="0.25">
      <c r="A6479" t="s">
        <v>4973</v>
      </c>
      <c r="B6479" t="s">
        <v>4984</v>
      </c>
      <c r="C6479" t="s">
        <v>4987</v>
      </c>
      <c r="D6479">
        <v>128120</v>
      </c>
      <c r="E6479" t="s">
        <v>14</v>
      </c>
      <c r="F6479">
        <v>47.198300000000003</v>
      </c>
      <c r="G6479">
        <v>16.6478</v>
      </c>
      <c r="H6479">
        <v>1</v>
      </c>
      <c r="I6479">
        <v>221</v>
      </c>
      <c r="J6479" t="str">
        <f>HYPERLINK("https://climate.onebuilding.org/WMO_Region_6_Europe/HUN_Hungary/WTR_Western_Transdanubia/HUN_WTR_Szombathely.128120_TMYx.zip")</f>
        <v>https://climate.onebuilding.org/WMO_Region_6_Europe/HUN_Hungary/WTR_Western_Transdanubia/HUN_WTR_Szombathely.128120_TMYx.zip</v>
      </c>
    </row>
    <row r="6480" spans="1:10" x14ac:dyDescent="0.25">
      <c r="A6480" t="s">
        <v>4973</v>
      </c>
      <c r="B6480" t="s">
        <v>4984</v>
      </c>
      <c r="C6480" t="s">
        <v>4989</v>
      </c>
      <c r="D6480">
        <v>128150</v>
      </c>
      <c r="E6480" t="s">
        <v>4990</v>
      </c>
      <c r="F6480">
        <v>47.883299999999998</v>
      </c>
      <c r="G6480">
        <v>17.283300000000001</v>
      </c>
      <c r="H6480">
        <v>1</v>
      </c>
      <c r="I6480">
        <v>122</v>
      </c>
      <c r="J6480" t="str">
        <f>HYPERLINK("https://climate.onebuilding.org/WMO_Region_6_Europe/HUN_Hungary/WTR_Western_Transdanubia/HUN_WTR_Mosonmagyarovar.128150_TMYx.2004-2018.zip")</f>
        <v>https://climate.onebuilding.org/WMO_Region_6_Europe/HUN_Hungary/WTR_Western_Transdanubia/HUN_WTR_Mosonmagyarovar.128150_TMYx.2004-2018.zip</v>
      </c>
    </row>
    <row r="6481" spans="1:10" x14ac:dyDescent="0.25">
      <c r="A6481" t="s">
        <v>4973</v>
      </c>
      <c r="B6481" t="s">
        <v>4984</v>
      </c>
      <c r="C6481" t="s">
        <v>4989</v>
      </c>
      <c r="D6481">
        <v>128150</v>
      </c>
      <c r="E6481" t="s">
        <v>14</v>
      </c>
      <c r="F6481">
        <v>47.883299999999998</v>
      </c>
      <c r="G6481">
        <v>17.283300000000001</v>
      </c>
      <c r="H6481">
        <v>1</v>
      </c>
      <c r="I6481">
        <v>122</v>
      </c>
      <c r="J6481" t="str">
        <f>HYPERLINK("https://climate.onebuilding.org/WMO_Region_6_Europe/HUN_Hungary/WTR_Western_Transdanubia/HUN_WTR_Mosonmagyarovar.128150_TMYx.2007-2021.zip")</f>
        <v>https://climate.onebuilding.org/WMO_Region_6_Europe/HUN_Hungary/WTR_Western_Transdanubia/HUN_WTR_Mosonmagyarovar.128150_TMYx.2007-2021.zip</v>
      </c>
    </row>
    <row r="6482" spans="1:10" x14ac:dyDescent="0.25">
      <c r="A6482" t="s">
        <v>4973</v>
      </c>
      <c r="B6482" t="s">
        <v>4984</v>
      </c>
      <c r="C6482" t="s">
        <v>4989</v>
      </c>
      <c r="D6482">
        <v>128150</v>
      </c>
      <c r="E6482" t="s">
        <v>14</v>
      </c>
      <c r="F6482">
        <v>47.883299999999998</v>
      </c>
      <c r="G6482">
        <v>17.283300000000001</v>
      </c>
      <c r="H6482">
        <v>1</v>
      </c>
      <c r="I6482">
        <v>122</v>
      </c>
      <c r="J6482" t="str">
        <f>HYPERLINK("https://climate.onebuilding.org/WMO_Region_6_Europe/HUN_Hungary/WTR_Western_Transdanubia/HUN_WTR_Mosonmagyarovar.128150_TMYx.2009-2023.zip")</f>
        <v>https://climate.onebuilding.org/WMO_Region_6_Europe/HUN_Hungary/WTR_Western_Transdanubia/HUN_WTR_Mosonmagyarovar.128150_TMYx.2009-2023.zip</v>
      </c>
    </row>
    <row r="6483" spans="1:10" x14ac:dyDescent="0.25">
      <c r="A6483" t="s">
        <v>4973</v>
      </c>
      <c r="B6483" t="s">
        <v>4984</v>
      </c>
      <c r="C6483" t="s">
        <v>4989</v>
      </c>
      <c r="D6483">
        <v>128150</v>
      </c>
      <c r="E6483" t="s">
        <v>14</v>
      </c>
      <c r="F6483">
        <v>47.883299999999998</v>
      </c>
      <c r="G6483">
        <v>17.283300000000001</v>
      </c>
      <c r="H6483">
        <v>1</v>
      </c>
      <c r="I6483">
        <v>122</v>
      </c>
      <c r="J6483" t="str">
        <f>HYPERLINK("https://climate.onebuilding.org/WMO_Region_6_Europe/HUN_Hungary/WTR_Western_Transdanubia/HUN_WTR_Mosonmagyarovar.128150_TMYx.zip")</f>
        <v>https://climate.onebuilding.org/WMO_Region_6_Europe/HUN_Hungary/WTR_Western_Transdanubia/HUN_WTR_Mosonmagyarovar.128150_TMYx.zip</v>
      </c>
    </row>
    <row r="6484" spans="1:10" x14ac:dyDescent="0.25">
      <c r="A6484" t="s">
        <v>4973</v>
      </c>
      <c r="B6484" t="s">
        <v>4984</v>
      </c>
      <c r="C6484" t="s">
        <v>4991</v>
      </c>
      <c r="D6484">
        <v>128220</v>
      </c>
      <c r="E6484" t="s">
        <v>4992</v>
      </c>
      <c r="F6484">
        <v>47.716700000000003</v>
      </c>
      <c r="G6484">
        <v>17.683299999999999</v>
      </c>
      <c r="H6484">
        <v>1</v>
      </c>
      <c r="I6484">
        <v>129</v>
      </c>
      <c r="J6484" t="str">
        <f>HYPERLINK("https://climate.onebuilding.org/WMO_Region_6_Europe/HUN_Hungary/WTR_Western_Transdanubia/HUN_WTR_Gyor.AP.128220_TMYx.2004-2018.zip")</f>
        <v>https://climate.onebuilding.org/WMO_Region_6_Europe/HUN_Hungary/WTR_Western_Transdanubia/HUN_WTR_Gyor.AP.128220_TMYx.2004-2018.zip</v>
      </c>
    </row>
    <row r="6485" spans="1:10" x14ac:dyDescent="0.25">
      <c r="A6485" t="s">
        <v>4973</v>
      </c>
      <c r="B6485" t="s">
        <v>4984</v>
      </c>
      <c r="C6485" t="s">
        <v>4991</v>
      </c>
      <c r="D6485">
        <v>128220</v>
      </c>
      <c r="E6485" t="s">
        <v>14</v>
      </c>
      <c r="F6485">
        <v>47.628</v>
      </c>
      <c r="G6485">
        <v>17.805</v>
      </c>
      <c r="H6485">
        <v>1</v>
      </c>
      <c r="I6485">
        <v>129</v>
      </c>
      <c r="J6485" t="str">
        <f>HYPERLINK("https://climate.onebuilding.org/WMO_Region_6_Europe/HUN_Hungary/WTR_Western_Transdanubia/HUN_WTR_Gyor.AP.128220_TMYx.2007-2021.zip")</f>
        <v>https://climate.onebuilding.org/WMO_Region_6_Europe/HUN_Hungary/WTR_Western_Transdanubia/HUN_WTR_Gyor.AP.128220_TMYx.2007-2021.zip</v>
      </c>
    </row>
    <row r="6486" spans="1:10" x14ac:dyDescent="0.25">
      <c r="A6486" t="s">
        <v>4973</v>
      </c>
      <c r="B6486" t="s">
        <v>4984</v>
      </c>
      <c r="C6486" t="s">
        <v>4991</v>
      </c>
      <c r="D6486">
        <v>128220</v>
      </c>
      <c r="E6486" t="s">
        <v>14</v>
      </c>
      <c r="F6486">
        <v>47.628</v>
      </c>
      <c r="G6486">
        <v>17.805</v>
      </c>
      <c r="H6486">
        <v>1</v>
      </c>
      <c r="I6486">
        <v>129</v>
      </c>
      <c r="J6486" t="str">
        <f>HYPERLINK("https://climate.onebuilding.org/WMO_Region_6_Europe/HUN_Hungary/WTR_Western_Transdanubia/HUN_WTR_Gyor.AP.128220_TMYx.2009-2023.zip")</f>
        <v>https://climate.onebuilding.org/WMO_Region_6_Europe/HUN_Hungary/WTR_Western_Transdanubia/HUN_WTR_Gyor.AP.128220_TMYx.2009-2023.zip</v>
      </c>
    </row>
    <row r="6487" spans="1:10" x14ac:dyDescent="0.25">
      <c r="A6487" t="s">
        <v>4973</v>
      </c>
      <c r="B6487" t="s">
        <v>4984</v>
      </c>
      <c r="C6487" t="s">
        <v>4991</v>
      </c>
      <c r="D6487">
        <v>128220</v>
      </c>
      <c r="E6487" t="s">
        <v>14</v>
      </c>
      <c r="F6487">
        <v>47.628</v>
      </c>
      <c r="G6487">
        <v>17.805</v>
      </c>
      <c r="H6487">
        <v>1</v>
      </c>
      <c r="I6487">
        <v>129</v>
      </c>
      <c r="J6487" t="str">
        <f>HYPERLINK("https://climate.onebuilding.org/WMO_Region_6_Europe/HUN_Hungary/WTR_Western_Transdanubia/HUN_WTR_Gyor.AP.128220_TMYx.zip")</f>
        <v>https://climate.onebuilding.org/WMO_Region_6_Europe/HUN_Hungary/WTR_Western_Transdanubia/HUN_WTR_Gyor.AP.128220_TMYx.zip</v>
      </c>
    </row>
    <row r="6488" spans="1:10" x14ac:dyDescent="0.25">
      <c r="A6488" t="s">
        <v>4973</v>
      </c>
      <c r="B6488" t="s">
        <v>4993</v>
      </c>
      <c r="C6488" t="s">
        <v>4994</v>
      </c>
      <c r="D6488">
        <v>128250</v>
      </c>
      <c r="E6488" t="s">
        <v>4995</v>
      </c>
      <c r="F6488">
        <v>47.363999999999997</v>
      </c>
      <c r="G6488">
        <v>17.501000000000001</v>
      </c>
      <c r="H6488">
        <v>1</v>
      </c>
      <c r="I6488">
        <v>152</v>
      </c>
      <c r="J6488" t="str">
        <f>HYPERLINK("https://climate.onebuilding.org/WMO_Region_6_Europe/HUN_Hungary/CTR_Central_Transdanubia/HUN_CTR_Papa.AB.128250_TMYx.2004-2018.zip")</f>
        <v>https://climate.onebuilding.org/WMO_Region_6_Europe/HUN_Hungary/CTR_Central_Transdanubia/HUN_CTR_Papa.AB.128250_TMYx.2004-2018.zip</v>
      </c>
    </row>
    <row r="6489" spans="1:10" x14ac:dyDescent="0.25">
      <c r="A6489" t="s">
        <v>4973</v>
      </c>
      <c r="B6489" t="s">
        <v>4993</v>
      </c>
      <c r="C6489" t="s">
        <v>4994</v>
      </c>
      <c r="D6489">
        <v>128250</v>
      </c>
      <c r="E6489" t="s">
        <v>14</v>
      </c>
      <c r="F6489">
        <v>47.363999999999997</v>
      </c>
      <c r="G6489">
        <v>17.501000000000001</v>
      </c>
      <c r="H6489">
        <v>1</v>
      </c>
      <c r="I6489">
        <v>152</v>
      </c>
      <c r="J6489" t="str">
        <f>HYPERLINK("https://climate.onebuilding.org/WMO_Region_6_Europe/HUN_Hungary/CTR_Central_Transdanubia/HUN_CTR_Papa.AB.128250_TMYx.2007-2021.zip")</f>
        <v>https://climate.onebuilding.org/WMO_Region_6_Europe/HUN_Hungary/CTR_Central_Transdanubia/HUN_CTR_Papa.AB.128250_TMYx.2007-2021.zip</v>
      </c>
    </row>
    <row r="6490" spans="1:10" x14ac:dyDescent="0.25">
      <c r="A6490" t="s">
        <v>4973</v>
      </c>
      <c r="B6490" t="s">
        <v>4993</v>
      </c>
      <c r="C6490" t="s">
        <v>4994</v>
      </c>
      <c r="D6490">
        <v>128250</v>
      </c>
      <c r="E6490" t="s">
        <v>14</v>
      </c>
      <c r="F6490">
        <v>47.363999999999997</v>
      </c>
      <c r="G6490">
        <v>17.501000000000001</v>
      </c>
      <c r="H6490">
        <v>1</v>
      </c>
      <c r="I6490">
        <v>152</v>
      </c>
      <c r="J6490" t="str">
        <f>HYPERLINK("https://climate.onebuilding.org/WMO_Region_6_Europe/HUN_Hungary/CTR_Central_Transdanubia/HUN_CTR_Papa.AB.128250_TMYx.2009-2023.zip")</f>
        <v>https://climate.onebuilding.org/WMO_Region_6_Europe/HUN_Hungary/CTR_Central_Transdanubia/HUN_CTR_Papa.AB.128250_TMYx.2009-2023.zip</v>
      </c>
    </row>
    <row r="6491" spans="1:10" x14ac:dyDescent="0.25">
      <c r="A6491" t="s">
        <v>4973</v>
      </c>
      <c r="B6491" t="s">
        <v>4993</v>
      </c>
      <c r="C6491" t="s">
        <v>4994</v>
      </c>
      <c r="D6491">
        <v>128250</v>
      </c>
      <c r="E6491" t="s">
        <v>14</v>
      </c>
      <c r="F6491">
        <v>47.363999999999997</v>
      </c>
      <c r="G6491">
        <v>17.501000000000001</v>
      </c>
      <c r="H6491">
        <v>1</v>
      </c>
      <c r="I6491">
        <v>152</v>
      </c>
      <c r="J6491" t="str">
        <f>HYPERLINK("https://climate.onebuilding.org/WMO_Region_6_Europe/HUN_Hungary/CTR_Central_Transdanubia/HUN_CTR_Papa.AB.128250_TMYx.zip")</f>
        <v>https://climate.onebuilding.org/WMO_Region_6_Europe/HUN_Hungary/CTR_Central_Transdanubia/HUN_CTR_Papa.AB.128250_TMYx.zip</v>
      </c>
    </row>
    <row r="6492" spans="1:10" x14ac:dyDescent="0.25">
      <c r="A6492" t="s">
        <v>4973</v>
      </c>
      <c r="B6492" t="s">
        <v>4993</v>
      </c>
      <c r="C6492" t="s">
        <v>4996</v>
      </c>
      <c r="D6492">
        <v>128300</v>
      </c>
      <c r="E6492" t="s">
        <v>4997</v>
      </c>
      <c r="F6492">
        <v>47.066699999999997</v>
      </c>
      <c r="G6492">
        <v>17.833300000000001</v>
      </c>
      <c r="H6492">
        <v>1</v>
      </c>
      <c r="I6492">
        <v>281</v>
      </c>
      <c r="J6492" t="str">
        <f>HYPERLINK("https://climate.onebuilding.org/WMO_Region_6_Europe/HUN_Hungary/CTR_Central_Transdanubia/HUN_CTR_Veszprem-Szentkiralyszabadja.128300_TMYx.2004-2018.zip")</f>
        <v>https://climate.onebuilding.org/WMO_Region_6_Europe/HUN_Hungary/CTR_Central_Transdanubia/HUN_CTR_Veszprem-Szentkiralyszabadja.128300_TMYx.2004-2018.zip</v>
      </c>
    </row>
    <row r="6493" spans="1:10" x14ac:dyDescent="0.25">
      <c r="A6493" t="s">
        <v>4973</v>
      </c>
      <c r="B6493" t="s">
        <v>4993</v>
      </c>
      <c r="C6493" t="s">
        <v>4996</v>
      </c>
      <c r="D6493">
        <v>128300</v>
      </c>
      <c r="E6493" t="s">
        <v>14</v>
      </c>
      <c r="F6493">
        <v>47.066699999999997</v>
      </c>
      <c r="G6493">
        <v>17.833300000000001</v>
      </c>
      <c r="H6493">
        <v>1</v>
      </c>
      <c r="I6493">
        <v>281</v>
      </c>
      <c r="J6493" t="str">
        <f>HYPERLINK("https://climate.onebuilding.org/WMO_Region_6_Europe/HUN_Hungary/CTR_Central_Transdanubia/HUN_CTR_Veszprem-Szentkiralyszabadja.128300_TMYx.2007-2021.zip")</f>
        <v>https://climate.onebuilding.org/WMO_Region_6_Europe/HUN_Hungary/CTR_Central_Transdanubia/HUN_CTR_Veszprem-Szentkiralyszabadja.128300_TMYx.2007-2021.zip</v>
      </c>
    </row>
    <row r="6494" spans="1:10" x14ac:dyDescent="0.25">
      <c r="A6494" t="s">
        <v>4973</v>
      </c>
      <c r="B6494" t="s">
        <v>4993</v>
      </c>
      <c r="C6494" t="s">
        <v>4996</v>
      </c>
      <c r="D6494">
        <v>128300</v>
      </c>
      <c r="E6494" t="s">
        <v>14</v>
      </c>
      <c r="F6494">
        <v>47.066699999999997</v>
      </c>
      <c r="G6494">
        <v>17.833300000000001</v>
      </c>
      <c r="H6494">
        <v>1</v>
      </c>
      <c r="I6494">
        <v>281</v>
      </c>
      <c r="J6494" t="str">
        <f>HYPERLINK("https://climate.onebuilding.org/WMO_Region_6_Europe/HUN_Hungary/CTR_Central_Transdanubia/HUN_CTR_Veszprem-Szentkiralyszabadja.128300_TMYx.2009-2023.zip")</f>
        <v>https://climate.onebuilding.org/WMO_Region_6_Europe/HUN_Hungary/CTR_Central_Transdanubia/HUN_CTR_Veszprem-Szentkiralyszabadja.128300_TMYx.2009-2023.zip</v>
      </c>
    </row>
    <row r="6495" spans="1:10" x14ac:dyDescent="0.25">
      <c r="A6495" t="s">
        <v>4973</v>
      </c>
      <c r="B6495" t="s">
        <v>4993</v>
      </c>
      <c r="C6495" t="s">
        <v>4996</v>
      </c>
      <c r="D6495">
        <v>128300</v>
      </c>
      <c r="E6495" t="s">
        <v>14</v>
      </c>
      <c r="F6495">
        <v>47.066699999999997</v>
      </c>
      <c r="G6495">
        <v>17.833300000000001</v>
      </c>
      <c r="H6495">
        <v>1</v>
      </c>
      <c r="I6495">
        <v>281</v>
      </c>
      <c r="J6495" t="str">
        <f>HYPERLINK("https://climate.onebuilding.org/WMO_Region_6_Europe/HUN_Hungary/CTR_Central_Transdanubia/HUN_CTR_Veszprem-Szentkiralyszabadja.128300_TMYx.zip")</f>
        <v>https://climate.onebuilding.org/WMO_Region_6_Europe/HUN_Hungary/CTR_Central_Transdanubia/HUN_CTR_Veszprem-Szentkiralyszabadja.128300_TMYx.zip</v>
      </c>
    </row>
    <row r="6496" spans="1:10" x14ac:dyDescent="0.25">
      <c r="A6496" t="s">
        <v>4973</v>
      </c>
      <c r="B6496" t="s">
        <v>4993</v>
      </c>
      <c r="C6496" t="s">
        <v>4998</v>
      </c>
      <c r="D6496">
        <v>128360</v>
      </c>
      <c r="E6496" t="s">
        <v>4999</v>
      </c>
      <c r="F6496">
        <v>47.65</v>
      </c>
      <c r="G6496">
        <v>18.316700000000001</v>
      </c>
      <c r="H6496">
        <v>1</v>
      </c>
      <c r="I6496">
        <v>129</v>
      </c>
      <c r="J6496" t="str">
        <f>HYPERLINK("https://climate.onebuilding.org/WMO_Region_6_Europe/HUN_Hungary/CTR_Central_Transdanubia/HUN_CTR_Tata.128360_TMYx.2004-2018.zip")</f>
        <v>https://climate.onebuilding.org/WMO_Region_6_Europe/HUN_Hungary/CTR_Central_Transdanubia/HUN_CTR_Tata.128360_TMYx.2004-2018.zip</v>
      </c>
    </row>
    <row r="6497" spans="1:10" x14ac:dyDescent="0.25">
      <c r="A6497" t="s">
        <v>4973</v>
      </c>
      <c r="B6497" t="s">
        <v>4993</v>
      </c>
      <c r="C6497" t="s">
        <v>4998</v>
      </c>
      <c r="D6497">
        <v>128360</v>
      </c>
      <c r="E6497" t="s">
        <v>14</v>
      </c>
      <c r="F6497">
        <v>47.65</v>
      </c>
      <c r="G6497">
        <v>18.316700000000001</v>
      </c>
      <c r="H6497">
        <v>1</v>
      </c>
      <c r="I6497">
        <v>129</v>
      </c>
      <c r="J6497" t="str">
        <f>HYPERLINK("https://climate.onebuilding.org/WMO_Region_6_Europe/HUN_Hungary/CTR_Central_Transdanubia/HUN_CTR_Tata.128360_TMYx.2007-2021.zip")</f>
        <v>https://climate.onebuilding.org/WMO_Region_6_Europe/HUN_Hungary/CTR_Central_Transdanubia/HUN_CTR_Tata.128360_TMYx.2007-2021.zip</v>
      </c>
    </row>
    <row r="6498" spans="1:10" x14ac:dyDescent="0.25">
      <c r="A6498" t="s">
        <v>4973</v>
      </c>
      <c r="B6498" t="s">
        <v>4993</v>
      </c>
      <c r="C6498" t="s">
        <v>4998</v>
      </c>
      <c r="D6498">
        <v>128360</v>
      </c>
      <c r="E6498" t="s">
        <v>14</v>
      </c>
      <c r="F6498">
        <v>47.65</v>
      </c>
      <c r="G6498">
        <v>18.316700000000001</v>
      </c>
      <c r="H6498">
        <v>1</v>
      </c>
      <c r="I6498">
        <v>129</v>
      </c>
      <c r="J6498" t="str">
        <f>HYPERLINK("https://climate.onebuilding.org/WMO_Region_6_Europe/HUN_Hungary/CTR_Central_Transdanubia/HUN_CTR_Tata.128360_TMYx.2009-2023.zip")</f>
        <v>https://climate.onebuilding.org/WMO_Region_6_Europe/HUN_Hungary/CTR_Central_Transdanubia/HUN_CTR_Tata.128360_TMYx.2009-2023.zip</v>
      </c>
    </row>
    <row r="6499" spans="1:10" x14ac:dyDescent="0.25">
      <c r="A6499" t="s">
        <v>4973</v>
      </c>
      <c r="B6499" t="s">
        <v>4993</v>
      </c>
      <c r="C6499" t="s">
        <v>4998</v>
      </c>
      <c r="D6499">
        <v>128360</v>
      </c>
      <c r="E6499" t="s">
        <v>14</v>
      </c>
      <c r="F6499">
        <v>47.65</v>
      </c>
      <c r="G6499">
        <v>18.316700000000001</v>
      </c>
      <c r="H6499">
        <v>1</v>
      </c>
      <c r="I6499">
        <v>129</v>
      </c>
      <c r="J6499" t="str">
        <f>HYPERLINK("https://climate.onebuilding.org/WMO_Region_6_Europe/HUN_Hungary/CTR_Central_Transdanubia/HUN_CTR_Tata.128360_TMYx.zip")</f>
        <v>https://climate.onebuilding.org/WMO_Region_6_Europe/HUN_Hungary/CTR_Central_Transdanubia/HUN_CTR_Tata.128360_TMYx.zip</v>
      </c>
    </row>
    <row r="6500" spans="1:10" x14ac:dyDescent="0.25">
      <c r="A6500" t="s">
        <v>4973</v>
      </c>
      <c r="B6500" t="s">
        <v>5000</v>
      </c>
      <c r="C6500" t="s">
        <v>5001</v>
      </c>
      <c r="D6500">
        <v>128380</v>
      </c>
      <c r="E6500" t="s">
        <v>14</v>
      </c>
      <c r="F6500">
        <v>47.45</v>
      </c>
      <c r="G6500">
        <v>18.966999999999999</v>
      </c>
      <c r="H6500">
        <v>1</v>
      </c>
      <c r="I6500">
        <v>132</v>
      </c>
      <c r="J6500" t="str">
        <f>HYPERLINK("https://climate.onebuilding.org/WMO_Region_6_Europe/HUN_Hungary/CEN_Central_Hungary/HUN_CEN_Budaors.AF.128380_TMYx.zip")</f>
        <v>https://climate.onebuilding.org/WMO_Region_6_Europe/HUN_Hungary/CEN_Central_Hungary/HUN_CEN_Budaors.AF.128380_TMYx.zip</v>
      </c>
    </row>
    <row r="6501" spans="1:10" x14ac:dyDescent="0.25">
      <c r="A6501" t="s">
        <v>4973</v>
      </c>
      <c r="B6501" t="s">
        <v>5000</v>
      </c>
      <c r="C6501" t="s">
        <v>5002</v>
      </c>
      <c r="D6501">
        <v>128390</v>
      </c>
      <c r="E6501" t="s">
        <v>5003</v>
      </c>
      <c r="F6501">
        <v>47.433300000000003</v>
      </c>
      <c r="G6501">
        <v>19.2667</v>
      </c>
      <c r="H6501">
        <v>1</v>
      </c>
      <c r="I6501">
        <v>185</v>
      </c>
      <c r="J6501" t="str">
        <f>HYPERLINK("https://climate.onebuilding.org/WMO_Region_6_Europe/HUN_Hungary/CEN_Central_Hungary/HUN_CEN_Budapest.Ferenc.Liszt.Intl.AP.128390_TMYx.2004-2018.zip")</f>
        <v>https://climate.onebuilding.org/WMO_Region_6_Europe/HUN_Hungary/CEN_Central_Hungary/HUN_CEN_Budapest.Ferenc.Liszt.Intl.AP.128390_TMYx.2004-2018.zip</v>
      </c>
    </row>
    <row r="6502" spans="1:10" x14ac:dyDescent="0.25">
      <c r="A6502" t="s">
        <v>4973</v>
      </c>
      <c r="B6502" t="s">
        <v>5000</v>
      </c>
      <c r="C6502" t="s">
        <v>5002</v>
      </c>
      <c r="D6502">
        <v>128390</v>
      </c>
      <c r="E6502" t="s">
        <v>14</v>
      </c>
      <c r="F6502">
        <v>47.436999999999998</v>
      </c>
      <c r="G6502">
        <v>19.256</v>
      </c>
      <c r="H6502">
        <v>1</v>
      </c>
      <c r="I6502">
        <v>185</v>
      </c>
      <c r="J6502" t="str">
        <f>HYPERLINK("https://climate.onebuilding.org/WMO_Region_6_Europe/HUN_Hungary/CEN_Central_Hungary/HUN_CEN_Budapest.Ferenc.Liszt.Intl.AP.128390_TMYx.2007-2021.zip")</f>
        <v>https://climate.onebuilding.org/WMO_Region_6_Europe/HUN_Hungary/CEN_Central_Hungary/HUN_CEN_Budapest.Ferenc.Liszt.Intl.AP.128390_TMYx.2007-2021.zip</v>
      </c>
    </row>
    <row r="6503" spans="1:10" x14ac:dyDescent="0.25">
      <c r="A6503" t="s">
        <v>4973</v>
      </c>
      <c r="B6503" t="s">
        <v>5000</v>
      </c>
      <c r="C6503" t="s">
        <v>5002</v>
      </c>
      <c r="D6503">
        <v>128390</v>
      </c>
      <c r="E6503" t="s">
        <v>14</v>
      </c>
      <c r="F6503">
        <v>47.436999999999998</v>
      </c>
      <c r="G6503">
        <v>19.256</v>
      </c>
      <c r="H6503">
        <v>1</v>
      </c>
      <c r="I6503">
        <v>185</v>
      </c>
      <c r="J6503" t="str">
        <f>HYPERLINK("https://climate.onebuilding.org/WMO_Region_6_Europe/HUN_Hungary/CEN_Central_Hungary/HUN_CEN_Budapest.Ferenc.Liszt.Intl.AP.128390_TMYx.2009-2023.zip")</f>
        <v>https://climate.onebuilding.org/WMO_Region_6_Europe/HUN_Hungary/CEN_Central_Hungary/HUN_CEN_Budapest.Ferenc.Liszt.Intl.AP.128390_TMYx.2009-2023.zip</v>
      </c>
    </row>
    <row r="6504" spans="1:10" x14ac:dyDescent="0.25">
      <c r="A6504" t="s">
        <v>4973</v>
      </c>
      <c r="B6504" t="s">
        <v>5000</v>
      </c>
      <c r="C6504" t="s">
        <v>5002</v>
      </c>
      <c r="D6504">
        <v>128390</v>
      </c>
      <c r="E6504" t="s">
        <v>14</v>
      </c>
      <c r="F6504">
        <v>47.436999999999998</v>
      </c>
      <c r="G6504">
        <v>19.256</v>
      </c>
      <c r="H6504">
        <v>1</v>
      </c>
      <c r="I6504">
        <v>185</v>
      </c>
      <c r="J6504" t="str">
        <f>HYPERLINK("https://climate.onebuilding.org/WMO_Region_6_Europe/HUN_Hungary/CEN_Central_Hungary/HUN_CEN_Budapest.Ferenc.Liszt.Intl.AP.128390_TMYx.zip")</f>
        <v>https://climate.onebuilding.org/WMO_Region_6_Europe/HUN_Hungary/CEN_Central_Hungary/HUN_CEN_Budapest.Ferenc.Liszt.Intl.AP.128390_TMYx.zip</v>
      </c>
    </row>
    <row r="6505" spans="1:10" x14ac:dyDescent="0.25">
      <c r="A6505" t="s">
        <v>4973</v>
      </c>
      <c r="B6505" t="s">
        <v>5000</v>
      </c>
      <c r="C6505" t="s">
        <v>5004</v>
      </c>
      <c r="D6505">
        <v>128400</v>
      </c>
      <c r="E6505" t="s">
        <v>14</v>
      </c>
      <c r="F6505">
        <v>47.517000000000003</v>
      </c>
      <c r="G6505">
        <v>19.033000000000001</v>
      </c>
      <c r="H6505">
        <v>1</v>
      </c>
      <c r="I6505">
        <v>129</v>
      </c>
      <c r="J6505" t="str">
        <f>HYPERLINK("https://climate.onebuilding.org/WMO_Region_6_Europe/HUN_Hungary/CEN_Central_Hungary/HUN_CEN_Budapest.Met.Center.128400_TMYx.zip")</f>
        <v>https://climate.onebuilding.org/WMO_Region_6_Europe/HUN_Hungary/CEN_Central_Hungary/HUN_CEN_Budapest.Met.Center.128400_TMYx.zip</v>
      </c>
    </row>
    <row r="6506" spans="1:10" x14ac:dyDescent="0.25">
      <c r="A6506" t="s">
        <v>4973</v>
      </c>
      <c r="B6506" t="s">
        <v>5000</v>
      </c>
      <c r="C6506" t="s">
        <v>5005</v>
      </c>
      <c r="D6506">
        <v>128430</v>
      </c>
      <c r="E6506" t="s">
        <v>5006</v>
      </c>
      <c r="F6506">
        <v>47.433300000000003</v>
      </c>
      <c r="G6506">
        <v>19.183299999999999</v>
      </c>
      <c r="H6506">
        <v>1</v>
      </c>
      <c r="I6506">
        <v>139</v>
      </c>
      <c r="J6506" t="str">
        <f>HYPERLINK("https://climate.onebuilding.org/WMO_Region_6_Europe/HUN_Hungary/CEN_Central_Hungary/HUN_CEN_Budapest-Pestszentlorinc.128430_TMYx.2004-2018.zip")</f>
        <v>https://climate.onebuilding.org/WMO_Region_6_Europe/HUN_Hungary/CEN_Central_Hungary/HUN_CEN_Budapest-Pestszentlorinc.128430_TMYx.2004-2018.zip</v>
      </c>
    </row>
    <row r="6507" spans="1:10" x14ac:dyDescent="0.25">
      <c r="A6507" t="s">
        <v>4973</v>
      </c>
      <c r="B6507" t="s">
        <v>5000</v>
      </c>
      <c r="C6507" t="s">
        <v>5005</v>
      </c>
      <c r="D6507">
        <v>128430</v>
      </c>
      <c r="E6507" t="s">
        <v>14</v>
      </c>
      <c r="F6507">
        <v>47.433300000000003</v>
      </c>
      <c r="G6507">
        <v>19.183299999999999</v>
      </c>
      <c r="H6507">
        <v>1</v>
      </c>
      <c r="I6507">
        <v>139</v>
      </c>
      <c r="J6507" t="str">
        <f>HYPERLINK("https://climate.onebuilding.org/WMO_Region_6_Europe/HUN_Hungary/CEN_Central_Hungary/HUN_CEN_Budapest-Pestszentlorinc.128430_TMYx.2007-2021.zip")</f>
        <v>https://climate.onebuilding.org/WMO_Region_6_Europe/HUN_Hungary/CEN_Central_Hungary/HUN_CEN_Budapest-Pestszentlorinc.128430_TMYx.2007-2021.zip</v>
      </c>
    </row>
    <row r="6508" spans="1:10" x14ac:dyDescent="0.25">
      <c r="A6508" t="s">
        <v>4973</v>
      </c>
      <c r="B6508" t="s">
        <v>5000</v>
      </c>
      <c r="C6508" t="s">
        <v>5005</v>
      </c>
      <c r="D6508">
        <v>128430</v>
      </c>
      <c r="E6508" t="s">
        <v>14</v>
      </c>
      <c r="F6508">
        <v>47.433300000000003</v>
      </c>
      <c r="G6508">
        <v>19.183299999999999</v>
      </c>
      <c r="H6508">
        <v>1</v>
      </c>
      <c r="I6508">
        <v>139</v>
      </c>
      <c r="J6508" t="str">
        <f>HYPERLINK("https://climate.onebuilding.org/WMO_Region_6_Europe/HUN_Hungary/CEN_Central_Hungary/HUN_CEN_Budapest-Pestszentlorinc.128430_TMYx.2009-2023.zip")</f>
        <v>https://climate.onebuilding.org/WMO_Region_6_Europe/HUN_Hungary/CEN_Central_Hungary/HUN_CEN_Budapest-Pestszentlorinc.128430_TMYx.2009-2023.zip</v>
      </c>
    </row>
    <row r="6509" spans="1:10" x14ac:dyDescent="0.25">
      <c r="A6509" t="s">
        <v>4973</v>
      </c>
      <c r="B6509" t="s">
        <v>5000</v>
      </c>
      <c r="C6509" t="s">
        <v>5005</v>
      </c>
      <c r="D6509">
        <v>128430</v>
      </c>
      <c r="E6509" t="s">
        <v>14</v>
      </c>
      <c r="F6509">
        <v>47.433300000000003</v>
      </c>
      <c r="G6509">
        <v>19.183299999999999</v>
      </c>
      <c r="H6509">
        <v>1</v>
      </c>
      <c r="I6509">
        <v>139</v>
      </c>
      <c r="J6509" t="str">
        <f>HYPERLINK("https://climate.onebuilding.org/WMO_Region_6_Europe/HUN_Hungary/CEN_Central_Hungary/HUN_CEN_Budapest-Pestszentlorinc.128430_TMYx.zip")</f>
        <v>https://climate.onebuilding.org/WMO_Region_6_Europe/HUN_Hungary/CEN_Central_Hungary/HUN_CEN_Budapest-Pestszentlorinc.128430_TMYx.zip</v>
      </c>
    </row>
    <row r="6510" spans="1:10" x14ac:dyDescent="0.25">
      <c r="A6510" t="s">
        <v>4973</v>
      </c>
      <c r="B6510" t="s">
        <v>4993</v>
      </c>
      <c r="C6510" t="s">
        <v>5007</v>
      </c>
      <c r="D6510">
        <v>128460</v>
      </c>
      <c r="E6510" t="s">
        <v>5008</v>
      </c>
      <c r="F6510">
        <v>47.183300000000003</v>
      </c>
      <c r="G6510">
        <v>18.616700000000002</v>
      </c>
      <c r="H6510">
        <v>1</v>
      </c>
      <c r="I6510">
        <v>106</v>
      </c>
      <c r="J6510" t="str">
        <f>HYPERLINK("https://climate.onebuilding.org/WMO_Region_6_Europe/HUN_Hungary/CTR_Central_Transdanubia/HUN_CTR_Agard.128460_TMYx.2004-2018.zip")</f>
        <v>https://climate.onebuilding.org/WMO_Region_6_Europe/HUN_Hungary/CTR_Central_Transdanubia/HUN_CTR_Agard.128460_TMYx.2004-2018.zip</v>
      </c>
    </row>
    <row r="6511" spans="1:10" x14ac:dyDescent="0.25">
      <c r="A6511" t="s">
        <v>4973</v>
      </c>
      <c r="B6511" t="s">
        <v>4993</v>
      </c>
      <c r="C6511" t="s">
        <v>5007</v>
      </c>
      <c r="D6511">
        <v>128460</v>
      </c>
      <c r="E6511" t="s">
        <v>14</v>
      </c>
      <c r="F6511">
        <v>47.183300000000003</v>
      </c>
      <c r="G6511">
        <v>18.616700000000002</v>
      </c>
      <c r="H6511">
        <v>1</v>
      </c>
      <c r="I6511">
        <v>106</v>
      </c>
      <c r="J6511" t="str">
        <f>HYPERLINK("https://climate.onebuilding.org/WMO_Region_6_Europe/HUN_Hungary/CTR_Central_Transdanubia/HUN_CTR_Agard.128460_TMYx.2007-2021.zip")</f>
        <v>https://climate.onebuilding.org/WMO_Region_6_Europe/HUN_Hungary/CTR_Central_Transdanubia/HUN_CTR_Agard.128460_TMYx.2007-2021.zip</v>
      </c>
    </row>
    <row r="6512" spans="1:10" x14ac:dyDescent="0.25">
      <c r="A6512" t="s">
        <v>4973</v>
      </c>
      <c r="B6512" t="s">
        <v>4993</v>
      </c>
      <c r="C6512" t="s">
        <v>5007</v>
      </c>
      <c r="D6512">
        <v>128460</v>
      </c>
      <c r="E6512" t="s">
        <v>14</v>
      </c>
      <c r="F6512">
        <v>47.183300000000003</v>
      </c>
      <c r="G6512">
        <v>18.616700000000002</v>
      </c>
      <c r="H6512">
        <v>1</v>
      </c>
      <c r="I6512">
        <v>106</v>
      </c>
      <c r="J6512" t="str">
        <f>HYPERLINK("https://climate.onebuilding.org/WMO_Region_6_Europe/HUN_Hungary/CTR_Central_Transdanubia/HUN_CTR_Agard.128460_TMYx.2009-2023.zip")</f>
        <v>https://climate.onebuilding.org/WMO_Region_6_Europe/HUN_Hungary/CTR_Central_Transdanubia/HUN_CTR_Agard.128460_TMYx.2009-2023.zip</v>
      </c>
    </row>
    <row r="6513" spans="1:10" x14ac:dyDescent="0.25">
      <c r="A6513" t="s">
        <v>4973</v>
      </c>
      <c r="B6513" t="s">
        <v>4993</v>
      </c>
      <c r="C6513" t="s">
        <v>5007</v>
      </c>
      <c r="D6513">
        <v>128460</v>
      </c>
      <c r="E6513" t="s">
        <v>14</v>
      </c>
      <c r="F6513">
        <v>47.183300000000003</v>
      </c>
      <c r="G6513">
        <v>18.616700000000002</v>
      </c>
      <c r="H6513">
        <v>1</v>
      </c>
      <c r="I6513">
        <v>106</v>
      </c>
      <c r="J6513" t="str">
        <f>HYPERLINK("https://climate.onebuilding.org/WMO_Region_6_Europe/HUN_Hungary/CTR_Central_Transdanubia/HUN_CTR_Agard.128460_TMYx.zip")</f>
        <v>https://climate.onebuilding.org/WMO_Region_6_Europe/HUN_Hungary/CTR_Central_Transdanubia/HUN_CTR_Agard.128460_TMYx.zip</v>
      </c>
    </row>
    <row r="6514" spans="1:10" x14ac:dyDescent="0.25">
      <c r="A6514" t="s">
        <v>4973</v>
      </c>
      <c r="B6514" t="s">
        <v>4993</v>
      </c>
      <c r="C6514" t="s">
        <v>5009</v>
      </c>
      <c r="D6514">
        <v>128470</v>
      </c>
      <c r="E6514" t="s">
        <v>5010</v>
      </c>
      <c r="F6514">
        <v>47.75</v>
      </c>
      <c r="G6514">
        <v>18.600000000000001</v>
      </c>
      <c r="H6514">
        <v>1</v>
      </c>
      <c r="I6514">
        <v>109</v>
      </c>
      <c r="J6514" t="str">
        <f>HYPERLINK("https://climate.onebuilding.org/WMO_Region_6_Europe/HUN_Hungary/CTR_Central_Transdanubia/HUN_CTR_Tat.128470_TMYx.2004-2018.zip")</f>
        <v>https://climate.onebuilding.org/WMO_Region_6_Europe/HUN_Hungary/CTR_Central_Transdanubia/HUN_CTR_Tat.128470_TMYx.2004-2018.zip</v>
      </c>
    </row>
    <row r="6515" spans="1:10" x14ac:dyDescent="0.25">
      <c r="A6515" t="s">
        <v>4973</v>
      </c>
      <c r="B6515" t="s">
        <v>4993</v>
      </c>
      <c r="C6515" t="s">
        <v>5009</v>
      </c>
      <c r="D6515">
        <v>128470</v>
      </c>
      <c r="E6515" t="s">
        <v>14</v>
      </c>
      <c r="F6515">
        <v>47.75</v>
      </c>
      <c r="G6515">
        <v>18.600000000000001</v>
      </c>
      <c r="H6515">
        <v>1</v>
      </c>
      <c r="I6515">
        <v>109</v>
      </c>
      <c r="J6515" t="str">
        <f>HYPERLINK("https://climate.onebuilding.org/WMO_Region_6_Europe/HUN_Hungary/CTR_Central_Transdanubia/HUN_CTR_Tat.128470_TMYx.2007-2021.zip")</f>
        <v>https://climate.onebuilding.org/WMO_Region_6_Europe/HUN_Hungary/CTR_Central_Transdanubia/HUN_CTR_Tat.128470_TMYx.2007-2021.zip</v>
      </c>
    </row>
    <row r="6516" spans="1:10" x14ac:dyDescent="0.25">
      <c r="A6516" t="s">
        <v>4973</v>
      </c>
      <c r="B6516" t="s">
        <v>4993</v>
      </c>
      <c r="C6516" t="s">
        <v>5009</v>
      </c>
      <c r="D6516">
        <v>128470</v>
      </c>
      <c r="E6516" t="s">
        <v>14</v>
      </c>
      <c r="F6516">
        <v>47.75</v>
      </c>
      <c r="G6516">
        <v>18.600000000000001</v>
      </c>
      <c r="H6516">
        <v>1</v>
      </c>
      <c r="I6516">
        <v>109</v>
      </c>
      <c r="J6516" t="str">
        <f>HYPERLINK("https://climate.onebuilding.org/WMO_Region_6_Europe/HUN_Hungary/CTR_Central_Transdanubia/HUN_CTR_Tat.128470_TMYx.2009-2023.zip")</f>
        <v>https://climate.onebuilding.org/WMO_Region_6_Europe/HUN_Hungary/CTR_Central_Transdanubia/HUN_CTR_Tat.128470_TMYx.2009-2023.zip</v>
      </c>
    </row>
    <row r="6517" spans="1:10" x14ac:dyDescent="0.25">
      <c r="A6517" t="s">
        <v>4973</v>
      </c>
      <c r="B6517" t="s">
        <v>4993</v>
      </c>
      <c r="C6517" t="s">
        <v>5009</v>
      </c>
      <c r="D6517">
        <v>128470</v>
      </c>
      <c r="E6517" t="s">
        <v>14</v>
      </c>
      <c r="F6517">
        <v>47.75</v>
      </c>
      <c r="G6517">
        <v>18.600000000000001</v>
      </c>
      <c r="H6517">
        <v>1</v>
      </c>
      <c r="I6517">
        <v>109</v>
      </c>
      <c r="J6517" t="str">
        <f>HYPERLINK("https://climate.onebuilding.org/WMO_Region_6_Europe/HUN_Hungary/CTR_Central_Transdanubia/HUN_CTR_Tat.128470_TMYx.zip")</f>
        <v>https://climate.onebuilding.org/WMO_Region_6_Europe/HUN_Hungary/CTR_Central_Transdanubia/HUN_CTR_Tat.128470_TMYx.zip</v>
      </c>
    </row>
    <row r="6518" spans="1:10" x14ac:dyDescent="0.25">
      <c r="A6518" t="s">
        <v>4973</v>
      </c>
      <c r="B6518" t="s">
        <v>4974</v>
      </c>
      <c r="C6518" t="s">
        <v>5011</v>
      </c>
      <c r="D6518">
        <v>128510</v>
      </c>
      <c r="E6518" t="s">
        <v>5012</v>
      </c>
      <c r="F6518">
        <v>47.866700000000002</v>
      </c>
      <c r="G6518">
        <v>20.0167</v>
      </c>
      <c r="H6518">
        <v>1</v>
      </c>
      <c r="I6518">
        <v>1015</v>
      </c>
      <c r="J6518" t="str">
        <f>HYPERLINK("https://climate.onebuilding.org/WMO_Region_6_Europe/HUN_Hungary/NOR_Northern_Hungary/HUN_NOR_Kekesteto.128510_TMYx.2004-2018.zip")</f>
        <v>https://climate.onebuilding.org/WMO_Region_6_Europe/HUN_Hungary/NOR_Northern_Hungary/HUN_NOR_Kekesteto.128510_TMYx.2004-2018.zip</v>
      </c>
    </row>
    <row r="6519" spans="1:10" x14ac:dyDescent="0.25">
      <c r="A6519" t="s">
        <v>4973</v>
      </c>
      <c r="B6519" t="s">
        <v>4974</v>
      </c>
      <c r="C6519" t="s">
        <v>5011</v>
      </c>
      <c r="D6519">
        <v>128510</v>
      </c>
      <c r="E6519" t="s">
        <v>14</v>
      </c>
      <c r="F6519">
        <v>47.866700000000002</v>
      </c>
      <c r="G6519">
        <v>20.0167</v>
      </c>
      <c r="H6519">
        <v>1</v>
      </c>
      <c r="I6519">
        <v>1015</v>
      </c>
      <c r="J6519" t="str">
        <f>HYPERLINK("https://climate.onebuilding.org/WMO_Region_6_Europe/HUN_Hungary/NOR_Northern_Hungary/HUN_NOR_Kekesteto.128510_TMYx.2007-2021.zip")</f>
        <v>https://climate.onebuilding.org/WMO_Region_6_Europe/HUN_Hungary/NOR_Northern_Hungary/HUN_NOR_Kekesteto.128510_TMYx.2007-2021.zip</v>
      </c>
    </row>
    <row r="6520" spans="1:10" x14ac:dyDescent="0.25">
      <c r="A6520" t="s">
        <v>4973</v>
      </c>
      <c r="B6520" t="s">
        <v>4974</v>
      </c>
      <c r="C6520" t="s">
        <v>5011</v>
      </c>
      <c r="D6520">
        <v>128510</v>
      </c>
      <c r="E6520" t="s">
        <v>14</v>
      </c>
      <c r="F6520">
        <v>47.866700000000002</v>
      </c>
      <c r="G6520">
        <v>20.0167</v>
      </c>
      <c r="H6520">
        <v>1</v>
      </c>
      <c r="I6520">
        <v>1015</v>
      </c>
      <c r="J6520" t="str">
        <f>HYPERLINK("https://climate.onebuilding.org/WMO_Region_6_Europe/HUN_Hungary/NOR_Northern_Hungary/HUN_NOR_Kekesteto.128510_TMYx.2009-2023.zip")</f>
        <v>https://climate.onebuilding.org/WMO_Region_6_Europe/HUN_Hungary/NOR_Northern_Hungary/HUN_NOR_Kekesteto.128510_TMYx.2009-2023.zip</v>
      </c>
    </row>
    <row r="6521" spans="1:10" x14ac:dyDescent="0.25">
      <c r="A6521" t="s">
        <v>4973</v>
      </c>
      <c r="B6521" t="s">
        <v>4974</v>
      </c>
      <c r="C6521" t="s">
        <v>5011</v>
      </c>
      <c r="D6521">
        <v>128510</v>
      </c>
      <c r="E6521" t="s">
        <v>14</v>
      </c>
      <c r="F6521">
        <v>47.866700000000002</v>
      </c>
      <c r="G6521">
        <v>20.0167</v>
      </c>
      <c r="H6521">
        <v>1</v>
      </c>
      <c r="I6521">
        <v>1015</v>
      </c>
      <c r="J6521" t="str">
        <f>HYPERLINK("https://climate.onebuilding.org/WMO_Region_6_Europe/HUN_Hungary/NOR_Northern_Hungary/HUN_NOR_Kekesteto.128510_TMYx.zip")</f>
        <v>https://climate.onebuilding.org/WMO_Region_6_Europe/HUN_Hungary/NOR_Northern_Hungary/HUN_NOR_Kekesteto.128510_TMYx.zip</v>
      </c>
    </row>
    <row r="6522" spans="1:10" x14ac:dyDescent="0.25">
      <c r="A6522" t="s">
        <v>4973</v>
      </c>
      <c r="B6522" t="s">
        <v>4981</v>
      </c>
      <c r="C6522" t="s">
        <v>5013</v>
      </c>
      <c r="D6522">
        <v>128600</v>
      </c>
      <c r="E6522" t="s">
        <v>5014</v>
      </c>
      <c r="F6522">
        <v>47.116700000000002</v>
      </c>
      <c r="G6522">
        <v>20.2333</v>
      </c>
      <c r="H6522">
        <v>1</v>
      </c>
      <c r="I6522">
        <v>94</v>
      </c>
      <c r="J6522" t="str">
        <f>HYPERLINK("https://climate.onebuilding.org/WMO_Region_6_Europe/HUN_Hungary/NGP_Northern_Great_Plain/HUN_NGP_Szolnok.AB.128600_TMYx.2004-2018.zip")</f>
        <v>https://climate.onebuilding.org/WMO_Region_6_Europe/HUN_Hungary/NGP_Northern_Great_Plain/HUN_NGP_Szolnok.AB.128600_TMYx.2004-2018.zip</v>
      </c>
    </row>
    <row r="6523" spans="1:10" x14ac:dyDescent="0.25">
      <c r="A6523" t="s">
        <v>4973</v>
      </c>
      <c r="B6523" t="s">
        <v>4981</v>
      </c>
      <c r="C6523" t="s">
        <v>5013</v>
      </c>
      <c r="D6523">
        <v>128600</v>
      </c>
      <c r="E6523" t="s">
        <v>14</v>
      </c>
      <c r="F6523">
        <v>47.116700000000002</v>
      </c>
      <c r="G6523">
        <v>20.2333</v>
      </c>
      <c r="H6523">
        <v>1</v>
      </c>
      <c r="I6523">
        <v>94</v>
      </c>
      <c r="J6523" t="str">
        <f>HYPERLINK("https://climate.onebuilding.org/WMO_Region_6_Europe/HUN_Hungary/NGP_Northern_Great_Plain/HUN_NGP_Szolnok.AB.128600_TMYx.2007-2021.zip")</f>
        <v>https://climate.onebuilding.org/WMO_Region_6_Europe/HUN_Hungary/NGP_Northern_Great_Plain/HUN_NGP_Szolnok.AB.128600_TMYx.2007-2021.zip</v>
      </c>
    </row>
    <row r="6524" spans="1:10" x14ac:dyDescent="0.25">
      <c r="A6524" t="s">
        <v>4973</v>
      </c>
      <c r="B6524" t="s">
        <v>4981</v>
      </c>
      <c r="C6524" t="s">
        <v>5013</v>
      </c>
      <c r="D6524">
        <v>128600</v>
      </c>
      <c r="E6524" t="s">
        <v>14</v>
      </c>
      <c r="F6524">
        <v>47.116700000000002</v>
      </c>
      <c r="G6524">
        <v>20.2333</v>
      </c>
      <c r="H6524">
        <v>1</v>
      </c>
      <c r="I6524">
        <v>94</v>
      </c>
      <c r="J6524" t="str">
        <f>HYPERLINK("https://climate.onebuilding.org/WMO_Region_6_Europe/HUN_Hungary/NGP_Northern_Great_Plain/HUN_NGP_Szolnok.AB.128600_TMYx.2009-2023.zip")</f>
        <v>https://climate.onebuilding.org/WMO_Region_6_Europe/HUN_Hungary/NGP_Northern_Great_Plain/HUN_NGP_Szolnok.AB.128600_TMYx.2009-2023.zip</v>
      </c>
    </row>
    <row r="6525" spans="1:10" x14ac:dyDescent="0.25">
      <c r="A6525" t="s">
        <v>4973</v>
      </c>
      <c r="B6525" t="s">
        <v>4981</v>
      </c>
      <c r="C6525" t="s">
        <v>5013</v>
      </c>
      <c r="D6525">
        <v>128600</v>
      </c>
      <c r="E6525" t="s">
        <v>14</v>
      </c>
      <c r="F6525">
        <v>47.116700000000002</v>
      </c>
      <c r="G6525">
        <v>20.2333</v>
      </c>
      <c r="H6525">
        <v>1</v>
      </c>
      <c r="I6525">
        <v>94</v>
      </c>
      <c r="J6525" t="str">
        <f>HYPERLINK("https://climate.onebuilding.org/WMO_Region_6_Europe/HUN_Hungary/NGP_Northern_Great_Plain/HUN_NGP_Szolnok.AB.128600_TMYx.zip")</f>
        <v>https://climate.onebuilding.org/WMO_Region_6_Europe/HUN_Hungary/NGP_Northern_Great_Plain/HUN_NGP_Szolnok.AB.128600_TMYx.zip</v>
      </c>
    </row>
    <row r="6526" spans="1:10" x14ac:dyDescent="0.25">
      <c r="A6526" t="s">
        <v>4973</v>
      </c>
      <c r="B6526" t="s">
        <v>4993</v>
      </c>
      <c r="C6526" t="s">
        <v>5015</v>
      </c>
      <c r="D6526">
        <v>128603</v>
      </c>
      <c r="E6526" t="s">
        <v>14</v>
      </c>
      <c r="F6526">
        <v>47.078000000000003</v>
      </c>
      <c r="G6526">
        <v>17.968</v>
      </c>
      <c r="H6526">
        <v>1</v>
      </c>
      <c r="I6526">
        <v>280.10000000000002</v>
      </c>
      <c r="J6526" t="str">
        <f>HYPERLINK("https://climate.onebuilding.org/WMO_Region_6_Europe/HUN_Hungary/CTR_Central_Transdanubia/HUN_CTR_Szentkiralyszabadja.AP.128603_TMYx.zip")</f>
        <v>https://climate.onebuilding.org/WMO_Region_6_Europe/HUN_Hungary/CTR_Central_Transdanubia/HUN_CTR_Szentkiralyszabadja.AP.128603_TMYx.zip</v>
      </c>
    </row>
    <row r="6527" spans="1:10" x14ac:dyDescent="0.25">
      <c r="A6527" t="s">
        <v>4973</v>
      </c>
      <c r="B6527" t="s">
        <v>4974</v>
      </c>
      <c r="C6527" t="s">
        <v>5016</v>
      </c>
      <c r="D6527">
        <v>128660</v>
      </c>
      <c r="E6527" t="s">
        <v>5017</v>
      </c>
      <c r="F6527">
        <v>47.65</v>
      </c>
      <c r="G6527">
        <v>20.633299999999998</v>
      </c>
      <c r="H6527">
        <v>1</v>
      </c>
      <c r="I6527">
        <v>92</v>
      </c>
      <c r="J6527" t="str">
        <f>HYPERLINK("https://climate.onebuilding.org/WMO_Region_6_Europe/HUN_Hungary/NOR_Northern_Hungary/HUN_NOR_Poroszlo.128660_TMYx.2004-2018.zip")</f>
        <v>https://climate.onebuilding.org/WMO_Region_6_Europe/HUN_Hungary/NOR_Northern_Hungary/HUN_NOR_Poroszlo.128660_TMYx.2004-2018.zip</v>
      </c>
    </row>
    <row r="6528" spans="1:10" x14ac:dyDescent="0.25">
      <c r="A6528" t="s">
        <v>4973</v>
      </c>
      <c r="B6528" t="s">
        <v>4974</v>
      </c>
      <c r="C6528" t="s">
        <v>5016</v>
      </c>
      <c r="D6528">
        <v>128660</v>
      </c>
      <c r="E6528" t="s">
        <v>14</v>
      </c>
      <c r="F6528">
        <v>47.65</v>
      </c>
      <c r="G6528">
        <v>20.633299999999998</v>
      </c>
      <c r="H6528">
        <v>1</v>
      </c>
      <c r="I6528">
        <v>92</v>
      </c>
      <c r="J6528" t="str">
        <f>HYPERLINK("https://climate.onebuilding.org/WMO_Region_6_Europe/HUN_Hungary/NOR_Northern_Hungary/HUN_NOR_Poroszlo.128660_TMYx.2007-2021.zip")</f>
        <v>https://climate.onebuilding.org/WMO_Region_6_Europe/HUN_Hungary/NOR_Northern_Hungary/HUN_NOR_Poroszlo.128660_TMYx.2007-2021.zip</v>
      </c>
    </row>
    <row r="6529" spans="1:10" x14ac:dyDescent="0.25">
      <c r="A6529" t="s">
        <v>4973</v>
      </c>
      <c r="B6529" t="s">
        <v>4974</v>
      </c>
      <c r="C6529" t="s">
        <v>5016</v>
      </c>
      <c r="D6529">
        <v>128660</v>
      </c>
      <c r="E6529" t="s">
        <v>14</v>
      </c>
      <c r="F6529">
        <v>47.65</v>
      </c>
      <c r="G6529">
        <v>20.633299999999998</v>
      </c>
      <c r="H6529">
        <v>1</v>
      </c>
      <c r="I6529">
        <v>92</v>
      </c>
      <c r="J6529" t="str">
        <f>HYPERLINK("https://climate.onebuilding.org/WMO_Region_6_Europe/HUN_Hungary/NOR_Northern_Hungary/HUN_NOR_Poroszlo.128660_TMYx.2009-2023.zip")</f>
        <v>https://climate.onebuilding.org/WMO_Region_6_Europe/HUN_Hungary/NOR_Northern_Hungary/HUN_NOR_Poroszlo.128660_TMYx.2009-2023.zip</v>
      </c>
    </row>
    <row r="6530" spans="1:10" x14ac:dyDescent="0.25">
      <c r="A6530" t="s">
        <v>4973</v>
      </c>
      <c r="B6530" t="s">
        <v>4974</v>
      </c>
      <c r="C6530" t="s">
        <v>5016</v>
      </c>
      <c r="D6530">
        <v>128660</v>
      </c>
      <c r="E6530" t="s">
        <v>14</v>
      </c>
      <c r="F6530">
        <v>47.65</v>
      </c>
      <c r="G6530">
        <v>20.633299999999998</v>
      </c>
      <c r="H6530">
        <v>1</v>
      </c>
      <c r="I6530">
        <v>92</v>
      </c>
      <c r="J6530" t="str">
        <f>HYPERLINK("https://climate.onebuilding.org/WMO_Region_6_Europe/HUN_Hungary/NOR_Northern_Hungary/HUN_NOR_Poroszlo.128660_TMYx.zip")</f>
        <v>https://climate.onebuilding.org/WMO_Region_6_Europe/HUN_Hungary/NOR_Northern_Hungary/HUN_NOR_Poroszlo.128660_TMYx.zip</v>
      </c>
    </row>
    <row r="6531" spans="1:10" x14ac:dyDescent="0.25">
      <c r="A6531" t="s">
        <v>4973</v>
      </c>
      <c r="B6531" t="s">
        <v>4974</v>
      </c>
      <c r="C6531" t="s">
        <v>5018</v>
      </c>
      <c r="D6531">
        <v>128700</v>
      </c>
      <c r="E6531" t="s">
        <v>5019</v>
      </c>
      <c r="F6531">
        <v>47.9</v>
      </c>
      <c r="G6531">
        <v>20.383299999999998</v>
      </c>
      <c r="H6531">
        <v>1</v>
      </c>
      <c r="I6531">
        <v>218</v>
      </c>
      <c r="J6531" t="str">
        <f>HYPERLINK("https://climate.onebuilding.org/WMO_Region_6_Europe/HUN_Hungary/NOR_Northern_Hungary/HUN_NOR_Eger.128700_TMYx.2004-2018.zip")</f>
        <v>https://climate.onebuilding.org/WMO_Region_6_Europe/HUN_Hungary/NOR_Northern_Hungary/HUN_NOR_Eger.128700_TMYx.2004-2018.zip</v>
      </c>
    </row>
    <row r="6532" spans="1:10" x14ac:dyDescent="0.25">
      <c r="A6532" t="s">
        <v>4973</v>
      </c>
      <c r="B6532" t="s">
        <v>4974</v>
      </c>
      <c r="C6532" t="s">
        <v>5018</v>
      </c>
      <c r="D6532">
        <v>128700</v>
      </c>
      <c r="E6532" t="s">
        <v>14</v>
      </c>
      <c r="F6532">
        <v>47.9</v>
      </c>
      <c r="G6532">
        <v>20.383299999999998</v>
      </c>
      <c r="H6532">
        <v>1</v>
      </c>
      <c r="I6532">
        <v>218</v>
      </c>
      <c r="J6532" t="str">
        <f>HYPERLINK("https://climate.onebuilding.org/WMO_Region_6_Europe/HUN_Hungary/NOR_Northern_Hungary/HUN_NOR_Eger.128700_TMYx.2007-2021.zip")</f>
        <v>https://climate.onebuilding.org/WMO_Region_6_Europe/HUN_Hungary/NOR_Northern_Hungary/HUN_NOR_Eger.128700_TMYx.2007-2021.zip</v>
      </c>
    </row>
    <row r="6533" spans="1:10" x14ac:dyDescent="0.25">
      <c r="A6533" t="s">
        <v>4973</v>
      </c>
      <c r="B6533" t="s">
        <v>4974</v>
      </c>
      <c r="C6533" t="s">
        <v>5018</v>
      </c>
      <c r="D6533">
        <v>128700</v>
      </c>
      <c r="E6533" t="s">
        <v>14</v>
      </c>
      <c r="F6533">
        <v>47.9</v>
      </c>
      <c r="G6533">
        <v>20.383299999999998</v>
      </c>
      <c r="H6533">
        <v>1</v>
      </c>
      <c r="I6533">
        <v>218</v>
      </c>
      <c r="J6533" t="str">
        <f>HYPERLINK("https://climate.onebuilding.org/WMO_Region_6_Europe/HUN_Hungary/NOR_Northern_Hungary/HUN_NOR_Eger.128700_TMYx.2009-2023.zip")</f>
        <v>https://climate.onebuilding.org/WMO_Region_6_Europe/HUN_Hungary/NOR_Northern_Hungary/HUN_NOR_Eger.128700_TMYx.2009-2023.zip</v>
      </c>
    </row>
    <row r="6534" spans="1:10" x14ac:dyDescent="0.25">
      <c r="A6534" t="s">
        <v>4973</v>
      </c>
      <c r="B6534" t="s">
        <v>4974</v>
      </c>
      <c r="C6534" t="s">
        <v>5018</v>
      </c>
      <c r="D6534">
        <v>128700</v>
      </c>
      <c r="E6534" t="s">
        <v>14</v>
      </c>
      <c r="F6534">
        <v>47.9</v>
      </c>
      <c r="G6534">
        <v>20.383299999999998</v>
      </c>
      <c r="H6534">
        <v>1</v>
      </c>
      <c r="I6534">
        <v>218</v>
      </c>
      <c r="J6534" t="str">
        <f>HYPERLINK("https://climate.onebuilding.org/WMO_Region_6_Europe/HUN_Hungary/NOR_Northern_Hungary/HUN_NOR_Eger.128700_TMYx.zip")</f>
        <v>https://climate.onebuilding.org/WMO_Region_6_Europe/HUN_Hungary/NOR_Northern_Hungary/HUN_NOR_Eger.128700_TMYx.zip</v>
      </c>
    </row>
    <row r="6535" spans="1:10" x14ac:dyDescent="0.25">
      <c r="A6535" t="s">
        <v>4973</v>
      </c>
      <c r="B6535" t="s">
        <v>4981</v>
      </c>
      <c r="C6535" t="s">
        <v>5020</v>
      </c>
      <c r="D6535">
        <v>128820</v>
      </c>
      <c r="E6535" t="s">
        <v>5021</v>
      </c>
      <c r="F6535">
        <v>47.488999999999997</v>
      </c>
      <c r="G6535">
        <v>21.614999999999998</v>
      </c>
      <c r="H6535">
        <v>1</v>
      </c>
      <c r="I6535">
        <v>110</v>
      </c>
      <c r="J6535" t="str">
        <f>HYPERLINK("https://climate.onebuilding.org/WMO_Region_6_Europe/HUN_Hungary/NGP_Northern_Great_Plain/HUN_NGP_Debrecen.AP.128820_TMYx.2004-2018.zip")</f>
        <v>https://climate.onebuilding.org/WMO_Region_6_Europe/HUN_Hungary/NGP_Northern_Great_Plain/HUN_NGP_Debrecen.AP.128820_TMYx.2004-2018.zip</v>
      </c>
    </row>
    <row r="6536" spans="1:10" x14ac:dyDescent="0.25">
      <c r="A6536" t="s">
        <v>4973</v>
      </c>
      <c r="B6536" t="s">
        <v>4981</v>
      </c>
      <c r="C6536" t="s">
        <v>5020</v>
      </c>
      <c r="D6536">
        <v>128820</v>
      </c>
      <c r="E6536" t="s">
        <v>14</v>
      </c>
      <c r="F6536">
        <v>47.488999999999997</v>
      </c>
      <c r="G6536">
        <v>21.614999999999998</v>
      </c>
      <c r="H6536">
        <v>1</v>
      </c>
      <c r="I6536">
        <v>110</v>
      </c>
      <c r="J6536" t="str">
        <f>HYPERLINK("https://climate.onebuilding.org/WMO_Region_6_Europe/HUN_Hungary/NGP_Northern_Great_Plain/HUN_NGP_Debrecen.AP.128820_TMYx.2007-2021.zip")</f>
        <v>https://climate.onebuilding.org/WMO_Region_6_Europe/HUN_Hungary/NGP_Northern_Great_Plain/HUN_NGP_Debrecen.AP.128820_TMYx.2007-2021.zip</v>
      </c>
    </row>
    <row r="6537" spans="1:10" x14ac:dyDescent="0.25">
      <c r="A6537" t="s">
        <v>4973</v>
      </c>
      <c r="B6537" t="s">
        <v>4981</v>
      </c>
      <c r="C6537" t="s">
        <v>5020</v>
      </c>
      <c r="D6537">
        <v>128820</v>
      </c>
      <c r="E6537" t="s">
        <v>14</v>
      </c>
      <c r="F6537">
        <v>47.488999999999997</v>
      </c>
      <c r="G6537">
        <v>21.614999999999998</v>
      </c>
      <c r="H6537">
        <v>1</v>
      </c>
      <c r="I6537">
        <v>110</v>
      </c>
      <c r="J6537" t="str">
        <f>HYPERLINK("https://climate.onebuilding.org/WMO_Region_6_Europe/HUN_Hungary/NGP_Northern_Great_Plain/HUN_NGP_Debrecen.AP.128820_TMYx.2009-2023.zip")</f>
        <v>https://climate.onebuilding.org/WMO_Region_6_Europe/HUN_Hungary/NGP_Northern_Great_Plain/HUN_NGP_Debrecen.AP.128820_TMYx.2009-2023.zip</v>
      </c>
    </row>
    <row r="6538" spans="1:10" x14ac:dyDescent="0.25">
      <c r="A6538" t="s">
        <v>4973</v>
      </c>
      <c r="B6538" t="s">
        <v>4981</v>
      </c>
      <c r="C6538" t="s">
        <v>5020</v>
      </c>
      <c r="D6538">
        <v>128820</v>
      </c>
      <c r="E6538" t="s">
        <v>14</v>
      </c>
      <c r="F6538">
        <v>47.488999999999997</v>
      </c>
      <c r="G6538">
        <v>21.614999999999998</v>
      </c>
      <c r="H6538">
        <v>1</v>
      </c>
      <c r="I6538">
        <v>110</v>
      </c>
      <c r="J6538" t="str">
        <f>HYPERLINK("https://climate.onebuilding.org/WMO_Region_6_Europe/HUN_Hungary/NGP_Northern_Great_Plain/HUN_NGP_Debrecen.AP.128820_TMYx.zip")</f>
        <v>https://climate.onebuilding.org/WMO_Region_6_Europe/HUN_Hungary/NGP_Northern_Great_Plain/HUN_NGP_Debrecen.AP.128820_TMYx.zip</v>
      </c>
    </row>
    <row r="6539" spans="1:10" x14ac:dyDescent="0.25">
      <c r="A6539" t="s">
        <v>4973</v>
      </c>
      <c r="B6539" t="s">
        <v>4981</v>
      </c>
      <c r="C6539" t="s">
        <v>5022</v>
      </c>
      <c r="D6539">
        <v>128920</v>
      </c>
      <c r="E6539" t="s">
        <v>5023</v>
      </c>
      <c r="F6539">
        <v>47.984000000000002</v>
      </c>
      <c r="G6539">
        <v>21.692</v>
      </c>
      <c r="H6539">
        <v>1</v>
      </c>
      <c r="I6539">
        <v>103</v>
      </c>
      <c r="J6539" t="str">
        <f>HYPERLINK("https://climate.onebuilding.org/WMO_Region_6_Europe/HUN_Hungary/NGP_Northern_Great_Plain/HUN_NGP_Nyiregyhaza.AP.128920_TMYx.2004-2018.zip")</f>
        <v>https://climate.onebuilding.org/WMO_Region_6_Europe/HUN_Hungary/NGP_Northern_Great_Plain/HUN_NGP_Nyiregyhaza.AP.128920_TMYx.2004-2018.zip</v>
      </c>
    </row>
    <row r="6540" spans="1:10" x14ac:dyDescent="0.25">
      <c r="A6540" t="s">
        <v>4973</v>
      </c>
      <c r="B6540" t="s">
        <v>4981</v>
      </c>
      <c r="C6540" t="s">
        <v>5022</v>
      </c>
      <c r="D6540">
        <v>128920</v>
      </c>
      <c r="E6540" t="s">
        <v>14</v>
      </c>
      <c r="F6540">
        <v>47.984000000000002</v>
      </c>
      <c r="G6540">
        <v>21.692</v>
      </c>
      <c r="H6540">
        <v>1</v>
      </c>
      <c r="I6540">
        <v>103</v>
      </c>
      <c r="J6540" t="str">
        <f>HYPERLINK("https://climate.onebuilding.org/WMO_Region_6_Europe/HUN_Hungary/NGP_Northern_Great_Plain/HUN_NGP_Nyiregyhaza.AP.128920_TMYx.2007-2021.zip")</f>
        <v>https://climate.onebuilding.org/WMO_Region_6_Europe/HUN_Hungary/NGP_Northern_Great_Plain/HUN_NGP_Nyiregyhaza.AP.128920_TMYx.2007-2021.zip</v>
      </c>
    </row>
    <row r="6541" spans="1:10" x14ac:dyDescent="0.25">
      <c r="A6541" t="s">
        <v>4973</v>
      </c>
      <c r="B6541" t="s">
        <v>4981</v>
      </c>
      <c r="C6541" t="s">
        <v>5022</v>
      </c>
      <c r="D6541">
        <v>128920</v>
      </c>
      <c r="E6541" t="s">
        <v>14</v>
      </c>
      <c r="F6541">
        <v>47.984000000000002</v>
      </c>
      <c r="G6541">
        <v>21.692</v>
      </c>
      <c r="H6541">
        <v>1</v>
      </c>
      <c r="I6541">
        <v>103</v>
      </c>
      <c r="J6541" t="str">
        <f>HYPERLINK("https://climate.onebuilding.org/WMO_Region_6_Europe/HUN_Hungary/NGP_Northern_Great_Plain/HUN_NGP_Nyiregyhaza.AP.128920_TMYx.2009-2023.zip")</f>
        <v>https://climate.onebuilding.org/WMO_Region_6_Europe/HUN_Hungary/NGP_Northern_Great_Plain/HUN_NGP_Nyiregyhaza.AP.128920_TMYx.2009-2023.zip</v>
      </c>
    </row>
    <row r="6542" spans="1:10" x14ac:dyDescent="0.25">
      <c r="A6542" t="s">
        <v>4973</v>
      </c>
      <c r="B6542" t="s">
        <v>4981</v>
      </c>
      <c r="C6542" t="s">
        <v>5022</v>
      </c>
      <c r="D6542">
        <v>128920</v>
      </c>
      <c r="E6542" t="s">
        <v>14</v>
      </c>
      <c r="F6542">
        <v>47.984000000000002</v>
      </c>
      <c r="G6542">
        <v>21.692</v>
      </c>
      <c r="H6542">
        <v>1</v>
      </c>
      <c r="I6542">
        <v>103</v>
      </c>
      <c r="J6542" t="str">
        <f>HYPERLINK("https://climate.onebuilding.org/WMO_Region_6_Europe/HUN_Hungary/NGP_Northern_Great_Plain/HUN_NGP_Nyiregyhaza.AP.128920_TMYx.zip")</f>
        <v>https://climate.onebuilding.org/WMO_Region_6_Europe/HUN_Hungary/NGP_Northern_Great_Plain/HUN_NGP_Nyiregyhaza.AP.128920_TMYx.zip</v>
      </c>
    </row>
    <row r="6543" spans="1:10" x14ac:dyDescent="0.25">
      <c r="A6543" t="s">
        <v>4973</v>
      </c>
      <c r="B6543" t="s">
        <v>4984</v>
      </c>
      <c r="C6543" t="s">
        <v>5024</v>
      </c>
      <c r="D6543">
        <v>129100</v>
      </c>
      <c r="E6543" t="s">
        <v>5025</v>
      </c>
      <c r="F6543">
        <v>46.916699999999999</v>
      </c>
      <c r="G6543">
        <v>16.316700000000001</v>
      </c>
      <c r="H6543">
        <v>1</v>
      </c>
      <c r="I6543">
        <v>313</v>
      </c>
      <c r="J6543" t="str">
        <f>HYPERLINK("https://climate.onebuilding.org/WMO_Region_6_Europe/HUN_Hungary/WTR_Western_Transdanubia/HUN_WTR_Szentgotthard-Farkasfa.129100_TMYx.2004-2018.zip")</f>
        <v>https://climate.onebuilding.org/WMO_Region_6_Europe/HUN_Hungary/WTR_Western_Transdanubia/HUN_WTR_Szentgotthard-Farkasfa.129100_TMYx.2004-2018.zip</v>
      </c>
    </row>
    <row r="6544" spans="1:10" x14ac:dyDescent="0.25">
      <c r="A6544" t="s">
        <v>4973</v>
      </c>
      <c r="B6544" t="s">
        <v>4984</v>
      </c>
      <c r="C6544" t="s">
        <v>5024</v>
      </c>
      <c r="D6544">
        <v>129100</v>
      </c>
      <c r="E6544" t="s">
        <v>14</v>
      </c>
      <c r="F6544">
        <v>46.916699999999999</v>
      </c>
      <c r="G6544">
        <v>16.316700000000001</v>
      </c>
      <c r="H6544">
        <v>1</v>
      </c>
      <c r="I6544">
        <v>313</v>
      </c>
      <c r="J6544" t="str">
        <f>HYPERLINK("https://climate.onebuilding.org/WMO_Region_6_Europe/HUN_Hungary/WTR_Western_Transdanubia/HUN_WTR_Szentgotthard-Farkasfa.129100_TMYx.2007-2021.zip")</f>
        <v>https://climate.onebuilding.org/WMO_Region_6_Europe/HUN_Hungary/WTR_Western_Transdanubia/HUN_WTR_Szentgotthard-Farkasfa.129100_TMYx.2007-2021.zip</v>
      </c>
    </row>
    <row r="6545" spans="1:10" x14ac:dyDescent="0.25">
      <c r="A6545" t="s">
        <v>4973</v>
      </c>
      <c r="B6545" t="s">
        <v>4984</v>
      </c>
      <c r="C6545" t="s">
        <v>5024</v>
      </c>
      <c r="D6545">
        <v>129100</v>
      </c>
      <c r="E6545" t="s">
        <v>14</v>
      </c>
      <c r="F6545">
        <v>46.916699999999999</v>
      </c>
      <c r="G6545">
        <v>16.316700000000001</v>
      </c>
      <c r="H6545">
        <v>1</v>
      </c>
      <c r="I6545">
        <v>313</v>
      </c>
      <c r="J6545" t="str">
        <f>HYPERLINK("https://climate.onebuilding.org/WMO_Region_6_Europe/HUN_Hungary/WTR_Western_Transdanubia/HUN_WTR_Szentgotthard-Farkasfa.129100_TMYx.2009-2023.zip")</f>
        <v>https://climate.onebuilding.org/WMO_Region_6_Europe/HUN_Hungary/WTR_Western_Transdanubia/HUN_WTR_Szentgotthard-Farkasfa.129100_TMYx.2009-2023.zip</v>
      </c>
    </row>
    <row r="6546" spans="1:10" x14ac:dyDescent="0.25">
      <c r="A6546" t="s">
        <v>4973</v>
      </c>
      <c r="B6546" t="s">
        <v>4984</v>
      </c>
      <c r="C6546" t="s">
        <v>5024</v>
      </c>
      <c r="D6546">
        <v>129100</v>
      </c>
      <c r="E6546" t="s">
        <v>14</v>
      </c>
      <c r="F6546">
        <v>46.916699999999999</v>
      </c>
      <c r="G6546">
        <v>16.316700000000001</v>
      </c>
      <c r="H6546">
        <v>1</v>
      </c>
      <c r="I6546">
        <v>313</v>
      </c>
      <c r="J6546" t="str">
        <f>HYPERLINK("https://climate.onebuilding.org/WMO_Region_6_Europe/HUN_Hungary/WTR_Western_Transdanubia/HUN_WTR_Szentgotthard-Farkasfa.129100_TMYx.zip")</f>
        <v>https://climate.onebuilding.org/WMO_Region_6_Europe/HUN_Hungary/WTR_Western_Transdanubia/HUN_WTR_Szentgotthard-Farkasfa.129100_TMYx.zip</v>
      </c>
    </row>
    <row r="6547" spans="1:10" x14ac:dyDescent="0.25">
      <c r="A6547" t="s">
        <v>4973</v>
      </c>
      <c r="B6547" t="s">
        <v>4984</v>
      </c>
      <c r="C6547" t="s">
        <v>5026</v>
      </c>
      <c r="D6547">
        <v>129150</v>
      </c>
      <c r="E6547" t="s">
        <v>5027</v>
      </c>
      <c r="F6547">
        <v>46.866700000000002</v>
      </c>
      <c r="G6547">
        <v>16.8</v>
      </c>
      <c r="H6547">
        <v>1</v>
      </c>
      <c r="I6547">
        <v>180</v>
      </c>
      <c r="J6547" t="str">
        <f>HYPERLINK("https://climate.onebuilding.org/WMO_Region_6_Europe/HUN_Hungary/WTR_Western_Transdanubia/HUN_WTR_Zalaegerszeg-Andrashida.129150_TMYx.2004-2018.zip")</f>
        <v>https://climate.onebuilding.org/WMO_Region_6_Europe/HUN_Hungary/WTR_Western_Transdanubia/HUN_WTR_Zalaegerszeg-Andrashida.129150_TMYx.2004-2018.zip</v>
      </c>
    </row>
    <row r="6548" spans="1:10" x14ac:dyDescent="0.25">
      <c r="A6548" t="s">
        <v>4973</v>
      </c>
      <c r="B6548" t="s">
        <v>4984</v>
      </c>
      <c r="C6548" t="s">
        <v>5026</v>
      </c>
      <c r="D6548">
        <v>129150</v>
      </c>
      <c r="E6548" t="s">
        <v>14</v>
      </c>
      <c r="F6548">
        <v>46.866700000000002</v>
      </c>
      <c r="G6548">
        <v>16.8</v>
      </c>
      <c r="H6548">
        <v>1</v>
      </c>
      <c r="I6548">
        <v>180</v>
      </c>
      <c r="J6548" t="str">
        <f>HYPERLINK("https://climate.onebuilding.org/WMO_Region_6_Europe/HUN_Hungary/WTR_Western_Transdanubia/HUN_WTR_Zalaegerszeg-Andrashida.129150_TMYx.2007-2021.zip")</f>
        <v>https://climate.onebuilding.org/WMO_Region_6_Europe/HUN_Hungary/WTR_Western_Transdanubia/HUN_WTR_Zalaegerszeg-Andrashida.129150_TMYx.2007-2021.zip</v>
      </c>
    </row>
    <row r="6549" spans="1:10" x14ac:dyDescent="0.25">
      <c r="A6549" t="s">
        <v>4973</v>
      </c>
      <c r="B6549" t="s">
        <v>4984</v>
      </c>
      <c r="C6549" t="s">
        <v>5026</v>
      </c>
      <c r="D6549">
        <v>129150</v>
      </c>
      <c r="E6549" t="s">
        <v>14</v>
      </c>
      <c r="F6549">
        <v>46.866700000000002</v>
      </c>
      <c r="G6549">
        <v>16.8</v>
      </c>
      <c r="H6549">
        <v>1</v>
      </c>
      <c r="I6549">
        <v>180</v>
      </c>
      <c r="J6549" t="str">
        <f>HYPERLINK("https://climate.onebuilding.org/WMO_Region_6_Europe/HUN_Hungary/WTR_Western_Transdanubia/HUN_WTR_Zalaegerszeg-Andrashida.129150_TMYx.2009-2023.zip")</f>
        <v>https://climate.onebuilding.org/WMO_Region_6_Europe/HUN_Hungary/WTR_Western_Transdanubia/HUN_WTR_Zalaegerszeg-Andrashida.129150_TMYx.2009-2023.zip</v>
      </c>
    </row>
    <row r="6550" spans="1:10" x14ac:dyDescent="0.25">
      <c r="A6550" t="s">
        <v>4973</v>
      </c>
      <c r="B6550" t="s">
        <v>4984</v>
      </c>
      <c r="C6550" t="s">
        <v>5026</v>
      </c>
      <c r="D6550">
        <v>129150</v>
      </c>
      <c r="E6550" t="s">
        <v>14</v>
      </c>
      <c r="F6550">
        <v>46.866700000000002</v>
      </c>
      <c r="G6550">
        <v>16.8</v>
      </c>
      <c r="H6550">
        <v>1</v>
      </c>
      <c r="I6550">
        <v>180</v>
      </c>
      <c r="J6550" t="str">
        <f>HYPERLINK("https://climate.onebuilding.org/WMO_Region_6_Europe/HUN_Hungary/WTR_Western_Transdanubia/HUN_WTR_Zalaegerszeg-Andrashida.129150_TMYx.zip")</f>
        <v>https://climate.onebuilding.org/WMO_Region_6_Europe/HUN_Hungary/WTR_Western_Transdanubia/HUN_WTR_Zalaegerszeg-Andrashida.129150_TMYx.zip</v>
      </c>
    </row>
    <row r="6551" spans="1:10" x14ac:dyDescent="0.25">
      <c r="A6551" t="s">
        <v>4973</v>
      </c>
      <c r="B6551" t="s">
        <v>4984</v>
      </c>
      <c r="C6551" t="s">
        <v>5028</v>
      </c>
      <c r="D6551">
        <v>129200</v>
      </c>
      <c r="E6551" t="s">
        <v>14</v>
      </c>
      <c r="F6551">
        <v>46.732999999999997</v>
      </c>
      <c r="G6551">
        <v>17.233000000000001</v>
      </c>
      <c r="H6551">
        <v>1</v>
      </c>
      <c r="I6551">
        <v>113</v>
      </c>
      <c r="J6551" t="str">
        <f>HYPERLINK("https://climate.onebuilding.org/WMO_Region_6_Europe/HUN_Hungary/WTR_Western_Transdanubia/HUN_WTR_Keszthely.129200_TMYx.zip")</f>
        <v>https://climate.onebuilding.org/WMO_Region_6_Europe/HUN_Hungary/WTR_Western_Transdanubia/HUN_WTR_Keszthely.129200_TMYx.zip</v>
      </c>
    </row>
    <row r="6552" spans="1:10" x14ac:dyDescent="0.25">
      <c r="A6552" t="s">
        <v>4973</v>
      </c>
      <c r="B6552" t="s">
        <v>4984</v>
      </c>
      <c r="C6552" t="s">
        <v>5029</v>
      </c>
      <c r="D6552">
        <v>129220</v>
      </c>
      <c r="E6552" t="s">
        <v>5030</v>
      </c>
      <c r="F6552">
        <v>46.683300000000003</v>
      </c>
      <c r="G6552">
        <v>17.166699999999999</v>
      </c>
      <c r="H6552">
        <v>1</v>
      </c>
      <c r="I6552">
        <v>125</v>
      </c>
      <c r="J6552" t="str">
        <f>HYPERLINK("https://climate.onebuilding.org/WMO_Region_6_Europe/HUN_Hungary/WTR_Western_Transdanubia/HUN_WTR_Heviz-Balaton.AP.129220_TMYx.2004-2018.zip")</f>
        <v>https://climate.onebuilding.org/WMO_Region_6_Europe/HUN_Hungary/WTR_Western_Transdanubia/HUN_WTR_Heviz-Balaton.AP.129220_TMYx.2004-2018.zip</v>
      </c>
    </row>
    <row r="6553" spans="1:10" x14ac:dyDescent="0.25">
      <c r="A6553" t="s">
        <v>4973</v>
      </c>
      <c r="B6553" t="s">
        <v>4984</v>
      </c>
      <c r="C6553" t="s">
        <v>5029</v>
      </c>
      <c r="D6553">
        <v>129220</v>
      </c>
      <c r="E6553" t="s">
        <v>14</v>
      </c>
      <c r="F6553">
        <v>46.683300000000003</v>
      </c>
      <c r="G6553">
        <v>17.166699999999999</v>
      </c>
      <c r="H6553">
        <v>1</v>
      </c>
      <c r="I6553">
        <v>125</v>
      </c>
      <c r="J6553" t="str">
        <f>HYPERLINK("https://climate.onebuilding.org/WMO_Region_6_Europe/HUN_Hungary/WTR_Western_Transdanubia/HUN_WTR_Heviz-Balaton.AP.129220_TMYx.2007-2021.zip")</f>
        <v>https://climate.onebuilding.org/WMO_Region_6_Europe/HUN_Hungary/WTR_Western_Transdanubia/HUN_WTR_Heviz-Balaton.AP.129220_TMYx.2007-2021.zip</v>
      </c>
    </row>
    <row r="6554" spans="1:10" x14ac:dyDescent="0.25">
      <c r="A6554" t="s">
        <v>4973</v>
      </c>
      <c r="B6554" t="s">
        <v>4984</v>
      </c>
      <c r="C6554" t="s">
        <v>5029</v>
      </c>
      <c r="D6554">
        <v>129220</v>
      </c>
      <c r="E6554" t="s">
        <v>14</v>
      </c>
      <c r="F6554">
        <v>46.683300000000003</v>
      </c>
      <c r="G6554">
        <v>17.166699999999999</v>
      </c>
      <c r="H6554">
        <v>1</v>
      </c>
      <c r="I6554">
        <v>125</v>
      </c>
      <c r="J6554" t="str">
        <f>HYPERLINK("https://climate.onebuilding.org/WMO_Region_6_Europe/HUN_Hungary/WTR_Western_Transdanubia/HUN_WTR_Heviz-Balaton.AP.129220_TMYx.2009-2023.zip")</f>
        <v>https://climate.onebuilding.org/WMO_Region_6_Europe/HUN_Hungary/WTR_Western_Transdanubia/HUN_WTR_Heviz-Balaton.AP.129220_TMYx.2009-2023.zip</v>
      </c>
    </row>
    <row r="6555" spans="1:10" x14ac:dyDescent="0.25">
      <c r="A6555" t="s">
        <v>4973</v>
      </c>
      <c r="B6555" t="s">
        <v>4984</v>
      </c>
      <c r="C6555" t="s">
        <v>5029</v>
      </c>
      <c r="D6555">
        <v>129220</v>
      </c>
      <c r="E6555" t="s">
        <v>14</v>
      </c>
      <c r="F6555">
        <v>46.683300000000003</v>
      </c>
      <c r="G6555">
        <v>17.166699999999999</v>
      </c>
      <c r="H6555">
        <v>1</v>
      </c>
      <c r="I6555">
        <v>125</v>
      </c>
      <c r="J6555" t="str">
        <f>HYPERLINK("https://climate.onebuilding.org/WMO_Region_6_Europe/HUN_Hungary/WTR_Western_Transdanubia/HUN_WTR_Heviz-Balaton.AP.129220_TMYx.zip")</f>
        <v>https://climate.onebuilding.org/WMO_Region_6_Europe/HUN_Hungary/WTR_Western_Transdanubia/HUN_WTR_Heviz-Balaton.AP.129220_TMYx.zip</v>
      </c>
    </row>
    <row r="6556" spans="1:10" x14ac:dyDescent="0.25">
      <c r="A6556" t="s">
        <v>4973</v>
      </c>
      <c r="B6556" t="s">
        <v>4984</v>
      </c>
      <c r="C6556" t="s">
        <v>5031</v>
      </c>
      <c r="D6556">
        <v>129250</v>
      </c>
      <c r="E6556" t="s">
        <v>5032</v>
      </c>
      <c r="F6556">
        <v>46.45</v>
      </c>
      <c r="G6556">
        <v>16.966699999999999</v>
      </c>
      <c r="H6556">
        <v>1</v>
      </c>
      <c r="I6556">
        <v>141</v>
      </c>
      <c r="J6556" t="str">
        <f>HYPERLINK("https://climate.onebuilding.org/WMO_Region_6_Europe/HUN_Hungary/WTR_Western_Transdanubia/HUN_WTR_Nagykanizsa.129250_TMYx.2004-2018.zip")</f>
        <v>https://climate.onebuilding.org/WMO_Region_6_Europe/HUN_Hungary/WTR_Western_Transdanubia/HUN_WTR_Nagykanizsa.129250_TMYx.2004-2018.zip</v>
      </c>
    </row>
    <row r="6557" spans="1:10" x14ac:dyDescent="0.25">
      <c r="A6557" t="s">
        <v>4973</v>
      </c>
      <c r="B6557" t="s">
        <v>4984</v>
      </c>
      <c r="C6557" t="s">
        <v>5031</v>
      </c>
      <c r="D6557">
        <v>129250</v>
      </c>
      <c r="E6557" t="s">
        <v>14</v>
      </c>
      <c r="F6557">
        <v>46.45</v>
      </c>
      <c r="G6557">
        <v>16.966699999999999</v>
      </c>
      <c r="H6557">
        <v>1</v>
      </c>
      <c r="I6557">
        <v>141</v>
      </c>
      <c r="J6557" t="str">
        <f>HYPERLINK("https://climate.onebuilding.org/WMO_Region_6_Europe/HUN_Hungary/WTR_Western_Transdanubia/HUN_WTR_Nagykanizsa.129250_TMYx.2007-2021.zip")</f>
        <v>https://climate.onebuilding.org/WMO_Region_6_Europe/HUN_Hungary/WTR_Western_Transdanubia/HUN_WTR_Nagykanizsa.129250_TMYx.2007-2021.zip</v>
      </c>
    </row>
    <row r="6558" spans="1:10" x14ac:dyDescent="0.25">
      <c r="A6558" t="s">
        <v>4973</v>
      </c>
      <c r="B6558" t="s">
        <v>4984</v>
      </c>
      <c r="C6558" t="s">
        <v>5031</v>
      </c>
      <c r="D6558">
        <v>129250</v>
      </c>
      <c r="E6558" t="s">
        <v>14</v>
      </c>
      <c r="F6558">
        <v>46.45</v>
      </c>
      <c r="G6558">
        <v>16.966699999999999</v>
      </c>
      <c r="H6558">
        <v>1</v>
      </c>
      <c r="I6558">
        <v>141</v>
      </c>
      <c r="J6558" t="str">
        <f>HYPERLINK("https://climate.onebuilding.org/WMO_Region_6_Europe/HUN_Hungary/WTR_Western_Transdanubia/HUN_WTR_Nagykanizsa.129250_TMYx.2009-2023.zip")</f>
        <v>https://climate.onebuilding.org/WMO_Region_6_Europe/HUN_Hungary/WTR_Western_Transdanubia/HUN_WTR_Nagykanizsa.129250_TMYx.2009-2023.zip</v>
      </c>
    </row>
    <row r="6559" spans="1:10" x14ac:dyDescent="0.25">
      <c r="A6559" t="s">
        <v>4973</v>
      </c>
      <c r="B6559" t="s">
        <v>4984</v>
      </c>
      <c r="C6559" t="s">
        <v>5031</v>
      </c>
      <c r="D6559">
        <v>129250</v>
      </c>
      <c r="E6559" t="s">
        <v>14</v>
      </c>
      <c r="F6559">
        <v>46.45</v>
      </c>
      <c r="G6559">
        <v>16.966699999999999</v>
      </c>
      <c r="H6559">
        <v>1</v>
      </c>
      <c r="I6559">
        <v>141</v>
      </c>
      <c r="J6559" t="str">
        <f>HYPERLINK("https://climate.onebuilding.org/WMO_Region_6_Europe/HUN_Hungary/WTR_Western_Transdanubia/HUN_WTR_Nagykanizsa.129250_TMYx.zip")</f>
        <v>https://climate.onebuilding.org/WMO_Region_6_Europe/HUN_Hungary/WTR_Western_Transdanubia/HUN_WTR_Nagykanizsa.129250_TMYx.zip</v>
      </c>
    </row>
    <row r="6560" spans="1:10" x14ac:dyDescent="0.25">
      <c r="A6560" t="s">
        <v>4973</v>
      </c>
      <c r="B6560" t="s">
        <v>5033</v>
      </c>
      <c r="C6560" t="s">
        <v>5034</v>
      </c>
      <c r="D6560">
        <v>129300</v>
      </c>
      <c r="E6560" t="s">
        <v>5035</v>
      </c>
      <c r="F6560">
        <v>46.383000000000003</v>
      </c>
      <c r="G6560">
        <v>17.832999999999998</v>
      </c>
      <c r="H6560">
        <v>1</v>
      </c>
      <c r="I6560">
        <v>145</v>
      </c>
      <c r="J6560" t="str">
        <f>HYPERLINK("https://climate.onebuilding.org/WMO_Region_6_Europe/HUN_Hungary/STR_Southern_Transdanubia/HUN_STR_Kaposvar.129300_TMYx.2004-2018.zip")</f>
        <v>https://climate.onebuilding.org/WMO_Region_6_Europe/HUN_Hungary/STR_Southern_Transdanubia/HUN_STR_Kaposvar.129300_TMYx.2004-2018.zip</v>
      </c>
    </row>
    <row r="6561" spans="1:10" x14ac:dyDescent="0.25">
      <c r="A6561" t="s">
        <v>4973</v>
      </c>
      <c r="B6561" t="s">
        <v>5033</v>
      </c>
      <c r="C6561" t="s">
        <v>5034</v>
      </c>
      <c r="D6561">
        <v>129300</v>
      </c>
      <c r="E6561" t="s">
        <v>14</v>
      </c>
      <c r="F6561">
        <v>46.383000000000003</v>
      </c>
      <c r="G6561">
        <v>17.832999999999998</v>
      </c>
      <c r="H6561">
        <v>1</v>
      </c>
      <c r="I6561">
        <v>145</v>
      </c>
      <c r="J6561" t="str">
        <f>HYPERLINK("https://climate.onebuilding.org/WMO_Region_6_Europe/HUN_Hungary/STR_Southern_Transdanubia/HUN_STR_Kaposvar.129300_TMYx.2007-2021.zip")</f>
        <v>https://climate.onebuilding.org/WMO_Region_6_Europe/HUN_Hungary/STR_Southern_Transdanubia/HUN_STR_Kaposvar.129300_TMYx.2007-2021.zip</v>
      </c>
    </row>
    <row r="6562" spans="1:10" x14ac:dyDescent="0.25">
      <c r="A6562" t="s">
        <v>4973</v>
      </c>
      <c r="B6562" t="s">
        <v>5033</v>
      </c>
      <c r="C6562" t="s">
        <v>5034</v>
      </c>
      <c r="D6562">
        <v>129300</v>
      </c>
      <c r="E6562" t="s">
        <v>14</v>
      </c>
      <c r="F6562">
        <v>46.383000000000003</v>
      </c>
      <c r="G6562">
        <v>17.832999999999998</v>
      </c>
      <c r="H6562">
        <v>1</v>
      </c>
      <c r="I6562">
        <v>145</v>
      </c>
      <c r="J6562" t="str">
        <f>HYPERLINK("https://climate.onebuilding.org/WMO_Region_6_Europe/HUN_Hungary/STR_Southern_Transdanubia/HUN_STR_Kaposvar.129300_TMYx.2009-2023.zip")</f>
        <v>https://climate.onebuilding.org/WMO_Region_6_Europe/HUN_Hungary/STR_Southern_Transdanubia/HUN_STR_Kaposvar.129300_TMYx.2009-2023.zip</v>
      </c>
    </row>
    <row r="6563" spans="1:10" x14ac:dyDescent="0.25">
      <c r="A6563" t="s">
        <v>4973</v>
      </c>
      <c r="B6563" t="s">
        <v>5033</v>
      </c>
      <c r="C6563" t="s">
        <v>5034</v>
      </c>
      <c r="D6563">
        <v>129300</v>
      </c>
      <c r="E6563" t="s">
        <v>14</v>
      </c>
      <c r="F6563">
        <v>46.383000000000003</v>
      </c>
      <c r="G6563">
        <v>17.832999999999998</v>
      </c>
      <c r="H6563">
        <v>1</v>
      </c>
      <c r="I6563">
        <v>145</v>
      </c>
      <c r="J6563" t="str">
        <f>HYPERLINK("https://climate.onebuilding.org/WMO_Region_6_Europe/HUN_Hungary/STR_Southern_Transdanubia/HUN_STR_Kaposvar.129300_TMYx.zip")</f>
        <v>https://climate.onebuilding.org/WMO_Region_6_Europe/HUN_Hungary/STR_Southern_Transdanubia/HUN_STR_Kaposvar.129300_TMYx.zip</v>
      </c>
    </row>
    <row r="6564" spans="1:10" x14ac:dyDescent="0.25">
      <c r="A6564" t="s">
        <v>4973</v>
      </c>
      <c r="B6564" t="s">
        <v>5033</v>
      </c>
      <c r="C6564" t="s">
        <v>5036</v>
      </c>
      <c r="D6564">
        <v>129320</v>
      </c>
      <c r="E6564" t="s">
        <v>14</v>
      </c>
      <c r="F6564">
        <v>46.4</v>
      </c>
      <c r="G6564">
        <v>17.916699999999999</v>
      </c>
      <c r="H6564">
        <v>1</v>
      </c>
      <c r="I6564">
        <v>156</v>
      </c>
      <c r="J6564" t="str">
        <f>HYPERLINK("https://climate.onebuilding.org/WMO_Region_6_Europe/HUN_Hungary/STR_Southern_Transdanubia/HUN_STR_Taszar.AB.129320_TMYx.zip")</f>
        <v>https://climate.onebuilding.org/WMO_Region_6_Europe/HUN_Hungary/STR_Southern_Transdanubia/HUN_STR_Taszar.AB.129320_TMYx.zip</v>
      </c>
    </row>
    <row r="6565" spans="1:10" x14ac:dyDescent="0.25">
      <c r="A6565" t="s">
        <v>4973</v>
      </c>
      <c r="B6565" t="s">
        <v>5033</v>
      </c>
      <c r="C6565" t="s">
        <v>5037</v>
      </c>
      <c r="D6565">
        <v>129350</v>
      </c>
      <c r="E6565" t="s">
        <v>5038</v>
      </c>
      <c r="F6565">
        <v>46.905099999999997</v>
      </c>
      <c r="G6565">
        <v>18.086200000000002</v>
      </c>
      <c r="H6565">
        <v>1</v>
      </c>
      <c r="I6565">
        <v>109</v>
      </c>
      <c r="J6565" t="str">
        <f>HYPERLINK("https://climate.onebuilding.org/WMO_Region_6_Europe/HUN_Hungary/STR_Southern_Transdanubia/HUN_STR_Siofok.129350_TMYx.2004-2018.zip")</f>
        <v>https://climate.onebuilding.org/WMO_Region_6_Europe/HUN_Hungary/STR_Southern_Transdanubia/HUN_STR_Siofok.129350_TMYx.2004-2018.zip</v>
      </c>
    </row>
    <row r="6566" spans="1:10" x14ac:dyDescent="0.25">
      <c r="A6566" t="s">
        <v>4973</v>
      </c>
      <c r="B6566" t="s">
        <v>5033</v>
      </c>
      <c r="C6566" t="s">
        <v>5037</v>
      </c>
      <c r="D6566">
        <v>129350</v>
      </c>
      <c r="E6566" t="s">
        <v>14</v>
      </c>
      <c r="F6566">
        <v>46.910600000000002</v>
      </c>
      <c r="G6566">
        <v>18.040700000000001</v>
      </c>
      <c r="H6566">
        <v>1</v>
      </c>
      <c r="I6566">
        <v>109</v>
      </c>
      <c r="J6566" t="str">
        <f>HYPERLINK("https://climate.onebuilding.org/WMO_Region_6_Europe/HUN_Hungary/STR_Southern_Transdanubia/HUN_STR_Siofok.129350_TMYx.2007-2021.zip")</f>
        <v>https://climate.onebuilding.org/WMO_Region_6_Europe/HUN_Hungary/STR_Southern_Transdanubia/HUN_STR_Siofok.129350_TMYx.2007-2021.zip</v>
      </c>
    </row>
    <row r="6567" spans="1:10" x14ac:dyDescent="0.25">
      <c r="A6567" t="s">
        <v>4973</v>
      </c>
      <c r="B6567" t="s">
        <v>5033</v>
      </c>
      <c r="C6567" t="s">
        <v>5037</v>
      </c>
      <c r="D6567">
        <v>129350</v>
      </c>
      <c r="E6567" t="s">
        <v>14</v>
      </c>
      <c r="F6567">
        <v>46.910600000000002</v>
      </c>
      <c r="G6567">
        <v>18.040700000000001</v>
      </c>
      <c r="H6567">
        <v>1</v>
      </c>
      <c r="I6567">
        <v>109</v>
      </c>
      <c r="J6567" t="str">
        <f>HYPERLINK("https://climate.onebuilding.org/WMO_Region_6_Europe/HUN_Hungary/STR_Southern_Transdanubia/HUN_STR_Siofok.129350_TMYx.2009-2023.zip")</f>
        <v>https://climate.onebuilding.org/WMO_Region_6_Europe/HUN_Hungary/STR_Southern_Transdanubia/HUN_STR_Siofok.129350_TMYx.2009-2023.zip</v>
      </c>
    </row>
    <row r="6568" spans="1:10" x14ac:dyDescent="0.25">
      <c r="A6568" t="s">
        <v>4973</v>
      </c>
      <c r="B6568" t="s">
        <v>5033</v>
      </c>
      <c r="C6568" t="s">
        <v>5037</v>
      </c>
      <c r="D6568">
        <v>129350</v>
      </c>
      <c r="E6568" t="s">
        <v>14</v>
      </c>
      <c r="F6568">
        <v>46.910600000000002</v>
      </c>
      <c r="G6568">
        <v>18.040700000000001</v>
      </c>
      <c r="H6568">
        <v>1</v>
      </c>
      <c r="I6568">
        <v>109</v>
      </c>
      <c r="J6568" t="str">
        <f>HYPERLINK("https://climate.onebuilding.org/WMO_Region_6_Europe/HUN_Hungary/STR_Southern_Transdanubia/HUN_STR_Siofok.129350_TMYx.zip")</f>
        <v>https://climate.onebuilding.org/WMO_Region_6_Europe/HUN_Hungary/STR_Southern_Transdanubia/HUN_STR_Siofok.129350_TMYx.zip</v>
      </c>
    </row>
    <row r="6569" spans="1:10" x14ac:dyDescent="0.25">
      <c r="A6569" t="s">
        <v>4973</v>
      </c>
      <c r="B6569" t="s">
        <v>5033</v>
      </c>
      <c r="C6569" t="s">
        <v>5039</v>
      </c>
      <c r="D6569">
        <v>129420</v>
      </c>
      <c r="E6569" t="s">
        <v>5040</v>
      </c>
      <c r="F6569">
        <v>46</v>
      </c>
      <c r="G6569">
        <v>18.2333</v>
      </c>
      <c r="H6569">
        <v>1</v>
      </c>
      <c r="I6569">
        <v>203</v>
      </c>
      <c r="J6569" t="str">
        <f>HYPERLINK("https://climate.onebuilding.org/WMO_Region_6_Europe/HUN_Hungary/STR_Southern_Transdanubia/HUN_STR_Pecs-Pogany.AP.129420_TMYx.2004-2018.zip")</f>
        <v>https://climate.onebuilding.org/WMO_Region_6_Europe/HUN_Hungary/STR_Southern_Transdanubia/HUN_STR_Pecs-Pogany.AP.129420_TMYx.2004-2018.zip</v>
      </c>
    </row>
    <row r="6570" spans="1:10" x14ac:dyDescent="0.25">
      <c r="A6570" t="s">
        <v>4973</v>
      </c>
      <c r="B6570" t="s">
        <v>5033</v>
      </c>
      <c r="C6570" t="s">
        <v>5039</v>
      </c>
      <c r="D6570">
        <v>129420</v>
      </c>
      <c r="E6570" t="s">
        <v>14</v>
      </c>
      <c r="F6570">
        <v>46</v>
      </c>
      <c r="G6570">
        <v>18.2333</v>
      </c>
      <c r="H6570">
        <v>1</v>
      </c>
      <c r="I6570">
        <v>203</v>
      </c>
      <c r="J6570" t="str">
        <f>HYPERLINK("https://climate.onebuilding.org/WMO_Region_6_Europe/HUN_Hungary/STR_Southern_Transdanubia/HUN_STR_Pecs-Pogany.AP.129420_TMYx.2007-2021.zip")</f>
        <v>https://climate.onebuilding.org/WMO_Region_6_Europe/HUN_Hungary/STR_Southern_Transdanubia/HUN_STR_Pecs-Pogany.AP.129420_TMYx.2007-2021.zip</v>
      </c>
    </row>
    <row r="6571" spans="1:10" x14ac:dyDescent="0.25">
      <c r="A6571" t="s">
        <v>4973</v>
      </c>
      <c r="B6571" t="s">
        <v>5033</v>
      </c>
      <c r="C6571" t="s">
        <v>5039</v>
      </c>
      <c r="D6571">
        <v>129420</v>
      </c>
      <c r="E6571" t="s">
        <v>14</v>
      </c>
      <c r="F6571">
        <v>46</v>
      </c>
      <c r="G6571">
        <v>18.2333</v>
      </c>
      <c r="H6571">
        <v>1</v>
      </c>
      <c r="I6571">
        <v>203</v>
      </c>
      <c r="J6571" t="str">
        <f>HYPERLINK("https://climate.onebuilding.org/WMO_Region_6_Europe/HUN_Hungary/STR_Southern_Transdanubia/HUN_STR_Pecs-Pogany.AP.129420_TMYx.2009-2023.zip")</f>
        <v>https://climate.onebuilding.org/WMO_Region_6_Europe/HUN_Hungary/STR_Southern_Transdanubia/HUN_STR_Pecs-Pogany.AP.129420_TMYx.2009-2023.zip</v>
      </c>
    </row>
    <row r="6572" spans="1:10" x14ac:dyDescent="0.25">
      <c r="A6572" t="s">
        <v>4973</v>
      </c>
      <c r="B6572" t="s">
        <v>5033</v>
      </c>
      <c r="C6572" t="s">
        <v>5039</v>
      </c>
      <c r="D6572">
        <v>129420</v>
      </c>
      <c r="E6572" t="s">
        <v>14</v>
      </c>
      <c r="F6572">
        <v>46</v>
      </c>
      <c r="G6572">
        <v>18.2333</v>
      </c>
      <c r="H6572">
        <v>1</v>
      </c>
      <c r="I6572">
        <v>203</v>
      </c>
      <c r="J6572" t="str">
        <f>HYPERLINK("https://climate.onebuilding.org/WMO_Region_6_Europe/HUN_Hungary/STR_Southern_Transdanubia/HUN_STR_Pecs-Pogany.AP.129420_TMYx.zip")</f>
        <v>https://climate.onebuilding.org/WMO_Region_6_Europe/HUN_Hungary/STR_Southern_Transdanubia/HUN_STR_Pecs-Pogany.AP.129420_TMYx.zip</v>
      </c>
    </row>
    <row r="6573" spans="1:10" x14ac:dyDescent="0.25">
      <c r="A6573" t="s">
        <v>4973</v>
      </c>
      <c r="B6573" t="s">
        <v>5033</v>
      </c>
      <c r="C6573" t="s">
        <v>5041</v>
      </c>
      <c r="D6573">
        <v>129500</v>
      </c>
      <c r="E6573" t="s">
        <v>5042</v>
      </c>
      <c r="F6573">
        <v>46.583300000000001</v>
      </c>
      <c r="G6573">
        <v>18.850000000000001</v>
      </c>
      <c r="H6573">
        <v>1</v>
      </c>
      <c r="I6573">
        <v>98</v>
      </c>
      <c r="J6573" t="str">
        <f>HYPERLINK("https://climate.onebuilding.org/WMO_Region_6_Europe/HUN_Hungary/STR_Southern_Transdanubia/HUN_STR_Paks.129500_TMYx.2004-2018.zip")</f>
        <v>https://climate.onebuilding.org/WMO_Region_6_Europe/HUN_Hungary/STR_Southern_Transdanubia/HUN_STR_Paks.129500_TMYx.2004-2018.zip</v>
      </c>
    </row>
    <row r="6574" spans="1:10" x14ac:dyDescent="0.25">
      <c r="A6574" t="s">
        <v>4973</v>
      </c>
      <c r="B6574" t="s">
        <v>5033</v>
      </c>
      <c r="C6574" t="s">
        <v>5041</v>
      </c>
      <c r="D6574">
        <v>129500</v>
      </c>
      <c r="E6574" t="s">
        <v>14</v>
      </c>
      <c r="F6574">
        <v>46.583300000000001</v>
      </c>
      <c r="G6574">
        <v>18.850000000000001</v>
      </c>
      <c r="H6574">
        <v>1</v>
      </c>
      <c r="I6574">
        <v>98</v>
      </c>
      <c r="J6574" t="str">
        <f>HYPERLINK("https://climate.onebuilding.org/WMO_Region_6_Europe/HUN_Hungary/STR_Southern_Transdanubia/HUN_STR_Paks.129500_TMYx.2007-2021.zip")</f>
        <v>https://climate.onebuilding.org/WMO_Region_6_Europe/HUN_Hungary/STR_Southern_Transdanubia/HUN_STR_Paks.129500_TMYx.2007-2021.zip</v>
      </c>
    </row>
    <row r="6575" spans="1:10" x14ac:dyDescent="0.25">
      <c r="A6575" t="s">
        <v>4973</v>
      </c>
      <c r="B6575" t="s">
        <v>5033</v>
      </c>
      <c r="C6575" t="s">
        <v>5041</v>
      </c>
      <c r="D6575">
        <v>129500</v>
      </c>
      <c r="E6575" t="s">
        <v>14</v>
      </c>
      <c r="F6575">
        <v>46.583300000000001</v>
      </c>
      <c r="G6575">
        <v>18.850000000000001</v>
      </c>
      <c r="H6575">
        <v>1</v>
      </c>
      <c r="I6575">
        <v>98</v>
      </c>
      <c r="J6575" t="str">
        <f>HYPERLINK("https://climate.onebuilding.org/WMO_Region_6_Europe/HUN_Hungary/STR_Southern_Transdanubia/HUN_STR_Paks.129500_TMYx.2009-2023.zip")</f>
        <v>https://climate.onebuilding.org/WMO_Region_6_Europe/HUN_Hungary/STR_Southern_Transdanubia/HUN_STR_Paks.129500_TMYx.2009-2023.zip</v>
      </c>
    </row>
    <row r="6576" spans="1:10" x14ac:dyDescent="0.25">
      <c r="A6576" t="s">
        <v>4973</v>
      </c>
      <c r="B6576" t="s">
        <v>5033</v>
      </c>
      <c r="C6576" t="s">
        <v>5041</v>
      </c>
      <c r="D6576">
        <v>129500</v>
      </c>
      <c r="E6576" t="s">
        <v>14</v>
      </c>
      <c r="F6576">
        <v>46.583300000000001</v>
      </c>
      <c r="G6576">
        <v>18.850000000000001</v>
      </c>
      <c r="H6576">
        <v>1</v>
      </c>
      <c r="I6576">
        <v>98</v>
      </c>
      <c r="J6576" t="str">
        <f>HYPERLINK("https://climate.onebuilding.org/WMO_Region_6_Europe/HUN_Hungary/STR_Southern_Transdanubia/HUN_STR_Paks.129500_TMYx.zip")</f>
        <v>https://climate.onebuilding.org/WMO_Region_6_Europe/HUN_Hungary/STR_Southern_Transdanubia/HUN_STR_Paks.129500_TMYx.zip</v>
      </c>
    </row>
    <row r="6577" spans="1:10" x14ac:dyDescent="0.25">
      <c r="A6577" t="s">
        <v>4973</v>
      </c>
      <c r="B6577" t="s">
        <v>5043</v>
      </c>
      <c r="C6577" t="s">
        <v>5044</v>
      </c>
      <c r="D6577">
        <v>129600</v>
      </c>
      <c r="E6577" t="s">
        <v>5045</v>
      </c>
      <c r="F6577">
        <v>46.183300000000003</v>
      </c>
      <c r="G6577">
        <v>19.0167</v>
      </c>
      <c r="H6577">
        <v>1</v>
      </c>
      <c r="I6577">
        <v>113</v>
      </c>
      <c r="J6577" t="str">
        <f>HYPERLINK("https://climate.onebuilding.org/WMO_Region_6_Europe/HUN_Hungary/SGP_Southern_Great_Plain/HUN_SGP_Baja.129600_TMYx.2004-2018.zip")</f>
        <v>https://climate.onebuilding.org/WMO_Region_6_Europe/HUN_Hungary/SGP_Southern_Great_Plain/HUN_SGP_Baja.129600_TMYx.2004-2018.zip</v>
      </c>
    </row>
    <row r="6578" spans="1:10" x14ac:dyDescent="0.25">
      <c r="A6578" t="s">
        <v>4973</v>
      </c>
      <c r="B6578" t="s">
        <v>5043</v>
      </c>
      <c r="C6578" t="s">
        <v>5044</v>
      </c>
      <c r="D6578">
        <v>129600</v>
      </c>
      <c r="E6578" t="s">
        <v>14</v>
      </c>
      <c r="F6578">
        <v>46.183300000000003</v>
      </c>
      <c r="G6578">
        <v>19.0167</v>
      </c>
      <c r="H6578">
        <v>1</v>
      </c>
      <c r="I6578">
        <v>113</v>
      </c>
      <c r="J6578" t="str">
        <f>HYPERLINK("https://climate.onebuilding.org/WMO_Region_6_Europe/HUN_Hungary/SGP_Southern_Great_Plain/HUN_SGP_Baja.129600_TMYx.2007-2021.zip")</f>
        <v>https://climate.onebuilding.org/WMO_Region_6_Europe/HUN_Hungary/SGP_Southern_Great_Plain/HUN_SGP_Baja.129600_TMYx.2007-2021.zip</v>
      </c>
    </row>
    <row r="6579" spans="1:10" x14ac:dyDescent="0.25">
      <c r="A6579" t="s">
        <v>4973</v>
      </c>
      <c r="B6579" t="s">
        <v>5043</v>
      </c>
      <c r="C6579" t="s">
        <v>5044</v>
      </c>
      <c r="D6579">
        <v>129600</v>
      </c>
      <c r="E6579" t="s">
        <v>14</v>
      </c>
      <c r="F6579">
        <v>46.183300000000003</v>
      </c>
      <c r="G6579">
        <v>19.0167</v>
      </c>
      <c r="H6579">
        <v>1</v>
      </c>
      <c r="I6579">
        <v>113</v>
      </c>
      <c r="J6579" t="str">
        <f>HYPERLINK("https://climate.onebuilding.org/WMO_Region_6_Europe/HUN_Hungary/SGP_Southern_Great_Plain/HUN_SGP_Baja.129600_TMYx.2009-2023.zip")</f>
        <v>https://climate.onebuilding.org/WMO_Region_6_Europe/HUN_Hungary/SGP_Southern_Great_Plain/HUN_SGP_Baja.129600_TMYx.2009-2023.zip</v>
      </c>
    </row>
    <row r="6580" spans="1:10" x14ac:dyDescent="0.25">
      <c r="A6580" t="s">
        <v>4973</v>
      </c>
      <c r="B6580" t="s">
        <v>5043</v>
      </c>
      <c r="C6580" t="s">
        <v>5044</v>
      </c>
      <c r="D6580">
        <v>129600</v>
      </c>
      <c r="E6580" t="s">
        <v>14</v>
      </c>
      <c r="F6580">
        <v>46.183300000000003</v>
      </c>
      <c r="G6580">
        <v>19.0167</v>
      </c>
      <c r="H6580">
        <v>1</v>
      </c>
      <c r="I6580">
        <v>113</v>
      </c>
      <c r="J6580" t="str">
        <f>HYPERLINK("https://climate.onebuilding.org/WMO_Region_6_Europe/HUN_Hungary/SGP_Southern_Great_Plain/HUN_SGP_Baja.129600_TMYx.zip")</f>
        <v>https://climate.onebuilding.org/WMO_Region_6_Europe/HUN_Hungary/SGP_Southern_Great_Plain/HUN_SGP_Baja.129600_TMYx.zip</v>
      </c>
    </row>
    <row r="6581" spans="1:10" x14ac:dyDescent="0.25">
      <c r="A6581" t="s">
        <v>4973</v>
      </c>
      <c r="B6581" t="s">
        <v>5043</v>
      </c>
      <c r="C6581" t="s">
        <v>5046</v>
      </c>
      <c r="D6581">
        <v>129700</v>
      </c>
      <c r="E6581" t="s">
        <v>5047</v>
      </c>
      <c r="F6581">
        <v>46.916699999999999</v>
      </c>
      <c r="G6581">
        <v>19.75</v>
      </c>
      <c r="H6581">
        <v>1</v>
      </c>
      <c r="I6581">
        <v>123</v>
      </c>
      <c r="J6581" t="str">
        <f>HYPERLINK("https://climate.onebuilding.org/WMO_Region_6_Europe/HUN_Hungary/SGP_Southern_Great_Plain/HUN_SGP_Kecskemet.AB.129700_TMYx.2004-2018.zip")</f>
        <v>https://climate.onebuilding.org/WMO_Region_6_Europe/HUN_Hungary/SGP_Southern_Great_Plain/HUN_SGP_Kecskemet.AB.129700_TMYx.2004-2018.zip</v>
      </c>
    </row>
    <row r="6582" spans="1:10" x14ac:dyDescent="0.25">
      <c r="A6582" t="s">
        <v>4973</v>
      </c>
      <c r="B6582" t="s">
        <v>5043</v>
      </c>
      <c r="C6582" t="s">
        <v>5046</v>
      </c>
      <c r="D6582">
        <v>129700</v>
      </c>
      <c r="E6582" t="s">
        <v>14</v>
      </c>
      <c r="F6582">
        <v>46.916699999999999</v>
      </c>
      <c r="G6582">
        <v>19.75</v>
      </c>
      <c r="H6582">
        <v>1</v>
      </c>
      <c r="I6582">
        <v>123</v>
      </c>
      <c r="J6582" t="str">
        <f>HYPERLINK("https://climate.onebuilding.org/WMO_Region_6_Europe/HUN_Hungary/SGP_Southern_Great_Plain/HUN_SGP_Kecskemet.AB.129700_TMYx.2007-2021.zip")</f>
        <v>https://climate.onebuilding.org/WMO_Region_6_Europe/HUN_Hungary/SGP_Southern_Great_Plain/HUN_SGP_Kecskemet.AB.129700_TMYx.2007-2021.zip</v>
      </c>
    </row>
    <row r="6583" spans="1:10" x14ac:dyDescent="0.25">
      <c r="A6583" t="s">
        <v>4973</v>
      </c>
      <c r="B6583" t="s">
        <v>5043</v>
      </c>
      <c r="C6583" t="s">
        <v>5046</v>
      </c>
      <c r="D6583">
        <v>129700</v>
      </c>
      <c r="E6583" t="s">
        <v>14</v>
      </c>
      <c r="F6583">
        <v>46.916699999999999</v>
      </c>
      <c r="G6583">
        <v>19.75</v>
      </c>
      <c r="H6583">
        <v>1</v>
      </c>
      <c r="I6583">
        <v>123</v>
      </c>
      <c r="J6583" t="str">
        <f>HYPERLINK("https://climate.onebuilding.org/WMO_Region_6_Europe/HUN_Hungary/SGP_Southern_Great_Plain/HUN_SGP_Kecskemet.AB.129700_TMYx.2009-2023.zip")</f>
        <v>https://climate.onebuilding.org/WMO_Region_6_Europe/HUN_Hungary/SGP_Southern_Great_Plain/HUN_SGP_Kecskemet.AB.129700_TMYx.2009-2023.zip</v>
      </c>
    </row>
    <row r="6584" spans="1:10" x14ac:dyDescent="0.25">
      <c r="A6584" t="s">
        <v>4973</v>
      </c>
      <c r="B6584" t="s">
        <v>5043</v>
      </c>
      <c r="C6584" t="s">
        <v>5046</v>
      </c>
      <c r="D6584">
        <v>129700</v>
      </c>
      <c r="E6584" t="s">
        <v>14</v>
      </c>
      <c r="F6584">
        <v>46.916699999999999</v>
      </c>
      <c r="G6584">
        <v>19.75</v>
      </c>
      <c r="H6584">
        <v>1</v>
      </c>
      <c r="I6584">
        <v>123</v>
      </c>
      <c r="J6584" t="str">
        <f>HYPERLINK("https://climate.onebuilding.org/WMO_Region_6_Europe/HUN_Hungary/SGP_Southern_Great_Plain/HUN_SGP_Kecskemet.AB.129700_TMYx.zip")</f>
        <v>https://climate.onebuilding.org/WMO_Region_6_Europe/HUN_Hungary/SGP_Southern_Great_Plain/HUN_SGP_Kecskemet.AB.129700_TMYx.zip</v>
      </c>
    </row>
    <row r="6585" spans="1:10" x14ac:dyDescent="0.25">
      <c r="A6585" t="s">
        <v>4973</v>
      </c>
      <c r="B6585" t="s">
        <v>5043</v>
      </c>
      <c r="C6585" t="s">
        <v>5048</v>
      </c>
      <c r="D6585">
        <v>129820</v>
      </c>
      <c r="E6585" t="s">
        <v>5049</v>
      </c>
      <c r="F6585">
        <v>46.25</v>
      </c>
      <c r="G6585">
        <v>20.100000000000001</v>
      </c>
      <c r="H6585">
        <v>1</v>
      </c>
      <c r="I6585">
        <v>83</v>
      </c>
      <c r="J6585" t="str">
        <f>HYPERLINK("https://climate.onebuilding.org/WMO_Region_6_Europe/HUN_Hungary/SGP_Southern_Great_Plain/HUN_SGP_Szeged.AF.129820_TMYx.2004-2018.zip")</f>
        <v>https://climate.onebuilding.org/WMO_Region_6_Europe/HUN_Hungary/SGP_Southern_Great_Plain/HUN_SGP_Szeged.AF.129820_TMYx.2004-2018.zip</v>
      </c>
    </row>
    <row r="6586" spans="1:10" x14ac:dyDescent="0.25">
      <c r="A6586" t="s">
        <v>4973</v>
      </c>
      <c r="B6586" t="s">
        <v>5043</v>
      </c>
      <c r="C6586" t="s">
        <v>5048</v>
      </c>
      <c r="D6586">
        <v>129820</v>
      </c>
      <c r="E6586" t="s">
        <v>14</v>
      </c>
      <c r="F6586">
        <v>46.25</v>
      </c>
      <c r="G6586">
        <v>20.100000000000001</v>
      </c>
      <c r="H6586">
        <v>1</v>
      </c>
      <c r="I6586">
        <v>83</v>
      </c>
      <c r="J6586" t="str">
        <f>HYPERLINK("https://climate.onebuilding.org/WMO_Region_6_Europe/HUN_Hungary/SGP_Southern_Great_Plain/HUN_SGP_Szeged.AF.129820_TMYx.2007-2021.zip")</f>
        <v>https://climate.onebuilding.org/WMO_Region_6_Europe/HUN_Hungary/SGP_Southern_Great_Plain/HUN_SGP_Szeged.AF.129820_TMYx.2007-2021.zip</v>
      </c>
    </row>
    <row r="6587" spans="1:10" x14ac:dyDescent="0.25">
      <c r="A6587" t="s">
        <v>4973</v>
      </c>
      <c r="B6587" t="s">
        <v>5043</v>
      </c>
      <c r="C6587" t="s">
        <v>5048</v>
      </c>
      <c r="D6587">
        <v>129820</v>
      </c>
      <c r="E6587" t="s">
        <v>14</v>
      </c>
      <c r="F6587">
        <v>46.25</v>
      </c>
      <c r="G6587">
        <v>20.100000000000001</v>
      </c>
      <c r="H6587">
        <v>1</v>
      </c>
      <c r="I6587">
        <v>83</v>
      </c>
      <c r="J6587" t="str">
        <f>HYPERLINK("https://climate.onebuilding.org/WMO_Region_6_Europe/HUN_Hungary/SGP_Southern_Great_Plain/HUN_SGP_Szeged.AF.129820_TMYx.2009-2023.zip")</f>
        <v>https://climate.onebuilding.org/WMO_Region_6_Europe/HUN_Hungary/SGP_Southern_Great_Plain/HUN_SGP_Szeged.AF.129820_TMYx.2009-2023.zip</v>
      </c>
    </row>
    <row r="6588" spans="1:10" x14ac:dyDescent="0.25">
      <c r="A6588" t="s">
        <v>4973</v>
      </c>
      <c r="B6588" t="s">
        <v>5043</v>
      </c>
      <c r="C6588" t="s">
        <v>5048</v>
      </c>
      <c r="D6588">
        <v>129820</v>
      </c>
      <c r="E6588" t="s">
        <v>14</v>
      </c>
      <c r="F6588">
        <v>46.25</v>
      </c>
      <c r="G6588">
        <v>20.100000000000001</v>
      </c>
      <c r="H6588">
        <v>1</v>
      </c>
      <c r="I6588">
        <v>83</v>
      </c>
      <c r="J6588" t="str">
        <f>HYPERLINK("https://climate.onebuilding.org/WMO_Region_6_Europe/HUN_Hungary/SGP_Southern_Great_Plain/HUN_SGP_Szeged.AF.129820_TMYx.zip")</f>
        <v>https://climate.onebuilding.org/WMO_Region_6_Europe/HUN_Hungary/SGP_Southern_Great_Plain/HUN_SGP_Szeged.AF.129820_TMYx.zip</v>
      </c>
    </row>
    <row r="6589" spans="1:10" x14ac:dyDescent="0.25">
      <c r="A6589" t="s">
        <v>4973</v>
      </c>
      <c r="B6589" t="s">
        <v>5043</v>
      </c>
      <c r="C6589" t="s">
        <v>5050</v>
      </c>
      <c r="D6589">
        <v>129920</v>
      </c>
      <c r="E6589" t="s">
        <v>5051</v>
      </c>
      <c r="F6589">
        <v>46.683300000000003</v>
      </c>
      <c r="G6589">
        <v>21.166699999999999</v>
      </c>
      <c r="H6589">
        <v>1</v>
      </c>
      <c r="I6589">
        <v>90</v>
      </c>
      <c r="J6589" t="str">
        <f>HYPERLINK("https://climate.onebuilding.org/WMO_Region_6_Europe/HUN_Hungary/SGP_Southern_Great_Plain/HUN_SGP_Bekescsaba.AF.129920_TMYx.2004-2018.zip")</f>
        <v>https://climate.onebuilding.org/WMO_Region_6_Europe/HUN_Hungary/SGP_Southern_Great_Plain/HUN_SGP_Bekescsaba.AF.129920_TMYx.2004-2018.zip</v>
      </c>
    </row>
    <row r="6590" spans="1:10" x14ac:dyDescent="0.25">
      <c r="A6590" t="s">
        <v>4973</v>
      </c>
      <c r="B6590" t="s">
        <v>5043</v>
      </c>
      <c r="C6590" t="s">
        <v>5050</v>
      </c>
      <c r="D6590">
        <v>129920</v>
      </c>
      <c r="E6590" t="s">
        <v>14</v>
      </c>
      <c r="F6590">
        <v>46.683300000000003</v>
      </c>
      <c r="G6590">
        <v>21.166699999999999</v>
      </c>
      <c r="H6590">
        <v>1</v>
      </c>
      <c r="I6590">
        <v>90</v>
      </c>
      <c r="J6590" t="str">
        <f>HYPERLINK("https://climate.onebuilding.org/WMO_Region_6_Europe/HUN_Hungary/SGP_Southern_Great_Plain/HUN_SGP_Bekescsaba.AF.129920_TMYx.2007-2021.zip")</f>
        <v>https://climate.onebuilding.org/WMO_Region_6_Europe/HUN_Hungary/SGP_Southern_Great_Plain/HUN_SGP_Bekescsaba.AF.129920_TMYx.2007-2021.zip</v>
      </c>
    </row>
    <row r="6591" spans="1:10" x14ac:dyDescent="0.25">
      <c r="A6591" t="s">
        <v>4973</v>
      </c>
      <c r="B6591" t="s">
        <v>5043</v>
      </c>
      <c r="C6591" t="s">
        <v>5050</v>
      </c>
      <c r="D6591">
        <v>129920</v>
      </c>
      <c r="E6591" t="s">
        <v>14</v>
      </c>
      <c r="F6591">
        <v>46.683300000000003</v>
      </c>
      <c r="G6591">
        <v>21.166699999999999</v>
      </c>
      <c r="H6591">
        <v>1</v>
      </c>
      <c r="I6591">
        <v>90</v>
      </c>
      <c r="J6591" t="str">
        <f>HYPERLINK("https://climate.onebuilding.org/WMO_Region_6_Europe/HUN_Hungary/SGP_Southern_Great_Plain/HUN_SGP_Bekescsaba.AF.129920_TMYx.2009-2023.zip")</f>
        <v>https://climate.onebuilding.org/WMO_Region_6_Europe/HUN_Hungary/SGP_Southern_Great_Plain/HUN_SGP_Bekescsaba.AF.129920_TMYx.2009-2023.zip</v>
      </c>
    </row>
    <row r="6592" spans="1:10" x14ac:dyDescent="0.25">
      <c r="A6592" t="s">
        <v>4973</v>
      </c>
      <c r="B6592" t="s">
        <v>5043</v>
      </c>
      <c r="C6592" t="s">
        <v>5050</v>
      </c>
      <c r="D6592">
        <v>129920</v>
      </c>
      <c r="E6592" t="s">
        <v>14</v>
      </c>
      <c r="F6592">
        <v>46.683300000000003</v>
      </c>
      <c r="G6592">
        <v>21.166699999999999</v>
      </c>
      <c r="H6592">
        <v>1</v>
      </c>
      <c r="I6592">
        <v>90</v>
      </c>
      <c r="J6592" t="str">
        <f>HYPERLINK("https://climate.onebuilding.org/WMO_Region_6_Europe/HUN_Hungary/SGP_Southern_Great_Plain/HUN_SGP_Bekescsaba.AF.129920_TMYx.zip")</f>
        <v>https://climate.onebuilding.org/WMO_Region_6_Europe/HUN_Hungary/SGP_Southern_Great_Plain/HUN_SGP_Bekescsaba.AF.129920_TMYx.zip</v>
      </c>
    </row>
    <row r="6593" spans="1:10" x14ac:dyDescent="0.25">
      <c r="A6593" t="s">
        <v>5052</v>
      </c>
      <c r="B6593" t="s">
        <v>5053</v>
      </c>
      <c r="C6593" t="s">
        <v>5054</v>
      </c>
      <c r="D6593" s="1" t="s">
        <v>5055</v>
      </c>
      <c r="E6593" t="s">
        <v>5056</v>
      </c>
      <c r="F6593">
        <v>54.082999999999998</v>
      </c>
      <c r="G6593">
        <v>-4.6239999999999997</v>
      </c>
      <c r="H6593">
        <v>0</v>
      </c>
      <c r="I6593">
        <v>16.8</v>
      </c>
      <c r="J6593" t="str">
        <f>HYPERLINK("https://climate.onebuilding.org/WMO_Region_6_Europe/IMN_Isle_of_Man/IMN_IM_Isle.of.Man.AP.032040_TMYx.2004-2018.zip")</f>
        <v>https://climate.onebuilding.org/WMO_Region_6_Europe/IMN_Isle_of_Man/IMN_IM_Isle.of.Man.AP.032040_TMYx.2004-2018.zip</v>
      </c>
    </row>
    <row r="6594" spans="1:10" x14ac:dyDescent="0.25">
      <c r="A6594" t="s">
        <v>5052</v>
      </c>
      <c r="B6594" t="s">
        <v>5053</v>
      </c>
      <c r="C6594" t="s">
        <v>5054</v>
      </c>
      <c r="D6594" s="1" t="s">
        <v>5055</v>
      </c>
      <c r="E6594" t="s">
        <v>14</v>
      </c>
      <c r="F6594">
        <v>54.085299999999997</v>
      </c>
      <c r="G6594">
        <v>-4.6318999999999999</v>
      </c>
      <c r="H6594">
        <v>0</v>
      </c>
      <c r="I6594">
        <v>16.8</v>
      </c>
      <c r="J6594" t="str">
        <f>HYPERLINK("https://climate.onebuilding.org/WMO_Region_6_Europe/IMN_Isle_of_Man/IMN_IM_Isle.of.Man.AP.032040_TMYx.2007-2021.zip")</f>
        <v>https://climate.onebuilding.org/WMO_Region_6_Europe/IMN_Isle_of_Man/IMN_IM_Isle.of.Man.AP.032040_TMYx.2007-2021.zip</v>
      </c>
    </row>
    <row r="6595" spans="1:10" x14ac:dyDescent="0.25">
      <c r="A6595" t="s">
        <v>5052</v>
      </c>
      <c r="B6595" t="s">
        <v>5053</v>
      </c>
      <c r="C6595" t="s">
        <v>5054</v>
      </c>
      <c r="D6595" s="1" t="s">
        <v>5055</v>
      </c>
      <c r="E6595" t="s">
        <v>14</v>
      </c>
      <c r="F6595">
        <v>54.085299999999997</v>
      </c>
      <c r="G6595">
        <v>-4.6318999999999999</v>
      </c>
      <c r="H6595">
        <v>0</v>
      </c>
      <c r="I6595">
        <v>16.8</v>
      </c>
      <c r="J6595" t="str">
        <f>HYPERLINK("https://climate.onebuilding.org/WMO_Region_6_Europe/IMN_Isle_of_Man/IMN_IM_Isle.of.Man.AP.032040_TMYx.2009-2023.zip")</f>
        <v>https://climate.onebuilding.org/WMO_Region_6_Europe/IMN_Isle_of_Man/IMN_IM_Isle.of.Man.AP.032040_TMYx.2009-2023.zip</v>
      </c>
    </row>
    <row r="6596" spans="1:10" x14ac:dyDescent="0.25">
      <c r="A6596" t="s">
        <v>5052</v>
      </c>
      <c r="B6596" t="s">
        <v>5053</v>
      </c>
      <c r="C6596" t="s">
        <v>5054</v>
      </c>
      <c r="D6596" s="1" t="s">
        <v>5055</v>
      </c>
      <c r="E6596" t="s">
        <v>14</v>
      </c>
      <c r="F6596">
        <v>54.085299999999997</v>
      </c>
      <c r="G6596">
        <v>-4.6318999999999999</v>
      </c>
      <c r="H6596">
        <v>0</v>
      </c>
      <c r="I6596">
        <v>16.8</v>
      </c>
      <c r="J6596" t="str">
        <f>HYPERLINK("https://climate.onebuilding.org/WMO_Region_6_Europe/IMN_Isle_of_Man/IMN_IM_Isle.of.Man.AP.032040_TMYx.zip")</f>
        <v>https://climate.onebuilding.org/WMO_Region_6_Europe/IMN_Isle_of_Man/IMN_IM_Isle.of.Man.AP.032040_TMYx.zip</v>
      </c>
    </row>
    <row r="6597" spans="1:10" x14ac:dyDescent="0.25">
      <c r="A6597" t="s">
        <v>5052</v>
      </c>
      <c r="B6597" t="s">
        <v>5053</v>
      </c>
      <c r="C6597" t="s">
        <v>5057</v>
      </c>
      <c r="D6597" s="1" t="s">
        <v>5058</v>
      </c>
      <c r="E6597" t="s">
        <v>78</v>
      </c>
      <c r="F6597">
        <v>54.053269999999998</v>
      </c>
      <c r="G6597">
        <v>-4.8285799999999997</v>
      </c>
      <c r="H6597">
        <v>0</v>
      </c>
      <c r="I6597">
        <v>93</v>
      </c>
      <c r="J6597" t="str">
        <f>HYPERLINK("https://climate.onebuilding.org/WMO_Region_6_Europe/IMN_Isle_of_Man/IMN_IM_Calf.of.Man.High.Lighthouse.032050_TMYx.2007-2021.zip")</f>
        <v>https://climate.onebuilding.org/WMO_Region_6_Europe/IMN_Isle_of_Man/IMN_IM_Calf.of.Man.High.Lighthouse.032050_TMYx.2007-2021.zip</v>
      </c>
    </row>
    <row r="6598" spans="1:10" x14ac:dyDescent="0.25">
      <c r="A6598" t="s">
        <v>5052</v>
      </c>
      <c r="B6598" t="s">
        <v>5053</v>
      </c>
      <c r="C6598" t="s">
        <v>5057</v>
      </c>
      <c r="D6598" s="1" t="s">
        <v>5058</v>
      </c>
      <c r="E6598" t="s">
        <v>78</v>
      </c>
      <c r="F6598">
        <v>54.053269999999998</v>
      </c>
      <c r="G6598">
        <v>-4.8285799999999997</v>
      </c>
      <c r="H6598">
        <v>0</v>
      </c>
      <c r="I6598">
        <v>93</v>
      </c>
      <c r="J6598" t="str">
        <f>HYPERLINK("https://climate.onebuilding.org/WMO_Region_6_Europe/IMN_Isle_of_Man/IMN_IM_Calf.of.Man.High.Lighthouse.032050_TMYx.2009-2023.zip")</f>
        <v>https://climate.onebuilding.org/WMO_Region_6_Europe/IMN_Isle_of_Man/IMN_IM_Calf.of.Man.High.Lighthouse.032050_TMYx.2009-2023.zip</v>
      </c>
    </row>
    <row r="6599" spans="1:10" x14ac:dyDescent="0.25">
      <c r="A6599" t="s">
        <v>5052</v>
      </c>
      <c r="B6599" t="s">
        <v>5053</v>
      </c>
      <c r="C6599" t="s">
        <v>5057</v>
      </c>
      <c r="D6599" s="1" t="s">
        <v>5058</v>
      </c>
      <c r="E6599" t="s">
        <v>78</v>
      </c>
      <c r="F6599">
        <v>54.053269999999998</v>
      </c>
      <c r="G6599">
        <v>-4.8285799999999997</v>
      </c>
      <c r="H6599">
        <v>0</v>
      </c>
      <c r="I6599">
        <v>93</v>
      </c>
      <c r="J6599" t="str">
        <f>HYPERLINK("https://climate.onebuilding.org/WMO_Region_6_Europe/IMN_Isle_of_Man/IMN_IM_Calf.of.Man.High.Lighthouse.032050_TMYx.zip")</f>
        <v>https://climate.onebuilding.org/WMO_Region_6_Europe/IMN_Isle_of_Man/IMN_IM_Calf.of.Man.High.Lighthouse.032050_TMYx.zip</v>
      </c>
    </row>
    <row r="6600" spans="1:10" x14ac:dyDescent="0.25">
      <c r="A6600" t="s">
        <v>5052</v>
      </c>
      <c r="B6600" t="s">
        <v>5053</v>
      </c>
      <c r="C6600" t="s">
        <v>5059</v>
      </c>
      <c r="D6600" s="1" t="s">
        <v>5060</v>
      </c>
      <c r="E6600" t="s">
        <v>78</v>
      </c>
      <c r="F6600">
        <v>54.267000000000003</v>
      </c>
      <c r="G6600">
        <v>-4.4669999999999996</v>
      </c>
      <c r="H6600">
        <v>0</v>
      </c>
      <c r="I6600">
        <v>615</v>
      </c>
      <c r="J6600" t="str">
        <f>HYPERLINK("https://climate.onebuilding.org/WMO_Region_6_Europe/IMN_Isle_of_Man/IMN_IM_Snaefell.Isle.032070_TMYx.2007-2021.zip")</f>
        <v>https://climate.onebuilding.org/WMO_Region_6_Europe/IMN_Isle_of_Man/IMN_IM_Snaefell.Isle.032070_TMYx.2007-2021.zip</v>
      </c>
    </row>
    <row r="6601" spans="1:10" x14ac:dyDescent="0.25">
      <c r="A6601" t="s">
        <v>5052</v>
      </c>
      <c r="B6601" t="s">
        <v>5053</v>
      </c>
      <c r="C6601" t="s">
        <v>5059</v>
      </c>
      <c r="D6601" s="1" t="s">
        <v>5060</v>
      </c>
      <c r="E6601" t="s">
        <v>78</v>
      </c>
      <c r="F6601">
        <v>54.267000000000003</v>
      </c>
      <c r="G6601">
        <v>-4.4669999999999996</v>
      </c>
      <c r="H6601">
        <v>0</v>
      </c>
      <c r="I6601">
        <v>615</v>
      </c>
      <c r="J6601" t="str">
        <f>HYPERLINK("https://climate.onebuilding.org/WMO_Region_6_Europe/IMN_Isle_of_Man/IMN_IM_Snaefell.Isle.032070_TMYx.2009-2023.zip")</f>
        <v>https://climate.onebuilding.org/WMO_Region_6_Europe/IMN_Isle_of_Man/IMN_IM_Snaefell.Isle.032070_TMYx.2009-2023.zip</v>
      </c>
    </row>
    <row r="6602" spans="1:10" x14ac:dyDescent="0.25">
      <c r="A6602" t="s">
        <v>5052</v>
      </c>
      <c r="B6602" t="s">
        <v>5053</v>
      </c>
      <c r="C6602" t="s">
        <v>5059</v>
      </c>
      <c r="D6602" s="1" t="s">
        <v>5060</v>
      </c>
      <c r="E6602" t="s">
        <v>78</v>
      </c>
      <c r="F6602">
        <v>54.267000000000003</v>
      </c>
      <c r="G6602">
        <v>-4.4669999999999996</v>
      </c>
      <c r="H6602">
        <v>0</v>
      </c>
      <c r="I6602">
        <v>615</v>
      </c>
      <c r="J6602" t="str">
        <f>HYPERLINK("https://climate.onebuilding.org/WMO_Region_6_Europe/IMN_Isle_of_Man/IMN_IM_Snaefell.Isle.032070_TMYx.zip")</f>
        <v>https://climate.onebuilding.org/WMO_Region_6_Europe/IMN_Isle_of_Man/IMN_IM_Snaefell.Isle.032070_TMYx.zip</v>
      </c>
    </row>
    <row r="6603" spans="1:10" x14ac:dyDescent="0.25">
      <c r="A6603" t="s">
        <v>5052</v>
      </c>
      <c r="B6603" t="s">
        <v>5053</v>
      </c>
      <c r="C6603" t="s">
        <v>5061</v>
      </c>
      <c r="D6603" s="1" t="s">
        <v>5062</v>
      </c>
      <c r="E6603" t="s">
        <v>78</v>
      </c>
      <c r="F6603">
        <v>54.417000000000002</v>
      </c>
      <c r="G6603">
        <v>-4.367</v>
      </c>
      <c r="H6603">
        <v>0</v>
      </c>
      <c r="I6603">
        <v>9</v>
      </c>
      <c r="J6603" t="str">
        <f>HYPERLINK("https://climate.onebuilding.org/WMO_Region_6_Europe/IMN_Isle_of_Man/IMN_IM_Point.of.Ayre.Lighthouse.032080_TMYx.2007-2021.zip")</f>
        <v>https://climate.onebuilding.org/WMO_Region_6_Europe/IMN_Isle_of_Man/IMN_IM_Point.of.Ayre.Lighthouse.032080_TMYx.2007-2021.zip</v>
      </c>
    </row>
    <row r="6604" spans="1:10" x14ac:dyDescent="0.25">
      <c r="A6604" t="s">
        <v>5052</v>
      </c>
      <c r="B6604" t="s">
        <v>5053</v>
      </c>
      <c r="C6604" t="s">
        <v>5061</v>
      </c>
      <c r="D6604" s="1" t="s">
        <v>5062</v>
      </c>
      <c r="E6604" t="s">
        <v>78</v>
      </c>
      <c r="F6604">
        <v>54.417000000000002</v>
      </c>
      <c r="G6604">
        <v>-4.367</v>
      </c>
      <c r="H6604">
        <v>0</v>
      </c>
      <c r="I6604">
        <v>9</v>
      </c>
      <c r="J6604" t="str">
        <f>HYPERLINK("https://climate.onebuilding.org/WMO_Region_6_Europe/IMN_Isle_of_Man/IMN_IM_Point.of.Ayre.Lighthouse.032080_TMYx.2009-2023.zip")</f>
        <v>https://climate.onebuilding.org/WMO_Region_6_Europe/IMN_Isle_of_Man/IMN_IM_Point.of.Ayre.Lighthouse.032080_TMYx.2009-2023.zip</v>
      </c>
    </row>
    <row r="6605" spans="1:10" x14ac:dyDescent="0.25">
      <c r="A6605" t="s">
        <v>5052</v>
      </c>
      <c r="B6605" t="s">
        <v>5053</v>
      </c>
      <c r="C6605" t="s">
        <v>5061</v>
      </c>
      <c r="D6605" s="1" t="s">
        <v>5062</v>
      </c>
      <c r="E6605" t="s">
        <v>78</v>
      </c>
      <c r="F6605">
        <v>54.417000000000002</v>
      </c>
      <c r="G6605">
        <v>-4.367</v>
      </c>
      <c r="H6605">
        <v>0</v>
      </c>
      <c r="I6605">
        <v>9</v>
      </c>
      <c r="J6605" t="str">
        <f>HYPERLINK("https://climate.onebuilding.org/WMO_Region_6_Europe/IMN_Isle_of_Man/IMN_IM_Point.of.Ayre.Lighthouse.032080_TMYx.zip")</f>
        <v>https://climate.onebuilding.org/WMO_Region_6_Europe/IMN_Isle_of_Man/IMN_IM_Point.of.Ayre.Lighthouse.032080_TMYx.zip</v>
      </c>
    </row>
    <row r="6606" spans="1:10" x14ac:dyDescent="0.25">
      <c r="A6606" t="s">
        <v>5063</v>
      </c>
      <c r="B6606" t="s">
        <v>210</v>
      </c>
      <c r="C6606" t="s">
        <v>5064</v>
      </c>
      <c r="D6606" s="1" t="s">
        <v>5065</v>
      </c>
      <c r="E6606" t="s">
        <v>5066</v>
      </c>
      <c r="F6606">
        <v>51.466999999999999</v>
      </c>
      <c r="G6606">
        <v>-9.4169999999999998</v>
      </c>
      <c r="H6606">
        <v>0</v>
      </c>
      <c r="I6606">
        <v>21</v>
      </c>
      <c r="J6606" t="str">
        <f>HYPERLINK("https://climate.onebuilding.org/WMO_Region_6_Europe/IRL_Ireland/ST_Southern/IRL_ST_Sherkin.Island.039510_TMYx.2004-2018.zip")</f>
        <v>https://climate.onebuilding.org/WMO_Region_6_Europe/IRL_Ireland/ST_Southern/IRL_ST_Sherkin.Island.039510_TMYx.2004-2018.zip</v>
      </c>
    </row>
    <row r="6607" spans="1:10" x14ac:dyDescent="0.25">
      <c r="A6607" t="s">
        <v>5063</v>
      </c>
      <c r="B6607" t="s">
        <v>210</v>
      </c>
      <c r="C6607" t="s">
        <v>5064</v>
      </c>
      <c r="D6607" s="1" t="s">
        <v>5065</v>
      </c>
      <c r="E6607" t="s">
        <v>14</v>
      </c>
      <c r="F6607">
        <v>51.476700000000001</v>
      </c>
      <c r="G6607">
        <v>-9.4289000000000005</v>
      </c>
      <c r="H6607">
        <v>0</v>
      </c>
      <c r="I6607">
        <v>21</v>
      </c>
      <c r="J6607" t="str">
        <f>HYPERLINK("https://climate.onebuilding.org/WMO_Region_6_Europe/IRL_Ireland/ST_Southern/IRL_ST_Sherkin.Island.039510_TMYx.2007-2021.zip")</f>
        <v>https://climate.onebuilding.org/WMO_Region_6_Europe/IRL_Ireland/ST_Southern/IRL_ST_Sherkin.Island.039510_TMYx.2007-2021.zip</v>
      </c>
    </row>
    <row r="6608" spans="1:10" x14ac:dyDescent="0.25">
      <c r="A6608" t="s">
        <v>5063</v>
      </c>
      <c r="B6608" t="s">
        <v>210</v>
      </c>
      <c r="C6608" t="s">
        <v>5064</v>
      </c>
      <c r="D6608" s="1" t="s">
        <v>5065</v>
      </c>
      <c r="E6608" t="s">
        <v>14</v>
      </c>
      <c r="F6608">
        <v>51.476700000000001</v>
      </c>
      <c r="G6608">
        <v>-9.4289000000000005</v>
      </c>
      <c r="H6608">
        <v>0</v>
      </c>
      <c r="I6608">
        <v>21</v>
      </c>
      <c r="J6608" t="str">
        <f>HYPERLINK("https://climate.onebuilding.org/WMO_Region_6_Europe/IRL_Ireland/ST_Southern/IRL_ST_Sherkin.Island.039510_TMYx.2009-2023.zip")</f>
        <v>https://climate.onebuilding.org/WMO_Region_6_Europe/IRL_Ireland/ST_Southern/IRL_ST_Sherkin.Island.039510_TMYx.2009-2023.zip</v>
      </c>
    </row>
    <row r="6609" spans="1:10" x14ac:dyDescent="0.25">
      <c r="A6609" t="s">
        <v>5063</v>
      </c>
      <c r="B6609" t="s">
        <v>210</v>
      </c>
      <c r="C6609" t="s">
        <v>5064</v>
      </c>
      <c r="D6609" s="1" t="s">
        <v>5065</v>
      </c>
      <c r="E6609" t="s">
        <v>14</v>
      </c>
      <c r="F6609">
        <v>51.476700000000001</v>
      </c>
      <c r="G6609">
        <v>-9.4289000000000005</v>
      </c>
      <c r="H6609">
        <v>0</v>
      </c>
      <c r="I6609">
        <v>21</v>
      </c>
      <c r="J6609" t="str">
        <f>HYPERLINK("https://climate.onebuilding.org/WMO_Region_6_Europe/IRL_Ireland/ST_Southern/IRL_ST_Sherkin.Island.039510_TMYx.zip")</f>
        <v>https://climate.onebuilding.org/WMO_Region_6_Europe/IRL_Ireland/ST_Southern/IRL_ST_Sherkin.Island.039510_TMYx.zip</v>
      </c>
    </row>
    <row r="6610" spans="1:10" x14ac:dyDescent="0.25">
      <c r="A6610" t="s">
        <v>5063</v>
      </c>
      <c r="B6610" t="s">
        <v>210</v>
      </c>
      <c r="C6610" t="s">
        <v>5067</v>
      </c>
      <c r="D6610" s="1" t="s">
        <v>5068</v>
      </c>
      <c r="E6610" t="s">
        <v>5069</v>
      </c>
      <c r="F6610">
        <v>51.8</v>
      </c>
      <c r="G6610">
        <v>-8.25</v>
      </c>
      <c r="H6610">
        <v>0</v>
      </c>
      <c r="I6610">
        <v>41</v>
      </c>
      <c r="J6610" t="str">
        <f>HYPERLINK("https://climate.onebuilding.org/WMO_Region_6_Europe/IRL_Ireland/ST_Southern/IRL_ST_Roches.Point.039520_TMYx.2004-2018.zip")</f>
        <v>https://climate.onebuilding.org/WMO_Region_6_Europe/IRL_Ireland/ST_Southern/IRL_ST_Roches.Point.039520_TMYx.2004-2018.zip</v>
      </c>
    </row>
    <row r="6611" spans="1:10" x14ac:dyDescent="0.25">
      <c r="A6611" t="s">
        <v>5063</v>
      </c>
      <c r="B6611" t="s">
        <v>210</v>
      </c>
      <c r="C6611" t="s">
        <v>5067</v>
      </c>
      <c r="D6611" s="1" t="s">
        <v>5068</v>
      </c>
      <c r="E6611" t="s">
        <v>14</v>
      </c>
      <c r="F6611">
        <v>51.8</v>
      </c>
      <c r="G6611">
        <v>-8.25</v>
      </c>
      <c r="H6611">
        <v>0</v>
      </c>
      <c r="I6611">
        <v>41</v>
      </c>
      <c r="J6611" t="str">
        <f>HYPERLINK("https://climate.onebuilding.org/WMO_Region_6_Europe/IRL_Ireland/ST_Southern/IRL_ST_Roches.Point.039520_TMYx.2007-2021.zip")</f>
        <v>https://climate.onebuilding.org/WMO_Region_6_Europe/IRL_Ireland/ST_Southern/IRL_ST_Roches.Point.039520_TMYx.2007-2021.zip</v>
      </c>
    </row>
    <row r="6612" spans="1:10" x14ac:dyDescent="0.25">
      <c r="A6612" t="s">
        <v>5063</v>
      </c>
      <c r="B6612" t="s">
        <v>210</v>
      </c>
      <c r="C6612" t="s">
        <v>5067</v>
      </c>
      <c r="D6612" s="1" t="s">
        <v>5068</v>
      </c>
      <c r="E6612" t="s">
        <v>14</v>
      </c>
      <c r="F6612">
        <v>51.8</v>
      </c>
      <c r="G6612">
        <v>-8.25</v>
      </c>
      <c r="H6612">
        <v>0</v>
      </c>
      <c r="I6612">
        <v>41</v>
      </c>
      <c r="J6612" t="str">
        <f>HYPERLINK("https://climate.onebuilding.org/WMO_Region_6_Europe/IRL_Ireland/ST_Southern/IRL_ST_Roches.Point.039520_TMYx.2009-2023.zip")</f>
        <v>https://climate.onebuilding.org/WMO_Region_6_Europe/IRL_Ireland/ST_Southern/IRL_ST_Roches.Point.039520_TMYx.2009-2023.zip</v>
      </c>
    </row>
    <row r="6613" spans="1:10" x14ac:dyDescent="0.25">
      <c r="A6613" t="s">
        <v>5063</v>
      </c>
      <c r="B6613" t="s">
        <v>210</v>
      </c>
      <c r="C6613" t="s">
        <v>5067</v>
      </c>
      <c r="D6613" s="1" t="s">
        <v>5068</v>
      </c>
      <c r="E6613" t="s">
        <v>14</v>
      </c>
      <c r="F6613">
        <v>51.8</v>
      </c>
      <c r="G6613">
        <v>-8.25</v>
      </c>
      <c r="H6613">
        <v>0</v>
      </c>
      <c r="I6613">
        <v>41</v>
      </c>
      <c r="J6613" t="str">
        <f>HYPERLINK("https://climate.onebuilding.org/WMO_Region_6_Europe/IRL_Ireland/ST_Southern/IRL_ST_Roches.Point.039520_TMYx.zip")</f>
        <v>https://climate.onebuilding.org/WMO_Region_6_Europe/IRL_Ireland/ST_Southern/IRL_ST_Roches.Point.039520_TMYx.zip</v>
      </c>
    </row>
    <row r="6614" spans="1:10" x14ac:dyDescent="0.25">
      <c r="A6614" t="s">
        <v>5063</v>
      </c>
      <c r="B6614" t="s">
        <v>210</v>
      </c>
      <c r="C6614" t="s">
        <v>5070</v>
      </c>
      <c r="D6614" s="1" t="s">
        <v>5071</v>
      </c>
      <c r="E6614" t="s">
        <v>5072</v>
      </c>
      <c r="F6614">
        <v>51.933</v>
      </c>
      <c r="G6614">
        <v>-10.25</v>
      </c>
      <c r="H6614">
        <v>0</v>
      </c>
      <c r="I6614">
        <v>30</v>
      </c>
      <c r="J6614" t="str">
        <f>HYPERLINK("https://climate.onebuilding.org/WMO_Region_6_Europe/IRL_Ireland/ST_Southern/IRL_ST_Valentia.Obs.039530_TMYx.2004-2018.zip")</f>
        <v>https://climate.onebuilding.org/WMO_Region_6_Europe/IRL_Ireland/ST_Southern/IRL_ST_Valentia.Obs.039530_TMYx.2004-2018.zip</v>
      </c>
    </row>
    <row r="6615" spans="1:10" x14ac:dyDescent="0.25">
      <c r="A6615" t="s">
        <v>5063</v>
      </c>
      <c r="B6615" t="s">
        <v>210</v>
      </c>
      <c r="C6615" t="s">
        <v>5070</v>
      </c>
      <c r="D6615" s="1" t="s">
        <v>5071</v>
      </c>
      <c r="E6615" t="s">
        <v>14</v>
      </c>
      <c r="F6615">
        <v>51.938299999999998</v>
      </c>
      <c r="G6615">
        <v>-10.241</v>
      </c>
      <c r="H6615">
        <v>0</v>
      </c>
      <c r="I6615">
        <v>30</v>
      </c>
      <c r="J6615" t="str">
        <f>HYPERLINK("https://climate.onebuilding.org/WMO_Region_6_Europe/IRL_Ireland/ST_Southern/IRL_ST_Valentia.Obs.039530_TMYx.2007-2021.zip")</f>
        <v>https://climate.onebuilding.org/WMO_Region_6_Europe/IRL_Ireland/ST_Southern/IRL_ST_Valentia.Obs.039530_TMYx.2007-2021.zip</v>
      </c>
    </row>
    <row r="6616" spans="1:10" x14ac:dyDescent="0.25">
      <c r="A6616" t="s">
        <v>5063</v>
      </c>
      <c r="B6616" t="s">
        <v>210</v>
      </c>
      <c r="C6616" t="s">
        <v>5070</v>
      </c>
      <c r="D6616" s="1" t="s">
        <v>5071</v>
      </c>
      <c r="E6616" t="s">
        <v>14</v>
      </c>
      <c r="F6616">
        <v>51.938299999999998</v>
      </c>
      <c r="G6616">
        <v>-10.241</v>
      </c>
      <c r="H6616">
        <v>0</v>
      </c>
      <c r="I6616">
        <v>30</v>
      </c>
      <c r="J6616" t="str">
        <f>HYPERLINK("https://climate.onebuilding.org/WMO_Region_6_Europe/IRL_Ireland/ST_Southern/IRL_ST_Valentia.Obs.039530_TMYx.2009-2023.zip")</f>
        <v>https://climate.onebuilding.org/WMO_Region_6_Europe/IRL_Ireland/ST_Southern/IRL_ST_Valentia.Obs.039530_TMYx.2009-2023.zip</v>
      </c>
    </row>
    <row r="6617" spans="1:10" x14ac:dyDescent="0.25">
      <c r="A6617" t="s">
        <v>5063</v>
      </c>
      <c r="B6617" t="s">
        <v>210</v>
      </c>
      <c r="C6617" t="s">
        <v>5070</v>
      </c>
      <c r="D6617" s="1" t="s">
        <v>5071</v>
      </c>
      <c r="E6617" t="s">
        <v>14</v>
      </c>
      <c r="F6617">
        <v>51.938299999999998</v>
      </c>
      <c r="G6617">
        <v>-10.241</v>
      </c>
      <c r="H6617">
        <v>0</v>
      </c>
      <c r="I6617">
        <v>30</v>
      </c>
      <c r="J6617" t="str">
        <f>HYPERLINK("https://climate.onebuilding.org/WMO_Region_6_Europe/IRL_Ireland/ST_Southern/IRL_ST_Valentia.Obs.039530_TMYx.zip")</f>
        <v>https://climate.onebuilding.org/WMO_Region_6_Europe/IRL_Ireland/ST_Southern/IRL_ST_Valentia.Obs.039530_TMYx.zip</v>
      </c>
    </row>
    <row r="6618" spans="1:10" x14ac:dyDescent="0.25">
      <c r="A6618" t="s">
        <v>5063</v>
      </c>
      <c r="B6618" t="s">
        <v>210</v>
      </c>
      <c r="C6618" t="s">
        <v>5073</v>
      </c>
      <c r="D6618" s="1" t="s">
        <v>5074</v>
      </c>
      <c r="E6618" t="s">
        <v>5075</v>
      </c>
      <c r="F6618">
        <v>51.841000000000001</v>
      </c>
      <c r="G6618">
        <v>-8.4909999999999997</v>
      </c>
      <c r="H6618">
        <v>0</v>
      </c>
      <c r="I6618">
        <v>153</v>
      </c>
      <c r="J6618" t="str">
        <f>HYPERLINK("https://climate.onebuilding.org/WMO_Region_6_Europe/IRL_Ireland/ST_Southern/IRL_ST_Cork.AP.039550_TMYx.2004-2018.zip")</f>
        <v>https://climate.onebuilding.org/WMO_Region_6_Europe/IRL_Ireland/ST_Southern/IRL_ST_Cork.AP.039550_TMYx.2004-2018.zip</v>
      </c>
    </row>
    <row r="6619" spans="1:10" x14ac:dyDescent="0.25">
      <c r="A6619" t="s">
        <v>5063</v>
      </c>
      <c r="B6619" t="s">
        <v>210</v>
      </c>
      <c r="C6619" t="s">
        <v>5073</v>
      </c>
      <c r="D6619" s="1" t="s">
        <v>5074</v>
      </c>
      <c r="E6619" t="s">
        <v>14</v>
      </c>
      <c r="F6619">
        <v>51.85</v>
      </c>
      <c r="G6619">
        <v>-8.4830000000000005</v>
      </c>
      <c r="H6619">
        <v>0</v>
      </c>
      <c r="I6619">
        <v>153</v>
      </c>
      <c r="J6619" t="str">
        <f>HYPERLINK("https://climate.onebuilding.org/WMO_Region_6_Europe/IRL_Ireland/ST_Southern/IRL_ST_Cork.AP.039550_TMYx.2007-2021.zip")</f>
        <v>https://climate.onebuilding.org/WMO_Region_6_Europe/IRL_Ireland/ST_Southern/IRL_ST_Cork.AP.039550_TMYx.2007-2021.zip</v>
      </c>
    </row>
    <row r="6620" spans="1:10" x14ac:dyDescent="0.25">
      <c r="A6620" t="s">
        <v>5063</v>
      </c>
      <c r="B6620" t="s">
        <v>210</v>
      </c>
      <c r="C6620" t="s">
        <v>5073</v>
      </c>
      <c r="D6620" s="1" t="s">
        <v>5074</v>
      </c>
      <c r="E6620" t="s">
        <v>14</v>
      </c>
      <c r="F6620">
        <v>51.85</v>
      </c>
      <c r="G6620">
        <v>-8.4830000000000005</v>
      </c>
      <c r="H6620">
        <v>0</v>
      </c>
      <c r="I6620">
        <v>153</v>
      </c>
      <c r="J6620" t="str">
        <f>HYPERLINK("https://climate.onebuilding.org/WMO_Region_6_Europe/IRL_Ireland/ST_Southern/IRL_ST_Cork.AP.039550_TMYx.2009-2023.zip")</f>
        <v>https://climate.onebuilding.org/WMO_Region_6_Europe/IRL_Ireland/ST_Southern/IRL_ST_Cork.AP.039550_TMYx.2009-2023.zip</v>
      </c>
    </row>
    <row r="6621" spans="1:10" x14ac:dyDescent="0.25">
      <c r="A6621" t="s">
        <v>5063</v>
      </c>
      <c r="B6621" t="s">
        <v>210</v>
      </c>
      <c r="C6621" t="s">
        <v>5073</v>
      </c>
      <c r="D6621" s="1" t="s">
        <v>5074</v>
      </c>
      <c r="E6621" t="s">
        <v>14</v>
      </c>
      <c r="F6621">
        <v>51.85</v>
      </c>
      <c r="G6621">
        <v>-8.4830000000000005</v>
      </c>
      <c r="H6621">
        <v>0</v>
      </c>
      <c r="I6621">
        <v>153</v>
      </c>
      <c r="J6621" t="str">
        <f>HYPERLINK("https://climate.onebuilding.org/WMO_Region_6_Europe/IRL_Ireland/ST_Southern/IRL_ST_Cork.AP.039550_TMYx.zip")</f>
        <v>https://climate.onebuilding.org/WMO_Region_6_Europe/IRL_Ireland/ST_Southern/IRL_ST_Cork.AP.039550_TMYx.zip</v>
      </c>
    </row>
    <row r="6622" spans="1:10" x14ac:dyDescent="0.25">
      <c r="A6622" t="s">
        <v>5063</v>
      </c>
      <c r="B6622" t="s">
        <v>210</v>
      </c>
      <c r="C6622" t="s">
        <v>5076</v>
      </c>
      <c r="D6622" s="1" t="s">
        <v>5077</v>
      </c>
      <c r="E6622" t="s">
        <v>5078</v>
      </c>
      <c r="F6622">
        <v>52.283000000000001</v>
      </c>
      <c r="G6622">
        <v>-6.4829999999999997</v>
      </c>
      <c r="H6622">
        <v>0</v>
      </c>
      <c r="I6622">
        <v>53</v>
      </c>
      <c r="J6622" t="str">
        <f>HYPERLINK("https://climate.onebuilding.org/WMO_Region_6_Europe/IRL_Ireland/ST_Southern/IRL_ST_Johnstown.Castle.039560_TMYx.2004-2018.zip")</f>
        <v>https://climate.onebuilding.org/WMO_Region_6_Europe/IRL_Ireland/ST_Southern/IRL_ST_Johnstown.Castle.039560_TMYx.2004-2018.zip</v>
      </c>
    </row>
    <row r="6623" spans="1:10" x14ac:dyDescent="0.25">
      <c r="A6623" t="s">
        <v>5063</v>
      </c>
      <c r="B6623" t="s">
        <v>210</v>
      </c>
      <c r="C6623" t="s">
        <v>5076</v>
      </c>
      <c r="D6623" s="1" t="s">
        <v>5077</v>
      </c>
      <c r="E6623" t="s">
        <v>14</v>
      </c>
      <c r="F6623">
        <v>52.297800000000002</v>
      </c>
      <c r="G6623">
        <v>-6.4966999999999997</v>
      </c>
      <c r="H6623">
        <v>0</v>
      </c>
      <c r="I6623">
        <v>53</v>
      </c>
      <c r="J6623" t="str">
        <f>HYPERLINK("https://climate.onebuilding.org/WMO_Region_6_Europe/IRL_Ireland/ST_Southern/IRL_ST_Johnstown.Castle.039560_TMYx.2007-2021.zip")</f>
        <v>https://climate.onebuilding.org/WMO_Region_6_Europe/IRL_Ireland/ST_Southern/IRL_ST_Johnstown.Castle.039560_TMYx.2007-2021.zip</v>
      </c>
    </row>
    <row r="6624" spans="1:10" x14ac:dyDescent="0.25">
      <c r="A6624" t="s">
        <v>5063</v>
      </c>
      <c r="B6624" t="s">
        <v>210</v>
      </c>
      <c r="C6624" t="s">
        <v>5076</v>
      </c>
      <c r="D6624" s="1" t="s">
        <v>5077</v>
      </c>
      <c r="E6624" t="s">
        <v>14</v>
      </c>
      <c r="F6624">
        <v>52.297800000000002</v>
      </c>
      <c r="G6624">
        <v>-6.4966999999999997</v>
      </c>
      <c r="H6624">
        <v>0</v>
      </c>
      <c r="I6624">
        <v>53</v>
      </c>
      <c r="J6624" t="str">
        <f>HYPERLINK("https://climate.onebuilding.org/WMO_Region_6_Europe/IRL_Ireland/ST_Southern/IRL_ST_Johnstown.Castle.039560_TMYx.2009-2023.zip")</f>
        <v>https://climate.onebuilding.org/WMO_Region_6_Europe/IRL_Ireland/ST_Southern/IRL_ST_Johnstown.Castle.039560_TMYx.2009-2023.zip</v>
      </c>
    </row>
    <row r="6625" spans="1:10" x14ac:dyDescent="0.25">
      <c r="A6625" t="s">
        <v>5063</v>
      </c>
      <c r="B6625" t="s">
        <v>210</v>
      </c>
      <c r="C6625" t="s">
        <v>5076</v>
      </c>
      <c r="D6625" s="1" t="s">
        <v>5077</v>
      </c>
      <c r="E6625" t="s">
        <v>14</v>
      </c>
      <c r="F6625">
        <v>52.297800000000002</v>
      </c>
      <c r="G6625">
        <v>-6.4966999999999997</v>
      </c>
      <c r="H6625">
        <v>0</v>
      </c>
      <c r="I6625">
        <v>53</v>
      </c>
      <c r="J6625" t="str">
        <f>HYPERLINK("https://climate.onebuilding.org/WMO_Region_6_Europe/IRL_Ireland/ST_Southern/IRL_ST_Johnstown.Castle.039560_TMYx.zip")</f>
        <v>https://climate.onebuilding.org/WMO_Region_6_Europe/IRL_Ireland/ST_Southern/IRL_ST_Johnstown.Castle.039560_TMYx.zip</v>
      </c>
    </row>
    <row r="6626" spans="1:10" x14ac:dyDescent="0.25">
      <c r="A6626" t="s">
        <v>5063</v>
      </c>
      <c r="B6626" t="s">
        <v>210</v>
      </c>
      <c r="C6626" t="s">
        <v>5079</v>
      </c>
      <c r="D6626" s="1" t="s">
        <v>5080</v>
      </c>
      <c r="E6626" t="s">
        <v>14</v>
      </c>
      <c r="F6626">
        <v>52.25</v>
      </c>
      <c r="G6626">
        <v>-6.3330000000000002</v>
      </c>
      <c r="H6626">
        <v>0</v>
      </c>
      <c r="I6626">
        <v>25</v>
      </c>
      <c r="J6626" t="str">
        <f>HYPERLINK("https://climate.onebuilding.org/WMO_Region_6_Europe/IRL_Ireland/ST_Southern/IRL_ST_Rosslare.039570_TMYx.zip")</f>
        <v>https://climate.onebuilding.org/WMO_Region_6_Europe/IRL_Ireland/ST_Southern/IRL_ST_Rosslare.039570_TMYx.zip</v>
      </c>
    </row>
    <row r="6627" spans="1:10" x14ac:dyDescent="0.25">
      <c r="A6627" t="s">
        <v>5063</v>
      </c>
      <c r="B6627" t="s">
        <v>210</v>
      </c>
      <c r="C6627" t="s">
        <v>5081</v>
      </c>
      <c r="D6627" s="1" t="s">
        <v>5082</v>
      </c>
      <c r="E6627" t="s">
        <v>14</v>
      </c>
      <c r="F6627">
        <v>52.665999999999997</v>
      </c>
      <c r="G6627">
        <v>-7.266</v>
      </c>
      <c r="H6627">
        <v>0</v>
      </c>
      <c r="I6627">
        <v>64</v>
      </c>
      <c r="J6627" t="str">
        <f>HYPERLINK("https://climate.onebuilding.org/WMO_Region_6_Europe/IRL_Ireland/ST_Southern/IRL_ST_Kilkenny.039600_TMYx.zip")</f>
        <v>https://climate.onebuilding.org/WMO_Region_6_Europe/IRL_Ireland/ST_Southern/IRL_ST_Kilkenny.039600_TMYx.zip</v>
      </c>
    </row>
    <row r="6628" spans="1:10" x14ac:dyDescent="0.25">
      <c r="A6628" t="s">
        <v>5063</v>
      </c>
      <c r="B6628" t="s">
        <v>210</v>
      </c>
      <c r="C6628" t="s">
        <v>5083</v>
      </c>
      <c r="D6628" s="1" t="s">
        <v>5084</v>
      </c>
      <c r="E6628" t="s">
        <v>5085</v>
      </c>
      <c r="F6628">
        <v>52.85</v>
      </c>
      <c r="G6628">
        <v>-6.9</v>
      </c>
      <c r="H6628">
        <v>0</v>
      </c>
      <c r="I6628">
        <v>63</v>
      </c>
      <c r="J6628" t="str">
        <f>HYPERLINK("https://climate.onebuilding.org/WMO_Region_6_Europe/IRL_Ireland/ST_Southern/IRL_ST_Carlow-Oak.Park.039610_TMYx.2004-2018.zip")</f>
        <v>https://climate.onebuilding.org/WMO_Region_6_Europe/IRL_Ireland/ST_Southern/IRL_ST_Carlow-Oak.Park.039610_TMYx.2004-2018.zip</v>
      </c>
    </row>
    <row r="6629" spans="1:10" x14ac:dyDescent="0.25">
      <c r="A6629" t="s">
        <v>5063</v>
      </c>
      <c r="B6629" t="s">
        <v>210</v>
      </c>
      <c r="C6629" t="s">
        <v>5083</v>
      </c>
      <c r="D6629" s="1" t="s">
        <v>5084</v>
      </c>
      <c r="E6629" t="s">
        <v>14</v>
      </c>
      <c r="F6629">
        <v>52.85</v>
      </c>
      <c r="G6629">
        <v>-6.9</v>
      </c>
      <c r="H6629">
        <v>0</v>
      </c>
      <c r="I6629">
        <v>63</v>
      </c>
      <c r="J6629" t="str">
        <f>HYPERLINK("https://climate.onebuilding.org/WMO_Region_6_Europe/IRL_Ireland/ST_Southern/IRL_ST_Carlow-Oak.Park.039610_TMYx.2007-2021.zip")</f>
        <v>https://climate.onebuilding.org/WMO_Region_6_Europe/IRL_Ireland/ST_Southern/IRL_ST_Carlow-Oak.Park.039610_TMYx.2007-2021.zip</v>
      </c>
    </row>
    <row r="6630" spans="1:10" x14ac:dyDescent="0.25">
      <c r="A6630" t="s">
        <v>5063</v>
      </c>
      <c r="B6630" t="s">
        <v>210</v>
      </c>
      <c r="C6630" t="s">
        <v>5083</v>
      </c>
      <c r="D6630" s="1" t="s">
        <v>5084</v>
      </c>
      <c r="E6630" t="s">
        <v>14</v>
      </c>
      <c r="F6630">
        <v>52.85</v>
      </c>
      <c r="G6630">
        <v>-6.9</v>
      </c>
      <c r="H6630">
        <v>0</v>
      </c>
      <c r="I6630">
        <v>63</v>
      </c>
      <c r="J6630" t="str">
        <f>HYPERLINK("https://climate.onebuilding.org/WMO_Region_6_Europe/IRL_Ireland/ST_Southern/IRL_ST_Carlow-Oak.Park.039610_TMYx.2009-2023.zip")</f>
        <v>https://climate.onebuilding.org/WMO_Region_6_Europe/IRL_Ireland/ST_Southern/IRL_ST_Carlow-Oak.Park.039610_TMYx.2009-2023.zip</v>
      </c>
    </row>
    <row r="6631" spans="1:10" x14ac:dyDescent="0.25">
      <c r="A6631" t="s">
        <v>5063</v>
      </c>
      <c r="B6631" t="s">
        <v>210</v>
      </c>
      <c r="C6631" t="s">
        <v>5083</v>
      </c>
      <c r="D6631" s="1" t="s">
        <v>5084</v>
      </c>
      <c r="E6631" t="s">
        <v>14</v>
      </c>
      <c r="F6631">
        <v>52.85</v>
      </c>
      <c r="G6631">
        <v>-6.9</v>
      </c>
      <c r="H6631">
        <v>0</v>
      </c>
      <c r="I6631">
        <v>63</v>
      </c>
      <c r="J6631" t="str">
        <f>HYPERLINK("https://climate.onebuilding.org/WMO_Region_6_Europe/IRL_Ireland/ST_Southern/IRL_ST_Carlow-Oak.Park.039610_TMYx.zip")</f>
        <v>https://climate.onebuilding.org/WMO_Region_6_Europe/IRL_Ireland/ST_Southern/IRL_ST_Carlow-Oak.Park.039610_TMYx.zip</v>
      </c>
    </row>
    <row r="6632" spans="1:10" x14ac:dyDescent="0.25">
      <c r="A6632" t="s">
        <v>5063</v>
      </c>
      <c r="B6632" t="s">
        <v>210</v>
      </c>
      <c r="C6632" t="s">
        <v>5086</v>
      </c>
      <c r="D6632" s="1" t="s">
        <v>5087</v>
      </c>
      <c r="E6632" t="s">
        <v>5088</v>
      </c>
      <c r="F6632">
        <v>52.701999999999998</v>
      </c>
      <c r="G6632">
        <v>-8.9250000000000007</v>
      </c>
      <c r="H6632">
        <v>0</v>
      </c>
      <c r="I6632">
        <v>14</v>
      </c>
      <c r="J6632" t="str">
        <f>HYPERLINK("https://climate.onebuilding.org/WMO_Region_6_Europe/IRL_Ireland/ST_Southern/IRL_ST_Shannon.AP.039620_TMYx.2004-2018.zip")</f>
        <v>https://climate.onebuilding.org/WMO_Region_6_Europe/IRL_Ireland/ST_Southern/IRL_ST_Shannon.AP.039620_TMYx.2004-2018.zip</v>
      </c>
    </row>
    <row r="6633" spans="1:10" x14ac:dyDescent="0.25">
      <c r="A6633" t="s">
        <v>5063</v>
      </c>
      <c r="B6633" t="s">
        <v>210</v>
      </c>
      <c r="C6633" t="s">
        <v>5086</v>
      </c>
      <c r="D6633" s="1" t="s">
        <v>5087</v>
      </c>
      <c r="E6633" t="s">
        <v>14</v>
      </c>
      <c r="F6633">
        <v>52.7</v>
      </c>
      <c r="G6633">
        <v>-8.9169999999999998</v>
      </c>
      <c r="H6633">
        <v>0</v>
      </c>
      <c r="I6633">
        <v>14</v>
      </c>
      <c r="J6633" t="str">
        <f>HYPERLINK("https://climate.onebuilding.org/WMO_Region_6_Europe/IRL_Ireland/ST_Southern/IRL_ST_Shannon.AP.039620_TMYx.2007-2021.zip")</f>
        <v>https://climate.onebuilding.org/WMO_Region_6_Europe/IRL_Ireland/ST_Southern/IRL_ST_Shannon.AP.039620_TMYx.2007-2021.zip</v>
      </c>
    </row>
    <row r="6634" spans="1:10" x14ac:dyDescent="0.25">
      <c r="A6634" t="s">
        <v>5063</v>
      </c>
      <c r="B6634" t="s">
        <v>210</v>
      </c>
      <c r="C6634" t="s">
        <v>5086</v>
      </c>
      <c r="D6634" s="1" t="s">
        <v>5087</v>
      </c>
      <c r="E6634" t="s">
        <v>14</v>
      </c>
      <c r="F6634">
        <v>52.7</v>
      </c>
      <c r="G6634">
        <v>-8.9169999999999998</v>
      </c>
      <c r="H6634">
        <v>0</v>
      </c>
      <c r="I6634">
        <v>14</v>
      </c>
      <c r="J6634" t="str">
        <f>HYPERLINK("https://climate.onebuilding.org/WMO_Region_6_Europe/IRL_Ireland/ST_Southern/IRL_ST_Shannon.AP.039620_TMYx.2009-2023.zip")</f>
        <v>https://climate.onebuilding.org/WMO_Region_6_Europe/IRL_Ireland/ST_Southern/IRL_ST_Shannon.AP.039620_TMYx.2009-2023.zip</v>
      </c>
    </row>
    <row r="6635" spans="1:10" x14ac:dyDescent="0.25">
      <c r="A6635" t="s">
        <v>5063</v>
      </c>
      <c r="B6635" t="s">
        <v>210</v>
      </c>
      <c r="C6635" t="s">
        <v>5086</v>
      </c>
      <c r="D6635" s="1" t="s">
        <v>5087</v>
      </c>
      <c r="E6635" t="s">
        <v>14</v>
      </c>
      <c r="F6635">
        <v>52.7</v>
      </c>
      <c r="G6635">
        <v>-8.9169999999999998</v>
      </c>
      <c r="H6635">
        <v>0</v>
      </c>
      <c r="I6635">
        <v>14</v>
      </c>
      <c r="J6635" t="str">
        <f>HYPERLINK("https://climate.onebuilding.org/WMO_Region_6_Europe/IRL_Ireland/ST_Southern/IRL_ST_Shannon.AP.039620_TMYx.zip")</f>
        <v>https://climate.onebuilding.org/WMO_Region_6_Europe/IRL_Ireland/ST_Southern/IRL_ST_Shannon.AP.039620_TMYx.zip</v>
      </c>
    </row>
    <row r="6636" spans="1:10" x14ac:dyDescent="0.25">
      <c r="A6636" t="s">
        <v>5063</v>
      </c>
      <c r="B6636" t="s">
        <v>855</v>
      </c>
      <c r="C6636" t="s">
        <v>5089</v>
      </c>
      <c r="D6636" s="1" t="s">
        <v>5090</v>
      </c>
      <c r="E6636" t="s">
        <v>5091</v>
      </c>
      <c r="F6636">
        <v>53.317</v>
      </c>
      <c r="G6636">
        <v>-9.9</v>
      </c>
      <c r="H6636">
        <v>0</v>
      </c>
      <c r="I6636">
        <v>23</v>
      </c>
      <c r="J6636" t="str">
        <f>HYPERLINK("https://climate.onebuilding.org/WMO_Region_6_Europe/IRL_Ireland/NW_Northern_and_Western/IRL_NW_Mace.Head.039630_TMYx.2004-2018.zip")</f>
        <v>https://climate.onebuilding.org/WMO_Region_6_Europe/IRL_Ireland/NW_Northern_and_Western/IRL_NW_Mace.Head.039630_TMYx.2004-2018.zip</v>
      </c>
    </row>
    <row r="6637" spans="1:10" x14ac:dyDescent="0.25">
      <c r="A6637" t="s">
        <v>5063</v>
      </c>
      <c r="B6637" t="s">
        <v>855</v>
      </c>
      <c r="C6637" t="s">
        <v>5089</v>
      </c>
      <c r="D6637" s="1" t="s">
        <v>5090</v>
      </c>
      <c r="E6637" t="s">
        <v>14</v>
      </c>
      <c r="F6637">
        <v>53.326700000000002</v>
      </c>
      <c r="G6637">
        <v>-9.9042999999999992</v>
      </c>
      <c r="H6637">
        <v>0</v>
      </c>
      <c r="I6637">
        <v>23</v>
      </c>
      <c r="J6637" t="str">
        <f>HYPERLINK("https://climate.onebuilding.org/WMO_Region_6_Europe/IRL_Ireland/NW_Northern_and_Western/IRL_NW_Mace.Head.039630_TMYx.2007-2021.zip")</f>
        <v>https://climate.onebuilding.org/WMO_Region_6_Europe/IRL_Ireland/NW_Northern_and_Western/IRL_NW_Mace.Head.039630_TMYx.2007-2021.zip</v>
      </c>
    </row>
    <row r="6638" spans="1:10" x14ac:dyDescent="0.25">
      <c r="A6638" t="s">
        <v>5063</v>
      </c>
      <c r="B6638" t="s">
        <v>855</v>
      </c>
      <c r="C6638" t="s">
        <v>5089</v>
      </c>
      <c r="D6638" s="1" t="s">
        <v>5090</v>
      </c>
      <c r="E6638" t="s">
        <v>14</v>
      </c>
      <c r="F6638">
        <v>53.326700000000002</v>
      </c>
      <c r="G6638">
        <v>-9.9042999999999992</v>
      </c>
      <c r="H6638">
        <v>0</v>
      </c>
      <c r="I6638">
        <v>23</v>
      </c>
      <c r="J6638" t="str">
        <f>HYPERLINK("https://climate.onebuilding.org/WMO_Region_6_Europe/IRL_Ireland/NW_Northern_and_Western/IRL_NW_Mace.Head.039630_TMYx.2009-2023.zip")</f>
        <v>https://climate.onebuilding.org/WMO_Region_6_Europe/IRL_Ireland/NW_Northern_and_Western/IRL_NW_Mace.Head.039630_TMYx.2009-2023.zip</v>
      </c>
    </row>
    <row r="6639" spans="1:10" x14ac:dyDescent="0.25">
      <c r="A6639" t="s">
        <v>5063</v>
      </c>
      <c r="B6639" t="s">
        <v>855</v>
      </c>
      <c r="C6639" t="s">
        <v>5089</v>
      </c>
      <c r="D6639" s="1" t="s">
        <v>5090</v>
      </c>
      <c r="E6639" t="s">
        <v>14</v>
      </c>
      <c r="F6639">
        <v>53.326700000000002</v>
      </c>
      <c r="G6639">
        <v>-9.9042999999999992</v>
      </c>
      <c r="H6639">
        <v>0</v>
      </c>
      <c r="I6639">
        <v>23</v>
      </c>
      <c r="J6639" t="str">
        <f>HYPERLINK("https://climate.onebuilding.org/WMO_Region_6_Europe/IRL_Ireland/NW_Northern_and_Western/IRL_NW_Mace.Head.039630_TMYx.zip")</f>
        <v>https://climate.onebuilding.org/WMO_Region_6_Europe/IRL_Ireland/NW_Northern_and_Western/IRL_NW_Mace.Head.039630_TMYx.zip</v>
      </c>
    </row>
    <row r="6640" spans="1:10" x14ac:dyDescent="0.25">
      <c r="A6640" t="s">
        <v>5063</v>
      </c>
      <c r="B6640" t="s">
        <v>855</v>
      </c>
      <c r="C6640" t="s">
        <v>5092</v>
      </c>
      <c r="D6640" s="1" t="s">
        <v>5093</v>
      </c>
      <c r="E6640" t="s">
        <v>14</v>
      </c>
      <c r="F6640">
        <v>53.283000000000001</v>
      </c>
      <c r="G6640">
        <v>-9.0169999999999995</v>
      </c>
      <c r="H6640">
        <v>0</v>
      </c>
      <c r="I6640">
        <v>21</v>
      </c>
      <c r="J6640" t="str">
        <f>HYPERLINK("https://climate.onebuilding.org/WMO_Region_6_Europe/IRL_Ireland/NW_Northern_and_Western/IRL_NW_Galway.039640_TMYx.zip")</f>
        <v>https://climate.onebuilding.org/WMO_Region_6_Europe/IRL_Ireland/NW_Northern_and_Western/IRL_NW_Galway.039640_TMYx.zip</v>
      </c>
    </row>
    <row r="6641" spans="1:10" x14ac:dyDescent="0.25">
      <c r="A6641" t="s">
        <v>5063</v>
      </c>
      <c r="B6641" t="s">
        <v>4662</v>
      </c>
      <c r="C6641" t="s">
        <v>5094</v>
      </c>
      <c r="D6641" s="1" t="s">
        <v>5095</v>
      </c>
      <c r="E6641" t="s">
        <v>5096</v>
      </c>
      <c r="F6641">
        <v>53.082999999999998</v>
      </c>
      <c r="G6641">
        <v>-7.883</v>
      </c>
      <c r="H6641">
        <v>0</v>
      </c>
      <c r="I6641">
        <v>72</v>
      </c>
      <c r="J6641" t="str">
        <f>HYPERLINK("https://climate.onebuilding.org/WMO_Region_6_Europe/IRL_Ireland/EM_Eastern_and_Midland/IRL_EM_Birr.039650_TMYx.2004-2018.zip")</f>
        <v>https://climate.onebuilding.org/WMO_Region_6_Europe/IRL_Ireland/EM_Eastern_and_Midland/IRL_EM_Birr.039650_TMYx.2004-2018.zip</v>
      </c>
    </row>
    <row r="6642" spans="1:10" x14ac:dyDescent="0.25">
      <c r="A6642" t="s">
        <v>5063</v>
      </c>
      <c r="B6642" t="s">
        <v>4662</v>
      </c>
      <c r="C6642" t="s">
        <v>5094</v>
      </c>
      <c r="D6642" s="1" t="s">
        <v>5095</v>
      </c>
      <c r="E6642" t="s">
        <v>14</v>
      </c>
      <c r="F6642">
        <v>53.082999999999998</v>
      </c>
      <c r="G6642">
        <v>-7.883</v>
      </c>
      <c r="H6642">
        <v>0</v>
      </c>
      <c r="I6642">
        <v>72</v>
      </c>
      <c r="J6642" t="str">
        <f>HYPERLINK("https://climate.onebuilding.org/WMO_Region_6_Europe/IRL_Ireland/EM_Eastern_and_Midland/IRL_EM_Birr.039650_TMYx.zip")</f>
        <v>https://climate.onebuilding.org/WMO_Region_6_Europe/IRL_Ireland/EM_Eastern_and_Midland/IRL_EM_Birr.039650_TMYx.zip</v>
      </c>
    </row>
    <row r="6643" spans="1:10" x14ac:dyDescent="0.25">
      <c r="A6643" t="s">
        <v>5063</v>
      </c>
      <c r="B6643" t="s">
        <v>210</v>
      </c>
      <c r="C6643" t="s">
        <v>5097</v>
      </c>
      <c r="D6643" s="1" t="s">
        <v>5098</v>
      </c>
      <c r="E6643" t="s">
        <v>5099</v>
      </c>
      <c r="F6643">
        <v>53.017000000000003</v>
      </c>
      <c r="G6643">
        <v>-8</v>
      </c>
      <c r="H6643">
        <v>0</v>
      </c>
      <c r="I6643">
        <v>76</v>
      </c>
      <c r="J6643" t="str">
        <f>HYPERLINK("https://climate.onebuilding.org/WMO_Region_6_Europe/IRL_Ireland/ST_Southern/IRL_ST_Gurteen.039660_TMYx.2004-2018.zip")</f>
        <v>https://climate.onebuilding.org/WMO_Region_6_Europe/IRL_Ireland/ST_Southern/IRL_ST_Gurteen.039660_TMYx.2004-2018.zip</v>
      </c>
    </row>
    <row r="6644" spans="1:10" x14ac:dyDescent="0.25">
      <c r="A6644" t="s">
        <v>5063</v>
      </c>
      <c r="B6644" t="s">
        <v>210</v>
      </c>
      <c r="C6644" t="s">
        <v>5097</v>
      </c>
      <c r="D6644" s="1" t="s">
        <v>5098</v>
      </c>
      <c r="E6644" t="s">
        <v>14</v>
      </c>
      <c r="F6644">
        <v>53.017000000000003</v>
      </c>
      <c r="G6644">
        <v>-8</v>
      </c>
      <c r="H6644">
        <v>0</v>
      </c>
      <c r="I6644">
        <v>76</v>
      </c>
      <c r="J6644" t="str">
        <f>HYPERLINK("https://climate.onebuilding.org/WMO_Region_6_Europe/IRL_Ireland/ST_Southern/IRL_ST_Gurteen.039660_TMYx.2007-2021.zip")</f>
        <v>https://climate.onebuilding.org/WMO_Region_6_Europe/IRL_Ireland/ST_Southern/IRL_ST_Gurteen.039660_TMYx.2007-2021.zip</v>
      </c>
    </row>
    <row r="6645" spans="1:10" x14ac:dyDescent="0.25">
      <c r="A6645" t="s">
        <v>5063</v>
      </c>
      <c r="B6645" t="s">
        <v>210</v>
      </c>
      <c r="C6645" t="s">
        <v>5097</v>
      </c>
      <c r="D6645" s="1" t="s">
        <v>5098</v>
      </c>
      <c r="E6645" t="s">
        <v>14</v>
      </c>
      <c r="F6645">
        <v>53.017000000000003</v>
      </c>
      <c r="G6645">
        <v>-8</v>
      </c>
      <c r="H6645">
        <v>0</v>
      </c>
      <c r="I6645">
        <v>76</v>
      </c>
      <c r="J6645" t="str">
        <f>HYPERLINK("https://climate.onebuilding.org/WMO_Region_6_Europe/IRL_Ireland/ST_Southern/IRL_ST_Gurteen.039660_TMYx.2009-2023.zip")</f>
        <v>https://climate.onebuilding.org/WMO_Region_6_Europe/IRL_Ireland/ST_Southern/IRL_ST_Gurteen.039660_TMYx.2009-2023.zip</v>
      </c>
    </row>
    <row r="6646" spans="1:10" x14ac:dyDescent="0.25">
      <c r="A6646" t="s">
        <v>5063</v>
      </c>
      <c r="B6646" t="s">
        <v>210</v>
      </c>
      <c r="C6646" t="s">
        <v>5097</v>
      </c>
      <c r="D6646" s="1" t="s">
        <v>5098</v>
      </c>
      <c r="E6646" t="s">
        <v>14</v>
      </c>
      <c r="F6646">
        <v>53.017000000000003</v>
      </c>
      <c r="G6646">
        <v>-8</v>
      </c>
      <c r="H6646">
        <v>0</v>
      </c>
      <c r="I6646">
        <v>76</v>
      </c>
      <c r="J6646" t="str">
        <f>HYPERLINK("https://climate.onebuilding.org/WMO_Region_6_Europe/IRL_Ireland/ST_Southern/IRL_ST_Gurteen.039660_TMYx.zip")</f>
        <v>https://climate.onebuilding.org/WMO_Region_6_Europe/IRL_Ireland/ST_Southern/IRL_ST_Gurteen.039660_TMYx.zip</v>
      </c>
    </row>
    <row r="6647" spans="1:10" x14ac:dyDescent="0.25">
      <c r="A6647" t="s">
        <v>5063</v>
      </c>
      <c r="B6647" t="s">
        <v>4662</v>
      </c>
      <c r="C6647" t="s">
        <v>5100</v>
      </c>
      <c r="D6647" s="1" t="s">
        <v>5101</v>
      </c>
      <c r="E6647" t="s">
        <v>5102</v>
      </c>
      <c r="F6647">
        <v>53.302</v>
      </c>
      <c r="G6647">
        <v>-6.4509999999999996</v>
      </c>
      <c r="H6647">
        <v>0</v>
      </c>
      <c r="I6647">
        <v>97.2</v>
      </c>
      <c r="J6647" t="str">
        <f>HYPERLINK("https://climate.onebuilding.org/WMO_Region_6_Europe/IRL_Ireland/EM_Eastern_and_Midland/IRL_EM_Casement.AP.039670_TMYx.2004-2018.zip")</f>
        <v>https://climate.onebuilding.org/WMO_Region_6_Europe/IRL_Ireland/EM_Eastern_and_Midland/IRL_EM_Casement.AP.039670_TMYx.2004-2018.zip</v>
      </c>
    </row>
    <row r="6648" spans="1:10" x14ac:dyDescent="0.25">
      <c r="A6648" t="s">
        <v>5063</v>
      </c>
      <c r="B6648" t="s">
        <v>4662</v>
      </c>
      <c r="C6648" t="s">
        <v>5100</v>
      </c>
      <c r="D6648" s="1" t="s">
        <v>5101</v>
      </c>
      <c r="E6648" t="s">
        <v>14</v>
      </c>
      <c r="F6648">
        <v>53.3</v>
      </c>
      <c r="G6648">
        <v>-6.4329999999999998</v>
      </c>
      <c r="H6648">
        <v>0</v>
      </c>
      <c r="I6648">
        <v>97.2</v>
      </c>
      <c r="J6648" t="str">
        <f>HYPERLINK("https://climate.onebuilding.org/WMO_Region_6_Europe/IRL_Ireland/EM_Eastern_and_Midland/IRL_EM_Casement.AP.039670_TMYx.2007-2021.zip")</f>
        <v>https://climate.onebuilding.org/WMO_Region_6_Europe/IRL_Ireland/EM_Eastern_and_Midland/IRL_EM_Casement.AP.039670_TMYx.2007-2021.zip</v>
      </c>
    </row>
    <row r="6649" spans="1:10" x14ac:dyDescent="0.25">
      <c r="A6649" t="s">
        <v>5063</v>
      </c>
      <c r="B6649" t="s">
        <v>4662</v>
      </c>
      <c r="C6649" t="s">
        <v>5100</v>
      </c>
      <c r="D6649" s="1" t="s">
        <v>5101</v>
      </c>
      <c r="E6649" t="s">
        <v>14</v>
      </c>
      <c r="F6649">
        <v>53.3</v>
      </c>
      <c r="G6649">
        <v>-6.4329999999999998</v>
      </c>
      <c r="H6649">
        <v>0</v>
      </c>
      <c r="I6649">
        <v>97.2</v>
      </c>
      <c r="J6649" t="str">
        <f>HYPERLINK("https://climate.onebuilding.org/WMO_Region_6_Europe/IRL_Ireland/EM_Eastern_and_Midland/IRL_EM_Casement.AP.039670_TMYx.2009-2023.zip")</f>
        <v>https://climate.onebuilding.org/WMO_Region_6_Europe/IRL_Ireland/EM_Eastern_and_Midland/IRL_EM_Casement.AP.039670_TMYx.2009-2023.zip</v>
      </c>
    </row>
    <row r="6650" spans="1:10" x14ac:dyDescent="0.25">
      <c r="A6650" t="s">
        <v>5063</v>
      </c>
      <c r="B6650" t="s">
        <v>4662</v>
      </c>
      <c r="C6650" t="s">
        <v>5100</v>
      </c>
      <c r="D6650" s="1" t="s">
        <v>5101</v>
      </c>
      <c r="E6650" t="s">
        <v>14</v>
      </c>
      <c r="F6650">
        <v>53.3</v>
      </c>
      <c r="G6650">
        <v>-6.4329999999999998</v>
      </c>
      <c r="H6650">
        <v>0</v>
      </c>
      <c r="I6650">
        <v>97.2</v>
      </c>
      <c r="J6650" t="str">
        <f>HYPERLINK("https://climate.onebuilding.org/WMO_Region_6_Europe/IRL_Ireland/EM_Eastern_and_Midland/IRL_EM_Casement.AP.039670_TMYx.zip")</f>
        <v>https://climate.onebuilding.org/WMO_Region_6_Europe/IRL_Ireland/EM_Eastern_and_Midland/IRL_EM_Casement.AP.039670_TMYx.zip</v>
      </c>
    </row>
    <row r="6651" spans="1:10" x14ac:dyDescent="0.25">
      <c r="A6651" t="s">
        <v>5063</v>
      </c>
      <c r="B6651" t="s">
        <v>4662</v>
      </c>
      <c r="C6651" t="s">
        <v>5103</v>
      </c>
      <c r="D6651" s="1" t="s">
        <v>5104</v>
      </c>
      <c r="E6651" t="s">
        <v>5105</v>
      </c>
      <c r="F6651">
        <v>53.420999999999999</v>
      </c>
      <c r="G6651">
        <v>-6.27</v>
      </c>
      <c r="H6651">
        <v>0</v>
      </c>
      <c r="I6651">
        <v>73.8</v>
      </c>
      <c r="J6651" t="str">
        <f>HYPERLINK("https://climate.onebuilding.org/WMO_Region_6_Europe/IRL_Ireland/EM_Eastern_and_Midland/IRL_EM_Dublin.AP.039690_TMYx.2004-2018.zip")</f>
        <v>https://climate.onebuilding.org/WMO_Region_6_Europe/IRL_Ireland/EM_Eastern_and_Midland/IRL_EM_Dublin.AP.039690_TMYx.2004-2018.zip</v>
      </c>
    </row>
    <row r="6652" spans="1:10" x14ac:dyDescent="0.25">
      <c r="A6652" t="s">
        <v>5063</v>
      </c>
      <c r="B6652" t="s">
        <v>4662</v>
      </c>
      <c r="C6652" t="s">
        <v>5103</v>
      </c>
      <c r="D6652" s="1" t="s">
        <v>5104</v>
      </c>
      <c r="E6652" t="s">
        <v>14</v>
      </c>
      <c r="F6652">
        <v>53.433</v>
      </c>
      <c r="G6652">
        <v>-6.25</v>
      </c>
      <c r="H6652">
        <v>0</v>
      </c>
      <c r="I6652">
        <v>73.8</v>
      </c>
      <c r="J6652" t="str">
        <f>HYPERLINK("https://climate.onebuilding.org/WMO_Region_6_Europe/IRL_Ireland/EM_Eastern_and_Midland/IRL_EM_Dublin.AP.039690_TMYx.2007-2021.zip")</f>
        <v>https://climate.onebuilding.org/WMO_Region_6_Europe/IRL_Ireland/EM_Eastern_and_Midland/IRL_EM_Dublin.AP.039690_TMYx.2007-2021.zip</v>
      </c>
    </row>
    <row r="6653" spans="1:10" x14ac:dyDescent="0.25">
      <c r="A6653" t="s">
        <v>5063</v>
      </c>
      <c r="B6653" t="s">
        <v>4662</v>
      </c>
      <c r="C6653" t="s">
        <v>5103</v>
      </c>
      <c r="D6653" s="1" t="s">
        <v>5104</v>
      </c>
      <c r="E6653" t="s">
        <v>14</v>
      </c>
      <c r="F6653">
        <v>53.433</v>
      </c>
      <c r="G6653">
        <v>-6.25</v>
      </c>
      <c r="H6653">
        <v>0</v>
      </c>
      <c r="I6653">
        <v>73.8</v>
      </c>
      <c r="J6653" t="str">
        <f>HYPERLINK("https://climate.onebuilding.org/WMO_Region_6_Europe/IRL_Ireland/EM_Eastern_and_Midland/IRL_EM_Dublin.AP.039690_TMYx.2009-2023.zip")</f>
        <v>https://climate.onebuilding.org/WMO_Region_6_Europe/IRL_Ireland/EM_Eastern_and_Midland/IRL_EM_Dublin.AP.039690_TMYx.2009-2023.zip</v>
      </c>
    </row>
    <row r="6654" spans="1:10" x14ac:dyDescent="0.25">
      <c r="A6654" t="s">
        <v>5063</v>
      </c>
      <c r="B6654" t="s">
        <v>4662</v>
      </c>
      <c r="C6654" t="s">
        <v>5103</v>
      </c>
      <c r="D6654" s="1" t="s">
        <v>5104</v>
      </c>
      <c r="E6654" t="s">
        <v>14</v>
      </c>
      <c r="F6654">
        <v>53.433</v>
      </c>
      <c r="G6654">
        <v>-6.25</v>
      </c>
      <c r="H6654">
        <v>0</v>
      </c>
      <c r="I6654">
        <v>73.8</v>
      </c>
      <c r="J6654" t="str">
        <f>HYPERLINK("https://climate.onebuilding.org/WMO_Region_6_Europe/IRL_Ireland/EM_Eastern_and_Midland/IRL_EM_Dublin.AP.039690_TMYx.zip")</f>
        <v>https://climate.onebuilding.org/WMO_Region_6_Europe/IRL_Ireland/EM_Eastern_and_Midland/IRL_EM_Dublin.AP.039690_TMYx.zip</v>
      </c>
    </row>
    <row r="6655" spans="1:10" x14ac:dyDescent="0.25">
      <c r="A6655" t="s">
        <v>5063</v>
      </c>
      <c r="B6655" t="s">
        <v>855</v>
      </c>
      <c r="C6655" t="s">
        <v>5106</v>
      </c>
      <c r="D6655" s="1" t="s">
        <v>5107</v>
      </c>
      <c r="E6655" t="s">
        <v>5108</v>
      </c>
      <c r="F6655">
        <v>53.716999999999999</v>
      </c>
      <c r="G6655">
        <v>-8.9830000000000005</v>
      </c>
      <c r="H6655">
        <v>0</v>
      </c>
      <c r="I6655">
        <v>69</v>
      </c>
      <c r="J6655" t="str">
        <f>HYPERLINK("https://climate.onebuilding.org/WMO_Region_6_Europe/IRL_Ireland/NW_Northern_and_Western/IRL_NW_Claremorris.039700_TMYx.2004-2018.zip")</f>
        <v>https://climate.onebuilding.org/WMO_Region_6_Europe/IRL_Ireland/NW_Northern_and_Western/IRL_NW_Claremorris.039700_TMYx.2004-2018.zip</v>
      </c>
    </row>
    <row r="6656" spans="1:10" x14ac:dyDescent="0.25">
      <c r="A6656" t="s">
        <v>5063</v>
      </c>
      <c r="B6656" t="s">
        <v>855</v>
      </c>
      <c r="C6656" t="s">
        <v>5106</v>
      </c>
      <c r="D6656" s="1" t="s">
        <v>5107</v>
      </c>
      <c r="E6656" t="s">
        <v>14</v>
      </c>
      <c r="F6656">
        <v>53.716999999999999</v>
      </c>
      <c r="G6656">
        <v>-8.9830000000000005</v>
      </c>
      <c r="H6656">
        <v>0</v>
      </c>
      <c r="I6656">
        <v>69</v>
      </c>
      <c r="J6656" t="str">
        <f>HYPERLINK("https://climate.onebuilding.org/WMO_Region_6_Europe/IRL_Ireland/NW_Northern_and_Western/IRL_NW_Claremorris.039700_TMYx.2007-2021.zip")</f>
        <v>https://climate.onebuilding.org/WMO_Region_6_Europe/IRL_Ireland/NW_Northern_and_Western/IRL_NW_Claremorris.039700_TMYx.2007-2021.zip</v>
      </c>
    </row>
    <row r="6657" spans="1:10" x14ac:dyDescent="0.25">
      <c r="A6657" t="s">
        <v>5063</v>
      </c>
      <c r="B6657" t="s">
        <v>855</v>
      </c>
      <c r="C6657" t="s">
        <v>5106</v>
      </c>
      <c r="D6657" s="1" t="s">
        <v>5107</v>
      </c>
      <c r="E6657" t="s">
        <v>14</v>
      </c>
      <c r="F6657">
        <v>53.716999999999999</v>
      </c>
      <c r="G6657">
        <v>-8.9830000000000005</v>
      </c>
      <c r="H6657">
        <v>0</v>
      </c>
      <c r="I6657">
        <v>69</v>
      </c>
      <c r="J6657" t="str">
        <f>HYPERLINK("https://climate.onebuilding.org/WMO_Region_6_Europe/IRL_Ireland/NW_Northern_and_Western/IRL_NW_Claremorris.039700_TMYx.2009-2023.zip")</f>
        <v>https://climate.onebuilding.org/WMO_Region_6_Europe/IRL_Ireland/NW_Northern_and_Western/IRL_NW_Claremorris.039700_TMYx.2009-2023.zip</v>
      </c>
    </row>
    <row r="6658" spans="1:10" x14ac:dyDescent="0.25">
      <c r="A6658" t="s">
        <v>5063</v>
      </c>
      <c r="B6658" t="s">
        <v>855</v>
      </c>
      <c r="C6658" t="s">
        <v>5106</v>
      </c>
      <c r="D6658" s="1" t="s">
        <v>5107</v>
      </c>
      <c r="E6658" t="s">
        <v>14</v>
      </c>
      <c r="F6658">
        <v>53.716999999999999</v>
      </c>
      <c r="G6658">
        <v>-8.9830000000000005</v>
      </c>
      <c r="H6658">
        <v>0</v>
      </c>
      <c r="I6658">
        <v>69</v>
      </c>
      <c r="J6658" t="str">
        <f>HYPERLINK("https://climate.onebuilding.org/WMO_Region_6_Europe/IRL_Ireland/NW_Northern_and_Western/IRL_NW_Claremorris.039700_TMYx.zip")</f>
        <v>https://climate.onebuilding.org/WMO_Region_6_Europe/IRL_Ireland/NW_Northern_and_Western/IRL_NW_Claremorris.039700_TMYx.zip</v>
      </c>
    </row>
    <row r="6659" spans="1:10" x14ac:dyDescent="0.25">
      <c r="A6659" t="s">
        <v>5063</v>
      </c>
      <c r="B6659" t="s">
        <v>4662</v>
      </c>
      <c r="C6659" t="s">
        <v>5109</v>
      </c>
      <c r="D6659" s="1" t="s">
        <v>5110</v>
      </c>
      <c r="E6659" t="s">
        <v>5111</v>
      </c>
      <c r="F6659">
        <v>53.533000000000001</v>
      </c>
      <c r="G6659">
        <v>-7.367</v>
      </c>
      <c r="H6659">
        <v>0</v>
      </c>
      <c r="I6659">
        <v>100</v>
      </c>
      <c r="J6659" t="str">
        <f>HYPERLINK("https://climate.onebuilding.org/WMO_Region_6_Europe/IRL_Ireland/EM_Eastern_and_Midland/IRL_EM_Mullingar.039710_TMYx.2004-2018.zip")</f>
        <v>https://climate.onebuilding.org/WMO_Region_6_Europe/IRL_Ireland/EM_Eastern_and_Midland/IRL_EM_Mullingar.039710_TMYx.2004-2018.zip</v>
      </c>
    </row>
    <row r="6660" spans="1:10" x14ac:dyDescent="0.25">
      <c r="A6660" t="s">
        <v>5063</v>
      </c>
      <c r="B6660" t="s">
        <v>4662</v>
      </c>
      <c r="C6660" t="s">
        <v>5109</v>
      </c>
      <c r="D6660" s="1" t="s">
        <v>5110</v>
      </c>
      <c r="E6660" t="s">
        <v>14</v>
      </c>
      <c r="F6660">
        <v>53.533000000000001</v>
      </c>
      <c r="G6660">
        <v>-7.367</v>
      </c>
      <c r="H6660">
        <v>0</v>
      </c>
      <c r="I6660">
        <v>100</v>
      </c>
      <c r="J6660" t="str">
        <f>HYPERLINK("https://climate.onebuilding.org/WMO_Region_6_Europe/IRL_Ireland/EM_Eastern_and_Midland/IRL_EM_Mullingar.039710_TMYx.2007-2021.zip")</f>
        <v>https://climate.onebuilding.org/WMO_Region_6_Europe/IRL_Ireland/EM_Eastern_and_Midland/IRL_EM_Mullingar.039710_TMYx.2007-2021.zip</v>
      </c>
    </row>
    <row r="6661" spans="1:10" x14ac:dyDescent="0.25">
      <c r="A6661" t="s">
        <v>5063</v>
      </c>
      <c r="B6661" t="s">
        <v>4662</v>
      </c>
      <c r="C6661" t="s">
        <v>5109</v>
      </c>
      <c r="D6661" s="1" t="s">
        <v>5110</v>
      </c>
      <c r="E6661" t="s">
        <v>14</v>
      </c>
      <c r="F6661">
        <v>53.533000000000001</v>
      </c>
      <c r="G6661">
        <v>-7.367</v>
      </c>
      <c r="H6661">
        <v>0</v>
      </c>
      <c r="I6661">
        <v>100</v>
      </c>
      <c r="J6661" t="str">
        <f>HYPERLINK("https://climate.onebuilding.org/WMO_Region_6_Europe/IRL_Ireland/EM_Eastern_and_Midland/IRL_EM_Mullingar.039710_TMYx.2009-2023.zip")</f>
        <v>https://climate.onebuilding.org/WMO_Region_6_Europe/IRL_Ireland/EM_Eastern_and_Midland/IRL_EM_Mullingar.039710_TMYx.2009-2023.zip</v>
      </c>
    </row>
    <row r="6662" spans="1:10" x14ac:dyDescent="0.25">
      <c r="A6662" t="s">
        <v>5063</v>
      </c>
      <c r="B6662" t="s">
        <v>4662</v>
      </c>
      <c r="C6662" t="s">
        <v>5109</v>
      </c>
      <c r="D6662" s="1" t="s">
        <v>5110</v>
      </c>
      <c r="E6662" t="s">
        <v>14</v>
      </c>
      <c r="F6662">
        <v>53.533000000000001</v>
      </c>
      <c r="G6662">
        <v>-7.367</v>
      </c>
      <c r="H6662">
        <v>0</v>
      </c>
      <c r="I6662">
        <v>100</v>
      </c>
      <c r="J6662" t="str">
        <f>HYPERLINK("https://climate.onebuilding.org/WMO_Region_6_Europe/IRL_Ireland/EM_Eastern_and_Midland/IRL_EM_Mullingar.039710_TMYx.zip")</f>
        <v>https://climate.onebuilding.org/WMO_Region_6_Europe/IRL_Ireland/EM_Eastern_and_Midland/IRL_EM_Mullingar.039710_TMYx.zip</v>
      </c>
    </row>
    <row r="6663" spans="1:10" x14ac:dyDescent="0.25">
      <c r="A6663" t="s">
        <v>5063</v>
      </c>
      <c r="B6663" t="s">
        <v>855</v>
      </c>
      <c r="C6663" t="s">
        <v>5112</v>
      </c>
      <c r="D6663" s="1" t="s">
        <v>5113</v>
      </c>
      <c r="E6663" t="s">
        <v>5114</v>
      </c>
      <c r="F6663">
        <v>53.91</v>
      </c>
      <c r="G6663">
        <v>-8.8179999999999996</v>
      </c>
      <c r="H6663">
        <v>0</v>
      </c>
      <c r="I6663">
        <v>202.7</v>
      </c>
      <c r="J6663" t="str">
        <f>HYPERLINK("https://climate.onebuilding.org/WMO_Region_6_Europe/IRL_Ireland/NW_Northern_and_Western/IRL_NW_Knock-Ireland.West.AP.039730_TMYx.2004-2018.zip")</f>
        <v>https://climate.onebuilding.org/WMO_Region_6_Europe/IRL_Ireland/NW_Northern_and_Western/IRL_NW_Knock-Ireland.West.AP.039730_TMYx.2004-2018.zip</v>
      </c>
    </row>
    <row r="6664" spans="1:10" x14ac:dyDescent="0.25">
      <c r="A6664" t="s">
        <v>5063</v>
      </c>
      <c r="B6664" t="s">
        <v>855</v>
      </c>
      <c r="C6664" t="s">
        <v>5112</v>
      </c>
      <c r="D6664" s="1" t="s">
        <v>5113</v>
      </c>
      <c r="E6664" t="s">
        <v>14</v>
      </c>
      <c r="F6664">
        <v>53.91</v>
      </c>
      <c r="G6664">
        <v>-8.8179999999999996</v>
      </c>
      <c r="H6664">
        <v>0</v>
      </c>
      <c r="I6664">
        <v>202.7</v>
      </c>
      <c r="J6664" t="str">
        <f>HYPERLINK("https://climate.onebuilding.org/WMO_Region_6_Europe/IRL_Ireland/NW_Northern_and_Western/IRL_NW_Knock-Ireland.West.AP.039730_TMYx.2007-2021.zip")</f>
        <v>https://climate.onebuilding.org/WMO_Region_6_Europe/IRL_Ireland/NW_Northern_and_Western/IRL_NW_Knock-Ireland.West.AP.039730_TMYx.2007-2021.zip</v>
      </c>
    </row>
    <row r="6665" spans="1:10" x14ac:dyDescent="0.25">
      <c r="A6665" t="s">
        <v>5063</v>
      </c>
      <c r="B6665" t="s">
        <v>855</v>
      </c>
      <c r="C6665" t="s">
        <v>5112</v>
      </c>
      <c r="D6665" s="1" t="s">
        <v>5113</v>
      </c>
      <c r="E6665" t="s">
        <v>14</v>
      </c>
      <c r="F6665">
        <v>53.91</v>
      </c>
      <c r="G6665">
        <v>-8.8179999999999996</v>
      </c>
      <c r="H6665">
        <v>0</v>
      </c>
      <c r="I6665">
        <v>202.7</v>
      </c>
      <c r="J6665" t="str">
        <f>HYPERLINK("https://climate.onebuilding.org/WMO_Region_6_Europe/IRL_Ireland/NW_Northern_and_Western/IRL_NW_Knock-Ireland.West.AP.039730_TMYx.2009-2023.zip")</f>
        <v>https://climate.onebuilding.org/WMO_Region_6_Europe/IRL_Ireland/NW_Northern_and_Western/IRL_NW_Knock-Ireland.West.AP.039730_TMYx.2009-2023.zip</v>
      </c>
    </row>
    <row r="6666" spans="1:10" x14ac:dyDescent="0.25">
      <c r="A6666" t="s">
        <v>5063</v>
      </c>
      <c r="B6666" t="s">
        <v>855</v>
      </c>
      <c r="C6666" t="s">
        <v>5112</v>
      </c>
      <c r="D6666" s="1" t="s">
        <v>5113</v>
      </c>
      <c r="E6666" t="s">
        <v>14</v>
      </c>
      <c r="F6666">
        <v>53.91</v>
      </c>
      <c r="G6666">
        <v>-8.8179999999999996</v>
      </c>
      <c r="H6666">
        <v>0</v>
      </c>
      <c r="I6666">
        <v>202.7</v>
      </c>
      <c r="J6666" t="str">
        <f>HYPERLINK("https://climate.onebuilding.org/WMO_Region_6_Europe/IRL_Ireland/NW_Northern_and_Western/IRL_NW_Knock-Ireland.West.AP.039730_TMYx.zip")</f>
        <v>https://climate.onebuilding.org/WMO_Region_6_Europe/IRL_Ireland/NW_Northern_and_Western/IRL_NW_Knock-Ireland.West.AP.039730_TMYx.zip</v>
      </c>
    </row>
    <row r="6667" spans="1:10" x14ac:dyDescent="0.25">
      <c r="A6667" t="s">
        <v>5063</v>
      </c>
      <c r="B6667" t="s">
        <v>4662</v>
      </c>
      <c r="C6667" t="s">
        <v>5115</v>
      </c>
      <c r="D6667" s="1" t="s">
        <v>5116</v>
      </c>
      <c r="E6667" t="s">
        <v>14</v>
      </c>
      <c r="F6667">
        <v>54.183</v>
      </c>
      <c r="G6667">
        <v>-7.2329999999999997</v>
      </c>
      <c r="H6667">
        <v>0</v>
      </c>
      <c r="I6667">
        <v>89</v>
      </c>
      <c r="J6667" t="str">
        <f>HYPERLINK("https://climate.onebuilding.org/WMO_Region_6_Europe/IRL_Ireland/EM_Eastern_and_Midland/IRL_EM_Clones.039740_TMYx.zip")</f>
        <v>https://climate.onebuilding.org/WMO_Region_6_Europe/IRL_Ireland/EM_Eastern_and_Midland/IRL_EM_Clones.039740_TMYx.zip</v>
      </c>
    </row>
    <row r="6668" spans="1:10" x14ac:dyDescent="0.25">
      <c r="A6668" t="s">
        <v>5063</v>
      </c>
      <c r="B6668" t="s">
        <v>855</v>
      </c>
      <c r="C6668" t="s">
        <v>5117</v>
      </c>
      <c r="D6668" s="1" t="s">
        <v>5118</v>
      </c>
      <c r="E6668" t="s">
        <v>5119</v>
      </c>
      <c r="F6668">
        <v>54.232999999999997</v>
      </c>
      <c r="G6668">
        <v>-10</v>
      </c>
      <c r="H6668">
        <v>0</v>
      </c>
      <c r="I6668">
        <v>9.6999999999999993</v>
      </c>
      <c r="J6668" t="str">
        <f>HYPERLINK("https://climate.onebuilding.org/WMO_Region_6_Europe/IRL_Ireland/NW_Northern_and_Western/IRL_NW_Belmullet.039760_TMYx.2004-2018.zip")</f>
        <v>https://climate.onebuilding.org/WMO_Region_6_Europe/IRL_Ireland/NW_Northern_and_Western/IRL_NW_Belmullet.039760_TMYx.2004-2018.zip</v>
      </c>
    </row>
    <row r="6669" spans="1:10" x14ac:dyDescent="0.25">
      <c r="A6669" t="s">
        <v>5063</v>
      </c>
      <c r="B6669" t="s">
        <v>855</v>
      </c>
      <c r="C6669" t="s">
        <v>5117</v>
      </c>
      <c r="D6669" s="1" t="s">
        <v>5118</v>
      </c>
      <c r="E6669" t="s">
        <v>14</v>
      </c>
      <c r="F6669">
        <v>54.227499999999999</v>
      </c>
      <c r="G6669">
        <v>-10.0069</v>
      </c>
      <c r="H6669">
        <v>0</v>
      </c>
      <c r="I6669">
        <v>9.6999999999999993</v>
      </c>
      <c r="J6669" t="str">
        <f>HYPERLINK("https://climate.onebuilding.org/WMO_Region_6_Europe/IRL_Ireland/NW_Northern_and_Western/IRL_NW_Belmullet.039760_TMYx.2007-2021.zip")</f>
        <v>https://climate.onebuilding.org/WMO_Region_6_Europe/IRL_Ireland/NW_Northern_and_Western/IRL_NW_Belmullet.039760_TMYx.2007-2021.zip</v>
      </c>
    </row>
    <row r="6670" spans="1:10" x14ac:dyDescent="0.25">
      <c r="A6670" t="s">
        <v>5063</v>
      </c>
      <c r="B6670" t="s">
        <v>855</v>
      </c>
      <c r="C6670" t="s">
        <v>5117</v>
      </c>
      <c r="D6670" s="1" t="s">
        <v>5118</v>
      </c>
      <c r="E6670" t="s">
        <v>14</v>
      </c>
      <c r="F6670">
        <v>54.227499999999999</v>
      </c>
      <c r="G6670">
        <v>-10.0069</v>
      </c>
      <c r="H6670">
        <v>0</v>
      </c>
      <c r="I6670">
        <v>9.6999999999999993</v>
      </c>
      <c r="J6670" t="str">
        <f>HYPERLINK("https://climate.onebuilding.org/WMO_Region_6_Europe/IRL_Ireland/NW_Northern_and_Western/IRL_NW_Belmullet.039760_TMYx.2009-2023.zip")</f>
        <v>https://climate.onebuilding.org/WMO_Region_6_Europe/IRL_Ireland/NW_Northern_and_Western/IRL_NW_Belmullet.039760_TMYx.2009-2023.zip</v>
      </c>
    </row>
    <row r="6671" spans="1:10" x14ac:dyDescent="0.25">
      <c r="A6671" t="s">
        <v>5063</v>
      </c>
      <c r="B6671" t="s">
        <v>855</v>
      </c>
      <c r="C6671" t="s">
        <v>5117</v>
      </c>
      <c r="D6671" s="1" t="s">
        <v>5118</v>
      </c>
      <c r="E6671" t="s">
        <v>14</v>
      </c>
      <c r="F6671">
        <v>54.227499999999999</v>
      </c>
      <c r="G6671">
        <v>-10.0069</v>
      </c>
      <c r="H6671">
        <v>0</v>
      </c>
      <c r="I6671">
        <v>9.6999999999999993</v>
      </c>
      <c r="J6671" t="str">
        <f>HYPERLINK("https://climate.onebuilding.org/WMO_Region_6_Europe/IRL_Ireland/NW_Northern_and_Western/IRL_NW_Belmullet.039760_TMYx.zip")</f>
        <v>https://climate.onebuilding.org/WMO_Region_6_Europe/IRL_Ireland/NW_Northern_and_Western/IRL_NW_Belmullet.039760_TMYx.zip</v>
      </c>
    </row>
    <row r="6672" spans="1:10" x14ac:dyDescent="0.25">
      <c r="A6672" t="s">
        <v>5063</v>
      </c>
      <c r="B6672" t="s">
        <v>855</v>
      </c>
      <c r="C6672" t="s">
        <v>5120</v>
      </c>
      <c r="D6672" s="1" t="s">
        <v>5121</v>
      </c>
      <c r="E6672" t="s">
        <v>5122</v>
      </c>
      <c r="F6672">
        <v>54.482999999999997</v>
      </c>
      <c r="G6672">
        <v>-8.2330000000000005</v>
      </c>
      <c r="H6672">
        <v>0</v>
      </c>
      <c r="I6672">
        <v>34.700000000000003</v>
      </c>
      <c r="J6672" t="str">
        <f>HYPERLINK("https://climate.onebuilding.org/WMO_Region_6_Europe/IRL_Ireland/NW_Northern_and_Western/IRL_NW_Finner.039780_TMYx.2004-2018.zip")</f>
        <v>https://climate.onebuilding.org/WMO_Region_6_Europe/IRL_Ireland/NW_Northern_and_Western/IRL_NW_Finner.039780_TMYx.2004-2018.zip</v>
      </c>
    </row>
    <row r="6673" spans="1:10" x14ac:dyDescent="0.25">
      <c r="A6673" t="s">
        <v>5063</v>
      </c>
      <c r="B6673" t="s">
        <v>855</v>
      </c>
      <c r="C6673" t="s">
        <v>5120</v>
      </c>
      <c r="D6673" s="1" t="s">
        <v>5121</v>
      </c>
      <c r="E6673" t="s">
        <v>14</v>
      </c>
      <c r="F6673">
        <v>54.493899999999996</v>
      </c>
      <c r="G6673">
        <v>-8.2431000000000001</v>
      </c>
      <c r="H6673">
        <v>0</v>
      </c>
      <c r="I6673">
        <v>34.700000000000003</v>
      </c>
      <c r="J6673" t="str">
        <f>HYPERLINK("https://climate.onebuilding.org/WMO_Region_6_Europe/IRL_Ireland/NW_Northern_and_Western/IRL_NW_Finner.039780_TMYx.2007-2021.zip")</f>
        <v>https://climate.onebuilding.org/WMO_Region_6_Europe/IRL_Ireland/NW_Northern_and_Western/IRL_NW_Finner.039780_TMYx.2007-2021.zip</v>
      </c>
    </row>
    <row r="6674" spans="1:10" x14ac:dyDescent="0.25">
      <c r="A6674" t="s">
        <v>5063</v>
      </c>
      <c r="B6674" t="s">
        <v>855</v>
      </c>
      <c r="C6674" t="s">
        <v>5120</v>
      </c>
      <c r="D6674" s="1" t="s">
        <v>5121</v>
      </c>
      <c r="E6674" t="s">
        <v>14</v>
      </c>
      <c r="F6674">
        <v>54.493899999999996</v>
      </c>
      <c r="G6674">
        <v>-8.2431000000000001</v>
      </c>
      <c r="H6674">
        <v>0</v>
      </c>
      <c r="I6674">
        <v>34.700000000000003</v>
      </c>
      <c r="J6674" t="str">
        <f>HYPERLINK("https://climate.onebuilding.org/WMO_Region_6_Europe/IRL_Ireland/NW_Northern_and_Western/IRL_NW_Finner.039780_TMYx.2009-2023.zip")</f>
        <v>https://climate.onebuilding.org/WMO_Region_6_Europe/IRL_Ireland/NW_Northern_and_Western/IRL_NW_Finner.039780_TMYx.2009-2023.zip</v>
      </c>
    </row>
    <row r="6675" spans="1:10" x14ac:dyDescent="0.25">
      <c r="A6675" t="s">
        <v>5063</v>
      </c>
      <c r="B6675" t="s">
        <v>855</v>
      </c>
      <c r="C6675" t="s">
        <v>5120</v>
      </c>
      <c r="D6675" s="1" t="s">
        <v>5121</v>
      </c>
      <c r="E6675" t="s">
        <v>14</v>
      </c>
      <c r="F6675">
        <v>54.493899999999996</v>
      </c>
      <c r="G6675">
        <v>-8.2431000000000001</v>
      </c>
      <c r="H6675">
        <v>0</v>
      </c>
      <c r="I6675">
        <v>34.700000000000003</v>
      </c>
      <c r="J6675" t="str">
        <f>HYPERLINK("https://climate.onebuilding.org/WMO_Region_6_Europe/IRL_Ireland/NW_Northern_and_Western/IRL_NW_Finner.039780_TMYx.zip")</f>
        <v>https://climate.onebuilding.org/WMO_Region_6_Europe/IRL_Ireland/NW_Northern_and_Western/IRL_NW_Finner.039780_TMYx.zip</v>
      </c>
    </row>
    <row r="6676" spans="1:10" x14ac:dyDescent="0.25">
      <c r="A6676" t="s">
        <v>5063</v>
      </c>
      <c r="B6676" t="s">
        <v>4662</v>
      </c>
      <c r="C6676" t="s">
        <v>5123</v>
      </c>
      <c r="D6676" s="1" t="s">
        <v>5124</v>
      </c>
      <c r="E6676" t="s">
        <v>5125</v>
      </c>
      <c r="F6676">
        <v>54.05</v>
      </c>
      <c r="G6676">
        <v>-7.3</v>
      </c>
      <c r="H6676">
        <v>0</v>
      </c>
      <c r="I6676">
        <v>79</v>
      </c>
      <c r="J6676" t="str">
        <f>HYPERLINK("https://climate.onebuilding.org/WMO_Region_6_Europe/IRL_Ireland/EM_Eastern_and_Midland/IRL_EM_Ballyhaise.039790_TMYx.2004-2018.zip")</f>
        <v>https://climate.onebuilding.org/WMO_Region_6_Europe/IRL_Ireland/EM_Eastern_and_Midland/IRL_EM_Ballyhaise.039790_TMYx.2004-2018.zip</v>
      </c>
    </row>
    <row r="6677" spans="1:10" x14ac:dyDescent="0.25">
      <c r="A6677" t="s">
        <v>5063</v>
      </c>
      <c r="B6677" t="s">
        <v>4662</v>
      </c>
      <c r="C6677" t="s">
        <v>5123</v>
      </c>
      <c r="D6677" s="1" t="s">
        <v>5124</v>
      </c>
      <c r="E6677" t="s">
        <v>14</v>
      </c>
      <c r="F6677">
        <v>54.05</v>
      </c>
      <c r="G6677">
        <v>-7.3</v>
      </c>
      <c r="H6677">
        <v>0</v>
      </c>
      <c r="I6677">
        <v>79</v>
      </c>
      <c r="J6677" t="str">
        <f>HYPERLINK("https://climate.onebuilding.org/WMO_Region_6_Europe/IRL_Ireland/EM_Eastern_and_Midland/IRL_EM_Ballyhaise.039790_TMYx.2007-2021.zip")</f>
        <v>https://climate.onebuilding.org/WMO_Region_6_Europe/IRL_Ireland/EM_Eastern_and_Midland/IRL_EM_Ballyhaise.039790_TMYx.2007-2021.zip</v>
      </c>
    </row>
    <row r="6678" spans="1:10" x14ac:dyDescent="0.25">
      <c r="A6678" t="s">
        <v>5063</v>
      </c>
      <c r="B6678" t="s">
        <v>4662</v>
      </c>
      <c r="C6678" t="s">
        <v>5123</v>
      </c>
      <c r="D6678" s="1" t="s">
        <v>5124</v>
      </c>
      <c r="E6678" t="s">
        <v>14</v>
      </c>
      <c r="F6678">
        <v>54.05</v>
      </c>
      <c r="G6678">
        <v>-7.3</v>
      </c>
      <c r="H6678">
        <v>0</v>
      </c>
      <c r="I6678">
        <v>79</v>
      </c>
      <c r="J6678" t="str">
        <f>HYPERLINK("https://climate.onebuilding.org/WMO_Region_6_Europe/IRL_Ireland/EM_Eastern_and_Midland/IRL_EM_Ballyhaise.039790_TMYx.2009-2023.zip")</f>
        <v>https://climate.onebuilding.org/WMO_Region_6_Europe/IRL_Ireland/EM_Eastern_and_Midland/IRL_EM_Ballyhaise.039790_TMYx.2009-2023.zip</v>
      </c>
    </row>
    <row r="6679" spans="1:10" x14ac:dyDescent="0.25">
      <c r="A6679" t="s">
        <v>5063</v>
      </c>
      <c r="B6679" t="s">
        <v>4662</v>
      </c>
      <c r="C6679" t="s">
        <v>5123</v>
      </c>
      <c r="D6679" s="1" t="s">
        <v>5124</v>
      </c>
      <c r="E6679" t="s">
        <v>14</v>
      </c>
      <c r="F6679">
        <v>54.05</v>
      </c>
      <c r="G6679">
        <v>-7.3</v>
      </c>
      <c r="H6679">
        <v>0</v>
      </c>
      <c r="I6679">
        <v>79</v>
      </c>
      <c r="J6679" t="str">
        <f>HYPERLINK("https://climate.onebuilding.org/WMO_Region_6_Europe/IRL_Ireland/EM_Eastern_and_Midland/IRL_EM_Ballyhaise.039790_TMYx.zip")</f>
        <v>https://climate.onebuilding.org/WMO_Region_6_Europe/IRL_Ireland/EM_Eastern_and_Midland/IRL_EM_Ballyhaise.039790_TMYx.zip</v>
      </c>
    </row>
    <row r="6680" spans="1:10" x14ac:dyDescent="0.25">
      <c r="A6680" t="s">
        <v>5063</v>
      </c>
      <c r="B6680" t="s">
        <v>855</v>
      </c>
      <c r="C6680" t="s">
        <v>5126</v>
      </c>
      <c r="D6680" s="1" t="s">
        <v>5127</v>
      </c>
      <c r="E6680" t="s">
        <v>5128</v>
      </c>
      <c r="F6680">
        <v>55.366999999999997</v>
      </c>
      <c r="G6680">
        <v>-7.3330000000000002</v>
      </c>
      <c r="H6680">
        <v>0</v>
      </c>
      <c r="I6680">
        <v>25</v>
      </c>
      <c r="J6680" t="str">
        <f>HYPERLINK("https://climate.onebuilding.org/WMO_Region_6_Europe/IRL_Ireland/NW_Northern_and_Western/IRL_NW_Malin.Head.039800_TMYx.2004-2018.zip")</f>
        <v>https://climate.onebuilding.org/WMO_Region_6_Europe/IRL_Ireland/NW_Northern_and_Western/IRL_NW_Malin.Head.039800_TMYx.2004-2018.zip</v>
      </c>
    </row>
    <row r="6681" spans="1:10" x14ac:dyDescent="0.25">
      <c r="A6681" t="s">
        <v>5063</v>
      </c>
      <c r="B6681" t="s">
        <v>855</v>
      </c>
      <c r="C6681" t="s">
        <v>5126</v>
      </c>
      <c r="D6681" s="1" t="s">
        <v>5127</v>
      </c>
      <c r="E6681" t="s">
        <v>14</v>
      </c>
      <c r="F6681">
        <v>55.366999999999997</v>
      </c>
      <c r="G6681">
        <v>-7.3330000000000002</v>
      </c>
      <c r="H6681">
        <v>0</v>
      </c>
      <c r="I6681">
        <v>25</v>
      </c>
      <c r="J6681" t="str">
        <f>HYPERLINK("https://climate.onebuilding.org/WMO_Region_6_Europe/IRL_Ireland/NW_Northern_and_Western/IRL_NW_Malin.Head.039800_TMYx.2007-2021.zip")</f>
        <v>https://climate.onebuilding.org/WMO_Region_6_Europe/IRL_Ireland/NW_Northern_and_Western/IRL_NW_Malin.Head.039800_TMYx.2007-2021.zip</v>
      </c>
    </row>
    <row r="6682" spans="1:10" x14ac:dyDescent="0.25">
      <c r="A6682" t="s">
        <v>5063</v>
      </c>
      <c r="B6682" t="s">
        <v>855</v>
      </c>
      <c r="C6682" t="s">
        <v>5126</v>
      </c>
      <c r="D6682" s="1" t="s">
        <v>5127</v>
      </c>
      <c r="E6682" t="s">
        <v>14</v>
      </c>
      <c r="F6682">
        <v>55.366999999999997</v>
      </c>
      <c r="G6682">
        <v>-7.3330000000000002</v>
      </c>
      <c r="H6682">
        <v>0</v>
      </c>
      <c r="I6682">
        <v>25</v>
      </c>
      <c r="J6682" t="str">
        <f>HYPERLINK("https://climate.onebuilding.org/WMO_Region_6_Europe/IRL_Ireland/NW_Northern_and_Western/IRL_NW_Malin.Head.039800_TMYx.2009-2023.zip")</f>
        <v>https://climate.onebuilding.org/WMO_Region_6_Europe/IRL_Ireland/NW_Northern_and_Western/IRL_NW_Malin.Head.039800_TMYx.2009-2023.zip</v>
      </c>
    </row>
    <row r="6683" spans="1:10" x14ac:dyDescent="0.25">
      <c r="A6683" t="s">
        <v>5063</v>
      </c>
      <c r="B6683" t="s">
        <v>855</v>
      </c>
      <c r="C6683" t="s">
        <v>5126</v>
      </c>
      <c r="D6683" s="1" t="s">
        <v>5127</v>
      </c>
      <c r="E6683" t="s">
        <v>14</v>
      </c>
      <c r="F6683">
        <v>55.366999999999997</v>
      </c>
      <c r="G6683">
        <v>-7.3330000000000002</v>
      </c>
      <c r="H6683">
        <v>0</v>
      </c>
      <c r="I6683">
        <v>25</v>
      </c>
      <c r="J6683" t="str">
        <f>HYPERLINK("https://climate.onebuilding.org/WMO_Region_6_Europe/IRL_Ireland/NW_Northern_and_Western/IRL_NW_Malin.Head.039800_TMYx.zip")</f>
        <v>https://climate.onebuilding.org/WMO_Region_6_Europe/IRL_Ireland/NW_Northern_and_Western/IRL_NW_Malin.Head.039800_TMYx.zip</v>
      </c>
    </row>
    <row r="6684" spans="1:10" x14ac:dyDescent="0.25">
      <c r="A6684" t="s">
        <v>5129</v>
      </c>
      <c r="B6684" t="s">
        <v>5130</v>
      </c>
      <c r="C6684" t="s">
        <v>5131</v>
      </c>
      <c r="D6684" s="1" t="s">
        <v>5132</v>
      </c>
      <c r="E6684" t="s">
        <v>5133</v>
      </c>
      <c r="F6684">
        <v>66.150000000000006</v>
      </c>
      <c r="G6684">
        <v>-23.25</v>
      </c>
      <c r="H6684">
        <v>0</v>
      </c>
      <c r="I6684">
        <v>24</v>
      </c>
      <c r="J6684" t="str">
        <f>HYPERLINK("https://climate.onebuilding.org/WMO_Region_6_Europe/ISL_Iceland/VF_Western_Fjords/ISL_VF_Bolungavik.040050_TMYx.2004-2018.zip")</f>
        <v>https://climate.onebuilding.org/WMO_Region_6_Europe/ISL_Iceland/VF_Western_Fjords/ISL_VF_Bolungavik.040050_TMYx.2004-2018.zip</v>
      </c>
    </row>
    <row r="6685" spans="1:10" x14ac:dyDescent="0.25">
      <c r="A6685" t="s">
        <v>5129</v>
      </c>
      <c r="B6685" t="s">
        <v>5130</v>
      </c>
      <c r="C6685" t="s">
        <v>5131</v>
      </c>
      <c r="D6685" s="1" t="s">
        <v>5132</v>
      </c>
      <c r="E6685" t="s">
        <v>14</v>
      </c>
      <c r="F6685">
        <v>66.161000000000001</v>
      </c>
      <c r="G6685">
        <v>-23.254000000000001</v>
      </c>
      <c r="H6685">
        <v>0</v>
      </c>
      <c r="I6685">
        <v>24</v>
      </c>
      <c r="J6685" t="str">
        <f>HYPERLINK("https://climate.onebuilding.org/WMO_Region_6_Europe/ISL_Iceland/VF_Western_Fjords/ISL_VF_Bolungavik.040050_TMYx.2007-2021.zip")</f>
        <v>https://climate.onebuilding.org/WMO_Region_6_Europe/ISL_Iceland/VF_Western_Fjords/ISL_VF_Bolungavik.040050_TMYx.2007-2021.zip</v>
      </c>
    </row>
    <row r="6686" spans="1:10" x14ac:dyDescent="0.25">
      <c r="A6686" t="s">
        <v>5129</v>
      </c>
      <c r="B6686" t="s">
        <v>5130</v>
      </c>
      <c r="C6686" t="s">
        <v>5131</v>
      </c>
      <c r="D6686" s="1" t="s">
        <v>5132</v>
      </c>
      <c r="E6686" t="s">
        <v>14</v>
      </c>
      <c r="F6686">
        <v>66.161000000000001</v>
      </c>
      <c r="G6686">
        <v>-23.254000000000001</v>
      </c>
      <c r="H6686">
        <v>0</v>
      </c>
      <c r="I6686">
        <v>24</v>
      </c>
      <c r="J6686" t="str">
        <f>HYPERLINK("https://climate.onebuilding.org/WMO_Region_6_Europe/ISL_Iceland/VF_Western_Fjords/ISL_VF_Bolungavik.040050_TMYx.2009-2023.zip")</f>
        <v>https://climate.onebuilding.org/WMO_Region_6_Europe/ISL_Iceland/VF_Western_Fjords/ISL_VF_Bolungavik.040050_TMYx.2009-2023.zip</v>
      </c>
    </row>
    <row r="6687" spans="1:10" x14ac:dyDescent="0.25">
      <c r="A6687" t="s">
        <v>5129</v>
      </c>
      <c r="B6687" t="s">
        <v>5130</v>
      </c>
      <c r="C6687" t="s">
        <v>5131</v>
      </c>
      <c r="D6687" s="1" t="s">
        <v>5132</v>
      </c>
      <c r="E6687" t="s">
        <v>14</v>
      </c>
      <c r="F6687">
        <v>66.161000000000001</v>
      </c>
      <c r="G6687">
        <v>-23.254000000000001</v>
      </c>
      <c r="H6687">
        <v>0</v>
      </c>
      <c r="I6687">
        <v>24</v>
      </c>
      <c r="J6687" t="str">
        <f>HYPERLINK("https://climate.onebuilding.org/WMO_Region_6_Europe/ISL_Iceland/VF_Western_Fjords/ISL_VF_Bolungavik.040050_TMYx.zip")</f>
        <v>https://climate.onebuilding.org/WMO_Region_6_Europe/ISL_Iceland/VF_Western_Fjords/ISL_VF_Bolungavik.040050_TMYx.zip</v>
      </c>
    </row>
    <row r="6688" spans="1:10" x14ac:dyDescent="0.25">
      <c r="A6688" t="s">
        <v>5129</v>
      </c>
      <c r="B6688" t="s">
        <v>5134</v>
      </c>
      <c r="C6688" t="s">
        <v>5135</v>
      </c>
      <c r="D6688" s="1" t="s">
        <v>5136</v>
      </c>
      <c r="E6688" t="s">
        <v>5137</v>
      </c>
      <c r="F6688">
        <v>65.082999999999998</v>
      </c>
      <c r="G6688">
        <v>-22.733000000000001</v>
      </c>
      <c r="H6688">
        <v>0</v>
      </c>
      <c r="I6688">
        <v>8</v>
      </c>
      <c r="J6688" t="str">
        <f>HYPERLINK("https://climate.onebuilding.org/WMO_Region_6_Europe/ISL_Iceland/VL_Westland/ISL_VL_Stykkisholmur.040130_TMYx.2004-2018.zip")</f>
        <v>https://climate.onebuilding.org/WMO_Region_6_Europe/ISL_Iceland/VL_Westland/ISL_VL_Stykkisholmur.040130_TMYx.2004-2018.zip</v>
      </c>
    </row>
    <row r="6689" spans="1:10" x14ac:dyDescent="0.25">
      <c r="A6689" t="s">
        <v>5129</v>
      </c>
      <c r="B6689" t="s">
        <v>5134</v>
      </c>
      <c r="C6689" t="s">
        <v>5135</v>
      </c>
      <c r="D6689" s="1" t="s">
        <v>5136</v>
      </c>
      <c r="E6689" t="s">
        <v>14</v>
      </c>
      <c r="F6689">
        <v>65.073999999999998</v>
      </c>
      <c r="G6689">
        <v>-22.733899999999998</v>
      </c>
      <c r="H6689">
        <v>0</v>
      </c>
      <c r="I6689">
        <v>8</v>
      </c>
      <c r="J6689" t="str">
        <f>HYPERLINK("https://climate.onebuilding.org/WMO_Region_6_Europe/ISL_Iceland/VL_Westland/ISL_VL_Stykkisholmur.040130_TMYx.2007-2021.zip")</f>
        <v>https://climate.onebuilding.org/WMO_Region_6_Europe/ISL_Iceland/VL_Westland/ISL_VL_Stykkisholmur.040130_TMYx.2007-2021.zip</v>
      </c>
    </row>
    <row r="6690" spans="1:10" x14ac:dyDescent="0.25">
      <c r="A6690" t="s">
        <v>5129</v>
      </c>
      <c r="B6690" t="s">
        <v>5134</v>
      </c>
      <c r="C6690" t="s">
        <v>5135</v>
      </c>
      <c r="D6690" s="1" t="s">
        <v>5136</v>
      </c>
      <c r="E6690" t="s">
        <v>14</v>
      </c>
      <c r="F6690">
        <v>65.073999999999998</v>
      </c>
      <c r="G6690">
        <v>-22.733899999999998</v>
      </c>
      <c r="H6690">
        <v>0</v>
      </c>
      <c r="I6690">
        <v>8</v>
      </c>
      <c r="J6690" t="str">
        <f>HYPERLINK("https://climate.onebuilding.org/WMO_Region_6_Europe/ISL_Iceland/VL_Westland/ISL_VL_Stykkisholmur.040130_TMYx.2009-2023.zip")</f>
        <v>https://climate.onebuilding.org/WMO_Region_6_Europe/ISL_Iceland/VL_Westland/ISL_VL_Stykkisholmur.040130_TMYx.2009-2023.zip</v>
      </c>
    </row>
    <row r="6691" spans="1:10" x14ac:dyDescent="0.25">
      <c r="A6691" t="s">
        <v>5129</v>
      </c>
      <c r="B6691" t="s">
        <v>5134</v>
      </c>
      <c r="C6691" t="s">
        <v>5135</v>
      </c>
      <c r="D6691" s="1" t="s">
        <v>5136</v>
      </c>
      <c r="E6691" t="s">
        <v>14</v>
      </c>
      <c r="F6691">
        <v>65.073999999999998</v>
      </c>
      <c r="G6691">
        <v>-22.733899999999998</v>
      </c>
      <c r="H6691">
        <v>0</v>
      </c>
      <c r="I6691">
        <v>8</v>
      </c>
      <c r="J6691" t="str">
        <f>HYPERLINK("https://climate.onebuilding.org/WMO_Region_6_Europe/ISL_Iceland/VL_Westland/ISL_VL_Stykkisholmur.040130_TMYx.zip")</f>
        <v>https://climate.onebuilding.org/WMO_Region_6_Europe/ISL_Iceland/VL_Westland/ISL_VL_Stykkisholmur.040130_TMYx.zip</v>
      </c>
    </row>
    <row r="6692" spans="1:10" x14ac:dyDescent="0.25">
      <c r="A6692" t="s">
        <v>5129</v>
      </c>
      <c r="B6692" t="s">
        <v>5130</v>
      </c>
      <c r="C6692" t="s">
        <v>5138</v>
      </c>
      <c r="D6692" s="1" t="s">
        <v>5139</v>
      </c>
      <c r="E6692" t="s">
        <v>5140</v>
      </c>
      <c r="F6692">
        <v>66.058000000000007</v>
      </c>
      <c r="G6692">
        <v>-23.135000000000002</v>
      </c>
      <c r="H6692">
        <v>0</v>
      </c>
      <c r="I6692">
        <v>2.4</v>
      </c>
      <c r="J6692" t="str">
        <f>HYPERLINK("https://climate.onebuilding.org/WMO_Region_6_Europe/ISL_Iceland/VF_Western_Fjords/ISL_VF_Isafjordur.AP.040131_TMYx.2004-2018.zip")</f>
        <v>https://climate.onebuilding.org/WMO_Region_6_Europe/ISL_Iceland/VF_Western_Fjords/ISL_VF_Isafjordur.AP.040131_TMYx.2004-2018.zip</v>
      </c>
    </row>
    <row r="6693" spans="1:10" x14ac:dyDescent="0.25">
      <c r="A6693" t="s">
        <v>5129</v>
      </c>
      <c r="B6693" t="s">
        <v>5130</v>
      </c>
      <c r="C6693" t="s">
        <v>5138</v>
      </c>
      <c r="D6693" s="1" t="s">
        <v>5139</v>
      </c>
      <c r="E6693" t="s">
        <v>14</v>
      </c>
      <c r="F6693">
        <v>66.058000000000007</v>
      </c>
      <c r="G6693">
        <v>-23.135000000000002</v>
      </c>
      <c r="H6693">
        <v>0</v>
      </c>
      <c r="I6693">
        <v>2.4</v>
      </c>
      <c r="J6693" t="str">
        <f>HYPERLINK("https://climate.onebuilding.org/WMO_Region_6_Europe/ISL_Iceland/VF_Western_Fjords/ISL_VF_Isafjordur.AP.040131_TMYx.2007-2021.zip")</f>
        <v>https://climate.onebuilding.org/WMO_Region_6_Europe/ISL_Iceland/VF_Western_Fjords/ISL_VF_Isafjordur.AP.040131_TMYx.2007-2021.zip</v>
      </c>
    </row>
    <row r="6694" spans="1:10" x14ac:dyDescent="0.25">
      <c r="A6694" t="s">
        <v>5129</v>
      </c>
      <c r="B6694" t="s">
        <v>5130</v>
      </c>
      <c r="C6694" t="s">
        <v>5138</v>
      </c>
      <c r="D6694" s="1" t="s">
        <v>5139</v>
      </c>
      <c r="E6694" t="s">
        <v>14</v>
      </c>
      <c r="F6694">
        <v>66.058000000000007</v>
      </c>
      <c r="G6694">
        <v>-23.135000000000002</v>
      </c>
      <c r="H6694">
        <v>0</v>
      </c>
      <c r="I6694">
        <v>2.4</v>
      </c>
      <c r="J6694" t="str">
        <f>HYPERLINK("https://climate.onebuilding.org/WMO_Region_6_Europe/ISL_Iceland/VF_Western_Fjords/ISL_VF_Isafjordur.AP.040131_TMYx.2009-2023.zip")</f>
        <v>https://climate.onebuilding.org/WMO_Region_6_Europe/ISL_Iceland/VF_Western_Fjords/ISL_VF_Isafjordur.AP.040131_TMYx.2009-2023.zip</v>
      </c>
    </row>
    <row r="6695" spans="1:10" x14ac:dyDescent="0.25">
      <c r="A6695" t="s">
        <v>5129</v>
      </c>
      <c r="B6695" t="s">
        <v>5130</v>
      </c>
      <c r="C6695" t="s">
        <v>5138</v>
      </c>
      <c r="D6695" s="1" t="s">
        <v>5139</v>
      </c>
      <c r="E6695" t="s">
        <v>14</v>
      </c>
      <c r="F6695">
        <v>66.058000000000007</v>
      </c>
      <c r="G6695">
        <v>-23.135000000000002</v>
      </c>
      <c r="H6695">
        <v>0</v>
      </c>
      <c r="I6695">
        <v>2.4</v>
      </c>
      <c r="J6695" t="str">
        <f>HYPERLINK("https://climate.onebuilding.org/WMO_Region_6_Europe/ISL_Iceland/VF_Western_Fjords/ISL_VF_Isafjordur.AP.040131_TMYx.zip")</f>
        <v>https://climate.onebuilding.org/WMO_Region_6_Europe/ISL_Iceland/VF_Western_Fjords/ISL_VF_Isafjordur.AP.040131_TMYx.zip</v>
      </c>
    </row>
    <row r="6696" spans="1:10" x14ac:dyDescent="0.25">
      <c r="A6696" t="s">
        <v>5129</v>
      </c>
      <c r="B6696" t="s">
        <v>475</v>
      </c>
      <c r="C6696" t="s">
        <v>5141</v>
      </c>
      <c r="D6696" s="1" t="s">
        <v>5142</v>
      </c>
      <c r="E6696" t="s">
        <v>5143</v>
      </c>
      <c r="F6696">
        <v>63.966999999999999</v>
      </c>
      <c r="G6696">
        <v>-22.6</v>
      </c>
      <c r="H6696">
        <v>0</v>
      </c>
      <c r="I6696">
        <v>52.1</v>
      </c>
      <c r="J6696" t="str">
        <f>HYPERLINK("https://climate.onebuilding.org/WMO_Region_6_Europe/ISL_Iceland/SL_Southland/ISL_SL_Keflavik.Intl.AP.040180_TMYx.2004-2018.zip")</f>
        <v>https://climate.onebuilding.org/WMO_Region_6_Europe/ISL_Iceland/SL_Southland/ISL_SL_Keflavik.Intl.AP.040180_TMYx.2004-2018.zip</v>
      </c>
    </row>
    <row r="6697" spans="1:10" x14ac:dyDescent="0.25">
      <c r="A6697" t="s">
        <v>5129</v>
      </c>
      <c r="B6697" t="s">
        <v>475</v>
      </c>
      <c r="C6697" t="s">
        <v>5141</v>
      </c>
      <c r="D6697" s="1" t="s">
        <v>5142</v>
      </c>
      <c r="E6697" t="s">
        <v>14</v>
      </c>
      <c r="F6697">
        <v>63.975000000000001</v>
      </c>
      <c r="G6697">
        <v>-22.588000000000001</v>
      </c>
      <c r="H6697">
        <v>0</v>
      </c>
      <c r="I6697">
        <v>52.1</v>
      </c>
      <c r="J6697" t="str">
        <f>HYPERLINK("https://climate.onebuilding.org/WMO_Region_6_Europe/ISL_Iceland/SL_Southland/ISL_SL_Keflavik.Intl.AP.040180_TMYx.2007-2021.zip")</f>
        <v>https://climate.onebuilding.org/WMO_Region_6_Europe/ISL_Iceland/SL_Southland/ISL_SL_Keflavik.Intl.AP.040180_TMYx.2007-2021.zip</v>
      </c>
    </row>
    <row r="6698" spans="1:10" x14ac:dyDescent="0.25">
      <c r="A6698" t="s">
        <v>5129</v>
      </c>
      <c r="B6698" t="s">
        <v>475</v>
      </c>
      <c r="C6698" t="s">
        <v>5141</v>
      </c>
      <c r="D6698" s="1" t="s">
        <v>5142</v>
      </c>
      <c r="E6698" t="s">
        <v>14</v>
      </c>
      <c r="F6698">
        <v>63.975000000000001</v>
      </c>
      <c r="G6698">
        <v>-22.588000000000001</v>
      </c>
      <c r="H6698">
        <v>0</v>
      </c>
      <c r="I6698">
        <v>52.1</v>
      </c>
      <c r="J6698" t="str">
        <f>HYPERLINK("https://climate.onebuilding.org/WMO_Region_6_Europe/ISL_Iceland/SL_Southland/ISL_SL_Keflavik.Intl.AP.040180_TMYx.2009-2023.zip")</f>
        <v>https://climate.onebuilding.org/WMO_Region_6_Europe/ISL_Iceland/SL_Southland/ISL_SL_Keflavik.Intl.AP.040180_TMYx.2009-2023.zip</v>
      </c>
    </row>
    <row r="6699" spans="1:10" x14ac:dyDescent="0.25">
      <c r="A6699" t="s">
        <v>5129</v>
      </c>
      <c r="B6699" t="s">
        <v>475</v>
      </c>
      <c r="C6699" t="s">
        <v>5141</v>
      </c>
      <c r="D6699" s="1" t="s">
        <v>5142</v>
      </c>
      <c r="E6699" t="s">
        <v>14</v>
      </c>
      <c r="F6699">
        <v>63.975000000000001</v>
      </c>
      <c r="G6699">
        <v>-22.588000000000001</v>
      </c>
      <c r="H6699">
        <v>0</v>
      </c>
      <c r="I6699">
        <v>52.1</v>
      </c>
      <c r="J6699" t="str">
        <f>HYPERLINK("https://climate.onebuilding.org/WMO_Region_6_Europe/ISL_Iceland/SL_Southland/ISL_SL_Keflavik.Intl.AP.040180_TMYx.zip")</f>
        <v>https://climate.onebuilding.org/WMO_Region_6_Europe/ISL_Iceland/SL_Southland/ISL_SL_Keflavik.Intl.AP.040180_TMYx.zip</v>
      </c>
    </row>
    <row r="6700" spans="1:10" x14ac:dyDescent="0.25">
      <c r="A6700" t="s">
        <v>5129</v>
      </c>
      <c r="B6700" t="s">
        <v>681</v>
      </c>
      <c r="C6700" t="s">
        <v>5144</v>
      </c>
      <c r="D6700" s="1" t="s">
        <v>5145</v>
      </c>
      <c r="E6700" t="s">
        <v>5146</v>
      </c>
      <c r="F6700">
        <v>64.13</v>
      </c>
      <c r="G6700">
        <v>-21.940999999999999</v>
      </c>
      <c r="H6700">
        <v>0</v>
      </c>
      <c r="I6700">
        <v>14.6</v>
      </c>
      <c r="J6700" t="str">
        <f>HYPERLINK("https://climate.onebuilding.org/WMO_Region_6_Europe/ISL_Iceland/HO_Capital/ISL_HO_Reykjavik.AP.040300_TMYx.2004-2018.zip")</f>
        <v>https://climate.onebuilding.org/WMO_Region_6_Europe/ISL_Iceland/HO_Capital/ISL_HO_Reykjavik.AP.040300_TMYx.2004-2018.zip</v>
      </c>
    </row>
    <row r="6701" spans="1:10" x14ac:dyDescent="0.25">
      <c r="A6701" t="s">
        <v>5129</v>
      </c>
      <c r="B6701" t="s">
        <v>681</v>
      </c>
      <c r="C6701" t="s">
        <v>5144</v>
      </c>
      <c r="D6701" s="1" t="s">
        <v>5145</v>
      </c>
      <c r="E6701" t="s">
        <v>14</v>
      </c>
      <c r="F6701">
        <v>64.13</v>
      </c>
      <c r="G6701">
        <v>-21.940999999999999</v>
      </c>
      <c r="H6701">
        <v>0</v>
      </c>
      <c r="I6701">
        <v>14.6</v>
      </c>
      <c r="J6701" t="str">
        <f>HYPERLINK("https://climate.onebuilding.org/WMO_Region_6_Europe/ISL_Iceland/HO_Capital/ISL_HO_Reykjavik.AP.040300_TMYx.2007-2021.zip")</f>
        <v>https://climate.onebuilding.org/WMO_Region_6_Europe/ISL_Iceland/HO_Capital/ISL_HO_Reykjavik.AP.040300_TMYx.2007-2021.zip</v>
      </c>
    </row>
    <row r="6702" spans="1:10" x14ac:dyDescent="0.25">
      <c r="A6702" t="s">
        <v>5129</v>
      </c>
      <c r="B6702" t="s">
        <v>681</v>
      </c>
      <c r="C6702" t="s">
        <v>5144</v>
      </c>
      <c r="D6702" s="1" t="s">
        <v>5145</v>
      </c>
      <c r="E6702" t="s">
        <v>14</v>
      </c>
      <c r="F6702">
        <v>64.13</v>
      </c>
      <c r="G6702">
        <v>-21.940999999999999</v>
      </c>
      <c r="H6702">
        <v>0</v>
      </c>
      <c r="I6702">
        <v>14.6</v>
      </c>
      <c r="J6702" t="str">
        <f>HYPERLINK("https://climate.onebuilding.org/WMO_Region_6_Europe/ISL_Iceland/HO_Capital/ISL_HO_Reykjavik.AP.040300_TMYx.2009-2023.zip")</f>
        <v>https://climate.onebuilding.org/WMO_Region_6_Europe/ISL_Iceland/HO_Capital/ISL_HO_Reykjavik.AP.040300_TMYx.2009-2023.zip</v>
      </c>
    </row>
    <row r="6703" spans="1:10" x14ac:dyDescent="0.25">
      <c r="A6703" t="s">
        <v>5129</v>
      </c>
      <c r="B6703" t="s">
        <v>681</v>
      </c>
      <c r="C6703" t="s">
        <v>5144</v>
      </c>
      <c r="D6703" s="1" t="s">
        <v>5145</v>
      </c>
      <c r="E6703" t="s">
        <v>14</v>
      </c>
      <c r="F6703">
        <v>64.13</v>
      </c>
      <c r="G6703">
        <v>-21.940999999999999</v>
      </c>
      <c r="H6703">
        <v>0</v>
      </c>
      <c r="I6703">
        <v>14.6</v>
      </c>
      <c r="J6703" t="str">
        <f>HYPERLINK("https://climate.onebuilding.org/WMO_Region_6_Europe/ISL_Iceland/HO_Capital/ISL_HO_Reykjavik.AP.040300_TMYx.zip")</f>
        <v>https://climate.onebuilding.org/WMO_Region_6_Europe/ISL_Iceland/HO_Capital/ISL_HO_Reykjavik.AP.040300_TMYx.zip</v>
      </c>
    </row>
    <row r="6704" spans="1:10" x14ac:dyDescent="0.25">
      <c r="A6704" t="s">
        <v>5129</v>
      </c>
      <c r="B6704" t="s">
        <v>475</v>
      </c>
      <c r="C6704" t="s">
        <v>5147</v>
      </c>
      <c r="D6704" s="1" t="s">
        <v>5148</v>
      </c>
      <c r="E6704" t="s">
        <v>5149</v>
      </c>
      <c r="F6704">
        <v>63.423999999999999</v>
      </c>
      <c r="G6704">
        <v>-20.279</v>
      </c>
      <c r="H6704">
        <v>0</v>
      </c>
      <c r="I6704">
        <v>99.4</v>
      </c>
      <c r="J6704" t="str">
        <f>HYPERLINK("https://climate.onebuilding.org/WMO_Region_6_Europe/ISL_Iceland/SL_Southland/ISL_SL_Storhofdi.040480_TMYx.2004-2018.zip")</f>
        <v>https://climate.onebuilding.org/WMO_Region_6_Europe/ISL_Iceland/SL_Southland/ISL_SL_Storhofdi.040480_TMYx.2004-2018.zip</v>
      </c>
    </row>
    <row r="6705" spans="1:10" x14ac:dyDescent="0.25">
      <c r="A6705" t="s">
        <v>5129</v>
      </c>
      <c r="B6705" t="s">
        <v>475</v>
      </c>
      <c r="C6705" t="s">
        <v>5147</v>
      </c>
      <c r="D6705" s="1" t="s">
        <v>5148</v>
      </c>
      <c r="E6705" t="s">
        <v>14</v>
      </c>
      <c r="F6705">
        <v>63.4</v>
      </c>
      <c r="G6705">
        <v>-20.288</v>
      </c>
      <c r="H6705">
        <v>0</v>
      </c>
      <c r="I6705">
        <v>99.4</v>
      </c>
      <c r="J6705" t="str">
        <f>HYPERLINK("https://climate.onebuilding.org/WMO_Region_6_Europe/ISL_Iceland/SL_Southland/ISL_SL_Storhofdi.040480_TMYx.2007-2021.zip")</f>
        <v>https://climate.onebuilding.org/WMO_Region_6_Europe/ISL_Iceland/SL_Southland/ISL_SL_Storhofdi.040480_TMYx.2007-2021.zip</v>
      </c>
    </row>
    <row r="6706" spans="1:10" x14ac:dyDescent="0.25">
      <c r="A6706" t="s">
        <v>5129</v>
      </c>
      <c r="B6706" t="s">
        <v>475</v>
      </c>
      <c r="C6706" t="s">
        <v>5147</v>
      </c>
      <c r="D6706" s="1" t="s">
        <v>5148</v>
      </c>
      <c r="E6706" t="s">
        <v>14</v>
      </c>
      <c r="F6706">
        <v>63.4</v>
      </c>
      <c r="G6706">
        <v>-20.288</v>
      </c>
      <c r="H6706">
        <v>0</v>
      </c>
      <c r="I6706">
        <v>99.4</v>
      </c>
      <c r="J6706" t="str">
        <f>HYPERLINK("https://climate.onebuilding.org/WMO_Region_6_Europe/ISL_Iceland/SL_Southland/ISL_SL_Storhofdi.040480_TMYx.2009-2023.zip")</f>
        <v>https://climate.onebuilding.org/WMO_Region_6_Europe/ISL_Iceland/SL_Southland/ISL_SL_Storhofdi.040480_TMYx.2009-2023.zip</v>
      </c>
    </row>
    <row r="6707" spans="1:10" x14ac:dyDescent="0.25">
      <c r="A6707" t="s">
        <v>5129</v>
      </c>
      <c r="B6707" t="s">
        <v>475</v>
      </c>
      <c r="C6707" t="s">
        <v>5147</v>
      </c>
      <c r="D6707" s="1" t="s">
        <v>5148</v>
      </c>
      <c r="E6707" t="s">
        <v>14</v>
      </c>
      <c r="F6707">
        <v>63.4</v>
      </c>
      <c r="G6707">
        <v>-20.288</v>
      </c>
      <c r="H6707">
        <v>0</v>
      </c>
      <c r="I6707">
        <v>99.4</v>
      </c>
      <c r="J6707" t="str">
        <f>HYPERLINK("https://climate.onebuilding.org/WMO_Region_6_Europe/ISL_Iceland/SL_Southland/ISL_SL_Storhofdi.040480_TMYx.zip")</f>
        <v>https://climate.onebuilding.org/WMO_Region_6_Europe/ISL_Iceland/SL_Southland/ISL_SL_Storhofdi.040480_TMYx.zip</v>
      </c>
    </row>
    <row r="6708" spans="1:10" x14ac:dyDescent="0.25">
      <c r="A6708" t="s">
        <v>5129</v>
      </c>
      <c r="B6708" t="s">
        <v>5150</v>
      </c>
      <c r="C6708" t="s">
        <v>5151</v>
      </c>
      <c r="D6708" s="1" t="s">
        <v>5152</v>
      </c>
      <c r="E6708" t="s">
        <v>5153</v>
      </c>
      <c r="F6708">
        <v>65.7</v>
      </c>
      <c r="G6708">
        <v>-19.617000000000001</v>
      </c>
      <c r="H6708">
        <v>0</v>
      </c>
      <c r="I6708">
        <v>43</v>
      </c>
      <c r="J6708" t="str">
        <f>HYPERLINK("https://climate.onebuilding.org/WMO_Region_6_Europe/ISL_Iceland/NV_Northland_West/ISL_NV_Bergstadir.040530_TMYx.2004-2018.zip")</f>
        <v>https://climate.onebuilding.org/WMO_Region_6_Europe/ISL_Iceland/NV_Northland_West/ISL_NV_Bergstadir.040530_TMYx.2004-2018.zip</v>
      </c>
    </row>
    <row r="6709" spans="1:10" x14ac:dyDescent="0.25">
      <c r="A6709" t="s">
        <v>5129</v>
      </c>
      <c r="B6709" t="s">
        <v>5150</v>
      </c>
      <c r="C6709" t="s">
        <v>5151</v>
      </c>
      <c r="D6709" s="1" t="s">
        <v>5152</v>
      </c>
      <c r="E6709" t="s">
        <v>14</v>
      </c>
      <c r="F6709">
        <v>65.7</v>
      </c>
      <c r="G6709">
        <v>-19.617000000000001</v>
      </c>
      <c r="H6709">
        <v>0</v>
      </c>
      <c r="I6709">
        <v>43</v>
      </c>
      <c r="J6709" t="str">
        <f>HYPERLINK("https://climate.onebuilding.org/WMO_Region_6_Europe/ISL_Iceland/NV_Northland_West/ISL_NV_Bergstadir.040530_TMYx.2007-2021.zip")</f>
        <v>https://climate.onebuilding.org/WMO_Region_6_Europe/ISL_Iceland/NV_Northland_West/ISL_NV_Bergstadir.040530_TMYx.2007-2021.zip</v>
      </c>
    </row>
    <row r="6710" spans="1:10" x14ac:dyDescent="0.25">
      <c r="A6710" t="s">
        <v>5129</v>
      </c>
      <c r="B6710" t="s">
        <v>5150</v>
      </c>
      <c r="C6710" t="s">
        <v>5151</v>
      </c>
      <c r="D6710" s="1" t="s">
        <v>5152</v>
      </c>
      <c r="E6710" t="s">
        <v>14</v>
      </c>
      <c r="F6710">
        <v>65.7</v>
      </c>
      <c r="G6710">
        <v>-19.617000000000001</v>
      </c>
      <c r="H6710">
        <v>0</v>
      </c>
      <c r="I6710">
        <v>43</v>
      </c>
      <c r="J6710" t="str">
        <f>HYPERLINK("https://climate.onebuilding.org/WMO_Region_6_Europe/ISL_Iceland/NV_Northland_West/ISL_NV_Bergstadir.040530_TMYx.2009-2023.zip")</f>
        <v>https://climate.onebuilding.org/WMO_Region_6_Europe/ISL_Iceland/NV_Northland_West/ISL_NV_Bergstadir.040530_TMYx.2009-2023.zip</v>
      </c>
    </row>
    <row r="6711" spans="1:10" x14ac:dyDescent="0.25">
      <c r="A6711" t="s">
        <v>5129</v>
      </c>
      <c r="B6711" t="s">
        <v>5150</v>
      </c>
      <c r="C6711" t="s">
        <v>5151</v>
      </c>
      <c r="D6711" s="1" t="s">
        <v>5152</v>
      </c>
      <c r="E6711" t="s">
        <v>14</v>
      </c>
      <c r="F6711">
        <v>65.7</v>
      </c>
      <c r="G6711">
        <v>-19.617000000000001</v>
      </c>
      <c r="H6711">
        <v>0</v>
      </c>
      <c r="I6711">
        <v>43</v>
      </c>
      <c r="J6711" t="str">
        <f>HYPERLINK("https://climate.onebuilding.org/WMO_Region_6_Europe/ISL_Iceland/NV_Northland_West/ISL_NV_Bergstadir.040530_TMYx.zip")</f>
        <v>https://climate.onebuilding.org/WMO_Region_6_Europe/ISL_Iceland/NV_Northland_West/ISL_NV_Bergstadir.040530_TMYx.zip</v>
      </c>
    </row>
    <row r="6712" spans="1:10" x14ac:dyDescent="0.25">
      <c r="A6712" t="s">
        <v>5129</v>
      </c>
      <c r="B6712" t="s">
        <v>5150</v>
      </c>
      <c r="C6712" t="s">
        <v>5154</v>
      </c>
      <c r="D6712" s="1" t="s">
        <v>5155</v>
      </c>
      <c r="E6712" t="s">
        <v>14</v>
      </c>
      <c r="F6712">
        <v>66.183000000000007</v>
      </c>
      <c r="G6712">
        <v>-18.966999999999999</v>
      </c>
      <c r="H6712">
        <v>0</v>
      </c>
      <c r="I6712">
        <v>30</v>
      </c>
      <c r="J6712" t="str">
        <f>HYPERLINK("https://climate.onebuilding.org/WMO_Region_6_Europe/ISL_Iceland/NV_Northland_West/ISL_NV_Saudanesviti.040590_TMYx.zip")</f>
        <v>https://climate.onebuilding.org/WMO_Region_6_Europe/ISL_Iceland/NV_Northland_West/ISL_NV_Saudanesviti.040590_TMYx.zip</v>
      </c>
    </row>
    <row r="6713" spans="1:10" x14ac:dyDescent="0.25">
      <c r="A6713" t="s">
        <v>5129</v>
      </c>
      <c r="B6713" t="s">
        <v>713</v>
      </c>
      <c r="C6713" t="s">
        <v>5156</v>
      </c>
      <c r="D6713" s="1" t="s">
        <v>5157</v>
      </c>
      <c r="E6713" t="s">
        <v>5158</v>
      </c>
      <c r="F6713">
        <v>65.66</v>
      </c>
      <c r="G6713">
        <v>-18.073</v>
      </c>
      <c r="H6713">
        <v>0</v>
      </c>
      <c r="I6713">
        <v>1.8</v>
      </c>
      <c r="J6713" t="str">
        <f>HYPERLINK("https://climate.onebuilding.org/WMO_Region_6_Europe/ISL_Iceland/NE_Northland_East/ISL_NE_Akureyri.040630_TMYx.2004-2018.zip")</f>
        <v>https://climate.onebuilding.org/WMO_Region_6_Europe/ISL_Iceland/NE_Northland_East/ISL_NE_Akureyri.040630_TMYx.2004-2018.zip</v>
      </c>
    </row>
    <row r="6714" spans="1:10" x14ac:dyDescent="0.25">
      <c r="A6714" t="s">
        <v>5129</v>
      </c>
      <c r="B6714" t="s">
        <v>713</v>
      </c>
      <c r="C6714" t="s">
        <v>5156</v>
      </c>
      <c r="D6714" s="1" t="s">
        <v>5157</v>
      </c>
      <c r="E6714" t="s">
        <v>14</v>
      </c>
      <c r="F6714">
        <v>65.685599999999994</v>
      </c>
      <c r="G6714">
        <v>-18.100200000000001</v>
      </c>
      <c r="H6714">
        <v>0</v>
      </c>
      <c r="I6714">
        <v>1.8</v>
      </c>
      <c r="J6714" t="str">
        <f>HYPERLINK("https://climate.onebuilding.org/WMO_Region_6_Europe/ISL_Iceland/NE_Northland_East/ISL_NE_Akureyri.040630_TMYx.2007-2021.zip")</f>
        <v>https://climate.onebuilding.org/WMO_Region_6_Europe/ISL_Iceland/NE_Northland_East/ISL_NE_Akureyri.040630_TMYx.2007-2021.zip</v>
      </c>
    </row>
    <row r="6715" spans="1:10" x14ac:dyDescent="0.25">
      <c r="A6715" t="s">
        <v>5129</v>
      </c>
      <c r="B6715" t="s">
        <v>713</v>
      </c>
      <c r="C6715" t="s">
        <v>5156</v>
      </c>
      <c r="D6715" s="1" t="s">
        <v>5157</v>
      </c>
      <c r="E6715" t="s">
        <v>14</v>
      </c>
      <c r="F6715">
        <v>65.685599999999994</v>
      </c>
      <c r="G6715">
        <v>-18.100200000000001</v>
      </c>
      <c r="H6715">
        <v>0</v>
      </c>
      <c r="I6715">
        <v>1.8</v>
      </c>
      <c r="J6715" t="str">
        <f>HYPERLINK("https://climate.onebuilding.org/WMO_Region_6_Europe/ISL_Iceland/NE_Northland_East/ISL_NE_Akureyri.040630_TMYx.2009-2023.zip")</f>
        <v>https://climate.onebuilding.org/WMO_Region_6_Europe/ISL_Iceland/NE_Northland_East/ISL_NE_Akureyri.040630_TMYx.2009-2023.zip</v>
      </c>
    </row>
    <row r="6716" spans="1:10" x14ac:dyDescent="0.25">
      <c r="A6716" t="s">
        <v>5129</v>
      </c>
      <c r="B6716" t="s">
        <v>713</v>
      </c>
      <c r="C6716" t="s">
        <v>5156</v>
      </c>
      <c r="D6716" s="1" t="s">
        <v>5157</v>
      </c>
      <c r="E6716" t="s">
        <v>14</v>
      </c>
      <c r="F6716">
        <v>65.685599999999994</v>
      </c>
      <c r="G6716">
        <v>-18.100200000000001</v>
      </c>
      <c r="H6716">
        <v>0</v>
      </c>
      <c r="I6716">
        <v>1.8</v>
      </c>
      <c r="J6716" t="str">
        <f>HYPERLINK("https://climate.onebuilding.org/WMO_Region_6_Europe/ISL_Iceland/NE_Northland_East/ISL_NE_Akureyri.040630_TMYx.zip")</f>
        <v>https://climate.onebuilding.org/WMO_Region_6_Europe/ISL_Iceland/NE_Northland_East/ISL_NE_Akureyri.040630_TMYx.zip</v>
      </c>
    </row>
    <row r="6717" spans="1:10" x14ac:dyDescent="0.25">
      <c r="A6717" t="s">
        <v>5129</v>
      </c>
      <c r="B6717" t="s">
        <v>5130</v>
      </c>
      <c r="C6717" t="s">
        <v>5159</v>
      </c>
      <c r="D6717" s="1" t="s">
        <v>5160</v>
      </c>
      <c r="E6717" t="s">
        <v>5161</v>
      </c>
      <c r="F6717">
        <v>65.641000000000005</v>
      </c>
      <c r="G6717">
        <v>-23.545999999999999</v>
      </c>
      <c r="H6717">
        <v>0</v>
      </c>
      <c r="I6717">
        <v>5.5</v>
      </c>
      <c r="J6717" t="str">
        <f>HYPERLINK("https://climate.onebuilding.org/WMO_Region_6_Europe/ISL_Iceland/VF_Western_Fjords/ISL_VF_Bildudal.AP.040655_TMYx.2004-2018.zip")</f>
        <v>https://climate.onebuilding.org/WMO_Region_6_Europe/ISL_Iceland/VF_Western_Fjords/ISL_VF_Bildudal.AP.040655_TMYx.2004-2018.zip</v>
      </c>
    </row>
    <row r="6718" spans="1:10" x14ac:dyDescent="0.25">
      <c r="A6718" t="s">
        <v>5129</v>
      </c>
      <c r="B6718" t="s">
        <v>5130</v>
      </c>
      <c r="C6718" t="s">
        <v>5159</v>
      </c>
      <c r="D6718" s="1" t="s">
        <v>5160</v>
      </c>
      <c r="E6718" t="s">
        <v>14</v>
      </c>
      <c r="F6718">
        <v>65.641000000000005</v>
      </c>
      <c r="G6718">
        <v>-23.545999999999999</v>
      </c>
      <c r="H6718">
        <v>0</v>
      </c>
      <c r="I6718">
        <v>5.5</v>
      </c>
      <c r="J6718" t="str">
        <f>HYPERLINK("https://climate.onebuilding.org/WMO_Region_6_Europe/ISL_Iceland/VF_Western_Fjords/ISL_VF_Bildudal.AP.040655_TMYx.2007-2021.zip")</f>
        <v>https://climate.onebuilding.org/WMO_Region_6_Europe/ISL_Iceland/VF_Western_Fjords/ISL_VF_Bildudal.AP.040655_TMYx.2007-2021.zip</v>
      </c>
    </row>
    <row r="6719" spans="1:10" x14ac:dyDescent="0.25">
      <c r="A6719" t="s">
        <v>5129</v>
      </c>
      <c r="B6719" t="s">
        <v>5130</v>
      </c>
      <c r="C6719" t="s">
        <v>5159</v>
      </c>
      <c r="D6719" s="1" t="s">
        <v>5160</v>
      </c>
      <c r="E6719" t="s">
        <v>14</v>
      </c>
      <c r="F6719">
        <v>65.641000000000005</v>
      </c>
      <c r="G6719">
        <v>-23.545999999999999</v>
      </c>
      <c r="H6719">
        <v>0</v>
      </c>
      <c r="I6719">
        <v>5.5</v>
      </c>
      <c r="J6719" t="str">
        <f>HYPERLINK("https://climate.onebuilding.org/WMO_Region_6_Europe/ISL_Iceland/VF_Western_Fjords/ISL_VF_Bildudal.AP.040655_TMYx.2009-2023.zip")</f>
        <v>https://climate.onebuilding.org/WMO_Region_6_Europe/ISL_Iceland/VF_Western_Fjords/ISL_VF_Bildudal.AP.040655_TMYx.2009-2023.zip</v>
      </c>
    </row>
    <row r="6720" spans="1:10" x14ac:dyDescent="0.25">
      <c r="A6720" t="s">
        <v>5129</v>
      </c>
      <c r="B6720" t="s">
        <v>5130</v>
      </c>
      <c r="C6720" t="s">
        <v>5159</v>
      </c>
      <c r="D6720" s="1" t="s">
        <v>5160</v>
      </c>
      <c r="E6720" t="s">
        <v>14</v>
      </c>
      <c r="F6720">
        <v>65.641000000000005</v>
      </c>
      <c r="G6720">
        <v>-23.545999999999999</v>
      </c>
      <c r="H6720">
        <v>0</v>
      </c>
      <c r="I6720">
        <v>5.5</v>
      </c>
      <c r="J6720" t="str">
        <f>HYPERLINK("https://climate.onebuilding.org/WMO_Region_6_Europe/ISL_Iceland/VF_Western_Fjords/ISL_VF_Bildudal.AP.040655_TMYx.zip")</f>
        <v>https://climate.onebuilding.org/WMO_Region_6_Europe/ISL_Iceland/VF_Western_Fjords/ISL_VF_Bildudal.AP.040655_TMYx.zip</v>
      </c>
    </row>
    <row r="6721" spans="1:10" x14ac:dyDescent="0.25">
      <c r="A6721" t="s">
        <v>5129</v>
      </c>
      <c r="B6721" t="s">
        <v>713</v>
      </c>
      <c r="C6721" t="s">
        <v>5162</v>
      </c>
      <c r="D6721" s="1" t="s">
        <v>5163</v>
      </c>
      <c r="E6721" t="s">
        <v>5164</v>
      </c>
      <c r="F6721">
        <v>65.632999999999996</v>
      </c>
      <c r="G6721">
        <v>-16.117000000000001</v>
      </c>
      <c r="H6721">
        <v>0</v>
      </c>
      <c r="I6721">
        <v>386</v>
      </c>
      <c r="J6721" t="str">
        <f>HYPERLINK("https://climate.onebuilding.org/WMO_Region_6_Europe/ISL_Iceland/NE_Northland_East/ISL_NE_Grimsstadir.040730_TMYx.2004-2018.zip")</f>
        <v>https://climate.onebuilding.org/WMO_Region_6_Europe/ISL_Iceland/NE_Northland_East/ISL_NE_Grimsstadir.040730_TMYx.2004-2018.zip</v>
      </c>
    </row>
    <row r="6722" spans="1:10" x14ac:dyDescent="0.25">
      <c r="A6722" t="s">
        <v>5129</v>
      </c>
      <c r="B6722" t="s">
        <v>713</v>
      </c>
      <c r="C6722" t="s">
        <v>5162</v>
      </c>
      <c r="D6722" s="1" t="s">
        <v>5163</v>
      </c>
      <c r="E6722" t="s">
        <v>14</v>
      </c>
      <c r="F6722">
        <v>65.632999999999996</v>
      </c>
      <c r="G6722">
        <v>-16.117000000000001</v>
      </c>
      <c r="H6722">
        <v>0</v>
      </c>
      <c r="I6722">
        <v>386</v>
      </c>
      <c r="J6722" t="str">
        <f>HYPERLINK("https://climate.onebuilding.org/WMO_Region_6_Europe/ISL_Iceland/NE_Northland_East/ISL_NE_Grimsstadir.040730_TMYx.2007-2021.zip")</f>
        <v>https://climate.onebuilding.org/WMO_Region_6_Europe/ISL_Iceland/NE_Northland_East/ISL_NE_Grimsstadir.040730_TMYx.2007-2021.zip</v>
      </c>
    </row>
    <row r="6723" spans="1:10" x14ac:dyDescent="0.25">
      <c r="A6723" t="s">
        <v>5129</v>
      </c>
      <c r="B6723" t="s">
        <v>713</v>
      </c>
      <c r="C6723" t="s">
        <v>5162</v>
      </c>
      <c r="D6723" s="1" t="s">
        <v>5163</v>
      </c>
      <c r="E6723" t="s">
        <v>14</v>
      </c>
      <c r="F6723">
        <v>65.632999999999996</v>
      </c>
      <c r="G6723">
        <v>-16.117000000000001</v>
      </c>
      <c r="H6723">
        <v>0</v>
      </c>
      <c r="I6723">
        <v>386</v>
      </c>
      <c r="J6723" t="str">
        <f>HYPERLINK("https://climate.onebuilding.org/WMO_Region_6_Europe/ISL_Iceland/NE_Northland_East/ISL_NE_Grimsstadir.040730_TMYx.2009-2023.zip")</f>
        <v>https://climate.onebuilding.org/WMO_Region_6_Europe/ISL_Iceland/NE_Northland_East/ISL_NE_Grimsstadir.040730_TMYx.2009-2023.zip</v>
      </c>
    </row>
    <row r="6724" spans="1:10" x14ac:dyDescent="0.25">
      <c r="A6724" t="s">
        <v>5129</v>
      </c>
      <c r="B6724" t="s">
        <v>713</v>
      </c>
      <c r="C6724" t="s">
        <v>5162</v>
      </c>
      <c r="D6724" s="1" t="s">
        <v>5163</v>
      </c>
      <c r="E6724" t="s">
        <v>14</v>
      </c>
      <c r="F6724">
        <v>65.632999999999996</v>
      </c>
      <c r="G6724">
        <v>-16.117000000000001</v>
      </c>
      <c r="H6724">
        <v>0</v>
      </c>
      <c r="I6724">
        <v>386</v>
      </c>
      <c r="J6724" t="str">
        <f>HYPERLINK("https://climate.onebuilding.org/WMO_Region_6_Europe/ISL_Iceland/NE_Northland_East/ISL_NE_Grimsstadir.040730_TMYx.zip")</f>
        <v>https://climate.onebuilding.org/WMO_Region_6_Europe/ISL_Iceland/NE_Northland_East/ISL_NE_Grimsstadir.040730_TMYx.zip</v>
      </c>
    </row>
    <row r="6725" spans="1:10" x14ac:dyDescent="0.25">
      <c r="A6725" t="s">
        <v>5129</v>
      </c>
      <c r="B6725" t="s">
        <v>5165</v>
      </c>
      <c r="C6725" t="s">
        <v>5166</v>
      </c>
      <c r="D6725" s="1" t="s">
        <v>5167</v>
      </c>
      <c r="E6725" t="s">
        <v>5168</v>
      </c>
      <c r="F6725">
        <v>64.296000000000006</v>
      </c>
      <c r="G6725">
        <v>-15.227</v>
      </c>
      <c r="H6725">
        <v>0</v>
      </c>
      <c r="I6725">
        <v>7.3</v>
      </c>
      <c r="J6725" t="str">
        <f>HYPERLINK("https://climate.onebuilding.org/WMO_Region_6_Europe/ISL_Iceland/AL_Eastland/ISL_AL_Hornafjordur.AP.040820_TMYx.2004-2018.zip")</f>
        <v>https://climate.onebuilding.org/WMO_Region_6_Europe/ISL_Iceland/AL_Eastland/ISL_AL_Hornafjordur.AP.040820_TMYx.2004-2018.zip</v>
      </c>
    </row>
    <row r="6726" spans="1:10" x14ac:dyDescent="0.25">
      <c r="A6726" t="s">
        <v>5129</v>
      </c>
      <c r="B6726" t="s">
        <v>5165</v>
      </c>
      <c r="C6726" t="s">
        <v>5166</v>
      </c>
      <c r="D6726" s="1" t="s">
        <v>5167</v>
      </c>
      <c r="E6726" t="s">
        <v>14</v>
      </c>
      <c r="F6726">
        <v>64.296000000000006</v>
      </c>
      <c r="G6726">
        <v>-15.227</v>
      </c>
      <c r="H6726">
        <v>0</v>
      </c>
      <c r="I6726">
        <v>7.3</v>
      </c>
      <c r="J6726" t="str">
        <f>HYPERLINK("https://climate.onebuilding.org/WMO_Region_6_Europe/ISL_Iceland/AL_Eastland/ISL_AL_Hornafjordur.AP.040820_TMYx.2007-2021.zip")</f>
        <v>https://climate.onebuilding.org/WMO_Region_6_Europe/ISL_Iceland/AL_Eastland/ISL_AL_Hornafjordur.AP.040820_TMYx.2007-2021.zip</v>
      </c>
    </row>
    <row r="6727" spans="1:10" x14ac:dyDescent="0.25">
      <c r="A6727" t="s">
        <v>5129</v>
      </c>
      <c r="B6727" t="s">
        <v>5165</v>
      </c>
      <c r="C6727" t="s">
        <v>5166</v>
      </c>
      <c r="D6727" s="1" t="s">
        <v>5167</v>
      </c>
      <c r="E6727" t="s">
        <v>14</v>
      </c>
      <c r="F6727">
        <v>64.296000000000006</v>
      </c>
      <c r="G6727">
        <v>-15.227</v>
      </c>
      <c r="H6727">
        <v>0</v>
      </c>
      <c r="I6727">
        <v>7.3</v>
      </c>
      <c r="J6727" t="str">
        <f>HYPERLINK("https://climate.onebuilding.org/WMO_Region_6_Europe/ISL_Iceland/AL_Eastland/ISL_AL_Hornafjordur.AP.040820_TMYx.2009-2023.zip")</f>
        <v>https://climate.onebuilding.org/WMO_Region_6_Europe/ISL_Iceland/AL_Eastland/ISL_AL_Hornafjordur.AP.040820_TMYx.2009-2023.zip</v>
      </c>
    </row>
    <row r="6728" spans="1:10" x14ac:dyDescent="0.25">
      <c r="A6728" t="s">
        <v>5129</v>
      </c>
      <c r="B6728" t="s">
        <v>5165</v>
      </c>
      <c r="C6728" t="s">
        <v>5166</v>
      </c>
      <c r="D6728" s="1" t="s">
        <v>5167</v>
      </c>
      <c r="E6728" t="s">
        <v>14</v>
      </c>
      <c r="F6728">
        <v>64.296000000000006</v>
      </c>
      <c r="G6728">
        <v>-15.227</v>
      </c>
      <c r="H6728">
        <v>0</v>
      </c>
      <c r="I6728">
        <v>7.3</v>
      </c>
      <c r="J6728" t="str">
        <f>HYPERLINK("https://climate.onebuilding.org/WMO_Region_6_Europe/ISL_Iceland/AL_Eastland/ISL_AL_Hornafjordur.AP.040820_TMYx.zip")</f>
        <v>https://climate.onebuilding.org/WMO_Region_6_Europe/ISL_Iceland/AL_Eastland/ISL_AL_Hornafjordur.AP.040820_TMYx.zip</v>
      </c>
    </row>
    <row r="6729" spans="1:10" x14ac:dyDescent="0.25">
      <c r="A6729" t="s">
        <v>5129</v>
      </c>
      <c r="B6729" t="s">
        <v>5165</v>
      </c>
      <c r="C6729" t="s">
        <v>5169</v>
      </c>
      <c r="D6729" s="1" t="s">
        <v>5170</v>
      </c>
      <c r="E6729" t="s">
        <v>5171</v>
      </c>
      <c r="F6729">
        <v>65.75</v>
      </c>
      <c r="G6729">
        <v>-14.833</v>
      </c>
      <c r="H6729">
        <v>0</v>
      </c>
      <c r="I6729">
        <v>48</v>
      </c>
      <c r="J6729" t="str">
        <f>HYPERLINK("https://climate.onebuilding.org/WMO_Region_6_Europe/ISL_Iceland/AL_Eastland/ISL_AL_Skjaldthingsstadir.040850_TMYx.2004-2018.zip")</f>
        <v>https://climate.onebuilding.org/WMO_Region_6_Europe/ISL_Iceland/AL_Eastland/ISL_AL_Skjaldthingsstadir.040850_TMYx.2004-2018.zip</v>
      </c>
    </row>
    <row r="6730" spans="1:10" x14ac:dyDescent="0.25">
      <c r="A6730" t="s">
        <v>5129</v>
      </c>
      <c r="B6730" t="s">
        <v>5165</v>
      </c>
      <c r="C6730" t="s">
        <v>5169</v>
      </c>
      <c r="D6730" s="1" t="s">
        <v>5170</v>
      </c>
      <c r="E6730" t="s">
        <v>14</v>
      </c>
      <c r="F6730">
        <v>65.75</v>
      </c>
      <c r="G6730">
        <v>-14.833</v>
      </c>
      <c r="H6730">
        <v>0</v>
      </c>
      <c r="I6730">
        <v>48</v>
      </c>
      <c r="J6730" t="str">
        <f>HYPERLINK("https://climate.onebuilding.org/WMO_Region_6_Europe/ISL_Iceland/AL_Eastland/ISL_AL_Skjaldthingsstadir.040850_TMYx.2007-2021.zip")</f>
        <v>https://climate.onebuilding.org/WMO_Region_6_Europe/ISL_Iceland/AL_Eastland/ISL_AL_Skjaldthingsstadir.040850_TMYx.2007-2021.zip</v>
      </c>
    </row>
    <row r="6731" spans="1:10" x14ac:dyDescent="0.25">
      <c r="A6731" t="s">
        <v>5129</v>
      </c>
      <c r="B6731" t="s">
        <v>5165</v>
      </c>
      <c r="C6731" t="s">
        <v>5169</v>
      </c>
      <c r="D6731" s="1" t="s">
        <v>5170</v>
      </c>
      <c r="E6731" t="s">
        <v>14</v>
      </c>
      <c r="F6731">
        <v>65.75</v>
      </c>
      <c r="G6731">
        <v>-14.833</v>
      </c>
      <c r="H6731">
        <v>0</v>
      </c>
      <c r="I6731">
        <v>48</v>
      </c>
      <c r="J6731" t="str">
        <f>HYPERLINK("https://climate.onebuilding.org/WMO_Region_6_Europe/ISL_Iceland/AL_Eastland/ISL_AL_Skjaldthingsstadir.040850_TMYx.2009-2023.zip")</f>
        <v>https://climate.onebuilding.org/WMO_Region_6_Europe/ISL_Iceland/AL_Eastland/ISL_AL_Skjaldthingsstadir.040850_TMYx.2009-2023.zip</v>
      </c>
    </row>
    <row r="6732" spans="1:10" x14ac:dyDescent="0.25">
      <c r="A6732" t="s">
        <v>5129</v>
      </c>
      <c r="B6732" t="s">
        <v>5165</v>
      </c>
      <c r="C6732" t="s">
        <v>5169</v>
      </c>
      <c r="D6732" s="1" t="s">
        <v>5170</v>
      </c>
      <c r="E6732" t="s">
        <v>14</v>
      </c>
      <c r="F6732">
        <v>65.75</v>
      </c>
      <c r="G6732">
        <v>-14.833</v>
      </c>
      <c r="H6732">
        <v>0</v>
      </c>
      <c r="I6732">
        <v>48</v>
      </c>
      <c r="J6732" t="str">
        <f>HYPERLINK("https://climate.onebuilding.org/WMO_Region_6_Europe/ISL_Iceland/AL_Eastland/ISL_AL_Skjaldthingsstadir.040850_TMYx.zip")</f>
        <v>https://climate.onebuilding.org/WMO_Region_6_Europe/ISL_Iceland/AL_Eastland/ISL_AL_Skjaldthingsstadir.040850_TMYx.zip</v>
      </c>
    </row>
    <row r="6733" spans="1:10" x14ac:dyDescent="0.25">
      <c r="A6733" t="s">
        <v>5129</v>
      </c>
      <c r="B6733" t="s">
        <v>5165</v>
      </c>
      <c r="C6733" t="s">
        <v>5172</v>
      </c>
      <c r="D6733" s="1" t="s">
        <v>5173</v>
      </c>
      <c r="E6733" t="s">
        <v>5174</v>
      </c>
      <c r="F6733">
        <v>65.283000000000001</v>
      </c>
      <c r="G6733">
        <v>-14.401</v>
      </c>
      <c r="H6733">
        <v>0</v>
      </c>
      <c r="I6733">
        <v>23.2</v>
      </c>
      <c r="J6733" t="str">
        <f>HYPERLINK("https://climate.onebuilding.org/WMO_Region_6_Europe/ISL_Iceland/AL_Eastland/ISL_AL_Egilsstadir.AP.040890_TMYx.2004-2018.zip")</f>
        <v>https://climate.onebuilding.org/WMO_Region_6_Europe/ISL_Iceland/AL_Eastland/ISL_AL_Egilsstadir.AP.040890_TMYx.2004-2018.zip</v>
      </c>
    </row>
    <row r="6734" spans="1:10" x14ac:dyDescent="0.25">
      <c r="A6734" t="s">
        <v>5129</v>
      </c>
      <c r="B6734" t="s">
        <v>5165</v>
      </c>
      <c r="C6734" t="s">
        <v>5172</v>
      </c>
      <c r="D6734" s="1" t="s">
        <v>5173</v>
      </c>
      <c r="E6734" t="s">
        <v>14</v>
      </c>
      <c r="F6734">
        <v>65.283000000000001</v>
      </c>
      <c r="G6734">
        <v>-14.401</v>
      </c>
      <c r="H6734">
        <v>0</v>
      </c>
      <c r="I6734">
        <v>23.2</v>
      </c>
      <c r="J6734" t="str">
        <f>HYPERLINK("https://climate.onebuilding.org/WMO_Region_6_Europe/ISL_Iceland/AL_Eastland/ISL_AL_Egilsstadir.AP.040890_TMYx.2007-2021.zip")</f>
        <v>https://climate.onebuilding.org/WMO_Region_6_Europe/ISL_Iceland/AL_Eastland/ISL_AL_Egilsstadir.AP.040890_TMYx.2007-2021.zip</v>
      </c>
    </row>
    <row r="6735" spans="1:10" x14ac:dyDescent="0.25">
      <c r="A6735" t="s">
        <v>5129</v>
      </c>
      <c r="B6735" t="s">
        <v>5165</v>
      </c>
      <c r="C6735" t="s">
        <v>5172</v>
      </c>
      <c r="D6735" s="1" t="s">
        <v>5173</v>
      </c>
      <c r="E6735" t="s">
        <v>14</v>
      </c>
      <c r="F6735">
        <v>65.283000000000001</v>
      </c>
      <c r="G6735">
        <v>-14.401</v>
      </c>
      <c r="H6735">
        <v>0</v>
      </c>
      <c r="I6735">
        <v>23.2</v>
      </c>
      <c r="J6735" t="str">
        <f>HYPERLINK("https://climate.onebuilding.org/WMO_Region_6_Europe/ISL_Iceland/AL_Eastland/ISL_AL_Egilsstadir.AP.040890_TMYx.2009-2023.zip")</f>
        <v>https://climate.onebuilding.org/WMO_Region_6_Europe/ISL_Iceland/AL_Eastland/ISL_AL_Egilsstadir.AP.040890_TMYx.2009-2023.zip</v>
      </c>
    </row>
    <row r="6736" spans="1:10" x14ac:dyDescent="0.25">
      <c r="A6736" t="s">
        <v>5129</v>
      </c>
      <c r="B6736" t="s">
        <v>5165</v>
      </c>
      <c r="C6736" t="s">
        <v>5172</v>
      </c>
      <c r="D6736" s="1" t="s">
        <v>5173</v>
      </c>
      <c r="E6736" t="s">
        <v>14</v>
      </c>
      <c r="F6736">
        <v>65.283000000000001</v>
      </c>
      <c r="G6736">
        <v>-14.401</v>
      </c>
      <c r="H6736">
        <v>0</v>
      </c>
      <c r="I6736">
        <v>23.2</v>
      </c>
      <c r="J6736" t="str">
        <f>HYPERLINK("https://climate.onebuilding.org/WMO_Region_6_Europe/ISL_Iceland/AL_Eastland/ISL_AL_Egilsstadir.AP.040890_TMYx.zip")</f>
        <v>https://climate.onebuilding.org/WMO_Region_6_Europe/ISL_Iceland/AL_Eastland/ISL_AL_Egilsstadir.AP.040890_TMYx.zip</v>
      </c>
    </row>
    <row r="6737" spans="1:10" x14ac:dyDescent="0.25">
      <c r="A6737" t="s">
        <v>5129</v>
      </c>
      <c r="B6737" t="s">
        <v>5165</v>
      </c>
      <c r="C6737" t="s">
        <v>5175</v>
      </c>
      <c r="D6737" s="1" t="s">
        <v>5176</v>
      </c>
      <c r="E6737" t="s">
        <v>5177</v>
      </c>
      <c r="F6737">
        <v>65.266999999999996</v>
      </c>
      <c r="G6737">
        <v>-13.583</v>
      </c>
      <c r="H6737">
        <v>0</v>
      </c>
      <c r="I6737">
        <v>11</v>
      </c>
      <c r="J6737" t="str">
        <f>HYPERLINK("https://climate.onebuilding.org/WMO_Region_6_Europe/ISL_Iceland/AL_Eastland/ISL_AL_Dalatangi.040970_TMYx.2004-2018.zip")</f>
        <v>https://climate.onebuilding.org/WMO_Region_6_Europe/ISL_Iceland/AL_Eastland/ISL_AL_Dalatangi.040970_TMYx.2004-2018.zip</v>
      </c>
    </row>
    <row r="6738" spans="1:10" x14ac:dyDescent="0.25">
      <c r="A6738" t="s">
        <v>5129</v>
      </c>
      <c r="B6738" t="s">
        <v>5165</v>
      </c>
      <c r="C6738" t="s">
        <v>5175</v>
      </c>
      <c r="D6738" s="1" t="s">
        <v>5176</v>
      </c>
      <c r="E6738" t="s">
        <v>14</v>
      </c>
      <c r="F6738">
        <v>65.266999999999996</v>
      </c>
      <c r="G6738">
        <v>-13.583</v>
      </c>
      <c r="H6738">
        <v>0</v>
      </c>
      <c r="I6738">
        <v>11</v>
      </c>
      <c r="J6738" t="str">
        <f>HYPERLINK("https://climate.onebuilding.org/WMO_Region_6_Europe/ISL_Iceland/AL_Eastland/ISL_AL_Dalatangi.040970_TMYx.2007-2021.zip")</f>
        <v>https://climate.onebuilding.org/WMO_Region_6_Europe/ISL_Iceland/AL_Eastland/ISL_AL_Dalatangi.040970_TMYx.2007-2021.zip</v>
      </c>
    </row>
    <row r="6739" spans="1:10" x14ac:dyDescent="0.25">
      <c r="A6739" t="s">
        <v>5129</v>
      </c>
      <c r="B6739" t="s">
        <v>5165</v>
      </c>
      <c r="C6739" t="s">
        <v>5175</v>
      </c>
      <c r="D6739" s="1" t="s">
        <v>5176</v>
      </c>
      <c r="E6739" t="s">
        <v>14</v>
      </c>
      <c r="F6739">
        <v>65.266999999999996</v>
      </c>
      <c r="G6739">
        <v>-13.583</v>
      </c>
      <c r="H6739">
        <v>0</v>
      </c>
      <c r="I6739">
        <v>11</v>
      </c>
      <c r="J6739" t="str">
        <f>HYPERLINK("https://climate.onebuilding.org/WMO_Region_6_Europe/ISL_Iceland/AL_Eastland/ISL_AL_Dalatangi.040970_TMYx.2009-2023.zip")</f>
        <v>https://climate.onebuilding.org/WMO_Region_6_Europe/ISL_Iceland/AL_Eastland/ISL_AL_Dalatangi.040970_TMYx.2009-2023.zip</v>
      </c>
    </row>
    <row r="6740" spans="1:10" x14ac:dyDescent="0.25">
      <c r="A6740" t="s">
        <v>5129</v>
      </c>
      <c r="B6740" t="s">
        <v>5165</v>
      </c>
      <c r="C6740" t="s">
        <v>5175</v>
      </c>
      <c r="D6740" s="1" t="s">
        <v>5176</v>
      </c>
      <c r="E6740" t="s">
        <v>14</v>
      </c>
      <c r="F6740">
        <v>65.266999999999996</v>
      </c>
      <c r="G6740">
        <v>-13.583</v>
      </c>
      <c r="H6740">
        <v>0</v>
      </c>
      <c r="I6740">
        <v>11</v>
      </c>
      <c r="J6740" t="str">
        <f>HYPERLINK("https://climate.onebuilding.org/WMO_Region_6_Europe/ISL_Iceland/AL_Eastland/ISL_AL_Dalatangi.040970_TMYx.zip")</f>
        <v>https://climate.onebuilding.org/WMO_Region_6_Europe/ISL_Iceland/AL_Eastland/ISL_AL_Dalatangi.040970_TMYx.zip</v>
      </c>
    </row>
    <row r="6741" spans="1:10" x14ac:dyDescent="0.25">
      <c r="A6741" t="s">
        <v>5129</v>
      </c>
      <c r="B6741" t="s">
        <v>5134</v>
      </c>
      <c r="C6741" t="s">
        <v>5178</v>
      </c>
      <c r="D6741" s="1" t="s">
        <v>5179</v>
      </c>
      <c r="E6741" t="s">
        <v>5180</v>
      </c>
      <c r="F6741">
        <v>64.900000000000006</v>
      </c>
      <c r="G6741">
        <v>-23.933</v>
      </c>
      <c r="H6741">
        <v>0</v>
      </c>
      <c r="I6741">
        <v>7</v>
      </c>
      <c r="J6741" t="str">
        <f>HYPERLINK("https://climate.onebuilding.org/WMO_Region_6_Europe/ISL_Iceland/VL_Westland/ISL_VL_Gufuskalar.041040_TMYx.2004-2018.zip")</f>
        <v>https://climate.onebuilding.org/WMO_Region_6_Europe/ISL_Iceland/VL_Westland/ISL_VL_Gufuskalar.041040_TMYx.2004-2018.zip</v>
      </c>
    </row>
    <row r="6742" spans="1:10" x14ac:dyDescent="0.25">
      <c r="A6742" t="s">
        <v>5129</v>
      </c>
      <c r="B6742" t="s">
        <v>5134</v>
      </c>
      <c r="C6742" t="s">
        <v>5178</v>
      </c>
      <c r="D6742" s="1" t="s">
        <v>5179</v>
      </c>
      <c r="E6742" t="s">
        <v>14</v>
      </c>
      <c r="F6742">
        <v>64.900000000000006</v>
      </c>
      <c r="G6742">
        <v>-23.933</v>
      </c>
      <c r="H6742">
        <v>0</v>
      </c>
      <c r="I6742">
        <v>7</v>
      </c>
      <c r="J6742" t="str">
        <f>HYPERLINK("https://climate.onebuilding.org/WMO_Region_6_Europe/ISL_Iceland/VL_Westland/ISL_VL_Gufuskalar.041040_TMYx.2007-2021.zip")</f>
        <v>https://climate.onebuilding.org/WMO_Region_6_Europe/ISL_Iceland/VL_Westland/ISL_VL_Gufuskalar.041040_TMYx.2007-2021.zip</v>
      </c>
    </row>
    <row r="6743" spans="1:10" x14ac:dyDescent="0.25">
      <c r="A6743" t="s">
        <v>5129</v>
      </c>
      <c r="B6743" t="s">
        <v>5134</v>
      </c>
      <c r="C6743" t="s">
        <v>5178</v>
      </c>
      <c r="D6743" s="1" t="s">
        <v>5179</v>
      </c>
      <c r="E6743" t="s">
        <v>14</v>
      </c>
      <c r="F6743">
        <v>64.900000000000006</v>
      </c>
      <c r="G6743">
        <v>-23.933</v>
      </c>
      <c r="H6743">
        <v>0</v>
      </c>
      <c r="I6743">
        <v>7</v>
      </c>
      <c r="J6743" t="str">
        <f>HYPERLINK("https://climate.onebuilding.org/WMO_Region_6_Europe/ISL_Iceland/VL_Westland/ISL_VL_Gufuskalar.041040_TMYx.2009-2023.zip")</f>
        <v>https://climate.onebuilding.org/WMO_Region_6_Europe/ISL_Iceland/VL_Westland/ISL_VL_Gufuskalar.041040_TMYx.2009-2023.zip</v>
      </c>
    </row>
    <row r="6744" spans="1:10" x14ac:dyDescent="0.25">
      <c r="A6744" t="s">
        <v>5129</v>
      </c>
      <c r="B6744" t="s">
        <v>5134</v>
      </c>
      <c r="C6744" t="s">
        <v>5178</v>
      </c>
      <c r="D6744" s="1" t="s">
        <v>5179</v>
      </c>
      <c r="E6744" t="s">
        <v>14</v>
      </c>
      <c r="F6744">
        <v>64.900000000000006</v>
      </c>
      <c r="G6744">
        <v>-23.933</v>
      </c>
      <c r="H6744">
        <v>0</v>
      </c>
      <c r="I6744">
        <v>7</v>
      </c>
      <c r="J6744" t="str">
        <f>HYPERLINK("https://climate.onebuilding.org/WMO_Region_6_Europe/ISL_Iceland/VL_Westland/ISL_VL_Gufuskalar.041040_TMYx.zip")</f>
        <v>https://climate.onebuilding.org/WMO_Region_6_Europe/ISL_Iceland/VL_Westland/ISL_VL_Gufuskalar.041040_TMYx.zip</v>
      </c>
    </row>
    <row r="6745" spans="1:10" x14ac:dyDescent="0.25">
      <c r="A6745" t="s">
        <v>5129</v>
      </c>
      <c r="B6745" t="s">
        <v>5130</v>
      </c>
      <c r="C6745" t="s">
        <v>5181</v>
      </c>
      <c r="D6745" s="1" t="s">
        <v>5182</v>
      </c>
      <c r="E6745" t="s">
        <v>5183</v>
      </c>
      <c r="F6745">
        <v>65.7</v>
      </c>
      <c r="G6745">
        <v>-23.082999999999998</v>
      </c>
      <c r="H6745">
        <v>0</v>
      </c>
      <c r="I6745">
        <v>621</v>
      </c>
      <c r="J6745" t="str">
        <f>HYPERLINK("https://climate.onebuilding.org/WMO_Region_6_Europe/ISL_Iceland/VF_Western_Fjords/ISL_VF_Dynjandiheidi.041150_TMYx.2004-2018.zip")</f>
        <v>https://climate.onebuilding.org/WMO_Region_6_Europe/ISL_Iceland/VF_Western_Fjords/ISL_VF_Dynjandiheidi.041150_TMYx.2004-2018.zip</v>
      </c>
    </row>
    <row r="6746" spans="1:10" x14ac:dyDescent="0.25">
      <c r="A6746" t="s">
        <v>5129</v>
      </c>
      <c r="B6746" t="s">
        <v>5130</v>
      </c>
      <c r="C6746" t="s">
        <v>5181</v>
      </c>
      <c r="D6746" s="1" t="s">
        <v>5182</v>
      </c>
      <c r="E6746" t="s">
        <v>14</v>
      </c>
      <c r="F6746">
        <v>65.7</v>
      </c>
      <c r="G6746">
        <v>-23.082999999999998</v>
      </c>
      <c r="H6746">
        <v>0</v>
      </c>
      <c r="I6746">
        <v>621</v>
      </c>
      <c r="J6746" t="str">
        <f>HYPERLINK("https://climate.onebuilding.org/WMO_Region_6_Europe/ISL_Iceland/VF_Western_Fjords/ISL_VF_Dynjandiheidi.041150_TMYx.2007-2021.zip")</f>
        <v>https://climate.onebuilding.org/WMO_Region_6_Europe/ISL_Iceland/VF_Western_Fjords/ISL_VF_Dynjandiheidi.041150_TMYx.2007-2021.zip</v>
      </c>
    </row>
    <row r="6747" spans="1:10" x14ac:dyDescent="0.25">
      <c r="A6747" t="s">
        <v>5129</v>
      </c>
      <c r="B6747" t="s">
        <v>5130</v>
      </c>
      <c r="C6747" t="s">
        <v>5181</v>
      </c>
      <c r="D6747" s="1" t="s">
        <v>5182</v>
      </c>
      <c r="E6747" t="s">
        <v>14</v>
      </c>
      <c r="F6747">
        <v>65.7</v>
      </c>
      <c r="G6747">
        <v>-23.082999999999998</v>
      </c>
      <c r="H6747">
        <v>0</v>
      </c>
      <c r="I6747">
        <v>621</v>
      </c>
      <c r="J6747" t="str">
        <f>HYPERLINK("https://climate.onebuilding.org/WMO_Region_6_Europe/ISL_Iceland/VF_Western_Fjords/ISL_VF_Dynjandiheidi.041150_TMYx.2009-2023.zip")</f>
        <v>https://climate.onebuilding.org/WMO_Region_6_Europe/ISL_Iceland/VF_Western_Fjords/ISL_VF_Dynjandiheidi.041150_TMYx.2009-2023.zip</v>
      </c>
    </row>
    <row r="6748" spans="1:10" x14ac:dyDescent="0.25">
      <c r="A6748" t="s">
        <v>5129</v>
      </c>
      <c r="B6748" t="s">
        <v>5130</v>
      </c>
      <c r="C6748" t="s">
        <v>5181</v>
      </c>
      <c r="D6748" s="1" t="s">
        <v>5182</v>
      </c>
      <c r="E6748" t="s">
        <v>14</v>
      </c>
      <c r="F6748">
        <v>65.7</v>
      </c>
      <c r="G6748">
        <v>-23.082999999999998</v>
      </c>
      <c r="H6748">
        <v>0</v>
      </c>
      <c r="I6748">
        <v>621</v>
      </c>
      <c r="J6748" t="str">
        <f>HYPERLINK("https://climate.onebuilding.org/WMO_Region_6_Europe/ISL_Iceland/VF_Western_Fjords/ISL_VF_Dynjandiheidi.041150_TMYx.zip")</f>
        <v>https://climate.onebuilding.org/WMO_Region_6_Europe/ISL_Iceland/VF_Western_Fjords/ISL_VF_Dynjandiheidi.041150_TMYx.zip</v>
      </c>
    </row>
    <row r="6749" spans="1:10" x14ac:dyDescent="0.25">
      <c r="A6749" t="s">
        <v>5129</v>
      </c>
      <c r="B6749" t="s">
        <v>5130</v>
      </c>
      <c r="C6749" t="s">
        <v>5184</v>
      </c>
      <c r="D6749" s="1" t="s">
        <v>5185</v>
      </c>
      <c r="E6749" t="s">
        <v>5186</v>
      </c>
      <c r="F6749">
        <v>66.417000000000002</v>
      </c>
      <c r="G6749">
        <v>-22.382999999999999</v>
      </c>
      <c r="H6749">
        <v>0</v>
      </c>
      <c r="I6749">
        <v>22</v>
      </c>
      <c r="J6749" t="str">
        <f>HYPERLINK("https://climate.onebuilding.org/WMO_Region_6_Europe/ISL_Iceland/VF_Western_Fjords/ISL_VF_Hornbjargsviti.041230_TMYx.2004-2018.zip")</f>
        <v>https://climate.onebuilding.org/WMO_Region_6_Europe/ISL_Iceland/VF_Western_Fjords/ISL_VF_Hornbjargsviti.041230_TMYx.2004-2018.zip</v>
      </c>
    </row>
    <row r="6750" spans="1:10" x14ac:dyDescent="0.25">
      <c r="A6750" t="s">
        <v>5129</v>
      </c>
      <c r="B6750" t="s">
        <v>5130</v>
      </c>
      <c r="C6750" t="s">
        <v>5184</v>
      </c>
      <c r="D6750" s="1" t="s">
        <v>5185</v>
      </c>
      <c r="E6750" t="s">
        <v>14</v>
      </c>
      <c r="F6750">
        <v>66.417000000000002</v>
      </c>
      <c r="G6750">
        <v>-22.382999999999999</v>
      </c>
      <c r="H6750">
        <v>0</v>
      </c>
      <c r="I6750">
        <v>22</v>
      </c>
      <c r="J6750" t="str">
        <f>HYPERLINK("https://climate.onebuilding.org/WMO_Region_6_Europe/ISL_Iceland/VF_Western_Fjords/ISL_VF_Hornbjargsviti.041230_TMYx.2007-2021.zip")</f>
        <v>https://climate.onebuilding.org/WMO_Region_6_Europe/ISL_Iceland/VF_Western_Fjords/ISL_VF_Hornbjargsviti.041230_TMYx.2007-2021.zip</v>
      </c>
    </row>
    <row r="6751" spans="1:10" x14ac:dyDescent="0.25">
      <c r="A6751" t="s">
        <v>5129</v>
      </c>
      <c r="B6751" t="s">
        <v>5130</v>
      </c>
      <c r="C6751" t="s">
        <v>5184</v>
      </c>
      <c r="D6751" s="1" t="s">
        <v>5185</v>
      </c>
      <c r="E6751" t="s">
        <v>14</v>
      </c>
      <c r="F6751">
        <v>66.417000000000002</v>
      </c>
      <c r="G6751">
        <v>-22.382999999999999</v>
      </c>
      <c r="H6751">
        <v>0</v>
      </c>
      <c r="I6751">
        <v>22</v>
      </c>
      <c r="J6751" t="str">
        <f>HYPERLINK("https://climate.onebuilding.org/WMO_Region_6_Europe/ISL_Iceland/VF_Western_Fjords/ISL_VF_Hornbjargsviti.041230_TMYx.2009-2023.zip")</f>
        <v>https://climate.onebuilding.org/WMO_Region_6_Europe/ISL_Iceland/VF_Western_Fjords/ISL_VF_Hornbjargsviti.041230_TMYx.2009-2023.zip</v>
      </c>
    </row>
    <row r="6752" spans="1:10" x14ac:dyDescent="0.25">
      <c r="A6752" t="s">
        <v>5129</v>
      </c>
      <c r="B6752" t="s">
        <v>5130</v>
      </c>
      <c r="C6752" t="s">
        <v>5184</v>
      </c>
      <c r="D6752" s="1" t="s">
        <v>5185</v>
      </c>
      <c r="E6752" t="s">
        <v>14</v>
      </c>
      <c r="F6752">
        <v>66.417000000000002</v>
      </c>
      <c r="G6752">
        <v>-22.382999999999999</v>
      </c>
      <c r="H6752">
        <v>0</v>
      </c>
      <c r="I6752">
        <v>22</v>
      </c>
      <c r="J6752" t="str">
        <f>HYPERLINK("https://climate.onebuilding.org/WMO_Region_6_Europe/ISL_Iceland/VF_Western_Fjords/ISL_VF_Hornbjargsviti.041230_TMYx.zip")</f>
        <v>https://climate.onebuilding.org/WMO_Region_6_Europe/ISL_Iceland/VF_Western_Fjords/ISL_VF_Hornbjargsviti.041230_TMYx.zip</v>
      </c>
    </row>
    <row r="6753" spans="1:10" x14ac:dyDescent="0.25">
      <c r="A6753" t="s">
        <v>5129</v>
      </c>
      <c r="B6753" t="s">
        <v>681</v>
      </c>
      <c r="C6753" t="s">
        <v>5187</v>
      </c>
      <c r="D6753" s="1" t="s">
        <v>5188</v>
      </c>
      <c r="E6753" t="s">
        <v>5189</v>
      </c>
      <c r="F6753">
        <v>64.132999999999996</v>
      </c>
      <c r="G6753">
        <v>-21.9</v>
      </c>
      <c r="H6753">
        <v>0</v>
      </c>
      <c r="I6753">
        <v>53</v>
      </c>
      <c r="J6753" t="str">
        <f>HYPERLINK("https://climate.onebuilding.org/WMO_Region_6_Europe/ISL_Iceland/HO_Capital/ISL_HO_Reykjavik.041300_TMYx.2004-2018.zip")</f>
        <v>https://climate.onebuilding.org/WMO_Region_6_Europe/ISL_Iceland/HO_Capital/ISL_HO_Reykjavik.041300_TMYx.2004-2018.zip</v>
      </c>
    </row>
    <row r="6754" spans="1:10" x14ac:dyDescent="0.25">
      <c r="A6754" t="s">
        <v>5129</v>
      </c>
      <c r="B6754" t="s">
        <v>681</v>
      </c>
      <c r="C6754" t="s">
        <v>5187</v>
      </c>
      <c r="D6754" s="1" t="s">
        <v>5188</v>
      </c>
      <c r="E6754" t="s">
        <v>14</v>
      </c>
      <c r="F6754">
        <v>64.132999999999996</v>
      </c>
      <c r="G6754">
        <v>-21.9</v>
      </c>
      <c r="H6754">
        <v>0</v>
      </c>
      <c r="I6754">
        <v>53</v>
      </c>
      <c r="J6754" t="str">
        <f>HYPERLINK("https://climate.onebuilding.org/WMO_Region_6_Europe/ISL_Iceland/HO_Capital/ISL_HO_Reykjavik.041300_TMYx.2007-2021.zip")</f>
        <v>https://climate.onebuilding.org/WMO_Region_6_Europe/ISL_Iceland/HO_Capital/ISL_HO_Reykjavik.041300_TMYx.2007-2021.zip</v>
      </c>
    </row>
    <row r="6755" spans="1:10" x14ac:dyDescent="0.25">
      <c r="A6755" t="s">
        <v>5129</v>
      </c>
      <c r="B6755" t="s">
        <v>681</v>
      </c>
      <c r="C6755" t="s">
        <v>5187</v>
      </c>
      <c r="D6755" s="1" t="s">
        <v>5188</v>
      </c>
      <c r="E6755" t="s">
        <v>14</v>
      </c>
      <c r="F6755">
        <v>64.132999999999996</v>
      </c>
      <c r="G6755">
        <v>-21.9</v>
      </c>
      <c r="H6755">
        <v>0</v>
      </c>
      <c r="I6755">
        <v>53</v>
      </c>
      <c r="J6755" t="str">
        <f>HYPERLINK("https://climate.onebuilding.org/WMO_Region_6_Europe/ISL_Iceland/HO_Capital/ISL_HO_Reykjavik.041300_TMYx.2009-2023.zip")</f>
        <v>https://climate.onebuilding.org/WMO_Region_6_Europe/ISL_Iceland/HO_Capital/ISL_HO_Reykjavik.041300_TMYx.2009-2023.zip</v>
      </c>
    </row>
    <row r="6756" spans="1:10" x14ac:dyDescent="0.25">
      <c r="A6756" t="s">
        <v>5129</v>
      </c>
      <c r="B6756" t="s">
        <v>681</v>
      </c>
      <c r="C6756" t="s">
        <v>5187</v>
      </c>
      <c r="D6756" s="1" t="s">
        <v>5188</v>
      </c>
      <c r="E6756" t="s">
        <v>14</v>
      </c>
      <c r="F6756">
        <v>64.132999999999996</v>
      </c>
      <c r="G6756">
        <v>-21.9</v>
      </c>
      <c r="H6756">
        <v>0</v>
      </c>
      <c r="I6756">
        <v>53</v>
      </c>
      <c r="J6756" t="str">
        <f>HYPERLINK("https://climate.onebuilding.org/WMO_Region_6_Europe/ISL_Iceland/HO_Capital/ISL_HO_Reykjavik.041300_TMYx.zip")</f>
        <v>https://climate.onebuilding.org/WMO_Region_6_Europe/ISL_Iceland/HO_Capital/ISL_HO_Reykjavik.041300_TMYx.zip</v>
      </c>
    </row>
    <row r="6757" spans="1:10" x14ac:dyDescent="0.25">
      <c r="A6757" t="s">
        <v>5129</v>
      </c>
      <c r="B6757" t="s">
        <v>713</v>
      </c>
      <c r="C6757" t="s">
        <v>5190</v>
      </c>
      <c r="D6757" s="1" t="s">
        <v>5191</v>
      </c>
      <c r="E6757" t="s">
        <v>5192</v>
      </c>
      <c r="F6757">
        <v>65.683000000000007</v>
      </c>
      <c r="G6757">
        <v>-18.117000000000001</v>
      </c>
      <c r="H6757">
        <v>0</v>
      </c>
      <c r="I6757">
        <v>31</v>
      </c>
      <c r="J6757" t="str">
        <f>HYPERLINK("https://climate.onebuilding.org/WMO_Region_6_Europe/ISL_Iceland/NE_Northland_East/ISL_NE_Akureyri.2.041370_TMYx.2004-2018.zip")</f>
        <v>https://climate.onebuilding.org/WMO_Region_6_Europe/ISL_Iceland/NE_Northland_East/ISL_NE_Akureyri.2.041370_TMYx.2004-2018.zip</v>
      </c>
    </row>
    <row r="6758" spans="1:10" x14ac:dyDescent="0.25">
      <c r="A6758" t="s">
        <v>5129</v>
      </c>
      <c r="B6758" t="s">
        <v>713</v>
      </c>
      <c r="C6758" t="s">
        <v>5190</v>
      </c>
      <c r="D6758" s="1" t="s">
        <v>5191</v>
      </c>
      <c r="E6758" t="s">
        <v>14</v>
      </c>
      <c r="F6758">
        <v>65.696100000000001</v>
      </c>
      <c r="G6758">
        <v>-18.1113</v>
      </c>
      <c r="H6758">
        <v>0</v>
      </c>
      <c r="I6758">
        <v>31</v>
      </c>
      <c r="J6758" t="str">
        <f>HYPERLINK("https://climate.onebuilding.org/WMO_Region_6_Europe/ISL_Iceland/NE_Northland_East/ISL_NE_Akureyri.2.041370_TMYx.2007-2021.zip")</f>
        <v>https://climate.onebuilding.org/WMO_Region_6_Europe/ISL_Iceland/NE_Northland_East/ISL_NE_Akureyri.2.041370_TMYx.2007-2021.zip</v>
      </c>
    </row>
    <row r="6759" spans="1:10" x14ac:dyDescent="0.25">
      <c r="A6759" t="s">
        <v>5129</v>
      </c>
      <c r="B6759" t="s">
        <v>713</v>
      </c>
      <c r="C6759" t="s">
        <v>5190</v>
      </c>
      <c r="D6759" s="1" t="s">
        <v>5191</v>
      </c>
      <c r="E6759" t="s">
        <v>14</v>
      </c>
      <c r="F6759">
        <v>65.696100000000001</v>
      </c>
      <c r="G6759">
        <v>-18.1113</v>
      </c>
      <c r="H6759">
        <v>0</v>
      </c>
      <c r="I6759">
        <v>31</v>
      </c>
      <c r="J6759" t="str">
        <f>HYPERLINK("https://climate.onebuilding.org/WMO_Region_6_Europe/ISL_Iceland/NE_Northland_East/ISL_NE_Akureyri.2.041370_TMYx.2009-2023.zip")</f>
        <v>https://climate.onebuilding.org/WMO_Region_6_Europe/ISL_Iceland/NE_Northland_East/ISL_NE_Akureyri.2.041370_TMYx.2009-2023.zip</v>
      </c>
    </row>
    <row r="6760" spans="1:10" x14ac:dyDescent="0.25">
      <c r="A6760" t="s">
        <v>5129</v>
      </c>
      <c r="B6760" t="s">
        <v>713</v>
      </c>
      <c r="C6760" t="s">
        <v>5190</v>
      </c>
      <c r="D6760" s="1" t="s">
        <v>5191</v>
      </c>
      <c r="E6760" t="s">
        <v>14</v>
      </c>
      <c r="F6760">
        <v>65.696100000000001</v>
      </c>
      <c r="G6760">
        <v>-18.1113</v>
      </c>
      <c r="H6760">
        <v>0</v>
      </c>
      <c r="I6760">
        <v>31</v>
      </c>
      <c r="J6760" t="str">
        <f>HYPERLINK("https://climate.onebuilding.org/WMO_Region_6_Europe/ISL_Iceland/NE_Northland_East/ISL_NE_Akureyri.2.041370_TMYx.zip")</f>
        <v>https://climate.onebuilding.org/WMO_Region_6_Europe/ISL_Iceland/NE_Northland_East/ISL_NE_Akureyri.2.041370_TMYx.zip</v>
      </c>
    </row>
    <row r="6761" spans="1:10" x14ac:dyDescent="0.25">
      <c r="A6761" t="s">
        <v>5129</v>
      </c>
      <c r="B6761" t="s">
        <v>5150</v>
      </c>
      <c r="C6761" t="s">
        <v>5193</v>
      </c>
      <c r="D6761" s="1" t="s">
        <v>5194</v>
      </c>
      <c r="E6761" t="s">
        <v>5195</v>
      </c>
      <c r="F6761">
        <v>65.667000000000002</v>
      </c>
      <c r="G6761">
        <v>-20.3</v>
      </c>
      <c r="H6761">
        <v>0</v>
      </c>
      <c r="I6761">
        <v>22</v>
      </c>
      <c r="J6761" t="str">
        <f>HYPERLINK("https://climate.onebuilding.org/WMO_Region_6_Europe/ISL_Iceland/NV_Northland_West/ISL_NV_Blonduos.041450_TMYx.2004-2018.zip")</f>
        <v>https://climate.onebuilding.org/WMO_Region_6_Europe/ISL_Iceland/NV_Northland_West/ISL_NV_Blonduos.041450_TMYx.2004-2018.zip</v>
      </c>
    </row>
    <row r="6762" spans="1:10" x14ac:dyDescent="0.25">
      <c r="A6762" t="s">
        <v>5129</v>
      </c>
      <c r="B6762" t="s">
        <v>5150</v>
      </c>
      <c r="C6762" t="s">
        <v>5193</v>
      </c>
      <c r="D6762" s="1" t="s">
        <v>5194</v>
      </c>
      <c r="E6762" t="s">
        <v>14</v>
      </c>
      <c r="F6762">
        <v>65.667000000000002</v>
      </c>
      <c r="G6762">
        <v>-20.3</v>
      </c>
      <c r="H6762">
        <v>0</v>
      </c>
      <c r="I6762">
        <v>22</v>
      </c>
      <c r="J6762" t="str">
        <f>HYPERLINK("https://climate.onebuilding.org/WMO_Region_6_Europe/ISL_Iceland/NV_Northland_West/ISL_NV_Blonduos.041450_TMYx.2007-2021.zip")</f>
        <v>https://climate.onebuilding.org/WMO_Region_6_Europe/ISL_Iceland/NV_Northland_West/ISL_NV_Blonduos.041450_TMYx.2007-2021.zip</v>
      </c>
    </row>
    <row r="6763" spans="1:10" x14ac:dyDescent="0.25">
      <c r="A6763" t="s">
        <v>5129</v>
      </c>
      <c r="B6763" t="s">
        <v>5150</v>
      </c>
      <c r="C6763" t="s">
        <v>5193</v>
      </c>
      <c r="D6763" s="1" t="s">
        <v>5194</v>
      </c>
      <c r="E6763" t="s">
        <v>14</v>
      </c>
      <c r="F6763">
        <v>65.667000000000002</v>
      </c>
      <c r="G6763">
        <v>-20.3</v>
      </c>
      <c r="H6763">
        <v>0</v>
      </c>
      <c r="I6763">
        <v>22</v>
      </c>
      <c r="J6763" t="str">
        <f>HYPERLINK("https://climate.onebuilding.org/WMO_Region_6_Europe/ISL_Iceland/NV_Northland_West/ISL_NV_Blonduos.041450_TMYx.2009-2023.zip")</f>
        <v>https://climate.onebuilding.org/WMO_Region_6_Europe/ISL_Iceland/NV_Northland_West/ISL_NV_Blonduos.041450_TMYx.2009-2023.zip</v>
      </c>
    </row>
    <row r="6764" spans="1:10" x14ac:dyDescent="0.25">
      <c r="A6764" t="s">
        <v>5129</v>
      </c>
      <c r="B6764" t="s">
        <v>5150</v>
      </c>
      <c r="C6764" t="s">
        <v>5193</v>
      </c>
      <c r="D6764" s="1" t="s">
        <v>5194</v>
      </c>
      <c r="E6764" t="s">
        <v>14</v>
      </c>
      <c r="F6764">
        <v>65.667000000000002</v>
      </c>
      <c r="G6764">
        <v>-20.3</v>
      </c>
      <c r="H6764">
        <v>0</v>
      </c>
      <c r="I6764">
        <v>22</v>
      </c>
      <c r="J6764" t="str">
        <f>HYPERLINK("https://climate.onebuilding.org/WMO_Region_6_Europe/ISL_Iceland/NV_Northland_West/ISL_NV_Blonduos.041450_TMYx.zip")</f>
        <v>https://climate.onebuilding.org/WMO_Region_6_Europe/ISL_Iceland/NV_Northland_West/ISL_NV_Blonduos.041450_TMYx.zip</v>
      </c>
    </row>
    <row r="6765" spans="1:10" x14ac:dyDescent="0.25">
      <c r="A6765" t="s">
        <v>5129</v>
      </c>
      <c r="B6765" t="s">
        <v>475</v>
      </c>
      <c r="C6765" t="s">
        <v>5196</v>
      </c>
      <c r="D6765" s="1" t="s">
        <v>5197</v>
      </c>
      <c r="E6765" t="s">
        <v>5198</v>
      </c>
      <c r="F6765">
        <v>63.433</v>
      </c>
      <c r="G6765">
        <v>-20.283000000000001</v>
      </c>
      <c r="H6765">
        <v>0</v>
      </c>
      <c r="I6765">
        <v>40</v>
      </c>
      <c r="J6765" t="str">
        <f>HYPERLINK("https://climate.onebuilding.org/WMO_Region_6_Europe/ISL_Iceland/SL_Southland/ISL_SL_Vestmannaeyjabaer.041460_TMYx.2004-2018.zip")</f>
        <v>https://climate.onebuilding.org/WMO_Region_6_Europe/ISL_Iceland/SL_Southland/ISL_SL_Vestmannaeyjabaer.041460_TMYx.2004-2018.zip</v>
      </c>
    </row>
    <row r="6766" spans="1:10" x14ac:dyDescent="0.25">
      <c r="A6766" t="s">
        <v>5129</v>
      </c>
      <c r="B6766" t="s">
        <v>475</v>
      </c>
      <c r="C6766" t="s">
        <v>5196</v>
      </c>
      <c r="D6766" s="1" t="s">
        <v>5197</v>
      </c>
      <c r="E6766" t="s">
        <v>14</v>
      </c>
      <c r="F6766">
        <v>63.433</v>
      </c>
      <c r="G6766">
        <v>-20.283000000000001</v>
      </c>
      <c r="H6766">
        <v>0</v>
      </c>
      <c r="I6766">
        <v>40</v>
      </c>
      <c r="J6766" t="str">
        <f>HYPERLINK("https://climate.onebuilding.org/WMO_Region_6_Europe/ISL_Iceland/SL_Southland/ISL_SL_Vestmannaeyjabaer.041460_TMYx.2007-2021.zip")</f>
        <v>https://climate.onebuilding.org/WMO_Region_6_Europe/ISL_Iceland/SL_Southland/ISL_SL_Vestmannaeyjabaer.041460_TMYx.2007-2021.zip</v>
      </c>
    </row>
    <row r="6767" spans="1:10" x14ac:dyDescent="0.25">
      <c r="A6767" t="s">
        <v>5129</v>
      </c>
      <c r="B6767" t="s">
        <v>475</v>
      </c>
      <c r="C6767" t="s">
        <v>5196</v>
      </c>
      <c r="D6767" s="1" t="s">
        <v>5197</v>
      </c>
      <c r="E6767" t="s">
        <v>14</v>
      </c>
      <c r="F6767">
        <v>63.433</v>
      </c>
      <c r="G6767">
        <v>-20.283000000000001</v>
      </c>
      <c r="H6767">
        <v>0</v>
      </c>
      <c r="I6767">
        <v>40</v>
      </c>
      <c r="J6767" t="str">
        <f>HYPERLINK("https://climate.onebuilding.org/WMO_Region_6_Europe/ISL_Iceland/SL_Southland/ISL_SL_Vestmannaeyjabaer.041460_TMYx.2009-2023.zip")</f>
        <v>https://climate.onebuilding.org/WMO_Region_6_Europe/ISL_Iceland/SL_Southland/ISL_SL_Vestmannaeyjabaer.041460_TMYx.2009-2023.zip</v>
      </c>
    </row>
    <row r="6768" spans="1:10" x14ac:dyDescent="0.25">
      <c r="A6768" t="s">
        <v>5129</v>
      </c>
      <c r="B6768" t="s">
        <v>475</v>
      </c>
      <c r="C6768" t="s">
        <v>5196</v>
      </c>
      <c r="D6768" s="1" t="s">
        <v>5197</v>
      </c>
      <c r="E6768" t="s">
        <v>14</v>
      </c>
      <c r="F6768">
        <v>63.433</v>
      </c>
      <c r="G6768">
        <v>-20.283000000000001</v>
      </c>
      <c r="H6768">
        <v>0</v>
      </c>
      <c r="I6768">
        <v>40</v>
      </c>
      <c r="J6768" t="str">
        <f>HYPERLINK("https://climate.onebuilding.org/WMO_Region_6_Europe/ISL_Iceland/SL_Southland/ISL_SL_Vestmannaeyjabaer.041460_TMYx.zip")</f>
        <v>https://climate.onebuilding.org/WMO_Region_6_Europe/ISL_Iceland/SL_Southland/ISL_SL_Vestmannaeyjabaer.041460_TMYx.zip</v>
      </c>
    </row>
    <row r="6769" spans="1:10" x14ac:dyDescent="0.25">
      <c r="A6769" t="s">
        <v>5129</v>
      </c>
      <c r="B6769" t="s">
        <v>5150</v>
      </c>
      <c r="C6769" t="s">
        <v>5199</v>
      </c>
      <c r="D6769" s="1" t="s">
        <v>5200</v>
      </c>
      <c r="E6769" t="s">
        <v>5201</v>
      </c>
      <c r="F6769">
        <v>64.867000000000004</v>
      </c>
      <c r="G6769">
        <v>-19.567</v>
      </c>
      <c r="H6769">
        <v>0</v>
      </c>
      <c r="I6769">
        <v>641</v>
      </c>
      <c r="J6769" t="str">
        <f>HYPERLINK("https://climate.onebuilding.org/WMO_Region_6_Europe/ISL_Iceland/NV_Northland_West/ISL_NV_Hveravellir.041560_TMYx.2004-2018.zip")</f>
        <v>https://climate.onebuilding.org/WMO_Region_6_Europe/ISL_Iceland/NV_Northland_West/ISL_NV_Hveravellir.041560_TMYx.2004-2018.zip</v>
      </c>
    </row>
    <row r="6770" spans="1:10" x14ac:dyDescent="0.25">
      <c r="A6770" t="s">
        <v>5129</v>
      </c>
      <c r="B6770" t="s">
        <v>5150</v>
      </c>
      <c r="C6770" t="s">
        <v>5199</v>
      </c>
      <c r="D6770" s="1" t="s">
        <v>5200</v>
      </c>
      <c r="E6770" t="s">
        <v>14</v>
      </c>
      <c r="F6770">
        <v>64.867000000000004</v>
      </c>
      <c r="G6770">
        <v>-19.567</v>
      </c>
      <c r="H6770">
        <v>0</v>
      </c>
      <c r="I6770">
        <v>641</v>
      </c>
      <c r="J6770" t="str">
        <f>HYPERLINK("https://climate.onebuilding.org/WMO_Region_6_Europe/ISL_Iceland/NV_Northland_West/ISL_NV_Hveravellir.041560_TMYx.2007-2021.zip")</f>
        <v>https://climate.onebuilding.org/WMO_Region_6_Europe/ISL_Iceland/NV_Northland_West/ISL_NV_Hveravellir.041560_TMYx.2007-2021.zip</v>
      </c>
    </row>
    <row r="6771" spans="1:10" x14ac:dyDescent="0.25">
      <c r="A6771" t="s">
        <v>5129</v>
      </c>
      <c r="B6771" t="s">
        <v>5150</v>
      </c>
      <c r="C6771" t="s">
        <v>5199</v>
      </c>
      <c r="D6771" s="1" t="s">
        <v>5200</v>
      </c>
      <c r="E6771" t="s">
        <v>14</v>
      </c>
      <c r="F6771">
        <v>64.867000000000004</v>
      </c>
      <c r="G6771">
        <v>-19.567</v>
      </c>
      <c r="H6771">
        <v>0</v>
      </c>
      <c r="I6771">
        <v>641</v>
      </c>
      <c r="J6771" t="str">
        <f>HYPERLINK("https://climate.onebuilding.org/WMO_Region_6_Europe/ISL_Iceland/NV_Northland_West/ISL_NV_Hveravellir.041560_TMYx.2009-2023.zip")</f>
        <v>https://climate.onebuilding.org/WMO_Region_6_Europe/ISL_Iceland/NV_Northland_West/ISL_NV_Hveravellir.041560_TMYx.2009-2023.zip</v>
      </c>
    </row>
    <row r="6772" spans="1:10" x14ac:dyDescent="0.25">
      <c r="A6772" t="s">
        <v>5129</v>
      </c>
      <c r="B6772" t="s">
        <v>5150</v>
      </c>
      <c r="C6772" t="s">
        <v>5199</v>
      </c>
      <c r="D6772" s="1" t="s">
        <v>5200</v>
      </c>
      <c r="E6772" t="s">
        <v>14</v>
      </c>
      <c r="F6772">
        <v>64.867000000000004</v>
      </c>
      <c r="G6772">
        <v>-19.567</v>
      </c>
      <c r="H6772">
        <v>0</v>
      </c>
      <c r="I6772">
        <v>641</v>
      </c>
      <c r="J6772" t="str">
        <f>HYPERLINK("https://climate.onebuilding.org/WMO_Region_6_Europe/ISL_Iceland/NV_Northland_West/ISL_NV_Hveravellir.041560_TMYx.zip")</f>
        <v>https://climate.onebuilding.org/WMO_Region_6_Europe/ISL_Iceland/NV_Northland_West/ISL_NV_Hveravellir.041560_TMYx.zip</v>
      </c>
    </row>
    <row r="6773" spans="1:10" x14ac:dyDescent="0.25">
      <c r="A6773" t="s">
        <v>5129</v>
      </c>
      <c r="B6773" t="s">
        <v>713</v>
      </c>
      <c r="C6773" t="s">
        <v>5202</v>
      </c>
      <c r="D6773" s="1" t="s">
        <v>5203</v>
      </c>
      <c r="E6773" t="s">
        <v>5204</v>
      </c>
      <c r="F6773">
        <v>66.533000000000001</v>
      </c>
      <c r="G6773">
        <v>-18.016999999999999</v>
      </c>
      <c r="H6773">
        <v>0</v>
      </c>
      <c r="I6773">
        <v>17</v>
      </c>
      <c r="J6773" t="str">
        <f>HYPERLINK("https://climate.onebuilding.org/WMO_Region_6_Europe/ISL_Iceland/NE_Northland_East/ISL_NE_Grimsey.AP-Grimsey.Island.041650_TMYx.2004-2018.zip")</f>
        <v>https://climate.onebuilding.org/WMO_Region_6_Europe/ISL_Iceland/NE_Northland_East/ISL_NE_Grimsey.AP-Grimsey.Island.041650_TMYx.2004-2018.zip</v>
      </c>
    </row>
    <row r="6774" spans="1:10" x14ac:dyDescent="0.25">
      <c r="A6774" t="s">
        <v>5129</v>
      </c>
      <c r="B6774" t="s">
        <v>713</v>
      </c>
      <c r="C6774" t="s">
        <v>5202</v>
      </c>
      <c r="D6774" s="1" t="s">
        <v>5203</v>
      </c>
      <c r="E6774" t="s">
        <v>14</v>
      </c>
      <c r="F6774">
        <v>66.543999999999997</v>
      </c>
      <c r="G6774">
        <v>-18.016999999999999</v>
      </c>
      <c r="H6774">
        <v>0</v>
      </c>
      <c r="I6774">
        <v>17</v>
      </c>
      <c r="J6774" t="str">
        <f>HYPERLINK("https://climate.onebuilding.org/WMO_Region_6_Europe/ISL_Iceland/NE_Northland_East/ISL_NE_Grimsey.AP-Grimsey.Island.041650_TMYx.2007-2021.zip")</f>
        <v>https://climate.onebuilding.org/WMO_Region_6_Europe/ISL_Iceland/NE_Northland_East/ISL_NE_Grimsey.AP-Grimsey.Island.041650_TMYx.2007-2021.zip</v>
      </c>
    </row>
    <row r="6775" spans="1:10" x14ac:dyDescent="0.25">
      <c r="A6775" t="s">
        <v>5129</v>
      </c>
      <c r="B6775" t="s">
        <v>713</v>
      </c>
      <c r="C6775" t="s">
        <v>5202</v>
      </c>
      <c r="D6775" s="1" t="s">
        <v>5203</v>
      </c>
      <c r="E6775" t="s">
        <v>14</v>
      </c>
      <c r="F6775">
        <v>66.543999999999997</v>
      </c>
      <c r="G6775">
        <v>-18.016999999999999</v>
      </c>
      <c r="H6775">
        <v>0</v>
      </c>
      <c r="I6775">
        <v>17</v>
      </c>
      <c r="J6775" t="str">
        <f>HYPERLINK("https://climate.onebuilding.org/WMO_Region_6_Europe/ISL_Iceland/NE_Northland_East/ISL_NE_Grimsey.AP-Grimsey.Island.041650_TMYx.2009-2023.zip")</f>
        <v>https://climate.onebuilding.org/WMO_Region_6_Europe/ISL_Iceland/NE_Northland_East/ISL_NE_Grimsey.AP-Grimsey.Island.041650_TMYx.2009-2023.zip</v>
      </c>
    </row>
    <row r="6776" spans="1:10" x14ac:dyDescent="0.25">
      <c r="A6776" t="s">
        <v>5129</v>
      </c>
      <c r="B6776" t="s">
        <v>713</v>
      </c>
      <c r="C6776" t="s">
        <v>5202</v>
      </c>
      <c r="D6776" s="1" t="s">
        <v>5203</v>
      </c>
      <c r="E6776" t="s">
        <v>14</v>
      </c>
      <c r="F6776">
        <v>66.543999999999997</v>
      </c>
      <c r="G6776">
        <v>-18.016999999999999</v>
      </c>
      <c r="H6776">
        <v>0</v>
      </c>
      <c r="I6776">
        <v>17</v>
      </c>
      <c r="J6776" t="str">
        <f>HYPERLINK("https://climate.onebuilding.org/WMO_Region_6_Europe/ISL_Iceland/NE_Northland_East/ISL_NE_Grimsey.AP-Grimsey.Island.041650_TMYx.zip")</f>
        <v>https://climate.onebuilding.org/WMO_Region_6_Europe/ISL_Iceland/NE_Northland_East/ISL_NE_Grimsey.AP-Grimsey.Island.041650_TMYx.zip</v>
      </c>
    </row>
    <row r="6777" spans="1:10" x14ac:dyDescent="0.25">
      <c r="A6777" t="s">
        <v>5129</v>
      </c>
      <c r="B6777" t="s">
        <v>713</v>
      </c>
      <c r="C6777" t="s">
        <v>5205</v>
      </c>
      <c r="D6777" s="1" t="s">
        <v>5206</v>
      </c>
      <c r="E6777" t="s">
        <v>14</v>
      </c>
      <c r="F6777">
        <v>64.933000000000007</v>
      </c>
      <c r="G6777">
        <v>-17.983000000000001</v>
      </c>
      <c r="H6777">
        <v>0</v>
      </c>
      <c r="I6777">
        <v>821</v>
      </c>
      <c r="J6777" t="str">
        <f>HYPERLINK("https://climate.onebuilding.org/WMO_Region_6_Europe/ISL_Iceland/NE_Northland_East/ISL_NE_Sandbudir.041680_TMYx.2007-2021.zip")</f>
        <v>https://climate.onebuilding.org/WMO_Region_6_Europe/ISL_Iceland/NE_Northland_East/ISL_NE_Sandbudir.041680_TMYx.2007-2021.zip</v>
      </c>
    </row>
    <row r="6778" spans="1:10" x14ac:dyDescent="0.25">
      <c r="A6778" t="s">
        <v>5129</v>
      </c>
      <c r="B6778" t="s">
        <v>713</v>
      </c>
      <c r="C6778" t="s">
        <v>5205</v>
      </c>
      <c r="D6778" s="1" t="s">
        <v>5206</v>
      </c>
      <c r="E6778" t="s">
        <v>14</v>
      </c>
      <c r="F6778">
        <v>64.933000000000007</v>
      </c>
      <c r="G6778">
        <v>-17.983000000000001</v>
      </c>
      <c r="H6778">
        <v>0</v>
      </c>
      <c r="I6778">
        <v>821</v>
      </c>
      <c r="J6778" t="str">
        <f>HYPERLINK("https://climate.onebuilding.org/WMO_Region_6_Europe/ISL_Iceland/NE_Northland_East/ISL_NE_Sandbudir.041680_TMYx.2009-2023.zip")</f>
        <v>https://climate.onebuilding.org/WMO_Region_6_Europe/ISL_Iceland/NE_Northland_East/ISL_NE_Sandbudir.041680_TMYx.2009-2023.zip</v>
      </c>
    </row>
    <row r="6779" spans="1:10" x14ac:dyDescent="0.25">
      <c r="A6779" t="s">
        <v>5129</v>
      </c>
      <c r="B6779" t="s">
        <v>713</v>
      </c>
      <c r="C6779" t="s">
        <v>5205</v>
      </c>
      <c r="D6779" s="1" t="s">
        <v>5206</v>
      </c>
      <c r="E6779" t="s">
        <v>14</v>
      </c>
      <c r="F6779">
        <v>64.933000000000007</v>
      </c>
      <c r="G6779">
        <v>-17.983000000000001</v>
      </c>
      <c r="H6779">
        <v>0</v>
      </c>
      <c r="I6779">
        <v>821</v>
      </c>
      <c r="J6779" t="str">
        <f>HYPERLINK("https://climate.onebuilding.org/WMO_Region_6_Europe/ISL_Iceland/NE_Northland_East/ISL_NE_Sandbudir.041680_TMYx.zip")</f>
        <v>https://climate.onebuilding.org/WMO_Region_6_Europe/ISL_Iceland/NE_Northland_East/ISL_NE_Sandbudir.041680_TMYx.zip</v>
      </c>
    </row>
    <row r="6780" spans="1:10" x14ac:dyDescent="0.25">
      <c r="A6780" t="s">
        <v>5129</v>
      </c>
      <c r="B6780" t="s">
        <v>5165</v>
      </c>
      <c r="C6780" t="s">
        <v>5207</v>
      </c>
      <c r="D6780" s="1" t="s">
        <v>5208</v>
      </c>
      <c r="E6780" t="s">
        <v>5209</v>
      </c>
      <c r="F6780">
        <v>64.933000000000007</v>
      </c>
      <c r="G6780">
        <v>-15.782999999999999</v>
      </c>
      <c r="H6780">
        <v>0</v>
      </c>
      <c r="I6780">
        <v>639</v>
      </c>
      <c r="J6780" t="str">
        <f>HYPERLINK("https://climate.onebuilding.org/WMO_Region_6_Europe/ISL_Iceland/AL_Eastland/ISL_AL_Karahnjukar.041760_TMYx.2004-2018.zip")</f>
        <v>https://climate.onebuilding.org/WMO_Region_6_Europe/ISL_Iceland/AL_Eastland/ISL_AL_Karahnjukar.041760_TMYx.2004-2018.zip</v>
      </c>
    </row>
    <row r="6781" spans="1:10" x14ac:dyDescent="0.25">
      <c r="A6781" t="s">
        <v>5129</v>
      </c>
      <c r="B6781" t="s">
        <v>5165</v>
      </c>
      <c r="C6781" t="s">
        <v>5207</v>
      </c>
      <c r="D6781" s="1" t="s">
        <v>5208</v>
      </c>
      <c r="E6781" t="s">
        <v>14</v>
      </c>
      <c r="F6781">
        <v>64.927999999999997</v>
      </c>
      <c r="G6781">
        <v>-15.776999999999999</v>
      </c>
      <c r="H6781">
        <v>0</v>
      </c>
      <c r="I6781">
        <v>639</v>
      </c>
      <c r="J6781" t="str">
        <f>HYPERLINK("https://climate.onebuilding.org/WMO_Region_6_Europe/ISL_Iceland/AL_Eastland/ISL_AL_Karahnjukar.041760_TMYx.2007-2021.zip")</f>
        <v>https://climate.onebuilding.org/WMO_Region_6_Europe/ISL_Iceland/AL_Eastland/ISL_AL_Karahnjukar.041760_TMYx.2007-2021.zip</v>
      </c>
    </row>
    <row r="6782" spans="1:10" x14ac:dyDescent="0.25">
      <c r="A6782" t="s">
        <v>5129</v>
      </c>
      <c r="B6782" t="s">
        <v>5165</v>
      </c>
      <c r="C6782" t="s">
        <v>5207</v>
      </c>
      <c r="D6782" s="1" t="s">
        <v>5208</v>
      </c>
      <c r="E6782" t="s">
        <v>14</v>
      </c>
      <c r="F6782">
        <v>64.927999999999997</v>
      </c>
      <c r="G6782">
        <v>-15.776999999999999</v>
      </c>
      <c r="H6782">
        <v>0</v>
      </c>
      <c r="I6782">
        <v>639</v>
      </c>
      <c r="J6782" t="str">
        <f>HYPERLINK("https://climate.onebuilding.org/WMO_Region_6_Europe/ISL_Iceland/AL_Eastland/ISL_AL_Karahnjukar.041760_TMYx.2009-2023.zip")</f>
        <v>https://climate.onebuilding.org/WMO_Region_6_Europe/ISL_Iceland/AL_Eastland/ISL_AL_Karahnjukar.041760_TMYx.2009-2023.zip</v>
      </c>
    </row>
    <row r="6783" spans="1:10" x14ac:dyDescent="0.25">
      <c r="A6783" t="s">
        <v>5129</v>
      </c>
      <c r="B6783" t="s">
        <v>5165</v>
      </c>
      <c r="C6783" t="s">
        <v>5207</v>
      </c>
      <c r="D6783" s="1" t="s">
        <v>5208</v>
      </c>
      <c r="E6783" t="s">
        <v>14</v>
      </c>
      <c r="F6783">
        <v>64.927999999999997</v>
      </c>
      <c r="G6783">
        <v>-15.776999999999999</v>
      </c>
      <c r="H6783">
        <v>0</v>
      </c>
      <c r="I6783">
        <v>639</v>
      </c>
      <c r="J6783" t="str">
        <f>HYPERLINK("https://climate.onebuilding.org/WMO_Region_6_Europe/ISL_Iceland/AL_Eastland/ISL_AL_Karahnjukar.041760_TMYx.zip")</f>
        <v>https://climate.onebuilding.org/WMO_Region_6_Europe/ISL_Iceland/AL_Eastland/ISL_AL_Karahnjukar.041760_TMYx.zip</v>
      </c>
    </row>
    <row r="6784" spans="1:10" x14ac:dyDescent="0.25">
      <c r="A6784" t="s">
        <v>5210</v>
      </c>
      <c r="B6784" t="s">
        <v>5211</v>
      </c>
      <c r="C6784" t="s">
        <v>5212</v>
      </c>
      <c r="D6784">
        <v>401530</v>
      </c>
      <c r="E6784" t="s">
        <v>5213</v>
      </c>
      <c r="F6784">
        <v>32.966999999999999</v>
      </c>
      <c r="G6784">
        <v>35.5</v>
      </c>
      <c r="H6784">
        <v>2</v>
      </c>
      <c r="I6784">
        <v>934</v>
      </c>
      <c r="J6784" t="str">
        <f>HYPERLINK("https://climate.onebuilding.org/WMO_Region_6_Europe/ISR_Israel/Z_HaTsafon/ISR_Z_Zefat.Har.Kenaan.MS.401530_TMYx.2004-2018.zip")</f>
        <v>https://climate.onebuilding.org/WMO_Region_6_Europe/ISR_Israel/Z_HaTsafon/ISR_Z_Zefat.Har.Kenaan.MS.401530_TMYx.2004-2018.zip</v>
      </c>
    </row>
    <row r="6785" spans="1:10" x14ac:dyDescent="0.25">
      <c r="A6785" t="s">
        <v>5210</v>
      </c>
      <c r="B6785" t="s">
        <v>5211</v>
      </c>
      <c r="C6785" t="s">
        <v>5212</v>
      </c>
      <c r="D6785">
        <v>401530</v>
      </c>
      <c r="E6785" t="s">
        <v>14</v>
      </c>
      <c r="F6785">
        <v>32.979999999999997</v>
      </c>
      <c r="G6785">
        <v>35.506999999999998</v>
      </c>
      <c r="H6785">
        <v>2</v>
      </c>
      <c r="I6785">
        <v>934</v>
      </c>
      <c r="J6785" t="str">
        <f>HYPERLINK("https://climate.onebuilding.org/WMO_Region_6_Europe/ISR_Israel/Z_HaTsafon/ISR_Z_Zefat.Har.Kenaan.MS.401530_TMYx.2007-2021.zip")</f>
        <v>https://climate.onebuilding.org/WMO_Region_6_Europe/ISR_Israel/Z_HaTsafon/ISR_Z_Zefat.Har.Kenaan.MS.401530_TMYx.2007-2021.zip</v>
      </c>
    </row>
    <row r="6786" spans="1:10" x14ac:dyDescent="0.25">
      <c r="A6786" t="s">
        <v>5210</v>
      </c>
      <c r="B6786" t="s">
        <v>5211</v>
      </c>
      <c r="C6786" t="s">
        <v>5212</v>
      </c>
      <c r="D6786">
        <v>401530</v>
      </c>
      <c r="E6786" t="s">
        <v>14</v>
      </c>
      <c r="F6786">
        <v>32.979999999999997</v>
      </c>
      <c r="G6786">
        <v>35.506999999999998</v>
      </c>
      <c r="H6786">
        <v>2</v>
      </c>
      <c r="I6786">
        <v>934</v>
      </c>
      <c r="J6786" t="str">
        <f>HYPERLINK("https://climate.onebuilding.org/WMO_Region_6_Europe/ISR_Israel/Z_HaTsafon/ISR_Z_Zefat.Har.Kenaan.MS.401530_TMYx.2009-2023.zip")</f>
        <v>https://climate.onebuilding.org/WMO_Region_6_Europe/ISR_Israel/Z_HaTsafon/ISR_Z_Zefat.Har.Kenaan.MS.401530_TMYx.2009-2023.zip</v>
      </c>
    </row>
    <row r="6787" spans="1:10" x14ac:dyDescent="0.25">
      <c r="A6787" t="s">
        <v>5210</v>
      </c>
      <c r="B6787" t="s">
        <v>5211</v>
      </c>
      <c r="C6787" t="s">
        <v>5212</v>
      </c>
      <c r="D6787">
        <v>401530</v>
      </c>
      <c r="E6787" t="s">
        <v>14</v>
      </c>
      <c r="F6787">
        <v>32.979999999999997</v>
      </c>
      <c r="G6787">
        <v>35.506999999999998</v>
      </c>
      <c r="H6787">
        <v>2</v>
      </c>
      <c r="I6787">
        <v>934</v>
      </c>
      <c r="J6787" t="str">
        <f>HYPERLINK("https://climate.onebuilding.org/WMO_Region_6_Europe/ISR_Israel/Z_HaTsafon/ISR_Z_Zefat.Har.Kenaan.MS.401530_TMYx.zip")</f>
        <v>https://climate.onebuilding.org/WMO_Region_6_Europe/ISR_Israel/Z_HaTsafon/ISR_Z_Zefat.Har.Kenaan.MS.401530_TMYx.zip</v>
      </c>
    </row>
    <row r="6788" spans="1:10" x14ac:dyDescent="0.25">
      <c r="A6788" t="s">
        <v>5210</v>
      </c>
      <c r="B6788" t="s">
        <v>5211</v>
      </c>
      <c r="C6788" t="s">
        <v>5214</v>
      </c>
      <c r="D6788">
        <v>401550</v>
      </c>
      <c r="E6788" t="s">
        <v>5215</v>
      </c>
      <c r="F6788">
        <v>32.808999999999997</v>
      </c>
      <c r="G6788">
        <v>35.042999999999999</v>
      </c>
      <c r="H6788">
        <v>2</v>
      </c>
      <c r="I6788">
        <v>8.5</v>
      </c>
      <c r="J6788" t="str">
        <f>HYPERLINK("https://climate.onebuilding.org/WMO_Region_6_Europe/ISR_Israel/Z_HaTsafon/ISR_Z_Haifa.AP.401550_TMYx.2004-2018.zip")</f>
        <v>https://climate.onebuilding.org/WMO_Region_6_Europe/ISR_Israel/Z_HaTsafon/ISR_Z_Haifa.AP.401550_TMYx.2004-2018.zip</v>
      </c>
    </row>
    <row r="6789" spans="1:10" x14ac:dyDescent="0.25">
      <c r="A6789" t="s">
        <v>5210</v>
      </c>
      <c r="B6789" t="s">
        <v>5211</v>
      </c>
      <c r="C6789" t="s">
        <v>5214</v>
      </c>
      <c r="D6789">
        <v>401550</v>
      </c>
      <c r="E6789" t="s">
        <v>14</v>
      </c>
      <c r="F6789">
        <v>32.803400000000003</v>
      </c>
      <c r="G6789">
        <v>35.0548</v>
      </c>
      <c r="H6789">
        <v>2</v>
      </c>
      <c r="I6789">
        <v>8.5</v>
      </c>
      <c r="J6789" t="str">
        <f>HYPERLINK("https://climate.onebuilding.org/WMO_Region_6_Europe/ISR_Israel/Z_HaTsafon/ISR_Z_Haifa.AP.401550_TMYx.2007-2021.zip")</f>
        <v>https://climate.onebuilding.org/WMO_Region_6_Europe/ISR_Israel/Z_HaTsafon/ISR_Z_Haifa.AP.401550_TMYx.2007-2021.zip</v>
      </c>
    </row>
    <row r="6790" spans="1:10" x14ac:dyDescent="0.25">
      <c r="A6790" t="s">
        <v>5210</v>
      </c>
      <c r="B6790" t="s">
        <v>5211</v>
      </c>
      <c r="C6790" t="s">
        <v>5214</v>
      </c>
      <c r="D6790">
        <v>401550</v>
      </c>
      <c r="E6790" t="s">
        <v>14</v>
      </c>
      <c r="F6790">
        <v>32.803400000000003</v>
      </c>
      <c r="G6790">
        <v>35.0548</v>
      </c>
      <c r="H6790">
        <v>2</v>
      </c>
      <c r="I6790">
        <v>8.5</v>
      </c>
      <c r="J6790" t="str">
        <f>HYPERLINK("https://climate.onebuilding.org/WMO_Region_6_Europe/ISR_Israel/Z_HaTsafon/ISR_Z_Haifa.AP.401550_TMYx.2009-2023.zip")</f>
        <v>https://climate.onebuilding.org/WMO_Region_6_Europe/ISR_Israel/Z_HaTsafon/ISR_Z_Haifa.AP.401550_TMYx.2009-2023.zip</v>
      </c>
    </row>
    <row r="6791" spans="1:10" x14ac:dyDescent="0.25">
      <c r="A6791" t="s">
        <v>5210</v>
      </c>
      <c r="B6791" t="s">
        <v>5211</v>
      </c>
      <c r="C6791" t="s">
        <v>5214</v>
      </c>
      <c r="D6791">
        <v>401550</v>
      </c>
      <c r="E6791" t="s">
        <v>14</v>
      </c>
      <c r="F6791">
        <v>32.803400000000003</v>
      </c>
      <c r="G6791">
        <v>35.0548</v>
      </c>
      <c r="H6791">
        <v>2</v>
      </c>
      <c r="I6791">
        <v>8.5</v>
      </c>
      <c r="J6791" t="str">
        <f>HYPERLINK("https://climate.onebuilding.org/WMO_Region_6_Europe/ISR_Israel/Z_HaTsafon/ISR_Z_Haifa.AP.401550_TMYx.zip")</f>
        <v>https://climate.onebuilding.org/WMO_Region_6_Europe/ISR_Israel/Z_HaTsafon/ISR_Z_Haifa.AP.401550_TMYx.zip</v>
      </c>
    </row>
    <row r="6792" spans="1:10" x14ac:dyDescent="0.25">
      <c r="A6792" t="s">
        <v>5210</v>
      </c>
      <c r="B6792" t="s">
        <v>5211</v>
      </c>
      <c r="C6792" t="s">
        <v>5216</v>
      </c>
      <c r="D6792">
        <v>401650</v>
      </c>
      <c r="E6792" t="s">
        <v>14</v>
      </c>
      <c r="F6792">
        <v>32.667000000000002</v>
      </c>
      <c r="G6792">
        <v>35.183</v>
      </c>
      <c r="H6792">
        <v>2</v>
      </c>
      <c r="I6792">
        <v>49</v>
      </c>
      <c r="J6792" t="str">
        <f>HYPERLINK("https://climate.onebuilding.org/WMO_Region_6_Europe/ISR_Israel/Z_HaTsafon/ISR_Z_Ramat.David.AB.401650_TMYx.zip")</f>
        <v>https://climate.onebuilding.org/WMO_Region_6_Europe/ISR_Israel/Z_HaTsafon/ISR_Z_Ramat.David.AB.401650_TMYx.zip</v>
      </c>
    </row>
    <row r="6793" spans="1:10" x14ac:dyDescent="0.25">
      <c r="A6793" t="s">
        <v>5210</v>
      </c>
      <c r="B6793" t="s">
        <v>5217</v>
      </c>
      <c r="C6793" t="s">
        <v>5218</v>
      </c>
      <c r="D6793">
        <v>401730</v>
      </c>
      <c r="E6793" t="s">
        <v>14</v>
      </c>
      <c r="F6793">
        <v>32.332999999999998</v>
      </c>
      <c r="G6793">
        <v>34.85</v>
      </c>
      <c r="H6793">
        <v>2</v>
      </c>
      <c r="I6793">
        <v>0</v>
      </c>
      <c r="J6793" t="str">
        <f>HYPERLINK("https://climate.onebuilding.org/WMO_Region_6_Europe/ISR_Israel/M_HaMerkaz/ISR_M_Netanya.401730_TMYx.zip")</f>
        <v>https://climate.onebuilding.org/WMO_Region_6_Europe/ISR_Israel/M_HaMerkaz/ISR_M_Netanya.401730_TMYx.zip</v>
      </c>
    </row>
    <row r="6794" spans="1:10" x14ac:dyDescent="0.25">
      <c r="A6794" t="s">
        <v>5210</v>
      </c>
      <c r="B6794" t="s">
        <v>5211</v>
      </c>
      <c r="C6794" t="s">
        <v>5219</v>
      </c>
      <c r="D6794">
        <v>401761</v>
      </c>
      <c r="E6794" t="s">
        <v>5220</v>
      </c>
      <c r="F6794">
        <v>32.981000000000002</v>
      </c>
      <c r="G6794">
        <v>35.572000000000003</v>
      </c>
      <c r="H6794">
        <v>2</v>
      </c>
      <c r="I6794">
        <v>281</v>
      </c>
      <c r="J6794" t="str">
        <f>HYPERLINK("https://climate.onebuilding.org/WMO_Region_6_Europe/ISR_Israel/Z_HaTsafon/ISR_Z_Mahanaim-Pina.AP.401761_TMYx.2004-2018.zip")</f>
        <v>https://climate.onebuilding.org/WMO_Region_6_Europe/ISR_Israel/Z_HaTsafon/ISR_Z_Mahanaim-Pina.AP.401761_TMYx.2004-2018.zip</v>
      </c>
    </row>
    <row r="6795" spans="1:10" x14ac:dyDescent="0.25">
      <c r="A6795" t="s">
        <v>5210</v>
      </c>
      <c r="B6795" t="s">
        <v>5211</v>
      </c>
      <c r="C6795" t="s">
        <v>5219</v>
      </c>
      <c r="D6795">
        <v>401761</v>
      </c>
      <c r="E6795" t="s">
        <v>14</v>
      </c>
      <c r="F6795">
        <v>32.981000000000002</v>
      </c>
      <c r="G6795">
        <v>35.572000000000003</v>
      </c>
      <c r="H6795">
        <v>2</v>
      </c>
      <c r="I6795">
        <v>281</v>
      </c>
      <c r="J6795" t="str">
        <f>HYPERLINK("https://climate.onebuilding.org/WMO_Region_6_Europe/ISR_Israel/Z_HaTsafon/ISR_Z_Mahanaim-Pina.AP.401761_TMYx.2007-2021.zip")</f>
        <v>https://climate.onebuilding.org/WMO_Region_6_Europe/ISR_Israel/Z_HaTsafon/ISR_Z_Mahanaim-Pina.AP.401761_TMYx.2007-2021.zip</v>
      </c>
    </row>
    <row r="6796" spans="1:10" x14ac:dyDescent="0.25">
      <c r="A6796" t="s">
        <v>5210</v>
      </c>
      <c r="B6796" t="s">
        <v>5211</v>
      </c>
      <c r="C6796" t="s">
        <v>5219</v>
      </c>
      <c r="D6796">
        <v>401761</v>
      </c>
      <c r="E6796" t="s">
        <v>14</v>
      </c>
      <c r="F6796">
        <v>32.981000000000002</v>
      </c>
      <c r="G6796">
        <v>35.572000000000003</v>
      </c>
      <c r="H6796">
        <v>2</v>
      </c>
      <c r="I6796">
        <v>281</v>
      </c>
      <c r="J6796" t="str">
        <f>HYPERLINK("https://climate.onebuilding.org/WMO_Region_6_Europe/ISR_Israel/Z_HaTsafon/ISR_Z_Mahanaim-Pina.AP.401761_TMYx.2009-2023.zip")</f>
        <v>https://climate.onebuilding.org/WMO_Region_6_Europe/ISR_Israel/Z_HaTsafon/ISR_Z_Mahanaim-Pina.AP.401761_TMYx.2009-2023.zip</v>
      </c>
    </row>
    <row r="6797" spans="1:10" x14ac:dyDescent="0.25">
      <c r="A6797" t="s">
        <v>5210</v>
      </c>
      <c r="B6797" t="s">
        <v>5211</v>
      </c>
      <c r="C6797" t="s">
        <v>5219</v>
      </c>
      <c r="D6797">
        <v>401761</v>
      </c>
      <c r="E6797" t="s">
        <v>14</v>
      </c>
      <c r="F6797">
        <v>32.981000000000002</v>
      </c>
      <c r="G6797">
        <v>35.572000000000003</v>
      </c>
      <c r="H6797">
        <v>2</v>
      </c>
      <c r="I6797">
        <v>281</v>
      </c>
      <c r="J6797" t="str">
        <f>HYPERLINK("https://climate.onebuilding.org/WMO_Region_6_Europe/ISR_Israel/Z_HaTsafon/ISR_Z_Mahanaim-Pina.AP.401761_TMYx.zip")</f>
        <v>https://climate.onebuilding.org/WMO_Region_6_Europe/ISR_Israel/Z_HaTsafon/ISR_Z_Mahanaim-Pina.AP.401761_TMYx.zip</v>
      </c>
    </row>
    <row r="6798" spans="1:10" x14ac:dyDescent="0.25">
      <c r="A6798" t="s">
        <v>5210</v>
      </c>
      <c r="B6798" t="s">
        <v>2302</v>
      </c>
      <c r="C6798" t="s">
        <v>5221</v>
      </c>
      <c r="D6798">
        <v>401762</v>
      </c>
      <c r="E6798" t="s">
        <v>5222</v>
      </c>
      <c r="F6798">
        <v>32.116999999999997</v>
      </c>
      <c r="G6798">
        <v>34.783000000000001</v>
      </c>
      <c r="H6798">
        <v>2</v>
      </c>
      <c r="I6798">
        <v>13</v>
      </c>
      <c r="J6798" t="str">
        <f>HYPERLINK("https://climate.onebuilding.org/WMO_Region_6_Europe/ISR_Israel/TA_Tel-Aviv/ISR_TA_Tel.Aviv-Sde.Dov.AP.401762_TMYx.2004-2018.zip")</f>
        <v>https://climate.onebuilding.org/WMO_Region_6_Europe/ISR_Israel/TA_Tel-Aviv/ISR_TA_Tel.Aviv-Sde.Dov.AP.401762_TMYx.2004-2018.zip</v>
      </c>
    </row>
    <row r="6799" spans="1:10" x14ac:dyDescent="0.25">
      <c r="A6799" t="s">
        <v>5210</v>
      </c>
      <c r="B6799" t="s">
        <v>2302</v>
      </c>
      <c r="C6799" t="s">
        <v>5221</v>
      </c>
      <c r="D6799">
        <v>401762</v>
      </c>
      <c r="E6799" t="s">
        <v>14</v>
      </c>
      <c r="F6799">
        <v>32.113999999999997</v>
      </c>
      <c r="G6799">
        <v>34.781999999999996</v>
      </c>
      <c r="H6799">
        <v>2</v>
      </c>
      <c r="I6799">
        <v>13</v>
      </c>
      <c r="J6799" t="str">
        <f>HYPERLINK("https://climate.onebuilding.org/WMO_Region_6_Europe/ISR_Israel/TA_Tel-Aviv/ISR_TA_Tel.Aviv-Sde.Dov.AP.401762_TMYx.2007-2021.zip")</f>
        <v>https://climate.onebuilding.org/WMO_Region_6_Europe/ISR_Israel/TA_Tel-Aviv/ISR_TA_Tel.Aviv-Sde.Dov.AP.401762_TMYx.2007-2021.zip</v>
      </c>
    </row>
    <row r="6800" spans="1:10" x14ac:dyDescent="0.25">
      <c r="A6800" t="s">
        <v>5210</v>
      </c>
      <c r="B6800" t="s">
        <v>2302</v>
      </c>
      <c r="C6800" t="s">
        <v>5221</v>
      </c>
      <c r="D6800">
        <v>401762</v>
      </c>
      <c r="E6800" t="s">
        <v>14</v>
      </c>
      <c r="F6800">
        <v>32.113999999999997</v>
      </c>
      <c r="G6800">
        <v>34.781999999999996</v>
      </c>
      <c r="H6800">
        <v>2</v>
      </c>
      <c r="I6800">
        <v>13</v>
      </c>
      <c r="J6800" t="str">
        <f>HYPERLINK("https://climate.onebuilding.org/WMO_Region_6_Europe/ISR_Israel/TA_Tel-Aviv/ISR_TA_Tel.Aviv-Sde.Dov.AP.401762_TMYx.2009-2023.zip")</f>
        <v>https://climate.onebuilding.org/WMO_Region_6_Europe/ISR_Israel/TA_Tel-Aviv/ISR_TA_Tel.Aviv-Sde.Dov.AP.401762_TMYx.2009-2023.zip</v>
      </c>
    </row>
    <row r="6801" spans="1:10" x14ac:dyDescent="0.25">
      <c r="A6801" t="s">
        <v>5210</v>
      </c>
      <c r="B6801" t="s">
        <v>2302</v>
      </c>
      <c r="C6801" t="s">
        <v>5221</v>
      </c>
      <c r="D6801">
        <v>401762</v>
      </c>
      <c r="E6801" t="s">
        <v>14</v>
      </c>
      <c r="F6801">
        <v>32.113999999999997</v>
      </c>
      <c r="G6801">
        <v>34.781999999999996</v>
      </c>
      <c r="H6801">
        <v>2</v>
      </c>
      <c r="I6801">
        <v>13</v>
      </c>
      <c r="J6801" t="str">
        <f>HYPERLINK("https://climate.onebuilding.org/WMO_Region_6_Europe/ISR_Israel/TA_Tel-Aviv/ISR_TA_Tel.Aviv-Sde.Dov.AP.401762_TMYx.zip")</f>
        <v>https://climate.onebuilding.org/WMO_Region_6_Europe/ISR_Israel/TA_Tel-Aviv/ISR_TA_Tel.Aviv-Sde.Dov.AP.401762_TMYx.zip</v>
      </c>
    </row>
    <row r="6802" spans="1:10" x14ac:dyDescent="0.25">
      <c r="A6802" t="s">
        <v>5210</v>
      </c>
      <c r="B6802" t="s">
        <v>2302</v>
      </c>
      <c r="C6802" t="s">
        <v>5223</v>
      </c>
      <c r="D6802">
        <v>401790</v>
      </c>
      <c r="E6802" t="s">
        <v>5224</v>
      </c>
      <c r="F6802">
        <v>32</v>
      </c>
      <c r="G6802">
        <v>34.816699999999997</v>
      </c>
      <c r="H6802">
        <v>2</v>
      </c>
      <c r="I6802">
        <v>35</v>
      </c>
      <c r="J6802" t="str">
        <f>HYPERLINK("https://climate.onebuilding.org/WMO_Region_6_Europe/ISR_Israel/TA_Tel-Aviv/ISR_TA_Tel.Aviv-Bet.Dagan.401790_TMYx.2004-2018.zip")</f>
        <v>https://climate.onebuilding.org/WMO_Region_6_Europe/ISR_Israel/TA_Tel-Aviv/ISR_TA_Tel.Aviv-Bet.Dagan.401790_TMYx.2004-2018.zip</v>
      </c>
    </row>
    <row r="6803" spans="1:10" x14ac:dyDescent="0.25">
      <c r="A6803" t="s">
        <v>5210</v>
      </c>
      <c r="B6803" t="s">
        <v>2302</v>
      </c>
      <c r="C6803" t="s">
        <v>5223</v>
      </c>
      <c r="D6803">
        <v>401790</v>
      </c>
      <c r="E6803" t="s">
        <v>14</v>
      </c>
      <c r="F6803">
        <v>32.007300000000001</v>
      </c>
      <c r="G6803">
        <v>34.813800000000001</v>
      </c>
      <c r="H6803">
        <v>2</v>
      </c>
      <c r="I6803">
        <v>35</v>
      </c>
      <c r="J6803" t="str">
        <f>HYPERLINK("https://climate.onebuilding.org/WMO_Region_6_Europe/ISR_Israel/TA_Tel-Aviv/ISR_TA_Tel.Aviv-Bet.Dagan.401790_TMYx.2007-2021.zip")</f>
        <v>https://climate.onebuilding.org/WMO_Region_6_Europe/ISR_Israel/TA_Tel-Aviv/ISR_TA_Tel.Aviv-Bet.Dagan.401790_TMYx.2007-2021.zip</v>
      </c>
    </row>
    <row r="6804" spans="1:10" x14ac:dyDescent="0.25">
      <c r="A6804" t="s">
        <v>5210</v>
      </c>
      <c r="B6804" t="s">
        <v>2302</v>
      </c>
      <c r="C6804" t="s">
        <v>5223</v>
      </c>
      <c r="D6804">
        <v>401790</v>
      </c>
      <c r="E6804" t="s">
        <v>14</v>
      </c>
      <c r="F6804">
        <v>32.007300000000001</v>
      </c>
      <c r="G6804">
        <v>34.813800000000001</v>
      </c>
      <c r="H6804">
        <v>2</v>
      </c>
      <c r="I6804">
        <v>35</v>
      </c>
      <c r="J6804" t="str">
        <f>HYPERLINK("https://climate.onebuilding.org/WMO_Region_6_Europe/ISR_Israel/TA_Tel-Aviv/ISR_TA_Tel.Aviv-Bet.Dagan.401790_TMYx.2009-2023.zip")</f>
        <v>https://climate.onebuilding.org/WMO_Region_6_Europe/ISR_Israel/TA_Tel-Aviv/ISR_TA_Tel.Aviv-Bet.Dagan.401790_TMYx.2009-2023.zip</v>
      </c>
    </row>
    <row r="6805" spans="1:10" x14ac:dyDescent="0.25">
      <c r="A6805" t="s">
        <v>5210</v>
      </c>
      <c r="B6805" t="s">
        <v>2302</v>
      </c>
      <c r="C6805" t="s">
        <v>5223</v>
      </c>
      <c r="D6805">
        <v>401790</v>
      </c>
      <c r="E6805" t="s">
        <v>14</v>
      </c>
      <c r="F6805">
        <v>32.007300000000001</v>
      </c>
      <c r="G6805">
        <v>34.813800000000001</v>
      </c>
      <c r="H6805">
        <v>2</v>
      </c>
      <c r="I6805">
        <v>35</v>
      </c>
      <c r="J6805" t="str">
        <f>HYPERLINK("https://climate.onebuilding.org/WMO_Region_6_Europe/ISR_Israel/TA_Tel-Aviv/ISR_TA_Tel.Aviv-Bet.Dagan.401790_TMYx.zip")</f>
        <v>https://climate.onebuilding.org/WMO_Region_6_Europe/ISR_Israel/TA_Tel-Aviv/ISR_TA_Tel.Aviv-Bet.Dagan.401790_TMYx.zip</v>
      </c>
    </row>
    <row r="6806" spans="1:10" x14ac:dyDescent="0.25">
      <c r="A6806" t="s">
        <v>5210</v>
      </c>
      <c r="B6806" t="s">
        <v>2302</v>
      </c>
      <c r="C6806" t="s">
        <v>5225</v>
      </c>
      <c r="D6806">
        <v>401800</v>
      </c>
      <c r="E6806" t="s">
        <v>5226</v>
      </c>
      <c r="F6806">
        <v>32</v>
      </c>
      <c r="G6806">
        <v>34.9</v>
      </c>
      <c r="H6806">
        <v>2</v>
      </c>
      <c r="I6806">
        <v>41.1</v>
      </c>
      <c r="J6806" t="str">
        <f>HYPERLINK("https://climate.onebuilding.org/WMO_Region_6_Europe/ISR_Israel/TA_Tel-Aviv/ISR_TA_Tel.Aviv-Ben.Gurion.Intl.AP.401800_TMYx.2004-2018.zip")</f>
        <v>https://climate.onebuilding.org/WMO_Region_6_Europe/ISR_Israel/TA_Tel-Aviv/ISR_TA_Tel.Aviv-Ben.Gurion.Intl.AP.401800_TMYx.2004-2018.zip</v>
      </c>
    </row>
    <row r="6807" spans="1:10" x14ac:dyDescent="0.25">
      <c r="A6807" t="s">
        <v>5210</v>
      </c>
      <c r="B6807" t="s">
        <v>2302</v>
      </c>
      <c r="C6807" t="s">
        <v>5225</v>
      </c>
      <c r="D6807">
        <v>401800</v>
      </c>
      <c r="E6807" t="s">
        <v>14</v>
      </c>
      <c r="F6807">
        <v>32.011000000000003</v>
      </c>
      <c r="G6807">
        <v>34.887</v>
      </c>
      <c r="H6807">
        <v>2</v>
      </c>
      <c r="I6807">
        <v>41.1</v>
      </c>
      <c r="J6807" t="str">
        <f>HYPERLINK("https://climate.onebuilding.org/WMO_Region_6_Europe/ISR_Israel/TA_Tel-Aviv/ISR_TA_Tel.Aviv-Ben.Gurion.Intl.AP.401800_TMYx.2007-2021.zip")</f>
        <v>https://climate.onebuilding.org/WMO_Region_6_Europe/ISR_Israel/TA_Tel-Aviv/ISR_TA_Tel.Aviv-Ben.Gurion.Intl.AP.401800_TMYx.2007-2021.zip</v>
      </c>
    </row>
    <row r="6808" spans="1:10" x14ac:dyDescent="0.25">
      <c r="A6808" t="s">
        <v>5210</v>
      </c>
      <c r="B6808" t="s">
        <v>2302</v>
      </c>
      <c r="C6808" t="s">
        <v>5225</v>
      </c>
      <c r="D6808">
        <v>401800</v>
      </c>
      <c r="E6808" t="s">
        <v>14</v>
      </c>
      <c r="F6808">
        <v>32.011000000000003</v>
      </c>
      <c r="G6808">
        <v>34.887</v>
      </c>
      <c r="H6808">
        <v>2</v>
      </c>
      <c r="I6808">
        <v>41.1</v>
      </c>
      <c r="J6808" t="str">
        <f>HYPERLINK("https://climate.onebuilding.org/WMO_Region_6_Europe/ISR_Israel/TA_Tel-Aviv/ISR_TA_Tel.Aviv-Ben.Gurion.Intl.AP.401800_TMYx.2009-2023.zip")</f>
        <v>https://climate.onebuilding.org/WMO_Region_6_Europe/ISR_Israel/TA_Tel-Aviv/ISR_TA_Tel.Aviv-Ben.Gurion.Intl.AP.401800_TMYx.2009-2023.zip</v>
      </c>
    </row>
    <row r="6809" spans="1:10" x14ac:dyDescent="0.25">
      <c r="A6809" t="s">
        <v>5210</v>
      </c>
      <c r="B6809" t="s">
        <v>2302</v>
      </c>
      <c r="C6809" t="s">
        <v>5225</v>
      </c>
      <c r="D6809">
        <v>401800</v>
      </c>
      <c r="E6809" t="s">
        <v>14</v>
      </c>
      <c r="F6809">
        <v>32.011000000000003</v>
      </c>
      <c r="G6809">
        <v>34.887</v>
      </c>
      <c r="H6809">
        <v>2</v>
      </c>
      <c r="I6809">
        <v>41.1</v>
      </c>
      <c r="J6809" t="str">
        <f>HYPERLINK("https://climate.onebuilding.org/WMO_Region_6_Europe/ISR_Israel/TA_Tel-Aviv/ISR_TA_Tel.Aviv-Ben.Gurion.Intl.AP.401800_TMYx.zip")</f>
        <v>https://climate.onebuilding.org/WMO_Region_6_Europe/ISR_Israel/TA_Tel-Aviv/ISR_TA_Tel.Aviv-Ben.Gurion.Intl.AP.401800_TMYx.zip</v>
      </c>
    </row>
    <row r="6810" spans="1:10" x14ac:dyDescent="0.25">
      <c r="A6810" t="s">
        <v>5210</v>
      </c>
      <c r="B6810" t="s">
        <v>5227</v>
      </c>
      <c r="C6810" t="s">
        <v>5228</v>
      </c>
      <c r="D6810">
        <v>401830</v>
      </c>
      <c r="E6810" t="s">
        <v>5229</v>
      </c>
      <c r="F6810">
        <v>31.7667</v>
      </c>
      <c r="G6810">
        <v>35.216700000000003</v>
      </c>
      <c r="H6810">
        <v>2</v>
      </c>
      <c r="I6810">
        <v>815</v>
      </c>
      <c r="J6810" t="str">
        <f>HYPERLINK("https://climate.onebuilding.org/WMO_Region_6_Europe/ISR_Israel/JM_Yerushalayim/ISR_JM_Jerusalem.Center.401830_TMYx.2004-2018.zip")</f>
        <v>https://climate.onebuilding.org/WMO_Region_6_Europe/ISR_Israel/JM_Yerushalayim/ISR_JM_Jerusalem.Center.401830_TMYx.2004-2018.zip</v>
      </c>
    </row>
    <row r="6811" spans="1:10" x14ac:dyDescent="0.25">
      <c r="A6811" t="s">
        <v>5210</v>
      </c>
      <c r="B6811" t="s">
        <v>5227</v>
      </c>
      <c r="C6811" t="s">
        <v>5228</v>
      </c>
      <c r="D6811">
        <v>401830</v>
      </c>
      <c r="E6811" t="s">
        <v>14</v>
      </c>
      <c r="F6811">
        <v>31.7806</v>
      </c>
      <c r="G6811">
        <v>35.221699999999998</v>
      </c>
      <c r="H6811">
        <v>2</v>
      </c>
      <c r="I6811">
        <v>815</v>
      </c>
      <c r="J6811" t="str">
        <f>HYPERLINK("https://climate.onebuilding.org/WMO_Region_6_Europe/ISR_Israel/JM_Yerushalayim/ISR_JM_Jerusalem.Center.401830_TMYx.2007-2021.zip")</f>
        <v>https://climate.onebuilding.org/WMO_Region_6_Europe/ISR_Israel/JM_Yerushalayim/ISR_JM_Jerusalem.Center.401830_TMYx.2007-2021.zip</v>
      </c>
    </row>
    <row r="6812" spans="1:10" x14ac:dyDescent="0.25">
      <c r="A6812" t="s">
        <v>5210</v>
      </c>
      <c r="B6812" t="s">
        <v>5227</v>
      </c>
      <c r="C6812" t="s">
        <v>5228</v>
      </c>
      <c r="D6812">
        <v>401830</v>
      </c>
      <c r="E6812" t="s">
        <v>14</v>
      </c>
      <c r="F6812">
        <v>31.7806</v>
      </c>
      <c r="G6812">
        <v>35.221699999999998</v>
      </c>
      <c r="H6812">
        <v>2</v>
      </c>
      <c r="I6812">
        <v>815</v>
      </c>
      <c r="J6812" t="str">
        <f>HYPERLINK("https://climate.onebuilding.org/WMO_Region_6_Europe/ISR_Israel/JM_Yerushalayim/ISR_JM_Jerusalem.Center.401830_TMYx.2009-2023.zip")</f>
        <v>https://climate.onebuilding.org/WMO_Region_6_Europe/ISR_Israel/JM_Yerushalayim/ISR_JM_Jerusalem.Center.401830_TMYx.2009-2023.zip</v>
      </c>
    </row>
    <row r="6813" spans="1:10" x14ac:dyDescent="0.25">
      <c r="A6813" t="s">
        <v>5210</v>
      </c>
      <c r="B6813" t="s">
        <v>5227</v>
      </c>
      <c r="C6813" t="s">
        <v>5228</v>
      </c>
      <c r="D6813">
        <v>401830</v>
      </c>
      <c r="E6813" t="s">
        <v>14</v>
      </c>
      <c r="F6813">
        <v>31.7806</v>
      </c>
      <c r="G6813">
        <v>35.221699999999998</v>
      </c>
      <c r="H6813">
        <v>2</v>
      </c>
      <c r="I6813">
        <v>815</v>
      </c>
      <c r="J6813" t="str">
        <f>HYPERLINK("https://climate.onebuilding.org/WMO_Region_6_Europe/ISR_Israel/JM_Yerushalayim/ISR_JM_Jerusalem.Center.401830_TMYx.zip")</f>
        <v>https://climate.onebuilding.org/WMO_Region_6_Europe/ISR_Israel/JM_Yerushalayim/ISR_JM_Jerusalem.Center.401830_TMYx.zip</v>
      </c>
    </row>
    <row r="6814" spans="1:10" x14ac:dyDescent="0.25">
      <c r="A6814" t="s">
        <v>5210</v>
      </c>
      <c r="B6814" t="s">
        <v>5227</v>
      </c>
      <c r="C6814" t="s">
        <v>5230</v>
      </c>
      <c r="D6814">
        <v>401840</v>
      </c>
      <c r="E6814" t="s">
        <v>14</v>
      </c>
      <c r="F6814">
        <v>31.866700000000002</v>
      </c>
      <c r="G6814">
        <v>35.216700000000003</v>
      </c>
      <c r="H6814">
        <v>2</v>
      </c>
      <c r="I6814">
        <v>757.4</v>
      </c>
      <c r="J6814" t="str">
        <f>HYPERLINK("https://climate.onebuilding.org/WMO_Region_6_Europe/ISR_Israel/JM_Yerushalayim/ISR_JM_Jerusalem-Atarot.AP.401840_TMYx.zip")</f>
        <v>https://climate.onebuilding.org/WMO_Region_6_Europe/ISR_Israel/JM_Yerushalayim/ISR_JM_Jerusalem-Atarot.AP.401840_TMYx.zip</v>
      </c>
    </row>
    <row r="6815" spans="1:10" x14ac:dyDescent="0.25">
      <c r="A6815" t="s">
        <v>5210</v>
      </c>
      <c r="B6815" t="s">
        <v>5231</v>
      </c>
      <c r="C6815" t="s">
        <v>5232</v>
      </c>
      <c r="D6815">
        <v>401900</v>
      </c>
      <c r="E6815" t="s">
        <v>5233</v>
      </c>
      <c r="F6815">
        <v>31.25</v>
      </c>
      <c r="G6815">
        <v>34.799999999999997</v>
      </c>
      <c r="H6815">
        <v>2</v>
      </c>
      <c r="I6815">
        <v>280</v>
      </c>
      <c r="J6815" t="str">
        <f>HYPERLINK("https://climate.onebuilding.org/WMO_Region_6_Europe/ISR_Israel/D_HaDarom/ISR_D_Beer.Sheva.401900_TMYx.2004-2018.zip")</f>
        <v>https://climate.onebuilding.org/WMO_Region_6_Europe/ISR_Israel/D_HaDarom/ISR_D_Beer.Sheva.401900_TMYx.2004-2018.zip</v>
      </c>
    </row>
    <row r="6816" spans="1:10" x14ac:dyDescent="0.25">
      <c r="A6816" t="s">
        <v>5210</v>
      </c>
      <c r="B6816" t="s">
        <v>5231</v>
      </c>
      <c r="C6816" t="s">
        <v>5232</v>
      </c>
      <c r="D6816">
        <v>401900</v>
      </c>
      <c r="E6816" t="s">
        <v>14</v>
      </c>
      <c r="F6816">
        <v>31.2515</v>
      </c>
      <c r="G6816">
        <v>34.799500000000002</v>
      </c>
      <c r="H6816">
        <v>2</v>
      </c>
      <c r="I6816">
        <v>280</v>
      </c>
      <c r="J6816" t="str">
        <f>HYPERLINK("https://climate.onebuilding.org/WMO_Region_6_Europe/ISR_Israel/D_HaDarom/ISR_D_Beer.Sheva.401900_TMYx.2007-2021.zip")</f>
        <v>https://climate.onebuilding.org/WMO_Region_6_Europe/ISR_Israel/D_HaDarom/ISR_D_Beer.Sheva.401900_TMYx.2007-2021.zip</v>
      </c>
    </row>
    <row r="6817" spans="1:10" x14ac:dyDescent="0.25">
      <c r="A6817" t="s">
        <v>5210</v>
      </c>
      <c r="B6817" t="s">
        <v>5231</v>
      </c>
      <c r="C6817" t="s">
        <v>5232</v>
      </c>
      <c r="D6817">
        <v>401900</v>
      </c>
      <c r="E6817" t="s">
        <v>14</v>
      </c>
      <c r="F6817">
        <v>31.2515</v>
      </c>
      <c r="G6817">
        <v>34.799500000000002</v>
      </c>
      <c r="H6817">
        <v>2</v>
      </c>
      <c r="I6817">
        <v>280</v>
      </c>
      <c r="J6817" t="str">
        <f>HYPERLINK("https://climate.onebuilding.org/WMO_Region_6_Europe/ISR_Israel/D_HaDarom/ISR_D_Beer.Sheva.401900_TMYx.2009-2023.zip")</f>
        <v>https://climate.onebuilding.org/WMO_Region_6_Europe/ISR_Israel/D_HaDarom/ISR_D_Beer.Sheva.401900_TMYx.2009-2023.zip</v>
      </c>
    </row>
    <row r="6818" spans="1:10" x14ac:dyDescent="0.25">
      <c r="A6818" t="s">
        <v>5210</v>
      </c>
      <c r="B6818" t="s">
        <v>5231</v>
      </c>
      <c r="C6818" t="s">
        <v>5232</v>
      </c>
      <c r="D6818">
        <v>401900</v>
      </c>
      <c r="E6818" t="s">
        <v>14</v>
      </c>
      <c r="F6818">
        <v>31.2515</v>
      </c>
      <c r="G6818">
        <v>34.799500000000002</v>
      </c>
      <c r="H6818">
        <v>2</v>
      </c>
      <c r="I6818">
        <v>280</v>
      </c>
      <c r="J6818" t="str">
        <f>HYPERLINK("https://climate.onebuilding.org/WMO_Region_6_Europe/ISR_Israel/D_HaDarom/ISR_D_Beer.Sheva.401900_TMYx.zip")</f>
        <v>https://climate.onebuilding.org/WMO_Region_6_Europe/ISR_Israel/D_HaDarom/ISR_D_Beer.Sheva.401900_TMYx.zip</v>
      </c>
    </row>
    <row r="6819" spans="1:10" x14ac:dyDescent="0.25">
      <c r="A6819" t="s">
        <v>5210</v>
      </c>
      <c r="B6819" t="s">
        <v>5231</v>
      </c>
      <c r="C6819" t="s">
        <v>5234</v>
      </c>
      <c r="D6819">
        <v>401910</v>
      </c>
      <c r="E6819" t="s">
        <v>14</v>
      </c>
      <c r="F6819">
        <v>31.286999999999999</v>
      </c>
      <c r="G6819">
        <v>34.722999999999999</v>
      </c>
      <c r="H6819">
        <v>2</v>
      </c>
      <c r="I6819">
        <v>199.9</v>
      </c>
      <c r="J6819" t="str">
        <f>HYPERLINK("https://climate.onebuilding.org/WMO_Region_6_Europe/ISR_Israel/D_HaDarom/ISR_D_Beer.Sheva-Teyman.AP.401910_TMYx.zip")</f>
        <v>https://climate.onebuilding.org/WMO_Region_6_Europe/ISR_Israel/D_HaDarom/ISR_D_Beer.Sheva-Teyman.AP.401910_TMYx.zip</v>
      </c>
    </row>
    <row r="6820" spans="1:10" x14ac:dyDescent="0.25">
      <c r="A6820" t="s">
        <v>5210</v>
      </c>
      <c r="B6820" t="s">
        <v>5231</v>
      </c>
      <c r="C6820" t="s">
        <v>5235</v>
      </c>
      <c r="D6820">
        <v>401980</v>
      </c>
      <c r="E6820" t="s">
        <v>5236</v>
      </c>
      <c r="F6820">
        <v>30</v>
      </c>
      <c r="G6820">
        <v>34.833300000000001</v>
      </c>
      <c r="H6820">
        <v>2</v>
      </c>
      <c r="I6820">
        <v>454.8</v>
      </c>
      <c r="J6820" t="str">
        <f>HYPERLINK("https://climate.onebuilding.org/WMO_Region_6_Europe/ISR_Israel/D_HaDarom/ISR_D_Ovda.AP.401980_TMYx.2004-2018.zip")</f>
        <v>https://climate.onebuilding.org/WMO_Region_6_Europe/ISR_Israel/D_HaDarom/ISR_D_Ovda.AP.401980_TMYx.2004-2018.zip</v>
      </c>
    </row>
    <row r="6821" spans="1:10" x14ac:dyDescent="0.25">
      <c r="A6821" t="s">
        <v>5210</v>
      </c>
      <c r="B6821" t="s">
        <v>5231</v>
      </c>
      <c r="C6821" t="s">
        <v>5235</v>
      </c>
      <c r="D6821">
        <v>401980</v>
      </c>
      <c r="E6821" t="s">
        <v>14</v>
      </c>
      <c r="F6821">
        <v>29.94</v>
      </c>
      <c r="G6821">
        <v>34.936</v>
      </c>
      <c r="H6821">
        <v>2</v>
      </c>
      <c r="I6821">
        <v>454.8</v>
      </c>
      <c r="J6821" t="str">
        <f>HYPERLINK("https://climate.onebuilding.org/WMO_Region_6_Europe/ISR_Israel/D_HaDarom/ISR_D_Ovda.AP.401980_TMYx.2007-2021.zip")</f>
        <v>https://climate.onebuilding.org/WMO_Region_6_Europe/ISR_Israel/D_HaDarom/ISR_D_Ovda.AP.401980_TMYx.2007-2021.zip</v>
      </c>
    </row>
    <row r="6822" spans="1:10" x14ac:dyDescent="0.25">
      <c r="A6822" t="s">
        <v>5210</v>
      </c>
      <c r="B6822" t="s">
        <v>5231</v>
      </c>
      <c r="C6822" t="s">
        <v>5235</v>
      </c>
      <c r="D6822">
        <v>401980</v>
      </c>
      <c r="E6822" t="s">
        <v>14</v>
      </c>
      <c r="F6822">
        <v>29.94</v>
      </c>
      <c r="G6822">
        <v>34.936</v>
      </c>
      <c r="H6822">
        <v>2</v>
      </c>
      <c r="I6822">
        <v>454.8</v>
      </c>
      <c r="J6822" t="str">
        <f>HYPERLINK("https://climate.onebuilding.org/WMO_Region_6_Europe/ISR_Israel/D_HaDarom/ISR_D_Ovda.AP.401980_TMYx.2009-2023.zip")</f>
        <v>https://climate.onebuilding.org/WMO_Region_6_Europe/ISR_Israel/D_HaDarom/ISR_D_Ovda.AP.401980_TMYx.2009-2023.zip</v>
      </c>
    </row>
    <row r="6823" spans="1:10" x14ac:dyDescent="0.25">
      <c r="A6823" t="s">
        <v>5210</v>
      </c>
      <c r="B6823" t="s">
        <v>5231</v>
      </c>
      <c r="C6823" t="s">
        <v>5235</v>
      </c>
      <c r="D6823">
        <v>401980</v>
      </c>
      <c r="E6823" t="s">
        <v>14</v>
      </c>
      <c r="F6823">
        <v>29.94</v>
      </c>
      <c r="G6823">
        <v>34.936</v>
      </c>
      <c r="H6823">
        <v>2</v>
      </c>
      <c r="I6823">
        <v>454.8</v>
      </c>
      <c r="J6823" t="str">
        <f>HYPERLINK("https://climate.onebuilding.org/WMO_Region_6_Europe/ISR_Israel/D_HaDarom/ISR_D_Ovda.AP.401980_TMYx.zip")</f>
        <v>https://climate.onebuilding.org/WMO_Region_6_Europe/ISR_Israel/D_HaDarom/ISR_D_Ovda.AP.401980_TMYx.zip</v>
      </c>
    </row>
    <row r="6824" spans="1:10" x14ac:dyDescent="0.25">
      <c r="A6824" t="s">
        <v>5210</v>
      </c>
      <c r="B6824" t="s">
        <v>5231</v>
      </c>
      <c r="C6824" t="s">
        <v>5237</v>
      </c>
      <c r="D6824">
        <v>401990</v>
      </c>
      <c r="E6824" t="s">
        <v>5238</v>
      </c>
      <c r="F6824">
        <v>29.561</v>
      </c>
      <c r="G6824">
        <v>34.96</v>
      </c>
      <c r="H6824">
        <v>2</v>
      </c>
      <c r="I6824">
        <v>12.8</v>
      </c>
      <c r="J6824" t="str">
        <f>HYPERLINK("https://climate.onebuilding.org/WMO_Region_6_Europe/ISR_Israel/D_HaDarom/ISR_D_Eilat-Hozman.AP.401990_TMYx.2004-2018.zip")</f>
        <v>https://climate.onebuilding.org/WMO_Region_6_Europe/ISR_Israel/D_HaDarom/ISR_D_Eilat-Hozman.AP.401990_TMYx.2004-2018.zip</v>
      </c>
    </row>
    <row r="6825" spans="1:10" x14ac:dyDescent="0.25">
      <c r="A6825" t="s">
        <v>5210</v>
      </c>
      <c r="B6825" t="s">
        <v>5231</v>
      </c>
      <c r="C6825" t="s">
        <v>5237</v>
      </c>
      <c r="D6825">
        <v>401990</v>
      </c>
      <c r="E6825" t="s">
        <v>14</v>
      </c>
      <c r="F6825">
        <v>29.552600000000002</v>
      </c>
      <c r="G6825">
        <v>34.951999999999998</v>
      </c>
      <c r="H6825">
        <v>2</v>
      </c>
      <c r="I6825">
        <v>12.8</v>
      </c>
      <c r="J6825" t="str">
        <f>HYPERLINK("https://climate.onebuilding.org/WMO_Region_6_Europe/ISR_Israel/D_HaDarom/ISR_D_Eilat-Hozman.AP.401990_TMYx.2007-2021.zip")</f>
        <v>https://climate.onebuilding.org/WMO_Region_6_Europe/ISR_Israel/D_HaDarom/ISR_D_Eilat-Hozman.AP.401990_TMYx.2007-2021.zip</v>
      </c>
    </row>
    <row r="6826" spans="1:10" x14ac:dyDescent="0.25">
      <c r="A6826" t="s">
        <v>5210</v>
      </c>
      <c r="B6826" t="s">
        <v>5231</v>
      </c>
      <c r="C6826" t="s">
        <v>5237</v>
      </c>
      <c r="D6826">
        <v>401990</v>
      </c>
      <c r="E6826" t="s">
        <v>14</v>
      </c>
      <c r="F6826">
        <v>29.552600000000002</v>
      </c>
      <c r="G6826">
        <v>34.951999999999998</v>
      </c>
      <c r="H6826">
        <v>2</v>
      </c>
      <c r="I6826">
        <v>12.8</v>
      </c>
      <c r="J6826" t="str">
        <f>HYPERLINK("https://climate.onebuilding.org/WMO_Region_6_Europe/ISR_Israel/D_HaDarom/ISR_D_Eilat-Hozman.AP.401990_TMYx.2009-2023.zip")</f>
        <v>https://climate.onebuilding.org/WMO_Region_6_Europe/ISR_Israel/D_HaDarom/ISR_D_Eilat-Hozman.AP.401990_TMYx.2009-2023.zip</v>
      </c>
    </row>
    <row r="6827" spans="1:10" x14ac:dyDescent="0.25">
      <c r="A6827" t="s">
        <v>5210</v>
      </c>
      <c r="B6827" t="s">
        <v>5231</v>
      </c>
      <c r="C6827" t="s">
        <v>5237</v>
      </c>
      <c r="D6827">
        <v>401990</v>
      </c>
      <c r="E6827" t="s">
        <v>14</v>
      </c>
      <c r="F6827">
        <v>29.552600000000002</v>
      </c>
      <c r="G6827">
        <v>34.951999999999998</v>
      </c>
      <c r="H6827">
        <v>2</v>
      </c>
      <c r="I6827">
        <v>12.8</v>
      </c>
      <c r="J6827" t="str">
        <f>HYPERLINK("https://climate.onebuilding.org/WMO_Region_6_Europe/ISR_Israel/D_HaDarom/ISR_D_Eilat-Hozman.AP.401990_TMYx.zip")</f>
        <v>https://climate.onebuilding.org/WMO_Region_6_Europe/ISR_Israel/D_HaDarom/ISR_D_Eilat-Hozman.AP.401990_TMYx.zip</v>
      </c>
    </row>
    <row r="6828" spans="1:10" x14ac:dyDescent="0.25">
      <c r="A6828" t="s">
        <v>5239</v>
      </c>
      <c r="B6828" t="s">
        <v>5240</v>
      </c>
      <c r="C6828" t="s">
        <v>5241</v>
      </c>
      <c r="D6828">
        <v>111290</v>
      </c>
      <c r="E6828" t="s">
        <v>14</v>
      </c>
      <c r="F6828">
        <v>47.001800000000003</v>
      </c>
      <c r="G6828">
        <v>11.5061</v>
      </c>
      <c r="H6828">
        <v>1</v>
      </c>
      <c r="I6828">
        <v>1394</v>
      </c>
      <c r="J6828" t="str">
        <f>HYPERLINK("https://climate.onebuilding.org/WMO_Region_6_Europe/ITA_Italy/TT_Trentino-Alto_Adige/ITA_TT_Brennero.Pass.111290_TMYx.2007-2021.zip")</f>
        <v>https://climate.onebuilding.org/WMO_Region_6_Europe/ITA_Italy/TT_Trentino-Alto_Adige/ITA_TT_Brennero.Pass.111290_TMYx.2007-2021.zip</v>
      </c>
    </row>
    <row r="6829" spans="1:10" x14ac:dyDescent="0.25">
      <c r="A6829" t="s">
        <v>5239</v>
      </c>
      <c r="B6829" t="s">
        <v>5240</v>
      </c>
      <c r="C6829" t="s">
        <v>5241</v>
      </c>
      <c r="D6829">
        <v>111290</v>
      </c>
      <c r="E6829" t="s">
        <v>14</v>
      </c>
      <c r="F6829">
        <v>47.001800000000003</v>
      </c>
      <c r="G6829">
        <v>11.5061</v>
      </c>
      <c r="H6829">
        <v>1</v>
      </c>
      <c r="I6829">
        <v>1394</v>
      </c>
      <c r="J6829" t="str">
        <f>HYPERLINK("https://climate.onebuilding.org/WMO_Region_6_Europe/ITA_Italy/TT_Trentino-Alto_Adige/ITA_TT_Brennero.Pass.111290_TMYx.2009-2023.zip")</f>
        <v>https://climate.onebuilding.org/WMO_Region_6_Europe/ITA_Italy/TT_Trentino-Alto_Adige/ITA_TT_Brennero.Pass.111290_TMYx.2009-2023.zip</v>
      </c>
    </row>
    <row r="6830" spans="1:10" x14ac:dyDescent="0.25">
      <c r="A6830" t="s">
        <v>5239</v>
      </c>
      <c r="B6830" t="s">
        <v>5240</v>
      </c>
      <c r="C6830" t="s">
        <v>5241</v>
      </c>
      <c r="D6830">
        <v>111290</v>
      </c>
      <c r="E6830" t="s">
        <v>14</v>
      </c>
      <c r="F6830">
        <v>47.001800000000003</v>
      </c>
      <c r="G6830">
        <v>11.5061</v>
      </c>
      <c r="H6830">
        <v>1</v>
      </c>
      <c r="I6830">
        <v>1394</v>
      </c>
      <c r="J6830" t="str">
        <f>HYPERLINK("https://climate.onebuilding.org/WMO_Region_6_Europe/ITA_Italy/TT_Trentino-Alto_Adige/ITA_TT_Brennero.Pass.111290_TMYx.zip")</f>
        <v>https://climate.onebuilding.org/WMO_Region_6_Europe/ITA_Italy/TT_Trentino-Alto_Adige/ITA_TT_Brennero.Pass.111290_TMYx.zip</v>
      </c>
    </row>
    <row r="6831" spans="1:10" x14ac:dyDescent="0.25">
      <c r="A6831" t="s">
        <v>5239</v>
      </c>
      <c r="B6831" t="s">
        <v>5240</v>
      </c>
      <c r="C6831" t="s">
        <v>5242</v>
      </c>
      <c r="D6831">
        <v>160080</v>
      </c>
      <c r="E6831" t="s">
        <v>5243</v>
      </c>
      <c r="F6831">
        <v>46.761899999999997</v>
      </c>
      <c r="G6831">
        <v>10.5344</v>
      </c>
      <c r="H6831">
        <v>1</v>
      </c>
      <c r="I6831">
        <v>1461</v>
      </c>
      <c r="J6831" t="str">
        <f>HYPERLINK("https://climate.onebuilding.org/WMO_Region_6_Europe/ITA_Italy/TT_Trentino-Alto_Adige/ITA_TT_San.Valentino.Alla.Muta.160080_TMYx.2004-2018.zip")</f>
        <v>https://climate.onebuilding.org/WMO_Region_6_Europe/ITA_Italy/TT_Trentino-Alto_Adige/ITA_TT_San.Valentino.Alla.Muta.160080_TMYx.2004-2018.zip</v>
      </c>
    </row>
    <row r="6832" spans="1:10" x14ac:dyDescent="0.25">
      <c r="A6832" t="s">
        <v>5239</v>
      </c>
      <c r="B6832" t="s">
        <v>5240</v>
      </c>
      <c r="C6832" t="s">
        <v>5242</v>
      </c>
      <c r="D6832">
        <v>160080</v>
      </c>
      <c r="E6832" t="s">
        <v>14</v>
      </c>
      <c r="F6832">
        <v>46.761899999999997</v>
      </c>
      <c r="G6832">
        <v>10.5344</v>
      </c>
      <c r="H6832">
        <v>1</v>
      </c>
      <c r="I6832">
        <v>1461</v>
      </c>
      <c r="J6832" t="str">
        <f>HYPERLINK("https://climate.onebuilding.org/WMO_Region_6_Europe/ITA_Italy/TT_Trentino-Alto_Adige/ITA_TT_San.Valentino.Alla.Muta.160080_TMYx.2007-2021.zip")</f>
        <v>https://climate.onebuilding.org/WMO_Region_6_Europe/ITA_Italy/TT_Trentino-Alto_Adige/ITA_TT_San.Valentino.Alla.Muta.160080_TMYx.2007-2021.zip</v>
      </c>
    </row>
    <row r="6833" spans="1:10" x14ac:dyDescent="0.25">
      <c r="A6833" t="s">
        <v>5239</v>
      </c>
      <c r="B6833" t="s">
        <v>5240</v>
      </c>
      <c r="C6833" t="s">
        <v>5242</v>
      </c>
      <c r="D6833">
        <v>160080</v>
      </c>
      <c r="E6833" t="s">
        <v>14</v>
      </c>
      <c r="F6833">
        <v>46.761899999999997</v>
      </c>
      <c r="G6833">
        <v>10.5344</v>
      </c>
      <c r="H6833">
        <v>1</v>
      </c>
      <c r="I6833">
        <v>1461</v>
      </c>
      <c r="J6833" t="str">
        <f>HYPERLINK("https://climate.onebuilding.org/WMO_Region_6_Europe/ITA_Italy/TT_Trentino-Alto_Adige/ITA_TT_San.Valentino.Alla.Muta.160080_TMYx.2009-2023.zip")</f>
        <v>https://climate.onebuilding.org/WMO_Region_6_Europe/ITA_Italy/TT_Trentino-Alto_Adige/ITA_TT_San.Valentino.Alla.Muta.160080_TMYx.2009-2023.zip</v>
      </c>
    </row>
    <row r="6834" spans="1:10" x14ac:dyDescent="0.25">
      <c r="A6834" t="s">
        <v>5239</v>
      </c>
      <c r="B6834" t="s">
        <v>5240</v>
      </c>
      <c r="C6834" t="s">
        <v>5242</v>
      </c>
      <c r="D6834">
        <v>160080</v>
      </c>
      <c r="E6834" t="s">
        <v>14</v>
      </c>
      <c r="F6834">
        <v>46.761899999999997</v>
      </c>
      <c r="G6834">
        <v>10.5344</v>
      </c>
      <c r="H6834">
        <v>1</v>
      </c>
      <c r="I6834">
        <v>1461</v>
      </c>
      <c r="J6834" t="str">
        <f>HYPERLINK("https://climate.onebuilding.org/WMO_Region_6_Europe/ITA_Italy/TT_Trentino-Alto_Adige/ITA_TT_San.Valentino.Alla.Muta.160080_TMYx.zip")</f>
        <v>https://climate.onebuilding.org/WMO_Region_6_Europe/ITA_Italy/TT_Trentino-Alto_Adige/ITA_TT_San.Valentino.Alla.Muta.160080_TMYx.zip</v>
      </c>
    </row>
    <row r="6835" spans="1:10" x14ac:dyDescent="0.25">
      <c r="A6835" t="s">
        <v>5239</v>
      </c>
      <c r="B6835" t="s">
        <v>5240</v>
      </c>
      <c r="C6835" t="s">
        <v>5244</v>
      </c>
      <c r="D6835">
        <v>160083</v>
      </c>
      <c r="E6835" t="s">
        <v>5245</v>
      </c>
      <c r="F6835">
        <v>46.832999999999998</v>
      </c>
      <c r="G6835">
        <v>10.5</v>
      </c>
      <c r="H6835">
        <v>1</v>
      </c>
      <c r="I6835">
        <v>1800</v>
      </c>
      <c r="J6835" t="str">
        <f>HYPERLINK("https://climate.onebuilding.org/WMO_Region_6_Europe/ITA_Italy/TT_Trentino-Alto_Adige/ITA_TT_Reschen.Pass.160083_TMYx.2004-2018.zip")</f>
        <v>https://climate.onebuilding.org/WMO_Region_6_Europe/ITA_Italy/TT_Trentino-Alto_Adige/ITA_TT_Reschen.Pass.160083_TMYx.2004-2018.zip</v>
      </c>
    </row>
    <row r="6836" spans="1:10" x14ac:dyDescent="0.25">
      <c r="A6836" t="s">
        <v>5239</v>
      </c>
      <c r="B6836" t="s">
        <v>5240</v>
      </c>
      <c r="C6836" t="s">
        <v>5244</v>
      </c>
      <c r="D6836">
        <v>160083</v>
      </c>
      <c r="E6836" t="s">
        <v>14</v>
      </c>
      <c r="F6836">
        <v>46.832999999999998</v>
      </c>
      <c r="G6836">
        <v>10.5</v>
      </c>
      <c r="H6836">
        <v>1</v>
      </c>
      <c r="I6836">
        <v>1800</v>
      </c>
      <c r="J6836" t="str">
        <f>HYPERLINK("https://climate.onebuilding.org/WMO_Region_6_Europe/ITA_Italy/TT_Trentino-Alto_Adige/ITA_TT_Reschen.Pass.160083_TMYx.2007-2021.zip")</f>
        <v>https://climate.onebuilding.org/WMO_Region_6_Europe/ITA_Italy/TT_Trentino-Alto_Adige/ITA_TT_Reschen.Pass.160083_TMYx.2007-2021.zip</v>
      </c>
    </row>
    <row r="6837" spans="1:10" x14ac:dyDescent="0.25">
      <c r="A6837" t="s">
        <v>5239</v>
      </c>
      <c r="B6837" t="s">
        <v>5240</v>
      </c>
      <c r="C6837" t="s">
        <v>5244</v>
      </c>
      <c r="D6837">
        <v>160083</v>
      </c>
      <c r="E6837" t="s">
        <v>14</v>
      </c>
      <c r="F6837">
        <v>46.832999999999998</v>
      </c>
      <c r="G6837">
        <v>10.5</v>
      </c>
      <c r="H6837">
        <v>1</v>
      </c>
      <c r="I6837">
        <v>1800</v>
      </c>
      <c r="J6837" t="str">
        <f>HYPERLINK("https://climate.onebuilding.org/WMO_Region_6_Europe/ITA_Italy/TT_Trentino-Alto_Adige/ITA_TT_Reschen.Pass.160083_TMYx.2009-2023.zip")</f>
        <v>https://climate.onebuilding.org/WMO_Region_6_Europe/ITA_Italy/TT_Trentino-Alto_Adige/ITA_TT_Reschen.Pass.160083_TMYx.2009-2023.zip</v>
      </c>
    </row>
    <row r="6838" spans="1:10" x14ac:dyDescent="0.25">
      <c r="A6838" t="s">
        <v>5239</v>
      </c>
      <c r="B6838" t="s">
        <v>5240</v>
      </c>
      <c r="C6838" t="s">
        <v>5244</v>
      </c>
      <c r="D6838">
        <v>160083</v>
      </c>
      <c r="E6838" t="s">
        <v>14</v>
      </c>
      <c r="F6838">
        <v>46.832999999999998</v>
      </c>
      <c r="G6838">
        <v>10.5</v>
      </c>
      <c r="H6838">
        <v>1</v>
      </c>
      <c r="I6838">
        <v>1800</v>
      </c>
      <c r="J6838" t="str">
        <f>HYPERLINK("https://climate.onebuilding.org/WMO_Region_6_Europe/ITA_Italy/TT_Trentino-Alto_Adige/ITA_TT_Reschen.Pass.160083_TMYx.zip")</f>
        <v>https://climate.onebuilding.org/WMO_Region_6_Europe/ITA_Italy/TT_Trentino-Alto_Adige/ITA_TT_Reschen.Pass.160083_TMYx.zip</v>
      </c>
    </row>
    <row r="6839" spans="1:10" x14ac:dyDescent="0.25">
      <c r="A6839" t="s">
        <v>5239</v>
      </c>
      <c r="B6839" t="s">
        <v>5240</v>
      </c>
      <c r="C6839" t="s">
        <v>5246</v>
      </c>
      <c r="D6839">
        <v>160140</v>
      </c>
      <c r="E6839" t="s">
        <v>14</v>
      </c>
      <c r="F6839">
        <v>46.883899999999997</v>
      </c>
      <c r="G6839">
        <v>11.44</v>
      </c>
      <c r="H6839">
        <v>1</v>
      </c>
      <c r="I6839">
        <v>922</v>
      </c>
      <c r="J6839" t="str">
        <f>HYPERLINK("https://climate.onebuilding.org/WMO_Region_6_Europe/ITA_Italy/TT_Trentino-Alto_Adige/ITA_TT_Vipiteno.160140_TMYx.2007-2021.zip")</f>
        <v>https://climate.onebuilding.org/WMO_Region_6_Europe/ITA_Italy/TT_Trentino-Alto_Adige/ITA_TT_Vipiteno.160140_TMYx.2007-2021.zip</v>
      </c>
    </row>
    <row r="6840" spans="1:10" x14ac:dyDescent="0.25">
      <c r="A6840" t="s">
        <v>5239</v>
      </c>
      <c r="B6840" t="s">
        <v>5240</v>
      </c>
      <c r="C6840" t="s">
        <v>5246</v>
      </c>
      <c r="D6840">
        <v>160140</v>
      </c>
      <c r="E6840" t="s">
        <v>14</v>
      </c>
      <c r="F6840">
        <v>46.883899999999997</v>
      </c>
      <c r="G6840">
        <v>11.44</v>
      </c>
      <c r="H6840">
        <v>1</v>
      </c>
      <c r="I6840">
        <v>922</v>
      </c>
      <c r="J6840" t="str">
        <f>HYPERLINK("https://climate.onebuilding.org/WMO_Region_6_Europe/ITA_Italy/TT_Trentino-Alto_Adige/ITA_TT_Vipiteno.160140_TMYx.2009-2023.zip")</f>
        <v>https://climate.onebuilding.org/WMO_Region_6_Europe/ITA_Italy/TT_Trentino-Alto_Adige/ITA_TT_Vipiteno.160140_TMYx.2009-2023.zip</v>
      </c>
    </row>
    <row r="6841" spans="1:10" x14ac:dyDescent="0.25">
      <c r="A6841" t="s">
        <v>5239</v>
      </c>
      <c r="B6841" t="s">
        <v>5240</v>
      </c>
      <c r="C6841" t="s">
        <v>5246</v>
      </c>
      <c r="D6841">
        <v>160140</v>
      </c>
      <c r="E6841" t="s">
        <v>14</v>
      </c>
      <c r="F6841">
        <v>46.883899999999997</v>
      </c>
      <c r="G6841">
        <v>11.44</v>
      </c>
      <c r="H6841">
        <v>1</v>
      </c>
      <c r="I6841">
        <v>922</v>
      </c>
      <c r="J6841" t="str">
        <f>HYPERLINK("https://climate.onebuilding.org/WMO_Region_6_Europe/ITA_Italy/TT_Trentino-Alto_Adige/ITA_TT_Vipiteno.160140_TMYx.zip")</f>
        <v>https://climate.onebuilding.org/WMO_Region_6_Europe/ITA_Italy/TT_Trentino-Alto_Adige/ITA_TT_Vipiteno.160140_TMYx.zip</v>
      </c>
    </row>
    <row r="6842" spans="1:10" x14ac:dyDescent="0.25">
      <c r="A6842" t="s">
        <v>5239</v>
      </c>
      <c r="B6842" t="s">
        <v>5240</v>
      </c>
      <c r="C6842" t="s">
        <v>5247</v>
      </c>
      <c r="D6842">
        <v>160200</v>
      </c>
      <c r="E6842" t="s">
        <v>5248</v>
      </c>
      <c r="F6842">
        <v>46.460299999999997</v>
      </c>
      <c r="G6842">
        <v>11.3264</v>
      </c>
      <c r="H6842">
        <v>1</v>
      </c>
      <c r="I6842">
        <v>241</v>
      </c>
      <c r="J6842" t="str">
        <f>HYPERLINK("https://climate.onebuilding.org/WMO_Region_6_Europe/ITA_Italy/TT_Trentino-Alto_Adige/ITA_TT_Bolzano.AP.160200_TMYx.2004-2018.zip")</f>
        <v>https://climate.onebuilding.org/WMO_Region_6_Europe/ITA_Italy/TT_Trentino-Alto_Adige/ITA_TT_Bolzano.AP.160200_TMYx.2004-2018.zip</v>
      </c>
    </row>
    <row r="6843" spans="1:10" x14ac:dyDescent="0.25">
      <c r="A6843" t="s">
        <v>5239</v>
      </c>
      <c r="B6843" t="s">
        <v>5240</v>
      </c>
      <c r="C6843" t="s">
        <v>5247</v>
      </c>
      <c r="D6843">
        <v>160200</v>
      </c>
      <c r="E6843" t="s">
        <v>14</v>
      </c>
      <c r="F6843">
        <v>46.460299999999997</v>
      </c>
      <c r="G6843">
        <v>11.3264</v>
      </c>
      <c r="H6843">
        <v>1</v>
      </c>
      <c r="I6843">
        <v>241</v>
      </c>
      <c r="J6843" t="str">
        <f>HYPERLINK("https://climate.onebuilding.org/WMO_Region_6_Europe/ITA_Italy/TT_Trentino-Alto_Adige/ITA_TT_Bolzano.AP.160200_TMYx.2007-2021.zip")</f>
        <v>https://climate.onebuilding.org/WMO_Region_6_Europe/ITA_Italy/TT_Trentino-Alto_Adige/ITA_TT_Bolzano.AP.160200_TMYx.2007-2021.zip</v>
      </c>
    </row>
    <row r="6844" spans="1:10" x14ac:dyDescent="0.25">
      <c r="A6844" t="s">
        <v>5239</v>
      </c>
      <c r="B6844" t="s">
        <v>5240</v>
      </c>
      <c r="C6844" t="s">
        <v>5247</v>
      </c>
      <c r="D6844">
        <v>160200</v>
      </c>
      <c r="E6844" t="s">
        <v>14</v>
      </c>
      <c r="F6844">
        <v>46.460299999999997</v>
      </c>
      <c r="G6844">
        <v>11.3264</v>
      </c>
      <c r="H6844">
        <v>1</v>
      </c>
      <c r="I6844">
        <v>241</v>
      </c>
      <c r="J6844" t="str">
        <f>HYPERLINK("https://climate.onebuilding.org/WMO_Region_6_Europe/ITA_Italy/TT_Trentino-Alto_Adige/ITA_TT_Bolzano.AP.160200_TMYx.2009-2023.zip")</f>
        <v>https://climate.onebuilding.org/WMO_Region_6_Europe/ITA_Italy/TT_Trentino-Alto_Adige/ITA_TT_Bolzano.AP.160200_TMYx.2009-2023.zip</v>
      </c>
    </row>
    <row r="6845" spans="1:10" x14ac:dyDescent="0.25">
      <c r="A6845" t="s">
        <v>5239</v>
      </c>
      <c r="B6845" t="s">
        <v>5240</v>
      </c>
      <c r="C6845" t="s">
        <v>5247</v>
      </c>
      <c r="D6845">
        <v>160200</v>
      </c>
      <c r="E6845" t="s">
        <v>14</v>
      </c>
      <c r="F6845">
        <v>46.460299999999997</v>
      </c>
      <c r="G6845">
        <v>11.3264</v>
      </c>
      <c r="H6845">
        <v>1</v>
      </c>
      <c r="I6845">
        <v>241</v>
      </c>
      <c r="J6845" t="str">
        <f>HYPERLINK("https://climate.onebuilding.org/WMO_Region_6_Europe/ITA_Italy/TT_Trentino-Alto_Adige/ITA_TT_Bolzano.AP.160200_TMYx.zip")</f>
        <v>https://climate.onebuilding.org/WMO_Region_6_Europe/ITA_Italy/TT_Trentino-Alto_Adige/ITA_TT_Bolzano.AP.160200_TMYx.zip</v>
      </c>
    </row>
    <row r="6846" spans="1:10" x14ac:dyDescent="0.25">
      <c r="A6846" t="s">
        <v>5239</v>
      </c>
      <c r="B6846" t="s">
        <v>5240</v>
      </c>
      <c r="C6846" t="s">
        <v>5249</v>
      </c>
      <c r="D6846">
        <v>160210</v>
      </c>
      <c r="E6846" t="s">
        <v>5250</v>
      </c>
      <c r="F6846">
        <v>46.297800000000002</v>
      </c>
      <c r="G6846">
        <v>11.7867</v>
      </c>
      <c r="H6846">
        <v>1</v>
      </c>
      <c r="I6846">
        <v>2006</v>
      </c>
      <c r="J6846" t="str">
        <f>HYPERLINK("https://climate.onebuilding.org/WMO_Region_6_Europe/ITA_Italy/TT_Trentino-Alto_Adige/ITA_TT_Rolle.Pass.160210_TMYx.2004-2018.zip")</f>
        <v>https://climate.onebuilding.org/WMO_Region_6_Europe/ITA_Italy/TT_Trentino-Alto_Adige/ITA_TT_Rolle.Pass.160210_TMYx.2004-2018.zip</v>
      </c>
    </row>
    <row r="6847" spans="1:10" x14ac:dyDescent="0.25">
      <c r="A6847" t="s">
        <v>5239</v>
      </c>
      <c r="B6847" t="s">
        <v>5240</v>
      </c>
      <c r="C6847" t="s">
        <v>5249</v>
      </c>
      <c r="D6847">
        <v>160210</v>
      </c>
      <c r="E6847" t="s">
        <v>14</v>
      </c>
      <c r="F6847">
        <v>46.297800000000002</v>
      </c>
      <c r="G6847">
        <v>11.7867</v>
      </c>
      <c r="H6847">
        <v>1</v>
      </c>
      <c r="I6847">
        <v>2006</v>
      </c>
      <c r="J6847" t="str">
        <f>HYPERLINK("https://climate.onebuilding.org/WMO_Region_6_Europe/ITA_Italy/TT_Trentino-Alto_Adige/ITA_TT_Rolle.Pass.160210_TMYx.2007-2021.zip")</f>
        <v>https://climate.onebuilding.org/WMO_Region_6_Europe/ITA_Italy/TT_Trentino-Alto_Adige/ITA_TT_Rolle.Pass.160210_TMYx.2007-2021.zip</v>
      </c>
    </row>
    <row r="6848" spans="1:10" x14ac:dyDescent="0.25">
      <c r="A6848" t="s">
        <v>5239</v>
      </c>
      <c r="B6848" t="s">
        <v>5240</v>
      </c>
      <c r="C6848" t="s">
        <v>5249</v>
      </c>
      <c r="D6848">
        <v>160210</v>
      </c>
      <c r="E6848" t="s">
        <v>14</v>
      </c>
      <c r="F6848">
        <v>46.297800000000002</v>
      </c>
      <c r="G6848">
        <v>11.7867</v>
      </c>
      <c r="H6848">
        <v>1</v>
      </c>
      <c r="I6848">
        <v>2006</v>
      </c>
      <c r="J6848" t="str">
        <f>HYPERLINK("https://climate.onebuilding.org/WMO_Region_6_Europe/ITA_Italy/TT_Trentino-Alto_Adige/ITA_TT_Rolle.Pass.160210_TMYx.2009-2023.zip")</f>
        <v>https://climate.onebuilding.org/WMO_Region_6_Europe/ITA_Italy/TT_Trentino-Alto_Adige/ITA_TT_Rolle.Pass.160210_TMYx.2009-2023.zip</v>
      </c>
    </row>
    <row r="6849" spans="1:10" x14ac:dyDescent="0.25">
      <c r="A6849" t="s">
        <v>5239</v>
      </c>
      <c r="B6849" t="s">
        <v>5240</v>
      </c>
      <c r="C6849" t="s">
        <v>5249</v>
      </c>
      <c r="D6849">
        <v>160210</v>
      </c>
      <c r="E6849" t="s">
        <v>14</v>
      </c>
      <c r="F6849">
        <v>46.297800000000002</v>
      </c>
      <c r="G6849">
        <v>11.7867</v>
      </c>
      <c r="H6849">
        <v>1</v>
      </c>
      <c r="I6849">
        <v>2006</v>
      </c>
      <c r="J6849" t="str">
        <f>HYPERLINK("https://climate.onebuilding.org/WMO_Region_6_Europe/ITA_Italy/TT_Trentino-Alto_Adige/ITA_TT_Rolle.Pass.160210_TMYx.zip")</f>
        <v>https://climate.onebuilding.org/WMO_Region_6_Europe/ITA_Italy/TT_Trentino-Alto_Adige/ITA_TT_Rolle.Pass.160210_TMYx.zip</v>
      </c>
    </row>
    <row r="6850" spans="1:10" x14ac:dyDescent="0.25">
      <c r="A6850" t="s">
        <v>5239</v>
      </c>
      <c r="B6850" t="s">
        <v>5240</v>
      </c>
      <c r="C6850" t="s">
        <v>5251</v>
      </c>
      <c r="D6850">
        <v>160220</v>
      </c>
      <c r="E6850" t="s">
        <v>5252</v>
      </c>
      <c r="F6850">
        <v>46.1417</v>
      </c>
      <c r="G6850">
        <v>11.036300000000001</v>
      </c>
      <c r="H6850">
        <v>1</v>
      </c>
      <c r="I6850">
        <v>2129</v>
      </c>
      <c r="J6850" t="str">
        <f>HYPERLINK("https://climate.onebuilding.org/WMO_Region_6_Europe/ITA_Italy/TT_Trentino-Alto_Adige/ITA_TT_Paganella.Mtn.160220_TMYx.2004-2018.zip")</f>
        <v>https://climate.onebuilding.org/WMO_Region_6_Europe/ITA_Italy/TT_Trentino-Alto_Adige/ITA_TT_Paganella.Mtn.160220_TMYx.2004-2018.zip</v>
      </c>
    </row>
    <row r="6851" spans="1:10" x14ac:dyDescent="0.25">
      <c r="A6851" t="s">
        <v>5239</v>
      </c>
      <c r="B6851" t="s">
        <v>5240</v>
      </c>
      <c r="C6851" t="s">
        <v>5251</v>
      </c>
      <c r="D6851">
        <v>160220</v>
      </c>
      <c r="E6851" t="s">
        <v>14</v>
      </c>
      <c r="F6851">
        <v>46.1417</v>
      </c>
      <c r="G6851">
        <v>11.036300000000001</v>
      </c>
      <c r="H6851">
        <v>1</v>
      </c>
      <c r="I6851">
        <v>2129</v>
      </c>
      <c r="J6851" t="str">
        <f>HYPERLINK("https://climate.onebuilding.org/WMO_Region_6_Europe/ITA_Italy/TT_Trentino-Alto_Adige/ITA_TT_Paganella.Mtn.160220_TMYx.2007-2021.zip")</f>
        <v>https://climate.onebuilding.org/WMO_Region_6_Europe/ITA_Italy/TT_Trentino-Alto_Adige/ITA_TT_Paganella.Mtn.160220_TMYx.2007-2021.zip</v>
      </c>
    </row>
    <row r="6852" spans="1:10" x14ac:dyDescent="0.25">
      <c r="A6852" t="s">
        <v>5239</v>
      </c>
      <c r="B6852" t="s">
        <v>5240</v>
      </c>
      <c r="C6852" t="s">
        <v>5251</v>
      </c>
      <c r="D6852">
        <v>160220</v>
      </c>
      <c r="E6852" t="s">
        <v>14</v>
      </c>
      <c r="F6852">
        <v>46.1417</v>
      </c>
      <c r="G6852">
        <v>11.036300000000001</v>
      </c>
      <c r="H6852">
        <v>1</v>
      </c>
      <c r="I6852">
        <v>2129</v>
      </c>
      <c r="J6852" t="str">
        <f>HYPERLINK("https://climate.onebuilding.org/WMO_Region_6_Europe/ITA_Italy/TT_Trentino-Alto_Adige/ITA_TT_Paganella.Mtn.160220_TMYx.2009-2023.zip")</f>
        <v>https://climate.onebuilding.org/WMO_Region_6_Europe/ITA_Italy/TT_Trentino-Alto_Adige/ITA_TT_Paganella.Mtn.160220_TMYx.2009-2023.zip</v>
      </c>
    </row>
    <row r="6853" spans="1:10" x14ac:dyDescent="0.25">
      <c r="A6853" t="s">
        <v>5239</v>
      </c>
      <c r="B6853" t="s">
        <v>5240</v>
      </c>
      <c r="C6853" t="s">
        <v>5251</v>
      </c>
      <c r="D6853">
        <v>160220</v>
      </c>
      <c r="E6853" t="s">
        <v>14</v>
      </c>
      <c r="F6853">
        <v>46.1417</v>
      </c>
      <c r="G6853">
        <v>11.036300000000001</v>
      </c>
      <c r="H6853">
        <v>1</v>
      </c>
      <c r="I6853">
        <v>2129</v>
      </c>
      <c r="J6853" t="str">
        <f>HYPERLINK("https://climate.onebuilding.org/WMO_Region_6_Europe/ITA_Italy/TT_Trentino-Alto_Adige/ITA_TT_Paganella.Mtn.160220_TMYx.zip")</f>
        <v>https://climate.onebuilding.org/WMO_Region_6_Europe/ITA_Italy/TT_Trentino-Alto_Adige/ITA_TT_Paganella.Mtn.160220_TMYx.zip</v>
      </c>
    </row>
    <row r="6854" spans="1:10" x14ac:dyDescent="0.25">
      <c r="A6854" t="s">
        <v>5239</v>
      </c>
      <c r="B6854" t="s">
        <v>5240</v>
      </c>
      <c r="C6854" t="s">
        <v>5253</v>
      </c>
      <c r="D6854">
        <v>160230</v>
      </c>
      <c r="E6854" t="s">
        <v>14</v>
      </c>
      <c r="F6854">
        <v>46.020299999999999</v>
      </c>
      <c r="G6854">
        <v>11.1267</v>
      </c>
      <c r="H6854">
        <v>1</v>
      </c>
      <c r="I6854">
        <v>190</v>
      </c>
      <c r="J6854" t="str">
        <f>HYPERLINK("https://climate.onebuilding.org/WMO_Region_6_Europe/ITA_Italy/TT_Trentino-Alto_Adige/ITA_TT_Trento.AP.160230_TMYx.2007-2021.zip")</f>
        <v>https://climate.onebuilding.org/WMO_Region_6_Europe/ITA_Italy/TT_Trentino-Alto_Adige/ITA_TT_Trento.AP.160230_TMYx.2007-2021.zip</v>
      </c>
    </row>
    <row r="6855" spans="1:10" x14ac:dyDescent="0.25">
      <c r="A6855" t="s">
        <v>5239</v>
      </c>
      <c r="B6855" t="s">
        <v>5240</v>
      </c>
      <c r="C6855" t="s">
        <v>5253</v>
      </c>
      <c r="D6855">
        <v>160230</v>
      </c>
      <c r="E6855" t="s">
        <v>14</v>
      </c>
      <c r="F6855">
        <v>46.020299999999999</v>
      </c>
      <c r="G6855">
        <v>11.1267</v>
      </c>
      <c r="H6855">
        <v>1</v>
      </c>
      <c r="I6855">
        <v>190</v>
      </c>
      <c r="J6855" t="str">
        <f>HYPERLINK("https://climate.onebuilding.org/WMO_Region_6_Europe/ITA_Italy/TT_Trentino-Alto_Adige/ITA_TT_Trento.AP.160230_TMYx.2009-2023.zip")</f>
        <v>https://climate.onebuilding.org/WMO_Region_6_Europe/ITA_Italy/TT_Trentino-Alto_Adige/ITA_TT_Trento.AP.160230_TMYx.2009-2023.zip</v>
      </c>
    </row>
    <row r="6856" spans="1:10" x14ac:dyDescent="0.25">
      <c r="A6856" t="s">
        <v>5239</v>
      </c>
      <c r="B6856" t="s">
        <v>5240</v>
      </c>
      <c r="C6856" t="s">
        <v>5253</v>
      </c>
      <c r="D6856">
        <v>160230</v>
      </c>
      <c r="E6856" t="s">
        <v>14</v>
      </c>
      <c r="F6856">
        <v>46.020299999999999</v>
      </c>
      <c r="G6856">
        <v>11.1267</v>
      </c>
      <c r="H6856">
        <v>1</v>
      </c>
      <c r="I6856">
        <v>190</v>
      </c>
      <c r="J6856" t="str">
        <f>HYPERLINK("https://climate.onebuilding.org/WMO_Region_6_Europe/ITA_Italy/TT_Trentino-Alto_Adige/ITA_TT_Trento.AP.160230_TMYx.zip")</f>
        <v>https://climate.onebuilding.org/WMO_Region_6_Europe/ITA_Italy/TT_Trentino-Alto_Adige/ITA_TT_Trento.AP.160230_TMYx.zip</v>
      </c>
    </row>
    <row r="6857" spans="1:10" x14ac:dyDescent="0.25">
      <c r="A6857" t="s">
        <v>5239</v>
      </c>
      <c r="B6857" t="s">
        <v>5240</v>
      </c>
      <c r="C6857" t="s">
        <v>5254</v>
      </c>
      <c r="D6857">
        <v>160330</v>
      </c>
      <c r="E6857" t="s">
        <v>5255</v>
      </c>
      <c r="F6857">
        <v>46.73</v>
      </c>
      <c r="G6857">
        <v>12.22</v>
      </c>
      <c r="H6857">
        <v>1</v>
      </c>
      <c r="I6857">
        <v>1226</v>
      </c>
      <c r="J6857" t="str">
        <f>HYPERLINK("https://climate.onebuilding.org/WMO_Region_6_Europe/ITA_Italy/TT_Trentino-Alto_Adige/ITA_TT_Dobbiaco.160330_TMYx.2004-2018.zip")</f>
        <v>https://climate.onebuilding.org/WMO_Region_6_Europe/ITA_Italy/TT_Trentino-Alto_Adige/ITA_TT_Dobbiaco.160330_TMYx.2004-2018.zip</v>
      </c>
    </row>
    <row r="6858" spans="1:10" x14ac:dyDescent="0.25">
      <c r="A6858" t="s">
        <v>5239</v>
      </c>
      <c r="B6858" t="s">
        <v>5240</v>
      </c>
      <c r="C6858" t="s">
        <v>5254</v>
      </c>
      <c r="D6858">
        <v>160330</v>
      </c>
      <c r="E6858" t="s">
        <v>14</v>
      </c>
      <c r="F6858">
        <v>46.732999999999997</v>
      </c>
      <c r="G6858">
        <v>12.217000000000001</v>
      </c>
      <c r="H6858">
        <v>1</v>
      </c>
      <c r="I6858">
        <v>1226</v>
      </c>
      <c r="J6858" t="str">
        <f>HYPERLINK("https://climate.onebuilding.org/WMO_Region_6_Europe/ITA_Italy/TT_Trentino-Alto_Adige/ITA_TT_Dobbiaco.160330_TMYx.2007-2021.zip")</f>
        <v>https://climate.onebuilding.org/WMO_Region_6_Europe/ITA_Italy/TT_Trentino-Alto_Adige/ITA_TT_Dobbiaco.160330_TMYx.2007-2021.zip</v>
      </c>
    </row>
    <row r="6859" spans="1:10" x14ac:dyDescent="0.25">
      <c r="A6859" t="s">
        <v>5239</v>
      </c>
      <c r="B6859" t="s">
        <v>5240</v>
      </c>
      <c r="C6859" t="s">
        <v>5254</v>
      </c>
      <c r="D6859">
        <v>160330</v>
      </c>
      <c r="E6859" t="s">
        <v>14</v>
      </c>
      <c r="F6859">
        <v>46.732999999999997</v>
      </c>
      <c r="G6859">
        <v>12.217000000000001</v>
      </c>
      <c r="H6859">
        <v>1</v>
      </c>
      <c r="I6859">
        <v>1226</v>
      </c>
      <c r="J6859" t="str">
        <f>HYPERLINK("https://climate.onebuilding.org/WMO_Region_6_Europe/ITA_Italy/TT_Trentino-Alto_Adige/ITA_TT_Dobbiaco.160330_TMYx.2009-2023.zip")</f>
        <v>https://climate.onebuilding.org/WMO_Region_6_Europe/ITA_Italy/TT_Trentino-Alto_Adige/ITA_TT_Dobbiaco.160330_TMYx.2009-2023.zip</v>
      </c>
    </row>
    <row r="6860" spans="1:10" x14ac:dyDescent="0.25">
      <c r="A6860" t="s">
        <v>5239</v>
      </c>
      <c r="B6860" t="s">
        <v>5240</v>
      </c>
      <c r="C6860" t="s">
        <v>5254</v>
      </c>
      <c r="D6860">
        <v>160330</v>
      </c>
      <c r="E6860" t="s">
        <v>14</v>
      </c>
      <c r="F6860">
        <v>46.732999999999997</v>
      </c>
      <c r="G6860">
        <v>12.217000000000001</v>
      </c>
      <c r="H6860">
        <v>1</v>
      </c>
      <c r="I6860">
        <v>1226</v>
      </c>
      <c r="J6860" t="str">
        <f>HYPERLINK("https://climate.onebuilding.org/WMO_Region_6_Europe/ITA_Italy/TT_Trentino-Alto_Adige/ITA_TT_Dobbiaco.160330_TMYx.zip")</f>
        <v>https://climate.onebuilding.org/WMO_Region_6_Europe/ITA_Italy/TT_Trentino-Alto_Adige/ITA_TT_Dobbiaco.160330_TMYx.zip</v>
      </c>
    </row>
    <row r="6861" spans="1:10" x14ac:dyDescent="0.25">
      <c r="A6861" t="s">
        <v>5239</v>
      </c>
      <c r="B6861" t="s">
        <v>5256</v>
      </c>
      <c r="C6861" t="s">
        <v>5257</v>
      </c>
      <c r="D6861">
        <v>160370</v>
      </c>
      <c r="E6861" t="s">
        <v>14</v>
      </c>
      <c r="F6861">
        <v>46.030299999999997</v>
      </c>
      <c r="G6861">
        <v>12.5992</v>
      </c>
      <c r="H6861">
        <v>1</v>
      </c>
      <c r="I6861">
        <v>115</v>
      </c>
      <c r="J6861" t="str">
        <f>HYPERLINK("https://climate.onebuilding.org/WMO_Region_6_Europe/ITA_Italy/FV_Friuli-Venezia_Giulia/ITA_FV_Aviano.AFB.160360_TMYx.2007-2021.zip")</f>
        <v>https://climate.onebuilding.org/WMO_Region_6_Europe/ITA_Italy/FV_Friuli-Venezia_Giulia/ITA_FV_Aviano.AFB.160360_TMYx.2007-2021.zip</v>
      </c>
    </row>
    <row r="6862" spans="1:10" x14ac:dyDescent="0.25">
      <c r="A6862" t="s">
        <v>5239</v>
      </c>
      <c r="B6862" t="s">
        <v>5256</v>
      </c>
      <c r="C6862" t="s">
        <v>5257</v>
      </c>
      <c r="D6862">
        <v>160370</v>
      </c>
      <c r="E6862" t="s">
        <v>14</v>
      </c>
      <c r="F6862">
        <v>46.030299999999997</v>
      </c>
      <c r="G6862">
        <v>12.5992</v>
      </c>
      <c r="H6862">
        <v>1</v>
      </c>
      <c r="I6862">
        <v>115</v>
      </c>
      <c r="J6862" t="str">
        <f>HYPERLINK("https://climate.onebuilding.org/WMO_Region_6_Europe/ITA_Italy/FV_Friuli-Venezia_Giulia/ITA_FV_Aviano.AFB.160360_TMYx.2009-2023.zip")</f>
        <v>https://climate.onebuilding.org/WMO_Region_6_Europe/ITA_Italy/FV_Friuli-Venezia_Giulia/ITA_FV_Aviano.AFB.160360_TMYx.2009-2023.zip</v>
      </c>
    </row>
    <row r="6863" spans="1:10" x14ac:dyDescent="0.25">
      <c r="A6863" t="s">
        <v>5239</v>
      </c>
      <c r="B6863" t="s">
        <v>5256</v>
      </c>
      <c r="C6863" t="s">
        <v>5257</v>
      </c>
      <c r="D6863">
        <v>160370</v>
      </c>
      <c r="E6863" t="s">
        <v>14</v>
      </c>
      <c r="F6863">
        <v>46.030299999999997</v>
      </c>
      <c r="G6863">
        <v>12.5992</v>
      </c>
      <c r="H6863">
        <v>1</v>
      </c>
      <c r="I6863">
        <v>115</v>
      </c>
      <c r="J6863" t="str">
        <f>HYPERLINK("https://climate.onebuilding.org/WMO_Region_6_Europe/ITA_Italy/FV_Friuli-Venezia_Giulia/ITA_FV_Aviano.AFB.160360_TMYx.zip")</f>
        <v>https://climate.onebuilding.org/WMO_Region_6_Europe/ITA_Italy/FV_Friuli-Venezia_Giulia/ITA_FV_Aviano.AFB.160360_TMYx.zip</v>
      </c>
    </row>
    <row r="6864" spans="1:10" x14ac:dyDescent="0.25">
      <c r="A6864" t="s">
        <v>5239</v>
      </c>
      <c r="B6864" t="s">
        <v>5256</v>
      </c>
      <c r="C6864" t="s">
        <v>5258</v>
      </c>
      <c r="D6864">
        <v>160400</v>
      </c>
      <c r="E6864" t="s">
        <v>5259</v>
      </c>
      <c r="F6864">
        <v>46.505600000000001</v>
      </c>
      <c r="G6864">
        <v>13.5861</v>
      </c>
      <c r="H6864">
        <v>1</v>
      </c>
      <c r="I6864">
        <v>778</v>
      </c>
      <c r="J6864" t="str">
        <f>HYPERLINK("https://climate.onebuilding.org/WMO_Region_6_Europe/ITA_Italy/FV_Friuli-Venezia_Giulia/ITA_FV_Tarvisio.160400_TMYx.2004-2018.zip")</f>
        <v>https://climate.onebuilding.org/WMO_Region_6_Europe/ITA_Italy/FV_Friuli-Venezia_Giulia/ITA_FV_Tarvisio.160400_TMYx.2004-2018.zip</v>
      </c>
    </row>
    <row r="6865" spans="1:10" x14ac:dyDescent="0.25">
      <c r="A6865" t="s">
        <v>5239</v>
      </c>
      <c r="B6865" t="s">
        <v>5256</v>
      </c>
      <c r="C6865" t="s">
        <v>5258</v>
      </c>
      <c r="D6865">
        <v>160400</v>
      </c>
      <c r="E6865" t="s">
        <v>14</v>
      </c>
      <c r="F6865">
        <v>46.505600000000001</v>
      </c>
      <c r="G6865">
        <v>13.5861</v>
      </c>
      <c r="H6865">
        <v>1</v>
      </c>
      <c r="I6865">
        <v>778</v>
      </c>
      <c r="J6865" t="str">
        <f>HYPERLINK("https://climate.onebuilding.org/WMO_Region_6_Europe/ITA_Italy/FV_Friuli-Venezia_Giulia/ITA_FV_Tarvisio.160400_TMYx.2007-2021.zip")</f>
        <v>https://climate.onebuilding.org/WMO_Region_6_Europe/ITA_Italy/FV_Friuli-Venezia_Giulia/ITA_FV_Tarvisio.160400_TMYx.2007-2021.zip</v>
      </c>
    </row>
    <row r="6866" spans="1:10" x14ac:dyDescent="0.25">
      <c r="A6866" t="s">
        <v>5239</v>
      </c>
      <c r="B6866" t="s">
        <v>5256</v>
      </c>
      <c r="C6866" t="s">
        <v>5258</v>
      </c>
      <c r="D6866">
        <v>160400</v>
      </c>
      <c r="E6866" t="s">
        <v>14</v>
      </c>
      <c r="F6866">
        <v>46.505600000000001</v>
      </c>
      <c r="G6866">
        <v>13.5861</v>
      </c>
      <c r="H6866">
        <v>1</v>
      </c>
      <c r="I6866">
        <v>778</v>
      </c>
      <c r="J6866" t="str">
        <f>HYPERLINK("https://climate.onebuilding.org/WMO_Region_6_Europe/ITA_Italy/FV_Friuli-Venezia_Giulia/ITA_FV_Tarvisio.160400_TMYx.2009-2023.zip")</f>
        <v>https://climate.onebuilding.org/WMO_Region_6_Europe/ITA_Italy/FV_Friuli-Venezia_Giulia/ITA_FV_Tarvisio.160400_TMYx.2009-2023.zip</v>
      </c>
    </row>
    <row r="6867" spans="1:10" x14ac:dyDescent="0.25">
      <c r="A6867" t="s">
        <v>5239</v>
      </c>
      <c r="B6867" t="s">
        <v>5256</v>
      </c>
      <c r="C6867" t="s">
        <v>5258</v>
      </c>
      <c r="D6867">
        <v>160400</v>
      </c>
      <c r="E6867" t="s">
        <v>14</v>
      </c>
      <c r="F6867">
        <v>46.505600000000001</v>
      </c>
      <c r="G6867">
        <v>13.5861</v>
      </c>
      <c r="H6867">
        <v>1</v>
      </c>
      <c r="I6867">
        <v>778</v>
      </c>
      <c r="J6867" t="str">
        <f>HYPERLINK("https://climate.onebuilding.org/WMO_Region_6_Europe/ITA_Italy/FV_Friuli-Venezia_Giulia/ITA_FV_Tarvisio.160400_TMYx.zip")</f>
        <v>https://climate.onebuilding.org/WMO_Region_6_Europe/ITA_Italy/FV_Friuli-Venezia_Giulia/ITA_FV_Tarvisio.160400_TMYx.zip</v>
      </c>
    </row>
    <row r="6868" spans="1:10" x14ac:dyDescent="0.25">
      <c r="A6868" t="s">
        <v>5239</v>
      </c>
      <c r="B6868" t="s">
        <v>5256</v>
      </c>
      <c r="C6868" t="s">
        <v>5260</v>
      </c>
      <c r="D6868">
        <v>160440</v>
      </c>
      <c r="E6868" t="s">
        <v>14</v>
      </c>
      <c r="F6868">
        <v>46.033000000000001</v>
      </c>
      <c r="G6868">
        <v>13.183</v>
      </c>
      <c r="H6868">
        <v>1</v>
      </c>
      <c r="I6868">
        <v>94</v>
      </c>
      <c r="J6868" t="str">
        <f>HYPERLINK("https://climate.onebuilding.org/WMO_Region_6_Europe/ITA_Italy/FV_Friuli-Venezia_Giulia/ITA_FV_Udine.Campoformido.AF.160440_TMYx.zip")</f>
        <v>https://climate.onebuilding.org/WMO_Region_6_Europe/ITA_Italy/FV_Friuli-Venezia_Giulia/ITA_FV_Udine.Campoformido.AF.160440_TMYx.zip</v>
      </c>
    </row>
    <row r="6869" spans="1:10" x14ac:dyDescent="0.25">
      <c r="A6869" t="s">
        <v>5239</v>
      </c>
      <c r="B6869" t="s">
        <v>5256</v>
      </c>
      <c r="C6869" t="s">
        <v>5261</v>
      </c>
      <c r="D6869">
        <v>160450</v>
      </c>
      <c r="E6869" t="s">
        <v>14</v>
      </c>
      <c r="F6869">
        <v>45.981090000000002</v>
      </c>
      <c r="G6869">
        <v>13.04907</v>
      </c>
      <c r="H6869">
        <v>1</v>
      </c>
      <c r="I6869">
        <v>55</v>
      </c>
      <c r="J6869" t="str">
        <f>HYPERLINK("https://climate.onebuilding.org/WMO_Region_6_Europe/ITA_Italy/FV_Friuli-Venezia_Giulia/ITA_FV_Udine-Rivolto.AB.160450_TMYx.2007-2021.zip")</f>
        <v>https://climate.onebuilding.org/WMO_Region_6_Europe/ITA_Italy/FV_Friuli-Venezia_Giulia/ITA_FV_Udine-Rivolto.AB.160450_TMYx.2007-2021.zip</v>
      </c>
    </row>
    <row r="6870" spans="1:10" x14ac:dyDescent="0.25">
      <c r="A6870" t="s">
        <v>5239</v>
      </c>
      <c r="B6870" t="s">
        <v>5256</v>
      </c>
      <c r="C6870" t="s">
        <v>5261</v>
      </c>
      <c r="D6870">
        <v>160450</v>
      </c>
      <c r="E6870" t="s">
        <v>14</v>
      </c>
      <c r="F6870">
        <v>45.981090000000002</v>
      </c>
      <c r="G6870">
        <v>13.04907</v>
      </c>
      <c r="H6870">
        <v>1</v>
      </c>
      <c r="I6870">
        <v>55</v>
      </c>
      <c r="J6870" t="str">
        <f>HYPERLINK("https://climate.onebuilding.org/WMO_Region_6_Europe/ITA_Italy/FV_Friuli-Venezia_Giulia/ITA_FV_Udine-Rivolto.AB.160450_TMYx.2009-2023.zip")</f>
        <v>https://climate.onebuilding.org/WMO_Region_6_Europe/ITA_Italy/FV_Friuli-Venezia_Giulia/ITA_FV_Udine-Rivolto.AB.160450_TMYx.2009-2023.zip</v>
      </c>
    </row>
    <row r="6871" spans="1:10" x14ac:dyDescent="0.25">
      <c r="A6871" t="s">
        <v>5239</v>
      </c>
      <c r="B6871" t="s">
        <v>5256</v>
      </c>
      <c r="C6871" t="s">
        <v>5261</v>
      </c>
      <c r="D6871">
        <v>160450</v>
      </c>
      <c r="E6871" t="s">
        <v>14</v>
      </c>
      <c r="F6871">
        <v>45.981090000000002</v>
      </c>
      <c r="G6871">
        <v>13.04907</v>
      </c>
      <c r="H6871">
        <v>1</v>
      </c>
      <c r="I6871">
        <v>55</v>
      </c>
      <c r="J6871" t="str">
        <f>HYPERLINK("https://climate.onebuilding.org/WMO_Region_6_Europe/ITA_Italy/FV_Friuli-Venezia_Giulia/ITA_FV_Udine-Rivolto.AB.160450_TMYx.zip")</f>
        <v>https://climate.onebuilding.org/WMO_Region_6_Europe/ITA_Italy/FV_Friuli-Venezia_Giulia/ITA_FV_Udine-Rivolto.AB.160450_TMYx.zip</v>
      </c>
    </row>
    <row r="6872" spans="1:10" x14ac:dyDescent="0.25">
      <c r="A6872" t="s">
        <v>5239</v>
      </c>
      <c r="B6872" t="s">
        <v>5256</v>
      </c>
      <c r="C6872" t="s">
        <v>5262</v>
      </c>
      <c r="D6872">
        <v>160455</v>
      </c>
      <c r="E6872" t="s">
        <v>14</v>
      </c>
      <c r="F6872">
        <v>45.95</v>
      </c>
      <c r="G6872">
        <v>13.632999999999999</v>
      </c>
      <c r="H6872">
        <v>1</v>
      </c>
      <c r="I6872">
        <v>63</v>
      </c>
      <c r="J6872" t="str">
        <f>HYPERLINK("https://climate.onebuilding.org/WMO_Region_6_Europe/ITA_Italy/FV_Friuli-Venezia_Giulia/ITA_FV_Gorizia.160455_TMYx.zip")</f>
        <v>https://climate.onebuilding.org/WMO_Region_6_Europe/ITA_Italy/FV_Friuli-Venezia_Giulia/ITA_FV_Gorizia.160455_TMYx.zip</v>
      </c>
    </row>
    <row r="6873" spans="1:10" x14ac:dyDescent="0.25">
      <c r="A6873" t="s">
        <v>5239</v>
      </c>
      <c r="B6873" t="s">
        <v>478</v>
      </c>
      <c r="C6873" t="s">
        <v>5263</v>
      </c>
      <c r="D6873">
        <v>160520</v>
      </c>
      <c r="E6873" t="s">
        <v>5264</v>
      </c>
      <c r="F6873">
        <v>45.935000000000002</v>
      </c>
      <c r="G6873">
        <v>7.7061000000000002</v>
      </c>
      <c r="H6873">
        <v>1</v>
      </c>
      <c r="I6873">
        <v>3488</v>
      </c>
      <c r="J6873" t="str">
        <f>HYPERLINK("https://climate.onebuilding.org/WMO_Region_6_Europe/ITA_Italy/VD_Valle_d-Aosta/ITA_VD_Pian.Rosa.Mtn.160520_TMYx.2004-2018.zip")</f>
        <v>https://climate.onebuilding.org/WMO_Region_6_Europe/ITA_Italy/VD_Valle_d-Aosta/ITA_VD_Pian.Rosa.Mtn.160520_TMYx.2004-2018.zip</v>
      </c>
    </row>
    <row r="6874" spans="1:10" x14ac:dyDescent="0.25">
      <c r="A6874" t="s">
        <v>5239</v>
      </c>
      <c r="B6874" t="s">
        <v>478</v>
      </c>
      <c r="C6874" t="s">
        <v>5263</v>
      </c>
      <c r="D6874">
        <v>160520</v>
      </c>
      <c r="E6874" t="s">
        <v>14</v>
      </c>
      <c r="F6874">
        <v>45.935000000000002</v>
      </c>
      <c r="G6874">
        <v>7.7061000000000002</v>
      </c>
      <c r="H6874">
        <v>1</v>
      </c>
      <c r="I6874">
        <v>3488</v>
      </c>
      <c r="J6874" t="str">
        <f>HYPERLINK("https://climate.onebuilding.org/WMO_Region_6_Europe/ITA_Italy/VD_Valle_d-Aosta/ITA_VD_Pian.Rosa.Mtn.160520_TMYx.2007-2021.zip")</f>
        <v>https://climate.onebuilding.org/WMO_Region_6_Europe/ITA_Italy/VD_Valle_d-Aosta/ITA_VD_Pian.Rosa.Mtn.160520_TMYx.2007-2021.zip</v>
      </c>
    </row>
    <row r="6875" spans="1:10" x14ac:dyDescent="0.25">
      <c r="A6875" t="s">
        <v>5239</v>
      </c>
      <c r="B6875" t="s">
        <v>478</v>
      </c>
      <c r="C6875" t="s">
        <v>5263</v>
      </c>
      <c r="D6875">
        <v>160520</v>
      </c>
      <c r="E6875" t="s">
        <v>14</v>
      </c>
      <c r="F6875">
        <v>45.935000000000002</v>
      </c>
      <c r="G6875">
        <v>7.7061000000000002</v>
      </c>
      <c r="H6875">
        <v>1</v>
      </c>
      <c r="I6875">
        <v>3488</v>
      </c>
      <c r="J6875" t="str">
        <f>HYPERLINK("https://climate.onebuilding.org/WMO_Region_6_Europe/ITA_Italy/VD_Valle_d-Aosta/ITA_VD_Pian.Rosa.Mtn.160520_TMYx.2009-2023.zip")</f>
        <v>https://climate.onebuilding.org/WMO_Region_6_Europe/ITA_Italy/VD_Valle_d-Aosta/ITA_VD_Pian.Rosa.Mtn.160520_TMYx.2009-2023.zip</v>
      </c>
    </row>
    <row r="6876" spans="1:10" x14ac:dyDescent="0.25">
      <c r="A6876" t="s">
        <v>5239</v>
      </c>
      <c r="B6876" t="s">
        <v>478</v>
      </c>
      <c r="C6876" t="s">
        <v>5263</v>
      </c>
      <c r="D6876">
        <v>160520</v>
      </c>
      <c r="E6876" t="s">
        <v>14</v>
      </c>
      <c r="F6876">
        <v>45.935000000000002</v>
      </c>
      <c r="G6876">
        <v>7.7061000000000002</v>
      </c>
      <c r="H6876">
        <v>1</v>
      </c>
      <c r="I6876">
        <v>3488</v>
      </c>
      <c r="J6876" t="str">
        <f>HYPERLINK("https://climate.onebuilding.org/WMO_Region_6_Europe/ITA_Italy/VD_Valle_d-Aosta/ITA_VD_Pian.Rosa.Mtn.160520_TMYx.zip")</f>
        <v>https://climate.onebuilding.org/WMO_Region_6_Europe/ITA_Italy/VD_Valle_d-Aosta/ITA_VD_Pian.Rosa.Mtn.160520_TMYx.zip</v>
      </c>
    </row>
    <row r="6877" spans="1:10" x14ac:dyDescent="0.25">
      <c r="A6877" t="s">
        <v>5239</v>
      </c>
      <c r="B6877" t="s">
        <v>5240</v>
      </c>
      <c r="C6877" t="s">
        <v>5265</v>
      </c>
      <c r="D6877">
        <v>160530</v>
      </c>
      <c r="E6877" t="s">
        <v>14</v>
      </c>
      <c r="F6877">
        <v>46.917000000000002</v>
      </c>
      <c r="G6877">
        <v>12.1</v>
      </c>
      <c r="H6877">
        <v>1</v>
      </c>
      <c r="I6877">
        <v>2755</v>
      </c>
      <c r="J6877" t="str">
        <f>HYPERLINK("https://climate.onebuilding.org/WMO_Region_6_Europe/ITA_Italy/TT_Trentino-Alto_Adige/ITA_TT_Colle.Del.Gigante.160530_TMYx.zip")</f>
        <v>https://climate.onebuilding.org/WMO_Region_6_Europe/ITA_Italy/TT_Trentino-Alto_Adige/ITA_TT_Colle.Del.Gigante.160530_TMYx.zip</v>
      </c>
    </row>
    <row r="6878" spans="1:10" x14ac:dyDescent="0.25">
      <c r="A6878" t="s">
        <v>5239</v>
      </c>
      <c r="B6878" t="s">
        <v>478</v>
      </c>
      <c r="C6878" t="s">
        <v>5266</v>
      </c>
      <c r="D6878">
        <v>160540</v>
      </c>
      <c r="E6878" t="s">
        <v>14</v>
      </c>
      <c r="F6878">
        <v>45.734699999999997</v>
      </c>
      <c r="G6878">
        <v>7.3506</v>
      </c>
      <c r="H6878">
        <v>1</v>
      </c>
      <c r="I6878">
        <v>552</v>
      </c>
      <c r="J6878" t="str">
        <f>HYPERLINK("https://climate.onebuilding.org/WMO_Region_6_Europe/ITA_Italy/VD_Valle_d-Aosta/ITA_VD_Aosta.AP.160540_TMYx.2007-2021.zip")</f>
        <v>https://climate.onebuilding.org/WMO_Region_6_Europe/ITA_Italy/VD_Valle_d-Aosta/ITA_VD_Aosta.AP.160540_TMYx.2007-2021.zip</v>
      </c>
    </row>
    <row r="6879" spans="1:10" x14ac:dyDescent="0.25">
      <c r="A6879" t="s">
        <v>5239</v>
      </c>
      <c r="B6879" t="s">
        <v>478</v>
      </c>
      <c r="C6879" t="s">
        <v>5266</v>
      </c>
      <c r="D6879">
        <v>160540</v>
      </c>
      <c r="E6879" t="s">
        <v>14</v>
      </c>
      <c r="F6879">
        <v>45.734699999999997</v>
      </c>
      <c r="G6879">
        <v>7.3506</v>
      </c>
      <c r="H6879">
        <v>1</v>
      </c>
      <c r="I6879">
        <v>552</v>
      </c>
      <c r="J6879" t="str">
        <f>HYPERLINK("https://climate.onebuilding.org/WMO_Region_6_Europe/ITA_Italy/VD_Valle_d-Aosta/ITA_VD_Aosta.AP.160540_TMYx.2009-2023.zip")</f>
        <v>https://climate.onebuilding.org/WMO_Region_6_Europe/ITA_Italy/VD_Valle_d-Aosta/ITA_VD_Aosta.AP.160540_TMYx.2009-2023.zip</v>
      </c>
    </row>
    <row r="6880" spans="1:10" x14ac:dyDescent="0.25">
      <c r="A6880" t="s">
        <v>5239</v>
      </c>
      <c r="B6880" t="s">
        <v>478</v>
      </c>
      <c r="C6880" t="s">
        <v>5266</v>
      </c>
      <c r="D6880">
        <v>160540</v>
      </c>
      <c r="E6880" t="s">
        <v>14</v>
      </c>
      <c r="F6880">
        <v>45.734699999999997</v>
      </c>
      <c r="G6880">
        <v>7.3506</v>
      </c>
      <c r="H6880">
        <v>1</v>
      </c>
      <c r="I6880">
        <v>552</v>
      </c>
      <c r="J6880" t="str">
        <f>HYPERLINK("https://climate.onebuilding.org/WMO_Region_6_Europe/ITA_Italy/VD_Valle_d-Aosta/ITA_VD_Aosta.AP.160540_TMYx.zip")</f>
        <v>https://climate.onebuilding.org/WMO_Region_6_Europe/ITA_Italy/VD_Valle_d-Aosta/ITA_VD_Aosta.AP.160540_TMYx.zip</v>
      </c>
    </row>
    <row r="6881" spans="1:10" x14ac:dyDescent="0.25">
      <c r="A6881" t="s">
        <v>5239</v>
      </c>
      <c r="B6881" t="s">
        <v>1221</v>
      </c>
      <c r="C6881" t="s">
        <v>5267</v>
      </c>
      <c r="D6881">
        <v>160580</v>
      </c>
      <c r="E6881" t="s">
        <v>14</v>
      </c>
      <c r="F6881">
        <v>44.933900000000001</v>
      </c>
      <c r="G6881">
        <v>6.8221999999999996</v>
      </c>
      <c r="H6881">
        <v>1</v>
      </c>
      <c r="I6881">
        <v>1401</v>
      </c>
      <c r="J6881" t="str">
        <f>HYPERLINK("https://climate.onebuilding.org/WMO_Region_6_Europe/ITA_Italy/PM_Piedmont/ITA_PM_Bousson.160580_TMYx.2007-2021.zip")</f>
        <v>https://climate.onebuilding.org/WMO_Region_6_Europe/ITA_Italy/PM_Piedmont/ITA_PM_Bousson.160580_TMYx.2007-2021.zip</v>
      </c>
    </row>
    <row r="6882" spans="1:10" x14ac:dyDescent="0.25">
      <c r="A6882" t="s">
        <v>5239</v>
      </c>
      <c r="B6882" t="s">
        <v>1221</v>
      </c>
      <c r="C6882" t="s">
        <v>5267</v>
      </c>
      <c r="D6882">
        <v>160580</v>
      </c>
      <c r="E6882" t="s">
        <v>14</v>
      </c>
      <c r="F6882">
        <v>44.933900000000001</v>
      </c>
      <c r="G6882">
        <v>6.8221999999999996</v>
      </c>
      <c r="H6882">
        <v>1</v>
      </c>
      <c r="I6882">
        <v>1401</v>
      </c>
      <c r="J6882" t="str">
        <f>HYPERLINK("https://climate.onebuilding.org/WMO_Region_6_Europe/ITA_Italy/PM_Piedmont/ITA_PM_Bousson.160580_TMYx.2009-2023.zip")</f>
        <v>https://climate.onebuilding.org/WMO_Region_6_Europe/ITA_Italy/PM_Piedmont/ITA_PM_Bousson.160580_TMYx.2009-2023.zip</v>
      </c>
    </row>
    <row r="6883" spans="1:10" x14ac:dyDescent="0.25">
      <c r="A6883" t="s">
        <v>5239</v>
      </c>
      <c r="B6883" t="s">
        <v>1221</v>
      </c>
      <c r="C6883" t="s">
        <v>5267</v>
      </c>
      <c r="D6883">
        <v>160580</v>
      </c>
      <c r="E6883" t="s">
        <v>14</v>
      </c>
      <c r="F6883">
        <v>44.933900000000001</v>
      </c>
      <c r="G6883">
        <v>6.8221999999999996</v>
      </c>
      <c r="H6883">
        <v>1</v>
      </c>
      <c r="I6883">
        <v>1401</v>
      </c>
      <c r="J6883" t="str">
        <f>HYPERLINK("https://climate.onebuilding.org/WMO_Region_6_Europe/ITA_Italy/PM_Piedmont/ITA_PM_Bousson.160580_TMYx.zip")</f>
        <v>https://climate.onebuilding.org/WMO_Region_6_Europe/ITA_Italy/PM_Piedmont/ITA_PM_Bousson.160580_TMYx.zip</v>
      </c>
    </row>
    <row r="6884" spans="1:10" x14ac:dyDescent="0.25">
      <c r="A6884" t="s">
        <v>5239</v>
      </c>
      <c r="B6884" t="s">
        <v>1221</v>
      </c>
      <c r="C6884" t="s">
        <v>5268</v>
      </c>
      <c r="D6884">
        <v>160590</v>
      </c>
      <c r="E6884" t="s">
        <v>5269</v>
      </c>
      <c r="F6884">
        <v>45.202500000000001</v>
      </c>
      <c r="G6884">
        <v>7.6494</v>
      </c>
      <c r="H6884">
        <v>1</v>
      </c>
      <c r="I6884">
        <v>287</v>
      </c>
      <c r="J6884" t="str">
        <f>HYPERLINK("https://climate.onebuilding.org/WMO_Region_6_Europe/ITA_Italy/PM_Piedmont/ITA_PM_Torino-Caselle.AP.160590_TMYx.2004-2018.zip")</f>
        <v>https://climate.onebuilding.org/WMO_Region_6_Europe/ITA_Italy/PM_Piedmont/ITA_PM_Torino-Caselle.AP.160590_TMYx.2004-2018.zip</v>
      </c>
    </row>
    <row r="6885" spans="1:10" x14ac:dyDescent="0.25">
      <c r="A6885" t="s">
        <v>5239</v>
      </c>
      <c r="B6885" t="s">
        <v>1221</v>
      </c>
      <c r="C6885" t="s">
        <v>5268</v>
      </c>
      <c r="D6885">
        <v>160590</v>
      </c>
      <c r="E6885" t="s">
        <v>14</v>
      </c>
      <c r="F6885">
        <v>45.202500000000001</v>
      </c>
      <c r="G6885">
        <v>7.6494</v>
      </c>
      <c r="H6885">
        <v>1</v>
      </c>
      <c r="I6885">
        <v>287</v>
      </c>
      <c r="J6885" t="str">
        <f>HYPERLINK("https://climate.onebuilding.org/WMO_Region_6_Europe/ITA_Italy/PM_Piedmont/ITA_PM_Torino-Caselle.AP.160590_TMYx.2007-2021.zip")</f>
        <v>https://climate.onebuilding.org/WMO_Region_6_Europe/ITA_Italy/PM_Piedmont/ITA_PM_Torino-Caselle.AP.160590_TMYx.2007-2021.zip</v>
      </c>
    </row>
    <row r="6886" spans="1:10" x14ac:dyDescent="0.25">
      <c r="A6886" t="s">
        <v>5239</v>
      </c>
      <c r="B6886" t="s">
        <v>1221</v>
      </c>
      <c r="C6886" t="s">
        <v>5268</v>
      </c>
      <c r="D6886">
        <v>160590</v>
      </c>
      <c r="E6886" t="s">
        <v>14</v>
      </c>
      <c r="F6886">
        <v>45.202500000000001</v>
      </c>
      <c r="G6886">
        <v>7.6494</v>
      </c>
      <c r="H6886">
        <v>1</v>
      </c>
      <c r="I6886">
        <v>287</v>
      </c>
      <c r="J6886" t="str">
        <f>HYPERLINK("https://climate.onebuilding.org/WMO_Region_6_Europe/ITA_Italy/PM_Piedmont/ITA_PM_Torino-Caselle.AP.160590_TMYx.2009-2023.zip")</f>
        <v>https://climate.onebuilding.org/WMO_Region_6_Europe/ITA_Italy/PM_Piedmont/ITA_PM_Torino-Caselle.AP.160590_TMYx.2009-2023.zip</v>
      </c>
    </row>
    <row r="6887" spans="1:10" x14ac:dyDescent="0.25">
      <c r="A6887" t="s">
        <v>5239</v>
      </c>
      <c r="B6887" t="s">
        <v>1221</v>
      </c>
      <c r="C6887" t="s">
        <v>5268</v>
      </c>
      <c r="D6887">
        <v>160590</v>
      </c>
      <c r="E6887" t="s">
        <v>14</v>
      </c>
      <c r="F6887">
        <v>45.202500000000001</v>
      </c>
      <c r="G6887">
        <v>7.6494</v>
      </c>
      <c r="H6887">
        <v>1</v>
      </c>
      <c r="I6887">
        <v>287</v>
      </c>
      <c r="J6887" t="str">
        <f>HYPERLINK("https://climate.onebuilding.org/WMO_Region_6_Europe/ITA_Italy/PM_Piedmont/ITA_PM_Torino-Caselle.AP.160590_TMYx.zip")</f>
        <v>https://climate.onebuilding.org/WMO_Region_6_Europe/ITA_Italy/PM_Piedmont/ITA_PM_Torino-Caselle.AP.160590_TMYx.zip</v>
      </c>
    </row>
    <row r="6888" spans="1:10" x14ac:dyDescent="0.25">
      <c r="A6888" t="s">
        <v>5239</v>
      </c>
      <c r="B6888" t="s">
        <v>1221</v>
      </c>
      <c r="C6888" t="s">
        <v>5270</v>
      </c>
      <c r="D6888">
        <v>160595</v>
      </c>
      <c r="E6888" t="s">
        <v>5271</v>
      </c>
      <c r="F6888">
        <v>45.085999999999999</v>
      </c>
      <c r="G6888">
        <v>7.6029999999999998</v>
      </c>
      <c r="H6888">
        <v>1</v>
      </c>
      <c r="I6888">
        <v>288.3</v>
      </c>
      <c r="J6888" t="str">
        <f>HYPERLINK("https://climate.onebuilding.org/WMO_Region_6_Europe/ITA_Italy/PM_Piedmont/ITA_PM_Torino.AF.160595_TMYx.2004-2018.zip")</f>
        <v>https://climate.onebuilding.org/WMO_Region_6_Europe/ITA_Italy/PM_Piedmont/ITA_PM_Torino.AF.160595_TMYx.2004-2018.zip</v>
      </c>
    </row>
    <row r="6889" spans="1:10" x14ac:dyDescent="0.25">
      <c r="A6889" t="s">
        <v>5239</v>
      </c>
      <c r="B6889" t="s">
        <v>1221</v>
      </c>
      <c r="C6889" t="s">
        <v>5270</v>
      </c>
      <c r="D6889">
        <v>160595</v>
      </c>
      <c r="E6889" t="s">
        <v>14</v>
      </c>
      <c r="F6889">
        <v>45.085999999999999</v>
      </c>
      <c r="G6889">
        <v>7.6029999999999998</v>
      </c>
      <c r="H6889">
        <v>1</v>
      </c>
      <c r="I6889">
        <v>288.3</v>
      </c>
      <c r="J6889" t="str">
        <f>HYPERLINK("https://climate.onebuilding.org/WMO_Region_6_Europe/ITA_Italy/PM_Piedmont/ITA_PM_Torino.AF.160595_TMYx.2007-2021.zip")</f>
        <v>https://climate.onebuilding.org/WMO_Region_6_Europe/ITA_Italy/PM_Piedmont/ITA_PM_Torino.AF.160595_TMYx.2007-2021.zip</v>
      </c>
    </row>
    <row r="6890" spans="1:10" x14ac:dyDescent="0.25">
      <c r="A6890" t="s">
        <v>5239</v>
      </c>
      <c r="B6890" t="s">
        <v>1221</v>
      </c>
      <c r="C6890" t="s">
        <v>5270</v>
      </c>
      <c r="D6890">
        <v>160595</v>
      </c>
      <c r="E6890" t="s">
        <v>14</v>
      </c>
      <c r="F6890">
        <v>45.085999999999999</v>
      </c>
      <c r="G6890">
        <v>7.6029999999999998</v>
      </c>
      <c r="H6890">
        <v>1</v>
      </c>
      <c r="I6890">
        <v>288.3</v>
      </c>
      <c r="J6890" t="str">
        <f>HYPERLINK("https://climate.onebuilding.org/WMO_Region_6_Europe/ITA_Italy/PM_Piedmont/ITA_PM_Torino.AF.160595_TMYx.2009-2023.zip")</f>
        <v>https://climate.onebuilding.org/WMO_Region_6_Europe/ITA_Italy/PM_Piedmont/ITA_PM_Torino.AF.160595_TMYx.2009-2023.zip</v>
      </c>
    </row>
    <row r="6891" spans="1:10" x14ac:dyDescent="0.25">
      <c r="A6891" t="s">
        <v>5239</v>
      </c>
      <c r="B6891" t="s">
        <v>1221</v>
      </c>
      <c r="C6891" t="s">
        <v>5270</v>
      </c>
      <c r="D6891">
        <v>160595</v>
      </c>
      <c r="E6891" t="s">
        <v>14</v>
      </c>
      <c r="F6891">
        <v>45.085999999999999</v>
      </c>
      <c r="G6891">
        <v>7.6029999999999998</v>
      </c>
      <c r="H6891">
        <v>1</v>
      </c>
      <c r="I6891">
        <v>288.3</v>
      </c>
      <c r="J6891" t="str">
        <f>HYPERLINK("https://climate.onebuilding.org/WMO_Region_6_Europe/ITA_Italy/PM_Piedmont/ITA_PM_Torino.AF.160595_TMYx.zip")</f>
        <v>https://climate.onebuilding.org/WMO_Region_6_Europe/ITA_Italy/PM_Piedmont/ITA_PM_Torino.AF.160595_TMYx.zip</v>
      </c>
    </row>
    <row r="6892" spans="1:10" x14ac:dyDescent="0.25">
      <c r="A6892" t="s">
        <v>5239</v>
      </c>
      <c r="B6892" t="s">
        <v>1221</v>
      </c>
      <c r="C6892" t="s">
        <v>5272</v>
      </c>
      <c r="D6892">
        <v>160600</v>
      </c>
      <c r="E6892" t="s">
        <v>14</v>
      </c>
      <c r="F6892">
        <v>45.130600000000001</v>
      </c>
      <c r="G6892">
        <v>7.6174999999999997</v>
      </c>
      <c r="H6892">
        <v>1</v>
      </c>
      <c r="I6892">
        <v>278</v>
      </c>
      <c r="J6892" t="str">
        <f>HYPERLINK("https://climate.onebuilding.org/WMO_Region_6_Europe/ITA_Italy/PM_Piedmont/ITA_PM_Torino.Venaria.160600_TMYx.2007-2021.zip")</f>
        <v>https://climate.onebuilding.org/WMO_Region_6_Europe/ITA_Italy/PM_Piedmont/ITA_PM_Torino.Venaria.160600_TMYx.2007-2021.zip</v>
      </c>
    </row>
    <row r="6893" spans="1:10" x14ac:dyDescent="0.25">
      <c r="A6893" t="s">
        <v>5239</v>
      </c>
      <c r="B6893" t="s">
        <v>1221</v>
      </c>
      <c r="C6893" t="s">
        <v>5272</v>
      </c>
      <c r="D6893">
        <v>160600</v>
      </c>
      <c r="E6893" t="s">
        <v>14</v>
      </c>
      <c r="F6893">
        <v>45.130600000000001</v>
      </c>
      <c r="G6893">
        <v>7.6174999999999997</v>
      </c>
      <c r="H6893">
        <v>1</v>
      </c>
      <c r="I6893">
        <v>278</v>
      </c>
      <c r="J6893" t="str">
        <f>HYPERLINK("https://climate.onebuilding.org/WMO_Region_6_Europe/ITA_Italy/PM_Piedmont/ITA_PM_Torino.Venaria.160600_TMYx.2009-2023.zip")</f>
        <v>https://climate.onebuilding.org/WMO_Region_6_Europe/ITA_Italy/PM_Piedmont/ITA_PM_Torino.Venaria.160600_TMYx.2009-2023.zip</v>
      </c>
    </row>
    <row r="6894" spans="1:10" x14ac:dyDescent="0.25">
      <c r="A6894" t="s">
        <v>5239</v>
      </c>
      <c r="B6894" t="s">
        <v>1221</v>
      </c>
      <c r="C6894" t="s">
        <v>5272</v>
      </c>
      <c r="D6894">
        <v>160600</v>
      </c>
      <c r="E6894" t="s">
        <v>14</v>
      </c>
      <c r="F6894">
        <v>45.130600000000001</v>
      </c>
      <c r="G6894">
        <v>7.6174999999999997</v>
      </c>
      <c r="H6894">
        <v>1</v>
      </c>
      <c r="I6894">
        <v>278</v>
      </c>
      <c r="J6894" t="str">
        <f>HYPERLINK("https://climate.onebuilding.org/WMO_Region_6_Europe/ITA_Italy/PM_Piedmont/ITA_PM_Torino.Venaria.160600_TMYx.zip")</f>
        <v>https://climate.onebuilding.org/WMO_Region_6_Europe/ITA_Italy/PM_Piedmont/ITA_PM_Torino.Venaria.160600_TMYx.zip</v>
      </c>
    </row>
    <row r="6895" spans="1:10" x14ac:dyDescent="0.25">
      <c r="A6895" t="s">
        <v>5239</v>
      </c>
      <c r="B6895" t="s">
        <v>1221</v>
      </c>
      <c r="C6895" t="s">
        <v>5273</v>
      </c>
      <c r="D6895">
        <v>160610</v>
      </c>
      <c r="E6895" t="s">
        <v>5274</v>
      </c>
      <c r="F6895">
        <v>45.033299999999997</v>
      </c>
      <c r="G6895">
        <v>7.7317</v>
      </c>
      <c r="H6895">
        <v>1</v>
      </c>
      <c r="I6895">
        <v>710</v>
      </c>
      <c r="J6895" t="str">
        <f>HYPERLINK("https://climate.onebuilding.org/WMO_Region_6_Europe/ITA_Italy/PM_Piedmont/ITA_PM_Torino-Bric.della.Croce.160610_TMYx.2004-2018.zip")</f>
        <v>https://climate.onebuilding.org/WMO_Region_6_Europe/ITA_Italy/PM_Piedmont/ITA_PM_Torino-Bric.della.Croce.160610_TMYx.2004-2018.zip</v>
      </c>
    </row>
    <row r="6896" spans="1:10" x14ac:dyDescent="0.25">
      <c r="A6896" t="s">
        <v>5239</v>
      </c>
      <c r="B6896" t="s">
        <v>1221</v>
      </c>
      <c r="C6896" t="s">
        <v>5273</v>
      </c>
      <c r="D6896">
        <v>160610</v>
      </c>
      <c r="E6896" t="s">
        <v>14</v>
      </c>
      <c r="F6896">
        <v>45.033299999999997</v>
      </c>
      <c r="G6896">
        <v>7.7317</v>
      </c>
      <c r="H6896">
        <v>1</v>
      </c>
      <c r="I6896">
        <v>710</v>
      </c>
      <c r="J6896" t="str">
        <f>HYPERLINK("https://climate.onebuilding.org/WMO_Region_6_Europe/ITA_Italy/PM_Piedmont/ITA_PM_Torino-Bric.della.Croce.160610_TMYx.2007-2021.zip")</f>
        <v>https://climate.onebuilding.org/WMO_Region_6_Europe/ITA_Italy/PM_Piedmont/ITA_PM_Torino-Bric.della.Croce.160610_TMYx.2007-2021.zip</v>
      </c>
    </row>
    <row r="6897" spans="1:10" x14ac:dyDescent="0.25">
      <c r="A6897" t="s">
        <v>5239</v>
      </c>
      <c r="B6897" t="s">
        <v>1221</v>
      </c>
      <c r="C6897" t="s">
        <v>5273</v>
      </c>
      <c r="D6897">
        <v>160610</v>
      </c>
      <c r="E6897" t="s">
        <v>14</v>
      </c>
      <c r="F6897">
        <v>45.033299999999997</v>
      </c>
      <c r="G6897">
        <v>7.7317</v>
      </c>
      <c r="H6897">
        <v>1</v>
      </c>
      <c r="I6897">
        <v>710</v>
      </c>
      <c r="J6897" t="str">
        <f>HYPERLINK("https://climate.onebuilding.org/WMO_Region_6_Europe/ITA_Italy/PM_Piedmont/ITA_PM_Torino-Bric.della.Croce.160610_TMYx.2009-2023.zip")</f>
        <v>https://climate.onebuilding.org/WMO_Region_6_Europe/ITA_Italy/PM_Piedmont/ITA_PM_Torino-Bric.della.Croce.160610_TMYx.2009-2023.zip</v>
      </c>
    </row>
    <row r="6898" spans="1:10" x14ac:dyDescent="0.25">
      <c r="A6898" t="s">
        <v>5239</v>
      </c>
      <c r="B6898" t="s">
        <v>1221</v>
      </c>
      <c r="C6898" t="s">
        <v>5273</v>
      </c>
      <c r="D6898">
        <v>160610</v>
      </c>
      <c r="E6898" t="s">
        <v>14</v>
      </c>
      <c r="F6898">
        <v>45.033299999999997</v>
      </c>
      <c r="G6898">
        <v>7.7317</v>
      </c>
      <c r="H6898">
        <v>1</v>
      </c>
      <c r="I6898">
        <v>710</v>
      </c>
      <c r="J6898" t="str">
        <f>HYPERLINK("https://climate.onebuilding.org/WMO_Region_6_Europe/ITA_Italy/PM_Piedmont/ITA_PM_Torino-Bric.della.Croce.160610_TMYx.zip")</f>
        <v>https://climate.onebuilding.org/WMO_Region_6_Europe/ITA_Italy/PM_Piedmont/ITA_PM_Torino-Bric.della.Croce.160610_TMYx.zip</v>
      </c>
    </row>
    <row r="6899" spans="1:10" x14ac:dyDescent="0.25">
      <c r="A6899" t="s">
        <v>5239</v>
      </c>
      <c r="B6899" t="s">
        <v>478</v>
      </c>
      <c r="C6899" t="s">
        <v>5275</v>
      </c>
      <c r="D6899">
        <v>160640</v>
      </c>
      <c r="E6899" t="s">
        <v>14</v>
      </c>
      <c r="F6899">
        <v>45.53</v>
      </c>
      <c r="G6899">
        <v>8.6667000000000005</v>
      </c>
      <c r="H6899">
        <v>1</v>
      </c>
      <c r="I6899">
        <v>175</v>
      </c>
      <c r="J6899" t="str">
        <f>HYPERLINK("https://climate.onebuilding.org/WMO_Region_6_Europe/ITA_Italy/VD_Valle_d-Aosta/ITA_VD_Novara-Cameri.AB.160640_TMYx.2007-2021.zip")</f>
        <v>https://climate.onebuilding.org/WMO_Region_6_Europe/ITA_Italy/VD_Valle_d-Aosta/ITA_VD_Novara-Cameri.AB.160640_TMYx.2007-2021.zip</v>
      </c>
    </row>
    <row r="6900" spans="1:10" x14ac:dyDescent="0.25">
      <c r="A6900" t="s">
        <v>5239</v>
      </c>
      <c r="B6900" t="s">
        <v>478</v>
      </c>
      <c r="C6900" t="s">
        <v>5275</v>
      </c>
      <c r="D6900">
        <v>160640</v>
      </c>
      <c r="E6900" t="s">
        <v>14</v>
      </c>
      <c r="F6900">
        <v>45.53</v>
      </c>
      <c r="G6900">
        <v>8.6667000000000005</v>
      </c>
      <c r="H6900">
        <v>1</v>
      </c>
      <c r="I6900">
        <v>175</v>
      </c>
      <c r="J6900" t="str">
        <f>HYPERLINK("https://climate.onebuilding.org/WMO_Region_6_Europe/ITA_Italy/VD_Valle_d-Aosta/ITA_VD_Novara-Cameri.AB.160640_TMYx.2009-2023.zip")</f>
        <v>https://climate.onebuilding.org/WMO_Region_6_Europe/ITA_Italy/VD_Valle_d-Aosta/ITA_VD_Novara-Cameri.AB.160640_TMYx.2009-2023.zip</v>
      </c>
    </row>
    <row r="6901" spans="1:10" x14ac:dyDescent="0.25">
      <c r="A6901" t="s">
        <v>5239</v>
      </c>
      <c r="B6901" t="s">
        <v>478</v>
      </c>
      <c r="C6901" t="s">
        <v>5275</v>
      </c>
      <c r="D6901">
        <v>160640</v>
      </c>
      <c r="E6901" t="s">
        <v>14</v>
      </c>
      <c r="F6901">
        <v>45.53</v>
      </c>
      <c r="G6901">
        <v>8.6667000000000005</v>
      </c>
      <c r="H6901">
        <v>1</v>
      </c>
      <c r="I6901">
        <v>175</v>
      </c>
      <c r="J6901" t="str">
        <f>HYPERLINK("https://climate.onebuilding.org/WMO_Region_6_Europe/ITA_Italy/VD_Valle_d-Aosta/ITA_VD_Novara-Cameri.AB.160640_TMYx.zip")</f>
        <v>https://climate.onebuilding.org/WMO_Region_6_Europe/ITA_Italy/VD_Valle_d-Aosta/ITA_VD_Novara-Cameri.AB.160640_TMYx.zip</v>
      </c>
    </row>
    <row r="6902" spans="1:10" x14ac:dyDescent="0.25">
      <c r="A6902" t="s">
        <v>5239</v>
      </c>
      <c r="B6902" t="s">
        <v>5276</v>
      </c>
      <c r="C6902" t="s">
        <v>5277</v>
      </c>
      <c r="D6902">
        <v>160660</v>
      </c>
      <c r="E6902" t="s">
        <v>5278</v>
      </c>
      <c r="F6902">
        <v>45.63</v>
      </c>
      <c r="G6902">
        <v>8.7231000000000005</v>
      </c>
      <c r="H6902">
        <v>1</v>
      </c>
      <c r="I6902">
        <v>212</v>
      </c>
      <c r="J6902" t="str">
        <f>HYPERLINK("https://climate.onebuilding.org/WMO_Region_6_Europe/ITA_Italy/LM_Lombardy/ITA_LM_Milano-Malpensa.AP.160660_TMYx.2004-2018.zip")</f>
        <v>https://climate.onebuilding.org/WMO_Region_6_Europe/ITA_Italy/LM_Lombardy/ITA_LM_Milano-Malpensa.AP.160660_TMYx.2004-2018.zip</v>
      </c>
    </row>
    <row r="6903" spans="1:10" x14ac:dyDescent="0.25">
      <c r="A6903" t="s">
        <v>5239</v>
      </c>
      <c r="B6903" t="s">
        <v>5276</v>
      </c>
      <c r="C6903" t="s">
        <v>5277</v>
      </c>
      <c r="D6903">
        <v>160660</v>
      </c>
      <c r="E6903" t="s">
        <v>14</v>
      </c>
      <c r="F6903">
        <v>45.63</v>
      </c>
      <c r="G6903">
        <v>8.7231000000000005</v>
      </c>
      <c r="H6903">
        <v>1</v>
      </c>
      <c r="I6903">
        <v>212</v>
      </c>
      <c r="J6903" t="str">
        <f>HYPERLINK("https://climate.onebuilding.org/WMO_Region_6_Europe/ITA_Italy/LM_Lombardy/ITA_LM_Milano-Malpensa.AP.160660_TMYx.2007-2021.zip")</f>
        <v>https://climate.onebuilding.org/WMO_Region_6_Europe/ITA_Italy/LM_Lombardy/ITA_LM_Milano-Malpensa.AP.160660_TMYx.2007-2021.zip</v>
      </c>
    </row>
    <row r="6904" spans="1:10" x14ac:dyDescent="0.25">
      <c r="A6904" t="s">
        <v>5239</v>
      </c>
      <c r="B6904" t="s">
        <v>5276</v>
      </c>
      <c r="C6904" t="s">
        <v>5277</v>
      </c>
      <c r="D6904">
        <v>160660</v>
      </c>
      <c r="E6904" t="s">
        <v>14</v>
      </c>
      <c r="F6904">
        <v>45.63</v>
      </c>
      <c r="G6904">
        <v>8.7231000000000005</v>
      </c>
      <c r="H6904">
        <v>1</v>
      </c>
      <c r="I6904">
        <v>212</v>
      </c>
      <c r="J6904" t="str">
        <f>HYPERLINK("https://climate.onebuilding.org/WMO_Region_6_Europe/ITA_Italy/LM_Lombardy/ITA_LM_Milano-Malpensa.AP.160660_TMYx.2009-2023.zip")</f>
        <v>https://climate.onebuilding.org/WMO_Region_6_Europe/ITA_Italy/LM_Lombardy/ITA_LM_Milano-Malpensa.AP.160660_TMYx.2009-2023.zip</v>
      </c>
    </row>
    <row r="6905" spans="1:10" x14ac:dyDescent="0.25">
      <c r="A6905" t="s">
        <v>5239</v>
      </c>
      <c r="B6905" t="s">
        <v>5276</v>
      </c>
      <c r="C6905" t="s">
        <v>5277</v>
      </c>
      <c r="D6905">
        <v>160660</v>
      </c>
      <c r="E6905" t="s">
        <v>14</v>
      </c>
      <c r="F6905">
        <v>45.63</v>
      </c>
      <c r="G6905">
        <v>8.7231000000000005</v>
      </c>
      <c r="H6905">
        <v>1</v>
      </c>
      <c r="I6905">
        <v>212</v>
      </c>
      <c r="J6905" t="str">
        <f>HYPERLINK("https://climate.onebuilding.org/WMO_Region_6_Europe/ITA_Italy/LM_Lombardy/ITA_LM_Milano-Malpensa.AP.160660_TMYx.zip")</f>
        <v>https://climate.onebuilding.org/WMO_Region_6_Europe/ITA_Italy/LM_Lombardy/ITA_LM_Milano-Malpensa.AP.160660_TMYx.zip</v>
      </c>
    </row>
    <row r="6906" spans="1:10" x14ac:dyDescent="0.25">
      <c r="A6906" t="s">
        <v>5239</v>
      </c>
      <c r="B6906" t="s">
        <v>5276</v>
      </c>
      <c r="C6906" t="s">
        <v>5279</v>
      </c>
      <c r="D6906">
        <v>160670</v>
      </c>
      <c r="E6906" t="s">
        <v>14</v>
      </c>
      <c r="F6906">
        <v>45.647799999999997</v>
      </c>
      <c r="G6906">
        <v>8.8135999999999992</v>
      </c>
      <c r="H6906">
        <v>1</v>
      </c>
      <c r="I6906">
        <v>239</v>
      </c>
      <c r="J6906" t="str">
        <f>HYPERLINK("https://climate.onebuilding.org/WMO_Region_6_Europe/ITA_Italy/LM_Lombardy/ITA_LM_Gallarate.160670_TMYx.zip")</f>
        <v>https://climate.onebuilding.org/WMO_Region_6_Europe/ITA_Italy/LM_Lombardy/ITA_LM_Gallarate.160670_TMYx.zip</v>
      </c>
    </row>
    <row r="6907" spans="1:10" x14ac:dyDescent="0.25">
      <c r="A6907" t="s">
        <v>5239</v>
      </c>
      <c r="B6907" t="s">
        <v>1221</v>
      </c>
      <c r="C6907" t="s">
        <v>5280</v>
      </c>
      <c r="D6907">
        <v>160680</v>
      </c>
      <c r="E6907" t="s">
        <v>14</v>
      </c>
      <c r="F6907">
        <v>45.1128</v>
      </c>
      <c r="G6907">
        <v>8.4535999999999998</v>
      </c>
      <c r="H6907">
        <v>1</v>
      </c>
      <c r="I6907">
        <v>121</v>
      </c>
      <c r="J6907" t="str">
        <f>HYPERLINK("https://climate.onebuilding.org/WMO_Region_6_Europe/ITA_Italy/PM_Piedmont/ITA_PM_Casale.Monferrato.160680_TMYx.2007-2021.zip")</f>
        <v>https://climate.onebuilding.org/WMO_Region_6_Europe/ITA_Italy/PM_Piedmont/ITA_PM_Casale.Monferrato.160680_TMYx.2007-2021.zip</v>
      </c>
    </row>
    <row r="6908" spans="1:10" x14ac:dyDescent="0.25">
      <c r="A6908" t="s">
        <v>5239</v>
      </c>
      <c r="B6908" t="s">
        <v>1221</v>
      </c>
      <c r="C6908" t="s">
        <v>5280</v>
      </c>
      <c r="D6908">
        <v>160680</v>
      </c>
      <c r="E6908" t="s">
        <v>14</v>
      </c>
      <c r="F6908">
        <v>45.1128</v>
      </c>
      <c r="G6908">
        <v>8.4535999999999998</v>
      </c>
      <c r="H6908">
        <v>1</v>
      </c>
      <c r="I6908">
        <v>121</v>
      </c>
      <c r="J6908" t="str">
        <f>HYPERLINK("https://climate.onebuilding.org/WMO_Region_6_Europe/ITA_Italy/PM_Piedmont/ITA_PM_Casale.Monferrato.160680_TMYx.2009-2023.zip")</f>
        <v>https://climate.onebuilding.org/WMO_Region_6_Europe/ITA_Italy/PM_Piedmont/ITA_PM_Casale.Monferrato.160680_TMYx.2009-2023.zip</v>
      </c>
    </row>
    <row r="6909" spans="1:10" x14ac:dyDescent="0.25">
      <c r="A6909" t="s">
        <v>5239</v>
      </c>
      <c r="B6909" t="s">
        <v>1221</v>
      </c>
      <c r="C6909" t="s">
        <v>5280</v>
      </c>
      <c r="D6909">
        <v>160680</v>
      </c>
      <c r="E6909" t="s">
        <v>14</v>
      </c>
      <c r="F6909">
        <v>45.1128</v>
      </c>
      <c r="G6909">
        <v>8.4535999999999998</v>
      </c>
      <c r="H6909">
        <v>1</v>
      </c>
      <c r="I6909">
        <v>121</v>
      </c>
      <c r="J6909" t="str">
        <f>HYPERLINK("https://climate.onebuilding.org/WMO_Region_6_Europe/ITA_Italy/PM_Piedmont/ITA_PM_Casale.Monferrato.160680_TMYx.zip")</f>
        <v>https://climate.onebuilding.org/WMO_Region_6_Europe/ITA_Italy/PM_Piedmont/ITA_PM_Casale.Monferrato.160680_TMYx.zip</v>
      </c>
    </row>
    <row r="6910" spans="1:10" x14ac:dyDescent="0.25">
      <c r="A6910" t="s">
        <v>5239</v>
      </c>
      <c r="B6910" t="s">
        <v>5276</v>
      </c>
      <c r="C6910" t="s">
        <v>5281</v>
      </c>
      <c r="D6910">
        <v>160700</v>
      </c>
      <c r="E6910" t="s">
        <v>14</v>
      </c>
      <c r="F6910">
        <v>45.953400000000002</v>
      </c>
      <c r="G6910">
        <v>9.3877000000000006</v>
      </c>
      <c r="H6910">
        <v>1</v>
      </c>
      <c r="I6910">
        <v>2365</v>
      </c>
      <c r="J6910" t="str">
        <f>HYPERLINK("https://climate.onebuilding.org/WMO_Region_6_Europe/ITA_Italy/LM_Lombardy/ITA_LM_Grigna.Settentrion.160700_TMYx.zip")</f>
        <v>https://climate.onebuilding.org/WMO_Region_6_Europe/ITA_Italy/LM_Lombardy/ITA_LM_Grigna.Settentrion.160700_TMYx.zip</v>
      </c>
    </row>
    <row r="6911" spans="1:10" x14ac:dyDescent="0.25">
      <c r="A6911" t="s">
        <v>5239</v>
      </c>
      <c r="B6911" t="s">
        <v>5276</v>
      </c>
      <c r="C6911" t="s">
        <v>5282</v>
      </c>
      <c r="D6911">
        <v>160730</v>
      </c>
      <c r="E6911" t="s">
        <v>14</v>
      </c>
      <c r="F6911">
        <v>45.8733</v>
      </c>
      <c r="G6911">
        <v>9.0653000000000006</v>
      </c>
      <c r="H6911">
        <v>1</v>
      </c>
      <c r="I6911">
        <v>1323</v>
      </c>
      <c r="J6911" t="str">
        <f>HYPERLINK("https://climate.onebuilding.org/WMO_Region_6_Europe/ITA_Italy/LM_Lombardy/ITA_LM_Bisbino.Mtn.160730_TMYx.zip")</f>
        <v>https://climate.onebuilding.org/WMO_Region_6_Europe/ITA_Italy/LM_Lombardy/ITA_LM_Bisbino.Mtn.160730_TMYx.zip</v>
      </c>
    </row>
    <row r="6912" spans="1:10" x14ac:dyDescent="0.25">
      <c r="A6912" t="s">
        <v>5239</v>
      </c>
      <c r="B6912" t="s">
        <v>5276</v>
      </c>
      <c r="C6912" t="s">
        <v>5283</v>
      </c>
      <c r="D6912">
        <v>160760</v>
      </c>
      <c r="E6912" t="s">
        <v>5284</v>
      </c>
      <c r="F6912">
        <v>45.668900000000001</v>
      </c>
      <c r="G6912">
        <v>9.7003000000000004</v>
      </c>
      <c r="H6912">
        <v>1</v>
      </c>
      <c r="I6912">
        <v>237</v>
      </c>
      <c r="J6912" t="str">
        <f>HYPERLINK("https://climate.onebuilding.org/WMO_Region_6_Europe/ITA_Italy/LM_Lombardy/ITA_LM_Milano-Bergamo.Intl.AP.160760_TMYx.2004-2018.zip")</f>
        <v>https://climate.onebuilding.org/WMO_Region_6_Europe/ITA_Italy/LM_Lombardy/ITA_LM_Milano-Bergamo.Intl.AP.160760_TMYx.2004-2018.zip</v>
      </c>
    </row>
    <row r="6913" spans="1:10" x14ac:dyDescent="0.25">
      <c r="A6913" t="s">
        <v>5239</v>
      </c>
      <c r="B6913" t="s">
        <v>5276</v>
      </c>
      <c r="C6913" t="s">
        <v>5283</v>
      </c>
      <c r="D6913">
        <v>160760</v>
      </c>
      <c r="E6913" t="s">
        <v>14</v>
      </c>
      <c r="F6913">
        <v>45.668900000000001</v>
      </c>
      <c r="G6913">
        <v>9.7003000000000004</v>
      </c>
      <c r="H6913">
        <v>1</v>
      </c>
      <c r="I6913">
        <v>237</v>
      </c>
      <c r="J6913" t="str">
        <f>HYPERLINK("https://climate.onebuilding.org/WMO_Region_6_Europe/ITA_Italy/LM_Lombardy/ITA_LM_Milano-Bergamo.Intl.AP.160760_TMYx.2007-2021.zip")</f>
        <v>https://climate.onebuilding.org/WMO_Region_6_Europe/ITA_Italy/LM_Lombardy/ITA_LM_Milano-Bergamo.Intl.AP.160760_TMYx.2007-2021.zip</v>
      </c>
    </row>
    <row r="6914" spans="1:10" x14ac:dyDescent="0.25">
      <c r="A6914" t="s">
        <v>5239</v>
      </c>
      <c r="B6914" t="s">
        <v>5276</v>
      </c>
      <c r="C6914" t="s">
        <v>5283</v>
      </c>
      <c r="D6914">
        <v>160760</v>
      </c>
      <c r="E6914" t="s">
        <v>14</v>
      </c>
      <c r="F6914">
        <v>45.668900000000001</v>
      </c>
      <c r="G6914">
        <v>9.7003000000000004</v>
      </c>
      <c r="H6914">
        <v>1</v>
      </c>
      <c r="I6914">
        <v>237</v>
      </c>
      <c r="J6914" t="str">
        <f>HYPERLINK("https://climate.onebuilding.org/WMO_Region_6_Europe/ITA_Italy/LM_Lombardy/ITA_LM_Milano-Bergamo.Intl.AP.160760_TMYx.2009-2023.zip")</f>
        <v>https://climate.onebuilding.org/WMO_Region_6_Europe/ITA_Italy/LM_Lombardy/ITA_LM_Milano-Bergamo.Intl.AP.160760_TMYx.2009-2023.zip</v>
      </c>
    </row>
    <row r="6915" spans="1:10" x14ac:dyDescent="0.25">
      <c r="A6915" t="s">
        <v>5239</v>
      </c>
      <c r="B6915" t="s">
        <v>5276</v>
      </c>
      <c r="C6915" t="s">
        <v>5283</v>
      </c>
      <c r="D6915">
        <v>160760</v>
      </c>
      <c r="E6915" t="s">
        <v>14</v>
      </c>
      <c r="F6915">
        <v>45.668900000000001</v>
      </c>
      <c r="G6915">
        <v>9.7003000000000004</v>
      </c>
      <c r="H6915">
        <v>1</v>
      </c>
      <c r="I6915">
        <v>237</v>
      </c>
      <c r="J6915" t="str">
        <f>HYPERLINK("https://climate.onebuilding.org/WMO_Region_6_Europe/ITA_Italy/LM_Lombardy/ITA_LM_Milano-Bergamo.Intl.AP.160760_TMYx.zip")</f>
        <v>https://climate.onebuilding.org/WMO_Region_6_Europe/ITA_Italy/LM_Lombardy/ITA_LM_Milano-Bergamo.Intl.AP.160760_TMYx.zip</v>
      </c>
    </row>
    <row r="6916" spans="1:10" x14ac:dyDescent="0.25">
      <c r="A6916" t="s">
        <v>5239</v>
      </c>
      <c r="B6916" t="s">
        <v>5276</v>
      </c>
      <c r="C6916" t="s">
        <v>5285</v>
      </c>
      <c r="D6916">
        <v>160800</v>
      </c>
      <c r="E6916" t="s">
        <v>5286</v>
      </c>
      <c r="F6916">
        <v>45.449399999999997</v>
      </c>
      <c r="G6916">
        <v>9.2782999999999998</v>
      </c>
      <c r="H6916">
        <v>1</v>
      </c>
      <c r="I6916">
        <v>103</v>
      </c>
      <c r="J6916" t="str">
        <f>HYPERLINK("https://climate.onebuilding.org/WMO_Region_6_Europe/ITA_Italy/LM_Lombardy/ITA_LM_Milano-Linate.AP.160800_TMYx.2004-2018.zip")</f>
        <v>https://climate.onebuilding.org/WMO_Region_6_Europe/ITA_Italy/LM_Lombardy/ITA_LM_Milano-Linate.AP.160800_TMYx.2004-2018.zip</v>
      </c>
    </row>
    <row r="6917" spans="1:10" x14ac:dyDescent="0.25">
      <c r="A6917" t="s">
        <v>5239</v>
      </c>
      <c r="B6917" t="s">
        <v>5276</v>
      </c>
      <c r="C6917" t="s">
        <v>5285</v>
      </c>
      <c r="D6917">
        <v>160800</v>
      </c>
      <c r="E6917" t="s">
        <v>14</v>
      </c>
      <c r="F6917">
        <v>45.449399999999997</v>
      </c>
      <c r="G6917">
        <v>9.2782999999999998</v>
      </c>
      <c r="H6917">
        <v>1</v>
      </c>
      <c r="I6917">
        <v>103</v>
      </c>
      <c r="J6917" t="str">
        <f>HYPERLINK("https://climate.onebuilding.org/WMO_Region_6_Europe/ITA_Italy/LM_Lombardy/ITA_LM_Milano-Linate.AP.160800_TMYx.2007-2021.zip")</f>
        <v>https://climate.onebuilding.org/WMO_Region_6_Europe/ITA_Italy/LM_Lombardy/ITA_LM_Milano-Linate.AP.160800_TMYx.2007-2021.zip</v>
      </c>
    </row>
    <row r="6918" spans="1:10" x14ac:dyDescent="0.25">
      <c r="A6918" t="s">
        <v>5239</v>
      </c>
      <c r="B6918" t="s">
        <v>5276</v>
      </c>
      <c r="C6918" t="s">
        <v>5285</v>
      </c>
      <c r="D6918">
        <v>160800</v>
      </c>
      <c r="E6918" t="s">
        <v>14</v>
      </c>
      <c r="F6918">
        <v>45.449399999999997</v>
      </c>
      <c r="G6918">
        <v>9.2782999999999998</v>
      </c>
      <c r="H6918">
        <v>1</v>
      </c>
      <c r="I6918">
        <v>103</v>
      </c>
      <c r="J6918" t="str">
        <f>HYPERLINK("https://climate.onebuilding.org/WMO_Region_6_Europe/ITA_Italy/LM_Lombardy/ITA_LM_Milano-Linate.AP.160800_TMYx.2009-2023.zip")</f>
        <v>https://climate.onebuilding.org/WMO_Region_6_Europe/ITA_Italy/LM_Lombardy/ITA_LM_Milano-Linate.AP.160800_TMYx.2009-2023.zip</v>
      </c>
    </row>
    <row r="6919" spans="1:10" x14ac:dyDescent="0.25">
      <c r="A6919" t="s">
        <v>5239</v>
      </c>
      <c r="B6919" t="s">
        <v>5276</v>
      </c>
      <c r="C6919" t="s">
        <v>5285</v>
      </c>
      <c r="D6919">
        <v>160800</v>
      </c>
      <c r="E6919" t="s">
        <v>14</v>
      </c>
      <c r="F6919">
        <v>45.449399999999997</v>
      </c>
      <c r="G6919">
        <v>9.2782999999999998</v>
      </c>
      <c r="H6919">
        <v>1</v>
      </c>
      <c r="I6919">
        <v>103</v>
      </c>
      <c r="J6919" t="str">
        <f>HYPERLINK("https://climate.onebuilding.org/WMO_Region_6_Europe/ITA_Italy/LM_Lombardy/ITA_LM_Milano-Linate.AP.160800_TMYx.zip")</f>
        <v>https://climate.onebuilding.org/WMO_Region_6_Europe/ITA_Italy/LM_Lombardy/ITA_LM_Milano-Linate.AP.160800_TMYx.zip</v>
      </c>
    </row>
    <row r="6920" spans="1:10" x14ac:dyDescent="0.25">
      <c r="A6920" t="s">
        <v>5239</v>
      </c>
      <c r="B6920" t="s">
        <v>5287</v>
      </c>
      <c r="C6920" t="s">
        <v>5288</v>
      </c>
      <c r="D6920">
        <v>160840</v>
      </c>
      <c r="E6920" t="s">
        <v>5289</v>
      </c>
      <c r="F6920">
        <v>44.909199999999998</v>
      </c>
      <c r="G6920">
        <v>9.7278000000000002</v>
      </c>
      <c r="H6920">
        <v>1</v>
      </c>
      <c r="I6920">
        <v>138</v>
      </c>
      <c r="J6920" t="str">
        <f>HYPERLINK("https://climate.onebuilding.org/WMO_Region_6_Europe/ITA_Italy/ER_Emilia-Romagna/ITA_ER_Piacenza-San.Damiano.AB.160840_TMYx.2004-2018.zip")</f>
        <v>https://climate.onebuilding.org/WMO_Region_6_Europe/ITA_Italy/ER_Emilia-Romagna/ITA_ER_Piacenza-San.Damiano.AB.160840_TMYx.2004-2018.zip</v>
      </c>
    </row>
    <row r="6921" spans="1:10" x14ac:dyDescent="0.25">
      <c r="A6921" t="s">
        <v>5239</v>
      </c>
      <c r="B6921" t="s">
        <v>5287</v>
      </c>
      <c r="C6921" t="s">
        <v>5288</v>
      </c>
      <c r="D6921">
        <v>160840</v>
      </c>
      <c r="E6921" t="s">
        <v>14</v>
      </c>
      <c r="F6921">
        <v>44.909199999999998</v>
      </c>
      <c r="G6921">
        <v>9.7278000000000002</v>
      </c>
      <c r="H6921">
        <v>1</v>
      </c>
      <c r="I6921">
        <v>138</v>
      </c>
      <c r="J6921" t="str">
        <f>HYPERLINK("https://climate.onebuilding.org/WMO_Region_6_Europe/ITA_Italy/ER_Emilia-Romagna/ITA_ER_Piacenza-San.Damiano.AB.160840_TMYx.2007-2021.zip")</f>
        <v>https://climate.onebuilding.org/WMO_Region_6_Europe/ITA_Italy/ER_Emilia-Romagna/ITA_ER_Piacenza-San.Damiano.AB.160840_TMYx.2007-2021.zip</v>
      </c>
    </row>
    <row r="6922" spans="1:10" x14ac:dyDescent="0.25">
      <c r="A6922" t="s">
        <v>5239</v>
      </c>
      <c r="B6922" t="s">
        <v>5287</v>
      </c>
      <c r="C6922" t="s">
        <v>5288</v>
      </c>
      <c r="D6922">
        <v>160840</v>
      </c>
      <c r="E6922" t="s">
        <v>14</v>
      </c>
      <c r="F6922">
        <v>44.909199999999998</v>
      </c>
      <c r="G6922">
        <v>9.7278000000000002</v>
      </c>
      <c r="H6922">
        <v>1</v>
      </c>
      <c r="I6922">
        <v>138</v>
      </c>
      <c r="J6922" t="str">
        <f>HYPERLINK("https://climate.onebuilding.org/WMO_Region_6_Europe/ITA_Italy/ER_Emilia-Romagna/ITA_ER_Piacenza-San.Damiano.AB.160840_TMYx.2009-2023.zip")</f>
        <v>https://climate.onebuilding.org/WMO_Region_6_Europe/ITA_Italy/ER_Emilia-Romagna/ITA_ER_Piacenza-San.Damiano.AB.160840_TMYx.2009-2023.zip</v>
      </c>
    </row>
    <row r="6923" spans="1:10" x14ac:dyDescent="0.25">
      <c r="A6923" t="s">
        <v>5239</v>
      </c>
      <c r="B6923" t="s">
        <v>5287</v>
      </c>
      <c r="C6923" t="s">
        <v>5288</v>
      </c>
      <c r="D6923">
        <v>160840</v>
      </c>
      <c r="E6923" t="s">
        <v>14</v>
      </c>
      <c r="F6923">
        <v>44.909199999999998</v>
      </c>
      <c r="G6923">
        <v>9.7278000000000002</v>
      </c>
      <c r="H6923">
        <v>1</v>
      </c>
      <c r="I6923">
        <v>138</v>
      </c>
      <c r="J6923" t="str">
        <f>HYPERLINK("https://climate.onebuilding.org/WMO_Region_6_Europe/ITA_Italy/ER_Emilia-Romagna/ITA_ER_Piacenza-San.Damiano.AB.160840_TMYx.zip")</f>
        <v>https://climate.onebuilding.org/WMO_Region_6_Europe/ITA_Italy/ER_Emilia-Romagna/ITA_ER_Piacenza-San.Damiano.AB.160840_TMYx.zip</v>
      </c>
    </row>
    <row r="6924" spans="1:10" x14ac:dyDescent="0.25">
      <c r="A6924" t="s">
        <v>5239</v>
      </c>
      <c r="B6924" t="s">
        <v>5276</v>
      </c>
      <c r="C6924" t="s">
        <v>5290</v>
      </c>
      <c r="D6924">
        <v>160880</v>
      </c>
      <c r="E6924" t="s">
        <v>5291</v>
      </c>
      <c r="F6924">
        <v>45.4206</v>
      </c>
      <c r="G6924">
        <v>10.2814</v>
      </c>
      <c r="H6924">
        <v>1</v>
      </c>
      <c r="I6924">
        <v>97</v>
      </c>
      <c r="J6924" t="str">
        <f>HYPERLINK("https://climate.onebuilding.org/WMO_Region_6_Europe/ITA_Italy/LM_Lombardy/ITA_LM_Ghedi.AB.160880_TMYx.2004-2018.zip")</f>
        <v>https://climate.onebuilding.org/WMO_Region_6_Europe/ITA_Italy/LM_Lombardy/ITA_LM_Ghedi.AB.160880_TMYx.2004-2018.zip</v>
      </c>
    </row>
    <row r="6925" spans="1:10" x14ac:dyDescent="0.25">
      <c r="A6925" t="s">
        <v>5239</v>
      </c>
      <c r="B6925" t="s">
        <v>5276</v>
      </c>
      <c r="C6925" t="s">
        <v>5290</v>
      </c>
      <c r="D6925">
        <v>160880</v>
      </c>
      <c r="E6925" t="s">
        <v>14</v>
      </c>
      <c r="F6925">
        <v>45.432000000000002</v>
      </c>
      <c r="G6925">
        <v>10.268000000000001</v>
      </c>
      <c r="H6925">
        <v>1</v>
      </c>
      <c r="I6925">
        <v>97</v>
      </c>
      <c r="J6925" t="str">
        <f>HYPERLINK("https://climate.onebuilding.org/WMO_Region_6_Europe/ITA_Italy/LM_Lombardy/ITA_LM_Ghedi.AB.160880_TMYx.2007-2021.zip")</f>
        <v>https://climate.onebuilding.org/WMO_Region_6_Europe/ITA_Italy/LM_Lombardy/ITA_LM_Ghedi.AB.160880_TMYx.2007-2021.zip</v>
      </c>
    </row>
    <row r="6926" spans="1:10" x14ac:dyDescent="0.25">
      <c r="A6926" t="s">
        <v>5239</v>
      </c>
      <c r="B6926" t="s">
        <v>5276</v>
      </c>
      <c r="C6926" t="s">
        <v>5290</v>
      </c>
      <c r="D6926">
        <v>160880</v>
      </c>
      <c r="E6926" t="s">
        <v>14</v>
      </c>
      <c r="F6926">
        <v>45.432000000000002</v>
      </c>
      <c r="G6926">
        <v>10.268000000000001</v>
      </c>
      <c r="H6926">
        <v>1</v>
      </c>
      <c r="I6926">
        <v>97</v>
      </c>
      <c r="J6926" t="str">
        <f>HYPERLINK("https://climate.onebuilding.org/WMO_Region_6_Europe/ITA_Italy/LM_Lombardy/ITA_LM_Ghedi.AB.160880_TMYx.2009-2023.zip")</f>
        <v>https://climate.onebuilding.org/WMO_Region_6_Europe/ITA_Italy/LM_Lombardy/ITA_LM_Ghedi.AB.160880_TMYx.2009-2023.zip</v>
      </c>
    </row>
    <row r="6927" spans="1:10" x14ac:dyDescent="0.25">
      <c r="A6927" t="s">
        <v>5239</v>
      </c>
      <c r="B6927" t="s">
        <v>5276</v>
      </c>
      <c r="C6927" t="s">
        <v>5290</v>
      </c>
      <c r="D6927">
        <v>160880</v>
      </c>
      <c r="E6927" t="s">
        <v>14</v>
      </c>
      <c r="F6927">
        <v>45.432000000000002</v>
      </c>
      <c r="G6927">
        <v>10.268000000000001</v>
      </c>
      <c r="H6927">
        <v>1</v>
      </c>
      <c r="I6927">
        <v>97</v>
      </c>
      <c r="J6927" t="str">
        <f>HYPERLINK("https://climate.onebuilding.org/WMO_Region_6_Europe/ITA_Italy/LM_Lombardy/ITA_LM_Ghedi.AB.160880_TMYx.zip")</f>
        <v>https://climate.onebuilding.org/WMO_Region_6_Europe/ITA_Italy/LM_Lombardy/ITA_LM_Ghedi.AB.160880_TMYx.zip</v>
      </c>
    </row>
    <row r="6928" spans="1:10" x14ac:dyDescent="0.25">
      <c r="A6928" t="s">
        <v>5239</v>
      </c>
      <c r="B6928" t="s">
        <v>5276</v>
      </c>
      <c r="C6928" t="s">
        <v>5292</v>
      </c>
      <c r="D6928">
        <v>160890</v>
      </c>
      <c r="E6928" t="s">
        <v>5293</v>
      </c>
      <c r="F6928">
        <v>45.464500000000001</v>
      </c>
      <c r="G6928">
        <v>10.555300000000001</v>
      </c>
      <c r="H6928">
        <v>1</v>
      </c>
      <c r="I6928">
        <v>66</v>
      </c>
      <c r="J6928" t="str">
        <f>HYPERLINK("https://climate.onebuilding.org/WMO_Region_6_Europe/ITA_Italy/LM_Lombardy/ITA_LM_Desenzano.del.Garda.160890_TMYx.2004-2018.zip")</f>
        <v>https://climate.onebuilding.org/WMO_Region_6_Europe/ITA_Italy/LM_Lombardy/ITA_LM_Desenzano.del.Garda.160890_TMYx.2004-2018.zip</v>
      </c>
    </row>
    <row r="6929" spans="1:10" x14ac:dyDescent="0.25">
      <c r="A6929" t="s">
        <v>5239</v>
      </c>
      <c r="B6929" t="s">
        <v>5276</v>
      </c>
      <c r="C6929" t="s">
        <v>5292</v>
      </c>
      <c r="D6929">
        <v>160890</v>
      </c>
      <c r="E6929" t="s">
        <v>14</v>
      </c>
      <c r="F6929">
        <v>45.464500000000001</v>
      </c>
      <c r="G6929">
        <v>10.555300000000001</v>
      </c>
      <c r="H6929">
        <v>1</v>
      </c>
      <c r="I6929">
        <v>66</v>
      </c>
      <c r="J6929" t="str">
        <f>HYPERLINK("https://climate.onebuilding.org/WMO_Region_6_Europe/ITA_Italy/LM_Lombardy/ITA_LM_Desenzano.del.Garda.160890_TMYx.2007-2021.zip")</f>
        <v>https://climate.onebuilding.org/WMO_Region_6_Europe/ITA_Italy/LM_Lombardy/ITA_LM_Desenzano.del.Garda.160890_TMYx.2007-2021.zip</v>
      </c>
    </row>
    <row r="6930" spans="1:10" x14ac:dyDescent="0.25">
      <c r="A6930" t="s">
        <v>5239</v>
      </c>
      <c r="B6930" t="s">
        <v>5276</v>
      </c>
      <c r="C6930" t="s">
        <v>5292</v>
      </c>
      <c r="D6930">
        <v>160890</v>
      </c>
      <c r="E6930" t="s">
        <v>14</v>
      </c>
      <c r="F6930">
        <v>45.464500000000001</v>
      </c>
      <c r="G6930">
        <v>10.555300000000001</v>
      </c>
      <c r="H6930">
        <v>1</v>
      </c>
      <c r="I6930">
        <v>66</v>
      </c>
      <c r="J6930" t="str">
        <f>HYPERLINK("https://climate.onebuilding.org/WMO_Region_6_Europe/ITA_Italy/LM_Lombardy/ITA_LM_Desenzano.del.Garda.160890_TMYx.2009-2023.zip")</f>
        <v>https://climate.onebuilding.org/WMO_Region_6_Europe/ITA_Italy/LM_Lombardy/ITA_LM_Desenzano.del.Garda.160890_TMYx.2009-2023.zip</v>
      </c>
    </row>
    <row r="6931" spans="1:10" x14ac:dyDescent="0.25">
      <c r="A6931" t="s">
        <v>5239</v>
      </c>
      <c r="B6931" t="s">
        <v>5276</v>
      </c>
      <c r="C6931" t="s">
        <v>5292</v>
      </c>
      <c r="D6931">
        <v>160890</v>
      </c>
      <c r="E6931" t="s">
        <v>14</v>
      </c>
      <c r="F6931">
        <v>45.464500000000001</v>
      </c>
      <c r="G6931">
        <v>10.555300000000001</v>
      </c>
      <c r="H6931">
        <v>1</v>
      </c>
      <c r="I6931">
        <v>66</v>
      </c>
      <c r="J6931" t="str">
        <f>HYPERLINK("https://climate.onebuilding.org/WMO_Region_6_Europe/ITA_Italy/LM_Lombardy/ITA_LM_Desenzano.del.Garda.160890_TMYx.zip")</f>
        <v>https://climate.onebuilding.org/WMO_Region_6_Europe/ITA_Italy/LM_Lombardy/ITA_LM_Desenzano.del.Garda.160890_TMYx.zip</v>
      </c>
    </row>
    <row r="6932" spans="1:10" x14ac:dyDescent="0.25">
      <c r="A6932" t="s">
        <v>5239</v>
      </c>
      <c r="B6932" t="s">
        <v>518</v>
      </c>
      <c r="C6932" t="s">
        <v>5294</v>
      </c>
      <c r="D6932">
        <v>160900</v>
      </c>
      <c r="E6932" t="s">
        <v>5295</v>
      </c>
      <c r="F6932">
        <v>45.396000000000001</v>
      </c>
      <c r="G6932">
        <v>10.888999999999999</v>
      </c>
      <c r="H6932">
        <v>1</v>
      </c>
      <c r="I6932">
        <v>72.8</v>
      </c>
      <c r="J6932" t="str">
        <f>HYPERLINK("https://climate.onebuilding.org/WMO_Region_6_Europe/ITA_Italy/VN_Veneto/ITA_VN_Verona.Catullo.AP.160900_TMYx.2004-2018.zip")</f>
        <v>https://climate.onebuilding.org/WMO_Region_6_Europe/ITA_Italy/VN_Veneto/ITA_VN_Verona.Catullo.AP.160900_TMYx.2004-2018.zip</v>
      </c>
    </row>
    <row r="6933" spans="1:10" x14ac:dyDescent="0.25">
      <c r="A6933" t="s">
        <v>5239</v>
      </c>
      <c r="B6933" t="s">
        <v>518</v>
      </c>
      <c r="C6933" t="s">
        <v>5294</v>
      </c>
      <c r="D6933">
        <v>160900</v>
      </c>
      <c r="E6933" t="s">
        <v>14</v>
      </c>
      <c r="F6933">
        <v>45.396000000000001</v>
      </c>
      <c r="G6933">
        <v>10.888999999999999</v>
      </c>
      <c r="H6933">
        <v>1</v>
      </c>
      <c r="I6933">
        <v>72.8</v>
      </c>
      <c r="J6933" t="str">
        <f>HYPERLINK("https://climate.onebuilding.org/WMO_Region_6_Europe/ITA_Italy/VN_Veneto/ITA_VN_Verona.Catullo.AP.160900_TMYx.2007-2021.zip")</f>
        <v>https://climate.onebuilding.org/WMO_Region_6_Europe/ITA_Italy/VN_Veneto/ITA_VN_Verona.Catullo.AP.160900_TMYx.2007-2021.zip</v>
      </c>
    </row>
    <row r="6934" spans="1:10" x14ac:dyDescent="0.25">
      <c r="A6934" t="s">
        <v>5239</v>
      </c>
      <c r="B6934" t="s">
        <v>518</v>
      </c>
      <c r="C6934" t="s">
        <v>5294</v>
      </c>
      <c r="D6934">
        <v>160900</v>
      </c>
      <c r="E6934" t="s">
        <v>14</v>
      </c>
      <c r="F6934">
        <v>45.396000000000001</v>
      </c>
      <c r="G6934">
        <v>10.888999999999999</v>
      </c>
      <c r="H6934">
        <v>1</v>
      </c>
      <c r="I6934">
        <v>72.8</v>
      </c>
      <c r="J6934" t="str">
        <f>HYPERLINK("https://climate.onebuilding.org/WMO_Region_6_Europe/ITA_Italy/VN_Veneto/ITA_VN_Verona.Catullo.AP.160900_TMYx.2009-2023.zip")</f>
        <v>https://climate.onebuilding.org/WMO_Region_6_Europe/ITA_Italy/VN_Veneto/ITA_VN_Verona.Catullo.AP.160900_TMYx.2009-2023.zip</v>
      </c>
    </row>
    <row r="6935" spans="1:10" x14ac:dyDescent="0.25">
      <c r="A6935" t="s">
        <v>5239</v>
      </c>
      <c r="B6935" t="s">
        <v>518</v>
      </c>
      <c r="C6935" t="s">
        <v>5294</v>
      </c>
      <c r="D6935">
        <v>160900</v>
      </c>
      <c r="E6935" t="s">
        <v>14</v>
      </c>
      <c r="F6935">
        <v>45.396000000000001</v>
      </c>
      <c r="G6935">
        <v>10.888999999999999</v>
      </c>
      <c r="H6935">
        <v>1</v>
      </c>
      <c r="I6935">
        <v>72.8</v>
      </c>
      <c r="J6935" t="str">
        <f>HYPERLINK("https://climate.onebuilding.org/WMO_Region_6_Europe/ITA_Italy/VN_Veneto/ITA_VN_Verona.Catullo.AP.160900_TMYx.zip")</f>
        <v>https://climate.onebuilding.org/WMO_Region_6_Europe/ITA_Italy/VN_Veneto/ITA_VN_Verona.Catullo.AP.160900_TMYx.zip</v>
      </c>
    </row>
    <row r="6936" spans="1:10" x14ac:dyDescent="0.25">
      <c r="A6936" t="s">
        <v>5239</v>
      </c>
      <c r="B6936" t="s">
        <v>518</v>
      </c>
      <c r="C6936" t="s">
        <v>5296</v>
      </c>
      <c r="D6936">
        <v>160920</v>
      </c>
      <c r="E6936" t="s">
        <v>14</v>
      </c>
      <c r="F6936">
        <v>45.866999999999997</v>
      </c>
      <c r="G6936">
        <v>11.8</v>
      </c>
      <c r="H6936">
        <v>1</v>
      </c>
      <c r="I6936">
        <v>1775</v>
      </c>
      <c r="J6936" t="str">
        <f>HYPERLINK("https://climate.onebuilding.org/WMO_Region_6_Europe/ITA_Italy/VN_Veneto/ITA_VN_Grappa.Mtn.160920_TMYx.zip")</f>
        <v>https://climate.onebuilding.org/WMO_Region_6_Europe/ITA_Italy/VN_Veneto/ITA_VN_Grappa.Mtn.160920_TMYx.zip</v>
      </c>
    </row>
    <row r="6937" spans="1:10" x14ac:dyDescent="0.25">
      <c r="A6937" t="s">
        <v>5239</v>
      </c>
      <c r="B6937" t="s">
        <v>518</v>
      </c>
      <c r="C6937" t="s">
        <v>5297</v>
      </c>
      <c r="D6937">
        <v>160940</v>
      </c>
      <c r="E6937" t="s">
        <v>14</v>
      </c>
      <c r="F6937">
        <v>45.573</v>
      </c>
      <c r="G6937">
        <v>11.53</v>
      </c>
      <c r="H6937">
        <v>1</v>
      </c>
      <c r="I6937">
        <v>39</v>
      </c>
      <c r="J6937" t="str">
        <f>HYPERLINK("https://climate.onebuilding.org/WMO_Region_6_Europe/ITA_Italy/VN_Veneto/ITA_VN_Vicenza.AB.160940_TMYx.zip")</f>
        <v>https://climate.onebuilding.org/WMO_Region_6_Europe/ITA_Italy/VN_Veneto/ITA_VN_Vicenza.AB.160940_TMYx.zip</v>
      </c>
    </row>
    <row r="6938" spans="1:10" x14ac:dyDescent="0.25">
      <c r="A6938" t="s">
        <v>5239</v>
      </c>
      <c r="B6938" t="s">
        <v>518</v>
      </c>
      <c r="C6938" t="s">
        <v>5298</v>
      </c>
      <c r="D6938">
        <v>160950</v>
      </c>
      <c r="E6938" t="s">
        <v>5299</v>
      </c>
      <c r="F6938">
        <v>45.4</v>
      </c>
      <c r="G6938">
        <v>11.85</v>
      </c>
      <c r="H6938">
        <v>1</v>
      </c>
      <c r="I6938">
        <v>14</v>
      </c>
      <c r="J6938" t="str">
        <f>HYPERLINK("https://climate.onebuilding.org/WMO_Region_6_Europe/ITA_Italy/VN_Veneto/ITA_VN_Padova.AP.160950_TMYx.2004-2018.zip")</f>
        <v>https://climate.onebuilding.org/WMO_Region_6_Europe/ITA_Italy/VN_Veneto/ITA_VN_Padova.AP.160950_TMYx.2004-2018.zip</v>
      </c>
    </row>
    <row r="6939" spans="1:10" x14ac:dyDescent="0.25">
      <c r="A6939" t="s">
        <v>5239</v>
      </c>
      <c r="B6939" t="s">
        <v>518</v>
      </c>
      <c r="C6939" t="s">
        <v>5298</v>
      </c>
      <c r="D6939">
        <v>160950</v>
      </c>
      <c r="E6939" t="s">
        <v>14</v>
      </c>
      <c r="F6939">
        <v>45.4</v>
      </c>
      <c r="G6939">
        <v>11.85</v>
      </c>
      <c r="H6939">
        <v>1</v>
      </c>
      <c r="I6939">
        <v>14</v>
      </c>
      <c r="J6939" t="str">
        <f>HYPERLINK("https://climate.onebuilding.org/WMO_Region_6_Europe/ITA_Italy/VN_Veneto/ITA_VN_Padova.AP.160950_TMYx.2007-2021.zip")</f>
        <v>https://climate.onebuilding.org/WMO_Region_6_Europe/ITA_Italy/VN_Veneto/ITA_VN_Padova.AP.160950_TMYx.2007-2021.zip</v>
      </c>
    </row>
    <row r="6940" spans="1:10" x14ac:dyDescent="0.25">
      <c r="A6940" t="s">
        <v>5239</v>
      </c>
      <c r="B6940" t="s">
        <v>518</v>
      </c>
      <c r="C6940" t="s">
        <v>5298</v>
      </c>
      <c r="D6940">
        <v>160950</v>
      </c>
      <c r="E6940" t="s">
        <v>14</v>
      </c>
      <c r="F6940">
        <v>45.4</v>
      </c>
      <c r="G6940">
        <v>11.85</v>
      </c>
      <c r="H6940">
        <v>1</v>
      </c>
      <c r="I6940">
        <v>14</v>
      </c>
      <c r="J6940" t="str">
        <f>HYPERLINK("https://climate.onebuilding.org/WMO_Region_6_Europe/ITA_Italy/VN_Veneto/ITA_VN_Padova.AP.160950_TMYx.2009-2023.zip")</f>
        <v>https://climate.onebuilding.org/WMO_Region_6_Europe/ITA_Italy/VN_Veneto/ITA_VN_Padova.AP.160950_TMYx.2009-2023.zip</v>
      </c>
    </row>
    <row r="6941" spans="1:10" x14ac:dyDescent="0.25">
      <c r="A6941" t="s">
        <v>5239</v>
      </c>
      <c r="B6941" t="s">
        <v>518</v>
      </c>
      <c r="C6941" t="s">
        <v>5298</v>
      </c>
      <c r="D6941">
        <v>160950</v>
      </c>
      <c r="E6941" t="s">
        <v>14</v>
      </c>
      <c r="F6941">
        <v>45.4</v>
      </c>
      <c r="G6941">
        <v>11.85</v>
      </c>
      <c r="H6941">
        <v>1</v>
      </c>
      <c r="I6941">
        <v>14</v>
      </c>
      <c r="J6941" t="str">
        <f>HYPERLINK("https://climate.onebuilding.org/WMO_Region_6_Europe/ITA_Italy/VN_Veneto/ITA_VN_Padova.AP.160950_TMYx.zip")</f>
        <v>https://climate.onebuilding.org/WMO_Region_6_Europe/ITA_Italy/VN_Veneto/ITA_VN_Padova.AP.160950_TMYx.zip</v>
      </c>
    </row>
    <row r="6942" spans="1:10" x14ac:dyDescent="0.25">
      <c r="A6942" t="s">
        <v>5239</v>
      </c>
      <c r="B6942" t="s">
        <v>518</v>
      </c>
      <c r="C6942" t="s">
        <v>5300</v>
      </c>
      <c r="D6942">
        <v>160980</v>
      </c>
      <c r="E6942" t="s">
        <v>5301</v>
      </c>
      <c r="F6942">
        <v>45.683900000000001</v>
      </c>
      <c r="G6942">
        <v>12.1067</v>
      </c>
      <c r="H6942">
        <v>1</v>
      </c>
      <c r="I6942">
        <v>42</v>
      </c>
      <c r="J6942" t="str">
        <f>HYPERLINK("https://climate.onebuilding.org/WMO_Region_6_Europe/ITA_Italy/VN_Veneto/ITA_VN_Istrana.AB.160980_TMYx.2004-2018.zip")</f>
        <v>https://climate.onebuilding.org/WMO_Region_6_Europe/ITA_Italy/VN_Veneto/ITA_VN_Istrana.AB.160980_TMYx.2004-2018.zip</v>
      </c>
    </row>
    <row r="6943" spans="1:10" x14ac:dyDescent="0.25">
      <c r="A6943" t="s">
        <v>5239</v>
      </c>
      <c r="B6943" t="s">
        <v>518</v>
      </c>
      <c r="C6943" t="s">
        <v>5300</v>
      </c>
      <c r="D6943">
        <v>160980</v>
      </c>
      <c r="E6943" t="s">
        <v>14</v>
      </c>
      <c r="F6943">
        <v>45.685000000000002</v>
      </c>
      <c r="G6943">
        <v>12.083</v>
      </c>
      <c r="H6943">
        <v>1</v>
      </c>
      <c r="I6943">
        <v>42</v>
      </c>
      <c r="J6943" t="str">
        <f>HYPERLINK("https://climate.onebuilding.org/WMO_Region_6_Europe/ITA_Italy/VN_Veneto/ITA_VN_Istrana.AB.160980_TMYx.2007-2021.zip")</f>
        <v>https://climate.onebuilding.org/WMO_Region_6_Europe/ITA_Italy/VN_Veneto/ITA_VN_Istrana.AB.160980_TMYx.2007-2021.zip</v>
      </c>
    </row>
    <row r="6944" spans="1:10" x14ac:dyDescent="0.25">
      <c r="A6944" t="s">
        <v>5239</v>
      </c>
      <c r="B6944" t="s">
        <v>518</v>
      </c>
      <c r="C6944" t="s">
        <v>5300</v>
      </c>
      <c r="D6944">
        <v>160980</v>
      </c>
      <c r="E6944" t="s">
        <v>14</v>
      </c>
      <c r="F6944">
        <v>45.685000000000002</v>
      </c>
      <c r="G6944">
        <v>12.083</v>
      </c>
      <c r="H6944">
        <v>1</v>
      </c>
      <c r="I6944">
        <v>42</v>
      </c>
      <c r="J6944" t="str">
        <f>HYPERLINK("https://climate.onebuilding.org/WMO_Region_6_Europe/ITA_Italy/VN_Veneto/ITA_VN_Istrana.AB.160980_TMYx.2009-2023.zip")</f>
        <v>https://climate.onebuilding.org/WMO_Region_6_Europe/ITA_Italy/VN_Veneto/ITA_VN_Istrana.AB.160980_TMYx.2009-2023.zip</v>
      </c>
    </row>
    <row r="6945" spans="1:10" x14ac:dyDescent="0.25">
      <c r="A6945" t="s">
        <v>5239</v>
      </c>
      <c r="B6945" t="s">
        <v>518</v>
      </c>
      <c r="C6945" t="s">
        <v>5300</v>
      </c>
      <c r="D6945">
        <v>160980</v>
      </c>
      <c r="E6945" t="s">
        <v>14</v>
      </c>
      <c r="F6945">
        <v>45.685000000000002</v>
      </c>
      <c r="G6945">
        <v>12.083</v>
      </c>
      <c r="H6945">
        <v>1</v>
      </c>
      <c r="I6945">
        <v>42</v>
      </c>
      <c r="J6945" t="str">
        <f>HYPERLINK("https://climate.onebuilding.org/WMO_Region_6_Europe/ITA_Italy/VN_Veneto/ITA_VN_Istrana.AB.160980_TMYx.zip")</f>
        <v>https://climate.onebuilding.org/WMO_Region_6_Europe/ITA_Italy/VN_Veneto/ITA_VN_Istrana.AB.160980_TMYx.zip</v>
      </c>
    </row>
    <row r="6946" spans="1:10" x14ac:dyDescent="0.25">
      <c r="A6946" t="s">
        <v>5239</v>
      </c>
      <c r="B6946" t="s">
        <v>518</v>
      </c>
      <c r="C6946" t="s">
        <v>5302</v>
      </c>
      <c r="D6946">
        <v>160990</v>
      </c>
      <c r="E6946" t="s">
        <v>5303</v>
      </c>
      <c r="F6946">
        <v>45.65</v>
      </c>
      <c r="G6946">
        <v>12.183299999999999</v>
      </c>
      <c r="H6946">
        <v>1</v>
      </c>
      <c r="I6946">
        <v>23</v>
      </c>
      <c r="J6946" t="str">
        <f>HYPERLINK("https://climate.onebuilding.org/WMO_Region_6_Europe/ITA_Italy/VN_Veneto/ITA_VN_Treviso.AP.160990_TMYx.2004-2018.zip")</f>
        <v>https://climate.onebuilding.org/WMO_Region_6_Europe/ITA_Italy/VN_Veneto/ITA_VN_Treviso.AP.160990_TMYx.2004-2018.zip</v>
      </c>
    </row>
    <row r="6947" spans="1:10" x14ac:dyDescent="0.25">
      <c r="A6947" t="s">
        <v>5239</v>
      </c>
      <c r="B6947" t="s">
        <v>518</v>
      </c>
      <c r="C6947" t="s">
        <v>5302</v>
      </c>
      <c r="D6947">
        <v>160990</v>
      </c>
      <c r="E6947" t="s">
        <v>14</v>
      </c>
      <c r="F6947">
        <v>45.65</v>
      </c>
      <c r="G6947">
        <v>12.183299999999999</v>
      </c>
      <c r="H6947">
        <v>1</v>
      </c>
      <c r="I6947">
        <v>23</v>
      </c>
      <c r="J6947" t="str">
        <f>HYPERLINK("https://climate.onebuilding.org/WMO_Region_6_Europe/ITA_Italy/VN_Veneto/ITA_VN_Treviso.AP.160990_TMYx.2007-2021.zip")</f>
        <v>https://climate.onebuilding.org/WMO_Region_6_Europe/ITA_Italy/VN_Veneto/ITA_VN_Treviso.AP.160990_TMYx.2007-2021.zip</v>
      </c>
    </row>
    <row r="6948" spans="1:10" x14ac:dyDescent="0.25">
      <c r="A6948" t="s">
        <v>5239</v>
      </c>
      <c r="B6948" t="s">
        <v>518</v>
      </c>
      <c r="C6948" t="s">
        <v>5302</v>
      </c>
      <c r="D6948">
        <v>160990</v>
      </c>
      <c r="E6948" t="s">
        <v>14</v>
      </c>
      <c r="F6948">
        <v>45.65</v>
      </c>
      <c r="G6948">
        <v>12.183299999999999</v>
      </c>
      <c r="H6948">
        <v>1</v>
      </c>
      <c r="I6948">
        <v>23</v>
      </c>
      <c r="J6948" t="str">
        <f>HYPERLINK("https://climate.onebuilding.org/WMO_Region_6_Europe/ITA_Italy/VN_Veneto/ITA_VN_Treviso.AP.160990_TMYx.2009-2023.zip")</f>
        <v>https://climate.onebuilding.org/WMO_Region_6_Europe/ITA_Italy/VN_Veneto/ITA_VN_Treviso.AP.160990_TMYx.2009-2023.zip</v>
      </c>
    </row>
    <row r="6949" spans="1:10" x14ac:dyDescent="0.25">
      <c r="A6949" t="s">
        <v>5239</v>
      </c>
      <c r="B6949" t="s">
        <v>518</v>
      </c>
      <c r="C6949" t="s">
        <v>5302</v>
      </c>
      <c r="D6949">
        <v>160990</v>
      </c>
      <c r="E6949" t="s">
        <v>14</v>
      </c>
      <c r="F6949">
        <v>45.65</v>
      </c>
      <c r="G6949">
        <v>12.183299999999999</v>
      </c>
      <c r="H6949">
        <v>1</v>
      </c>
      <c r="I6949">
        <v>23</v>
      </c>
      <c r="J6949" t="str">
        <f>HYPERLINK("https://climate.onebuilding.org/WMO_Region_6_Europe/ITA_Italy/VN_Veneto/ITA_VN_Treviso.AP.160990_TMYx.zip")</f>
        <v>https://climate.onebuilding.org/WMO_Region_6_Europe/ITA_Italy/VN_Veneto/ITA_VN_Treviso.AP.160990_TMYx.zip</v>
      </c>
    </row>
    <row r="6950" spans="1:10" x14ac:dyDescent="0.25">
      <c r="A6950" t="s">
        <v>5239</v>
      </c>
      <c r="B6950" t="s">
        <v>518</v>
      </c>
      <c r="C6950" t="s">
        <v>5304</v>
      </c>
      <c r="D6950">
        <v>161010</v>
      </c>
      <c r="E6950" t="s">
        <v>14</v>
      </c>
      <c r="F6950">
        <v>45.427500000000002</v>
      </c>
      <c r="G6950">
        <v>12.3842</v>
      </c>
      <c r="H6950">
        <v>1</v>
      </c>
      <c r="I6950">
        <v>6</v>
      </c>
      <c r="J6950" t="str">
        <f>HYPERLINK("https://climate.onebuilding.org/WMO_Region_6_Europe/ITA_Italy/VN_Veneto/ITA_VN_Venezia-Lido.AF.161010_TMYx.2007-2021.zip")</f>
        <v>https://climate.onebuilding.org/WMO_Region_6_Europe/ITA_Italy/VN_Veneto/ITA_VN_Venezia-Lido.AF.161010_TMYx.2007-2021.zip</v>
      </c>
    </row>
    <row r="6951" spans="1:10" x14ac:dyDescent="0.25">
      <c r="A6951" t="s">
        <v>5239</v>
      </c>
      <c r="B6951" t="s">
        <v>518</v>
      </c>
      <c r="C6951" t="s">
        <v>5304</v>
      </c>
      <c r="D6951">
        <v>161010</v>
      </c>
      <c r="E6951" t="s">
        <v>14</v>
      </c>
      <c r="F6951">
        <v>45.427500000000002</v>
      </c>
      <c r="G6951">
        <v>12.3842</v>
      </c>
      <c r="H6951">
        <v>1</v>
      </c>
      <c r="I6951">
        <v>6</v>
      </c>
      <c r="J6951" t="str">
        <f>HYPERLINK("https://climate.onebuilding.org/WMO_Region_6_Europe/ITA_Italy/VN_Veneto/ITA_VN_Venezia-Lido.AF.161010_TMYx.2009-2023.zip")</f>
        <v>https://climate.onebuilding.org/WMO_Region_6_Europe/ITA_Italy/VN_Veneto/ITA_VN_Venezia-Lido.AF.161010_TMYx.2009-2023.zip</v>
      </c>
    </row>
    <row r="6952" spans="1:10" x14ac:dyDescent="0.25">
      <c r="A6952" t="s">
        <v>5239</v>
      </c>
      <c r="B6952" t="s">
        <v>518</v>
      </c>
      <c r="C6952" t="s">
        <v>5304</v>
      </c>
      <c r="D6952">
        <v>161010</v>
      </c>
      <c r="E6952" t="s">
        <v>14</v>
      </c>
      <c r="F6952">
        <v>45.427500000000002</v>
      </c>
      <c r="G6952">
        <v>12.3842</v>
      </c>
      <c r="H6952">
        <v>1</v>
      </c>
      <c r="I6952">
        <v>6</v>
      </c>
      <c r="J6952" t="str">
        <f>HYPERLINK("https://climate.onebuilding.org/WMO_Region_6_Europe/ITA_Italy/VN_Veneto/ITA_VN_Venezia-Lido.AF.161010_TMYx.zip")</f>
        <v>https://climate.onebuilding.org/WMO_Region_6_Europe/ITA_Italy/VN_Veneto/ITA_VN_Venezia-Lido.AF.161010_TMYx.zip</v>
      </c>
    </row>
    <row r="6953" spans="1:10" x14ac:dyDescent="0.25">
      <c r="A6953" t="s">
        <v>5239</v>
      </c>
      <c r="B6953" t="s">
        <v>518</v>
      </c>
      <c r="C6953" t="s">
        <v>5305</v>
      </c>
      <c r="D6953">
        <v>161050</v>
      </c>
      <c r="E6953" t="s">
        <v>5306</v>
      </c>
      <c r="F6953">
        <v>45.505299999999998</v>
      </c>
      <c r="G6953">
        <v>12.351900000000001</v>
      </c>
      <c r="H6953">
        <v>1</v>
      </c>
      <c r="I6953">
        <v>6</v>
      </c>
      <c r="J6953" t="str">
        <f>HYPERLINK("https://climate.onebuilding.org/WMO_Region_6_Europe/ITA_Italy/VN_Veneto/ITA_VN_Venezia-Polo.AP.161050_TMYx.2004-2018.zip")</f>
        <v>https://climate.onebuilding.org/WMO_Region_6_Europe/ITA_Italy/VN_Veneto/ITA_VN_Venezia-Polo.AP.161050_TMYx.2004-2018.zip</v>
      </c>
    </row>
    <row r="6954" spans="1:10" x14ac:dyDescent="0.25">
      <c r="A6954" t="s">
        <v>5239</v>
      </c>
      <c r="B6954" t="s">
        <v>518</v>
      </c>
      <c r="C6954" t="s">
        <v>5305</v>
      </c>
      <c r="D6954">
        <v>161050</v>
      </c>
      <c r="E6954" t="s">
        <v>14</v>
      </c>
      <c r="F6954">
        <v>45.505299999999998</v>
      </c>
      <c r="G6954">
        <v>12.351900000000001</v>
      </c>
      <c r="H6954">
        <v>1</v>
      </c>
      <c r="I6954">
        <v>6</v>
      </c>
      <c r="J6954" t="str">
        <f>HYPERLINK("https://climate.onebuilding.org/WMO_Region_6_Europe/ITA_Italy/VN_Veneto/ITA_VN_Venezia-Polo.AP.161050_TMYx.2007-2021.zip")</f>
        <v>https://climate.onebuilding.org/WMO_Region_6_Europe/ITA_Italy/VN_Veneto/ITA_VN_Venezia-Polo.AP.161050_TMYx.2007-2021.zip</v>
      </c>
    </row>
    <row r="6955" spans="1:10" x14ac:dyDescent="0.25">
      <c r="A6955" t="s">
        <v>5239</v>
      </c>
      <c r="B6955" t="s">
        <v>518</v>
      </c>
      <c r="C6955" t="s">
        <v>5305</v>
      </c>
      <c r="D6955">
        <v>161050</v>
      </c>
      <c r="E6955" t="s">
        <v>14</v>
      </c>
      <c r="F6955">
        <v>45.505299999999998</v>
      </c>
      <c r="G6955">
        <v>12.351900000000001</v>
      </c>
      <c r="H6955">
        <v>1</v>
      </c>
      <c r="I6955">
        <v>6</v>
      </c>
      <c r="J6955" t="str">
        <f>HYPERLINK("https://climate.onebuilding.org/WMO_Region_6_Europe/ITA_Italy/VN_Veneto/ITA_VN_Venezia-Polo.AP.161050_TMYx.2009-2023.zip")</f>
        <v>https://climate.onebuilding.org/WMO_Region_6_Europe/ITA_Italy/VN_Veneto/ITA_VN_Venezia-Polo.AP.161050_TMYx.2009-2023.zip</v>
      </c>
    </row>
    <row r="6956" spans="1:10" x14ac:dyDescent="0.25">
      <c r="A6956" t="s">
        <v>5239</v>
      </c>
      <c r="B6956" t="s">
        <v>518</v>
      </c>
      <c r="C6956" t="s">
        <v>5305</v>
      </c>
      <c r="D6956">
        <v>161050</v>
      </c>
      <c r="E6956" t="s">
        <v>14</v>
      </c>
      <c r="F6956">
        <v>45.505299999999998</v>
      </c>
      <c r="G6956">
        <v>12.351900000000001</v>
      </c>
      <c r="H6956">
        <v>1</v>
      </c>
      <c r="I6956">
        <v>6</v>
      </c>
      <c r="J6956" t="str">
        <f>HYPERLINK("https://climate.onebuilding.org/WMO_Region_6_Europe/ITA_Italy/VN_Veneto/ITA_VN_Venezia-Polo.AP.161050_TMYx.zip")</f>
        <v>https://climate.onebuilding.org/WMO_Region_6_Europe/ITA_Italy/VN_Veneto/ITA_VN_Venezia-Polo.AP.161050_TMYx.zip</v>
      </c>
    </row>
    <row r="6957" spans="1:10" x14ac:dyDescent="0.25">
      <c r="A6957" t="s">
        <v>5239</v>
      </c>
      <c r="B6957" t="s">
        <v>518</v>
      </c>
      <c r="C6957" t="s">
        <v>5307</v>
      </c>
      <c r="D6957">
        <v>161070</v>
      </c>
      <c r="E6957" t="s">
        <v>14</v>
      </c>
      <c r="F6957">
        <v>45.761099999999999</v>
      </c>
      <c r="G6957">
        <v>12.8569</v>
      </c>
      <c r="H6957">
        <v>1</v>
      </c>
      <c r="I6957">
        <v>3</v>
      </c>
      <c r="J6957" t="str">
        <f>HYPERLINK("https://climate.onebuilding.org/WMO_Region_6_Europe/ITA_Italy/VN_Veneto/ITA_VN_Concordia.Sagittaria.161070_TMYx.2007-2021.zip")</f>
        <v>https://climate.onebuilding.org/WMO_Region_6_Europe/ITA_Italy/VN_Veneto/ITA_VN_Concordia.Sagittaria.161070_TMYx.2007-2021.zip</v>
      </c>
    </row>
    <row r="6958" spans="1:10" x14ac:dyDescent="0.25">
      <c r="A6958" t="s">
        <v>5239</v>
      </c>
      <c r="B6958" t="s">
        <v>518</v>
      </c>
      <c r="C6958" t="s">
        <v>5307</v>
      </c>
      <c r="D6958">
        <v>161070</v>
      </c>
      <c r="E6958" t="s">
        <v>14</v>
      </c>
      <c r="F6958">
        <v>45.761099999999999</v>
      </c>
      <c r="G6958">
        <v>12.8569</v>
      </c>
      <c r="H6958">
        <v>1</v>
      </c>
      <c r="I6958">
        <v>3</v>
      </c>
      <c r="J6958" t="str">
        <f>HYPERLINK("https://climate.onebuilding.org/WMO_Region_6_Europe/ITA_Italy/VN_Veneto/ITA_VN_Concordia.Sagittaria.161070_TMYx.2009-2023.zip")</f>
        <v>https://climate.onebuilding.org/WMO_Region_6_Europe/ITA_Italy/VN_Veneto/ITA_VN_Concordia.Sagittaria.161070_TMYx.2009-2023.zip</v>
      </c>
    </row>
    <row r="6959" spans="1:10" x14ac:dyDescent="0.25">
      <c r="A6959" t="s">
        <v>5239</v>
      </c>
      <c r="B6959" t="s">
        <v>518</v>
      </c>
      <c r="C6959" t="s">
        <v>5307</v>
      </c>
      <c r="D6959">
        <v>161070</v>
      </c>
      <c r="E6959" t="s">
        <v>14</v>
      </c>
      <c r="F6959">
        <v>45.761099999999999</v>
      </c>
      <c r="G6959">
        <v>12.8569</v>
      </c>
      <c r="H6959">
        <v>1</v>
      </c>
      <c r="I6959">
        <v>3</v>
      </c>
      <c r="J6959" t="str">
        <f>HYPERLINK("https://climate.onebuilding.org/WMO_Region_6_Europe/ITA_Italy/VN_Veneto/ITA_VN_Concordia.Sagittaria.161070_TMYx.zip")</f>
        <v>https://climate.onebuilding.org/WMO_Region_6_Europe/ITA_Italy/VN_Veneto/ITA_VN_Concordia.Sagittaria.161070_TMYx.zip</v>
      </c>
    </row>
    <row r="6960" spans="1:10" x14ac:dyDescent="0.25">
      <c r="A6960" t="s">
        <v>5239</v>
      </c>
      <c r="B6960" t="s">
        <v>5256</v>
      </c>
      <c r="C6960" t="s">
        <v>5308</v>
      </c>
      <c r="D6960">
        <v>161080</v>
      </c>
      <c r="E6960" t="s">
        <v>5309</v>
      </c>
      <c r="F6960">
        <v>45.827500000000001</v>
      </c>
      <c r="G6960">
        <v>13.472200000000001</v>
      </c>
      <c r="H6960">
        <v>1</v>
      </c>
      <c r="I6960">
        <v>11</v>
      </c>
      <c r="J6960" t="str">
        <f>HYPERLINK("https://climate.onebuilding.org/WMO_Region_6_Europe/ITA_Italy/FV_Friuli-Venezia_Giulia/ITA_FV_Trieste-Friuli.Venezia.Guilia.AP.161080_TMYx.2004-2018.zip")</f>
        <v>https://climate.onebuilding.org/WMO_Region_6_Europe/ITA_Italy/FV_Friuli-Venezia_Giulia/ITA_FV_Trieste-Friuli.Venezia.Guilia.AP.161080_TMYx.2004-2018.zip</v>
      </c>
    </row>
    <row r="6961" spans="1:10" x14ac:dyDescent="0.25">
      <c r="A6961" t="s">
        <v>5239</v>
      </c>
      <c r="B6961" t="s">
        <v>5256</v>
      </c>
      <c r="C6961" t="s">
        <v>5308</v>
      </c>
      <c r="D6961">
        <v>161080</v>
      </c>
      <c r="E6961" t="s">
        <v>14</v>
      </c>
      <c r="F6961">
        <v>45.827500000000001</v>
      </c>
      <c r="G6961">
        <v>13.472200000000001</v>
      </c>
      <c r="H6961">
        <v>1</v>
      </c>
      <c r="I6961">
        <v>11</v>
      </c>
      <c r="J6961" t="str">
        <f>HYPERLINK("https://climate.onebuilding.org/WMO_Region_6_Europe/ITA_Italy/FV_Friuli-Venezia_Giulia/ITA_FV_Trieste-Friuli.Venezia.Guilia.AP.161080_TMYx.2007-2021.zip")</f>
        <v>https://climate.onebuilding.org/WMO_Region_6_Europe/ITA_Italy/FV_Friuli-Venezia_Giulia/ITA_FV_Trieste-Friuli.Venezia.Guilia.AP.161080_TMYx.2007-2021.zip</v>
      </c>
    </row>
    <row r="6962" spans="1:10" x14ac:dyDescent="0.25">
      <c r="A6962" t="s">
        <v>5239</v>
      </c>
      <c r="B6962" t="s">
        <v>5256</v>
      </c>
      <c r="C6962" t="s">
        <v>5308</v>
      </c>
      <c r="D6962">
        <v>161080</v>
      </c>
      <c r="E6962" t="s">
        <v>14</v>
      </c>
      <c r="F6962">
        <v>45.827500000000001</v>
      </c>
      <c r="G6962">
        <v>13.472200000000001</v>
      </c>
      <c r="H6962">
        <v>1</v>
      </c>
      <c r="I6962">
        <v>11</v>
      </c>
      <c r="J6962" t="str">
        <f>HYPERLINK("https://climate.onebuilding.org/WMO_Region_6_Europe/ITA_Italy/FV_Friuli-Venezia_Giulia/ITA_FV_Trieste-Friuli.Venezia.Guilia.AP.161080_TMYx.2009-2023.zip")</f>
        <v>https://climate.onebuilding.org/WMO_Region_6_Europe/ITA_Italy/FV_Friuli-Venezia_Giulia/ITA_FV_Trieste-Friuli.Venezia.Guilia.AP.161080_TMYx.2009-2023.zip</v>
      </c>
    </row>
    <row r="6963" spans="1:10" x14ac:dyDescent="0.25">
      <c r="A6963" t="s">
        <v>5239</v>
      </c>
      <c r="B6963" t="s">
        <v>5256</v>
      </c>
      <c r="C6963" t="s">
        <v>5308</v>
      </c>
      <c r="D6963">
        <v>161080</v>
      </c>
      <c r="E6963" t="s">
        <v>14</v>
      </c>
      <c r="F6963">
        <v>45.827500000000001</v>
      </c>
      <c r="G6963">
        <v>13.472200000000001</v>
      </c>
      <c r="H6963">
        <v>1</v>
      </c>
      <c r="I6963">
        <v>11</v>
      </c>
      <c r="J6963" t="str">
        <f>HYPERLINK("https://climate.onebuilding.org/WMO_Region_6_Europe/ITA_Italy/FV_Friuli-Venezia_Giulia/ITA_FV_Trieste-Friuli.Venezia.Guilia.AP.161080_TMYx.zip")</f>
        <v>https://climate.onebuilding.org/WMO_Region_6_Europe/ITA_Italy/FV_Friuli-Venezia_Giulia/ITA_FV_Trieste-Friuli.Venezia.Guilia.AP.161080_TMYx.zip</v>
      </c>
    </row>
    <row r="6964" spans="1:10" x14ac:dyDescent="0.25">
      <c r="A6964" t="s">
        <v>5239</v>
      </c>
      <c r="B6964" t="s">
        <v>5256</v>
      </c>
      <c r="C6964" t="s">
        <v>5310</v>
      </c>
      <c r="D6964">
        <v>161100</v>
      </c>
      <c r="E6964" t="s">
        <v>5311</v>
      </c>
      <c r="F6964">
        <v>45.676900000000003</v>
      </c>
      <c r="G6964">
        <v>13.7547</v>
      </c>
      <c r="H6964">
        <v>1</v>
      </c>
      <c r="I6964">
        <v>3.5</v>
      </c>
      <c r="J6964" t="str">
        <f>HYPERLINK("https://climate.onebuilding.org/WMO_Region_6_Europe/ITA_Italy/FV_Friuli-Venezia_Giulia/ITA_FV_Trieste.161100_TMYx.2004-2018.zip")</f>
        <v>https://climate.onebuilding.org/WMO_Region_6_Europe/ITA_Italy/FV_Friuli-Venezia_Giulia/ITA_FV_Trieste.161100_TMYx.2004-2018.zip</v>
      </c>
    </row>
    <row r="6965" spans="1:10" x14ac:dyDescent="0.25">
      <c r="A6965" t="s">
        <v>5239</v>
      </c>
      <c r="B6965" t="s">
        <v>5256</v>
      </c>
      <c r="C6965" t="s">
        <v>5310</v>
      </c>
      <c r="D6965">
        <v>161100</v>
      </c>
      <c r="E6965" t="s">
        <v>14</v>
      </c>
      <c r="F6965">
        <v>45.676900000000003</v>
      </c>
      <c r="G6965">
        <v>13.7547</v>
      </c>
      <c r="H6965">
        <v>1</v>
      </c>
      <c r="I6965">
        <v>3.5</v>
      </c>
      <c r="J6965" t="str">
        <f>HYPERLINK("https://climate.onebuilding.org/WMO_Region_6_Europe/ITA_Italy/FV_Friuli-Venezia_Giulia/ITA_FV_Trieste.161100_TMYx.2007-2021.zip")</f>
        <v>https://climate.onebuilding.org/WMO_Region_6_Europe/ITA_Italy/FV_Friuli-Venezia_Giulia/ITA_FV_Trieste.161100_TMYx.2007-2021.zip</v>
      </c>
    </row>
    <row r="6966" spans="1:10" x14ac:dyDescent="0.25">
      <c r="A6966" t="s">
        <v>5239</v>
      </c>
      <c r="B6966" t="s">
        <v>5256</v>
      </c>
      <c r="C6966" t="s">
        <v>5310</v>
      </c>
      <c r="D6966">
        <v>161100</v>
      </c>
      <c r="E6966" t="s">
        <v>14</v>
      </c>
      <c r="F6966">
        <v>45.676900000000003</v>
      </c>
      <c r="G6966">
        <v>13.7547</v>
      </c>
      <c r="H6966">
        <v>1</v>
      </c>
      <c r="I6966">
        <v>3.5</v>
      </c>
      <c r="J6966" t="str">
        <f>HYPERLINK("https://climate.onebuilding.org/WMO_Region_6_Europe/ITA_Italy/FV_Friuli-Venezia_Giulia/ITA_FV_Trieste.161100_TMYx.2009-2023.zip")</f>
        <v>https://climate.onebuilding.org/WMO_Region_6_Europe/ITA_Italy/FV_Friuli-Venezia_Giulia/ITA_FV_Trieste.161100_TMYx.2009-2023.zip</v>
      </c>
    </row>
    <row r="6967" spans="1:10" x14ac:dyDescent="0.25">
      <c r="A6967" t="s">
        <v>5239</v>
      </c>
      <c r="B6967" t="s">
        <v>5256</v>
      </c>
      <c r="C6967" t="s">
        <v>5310</v>
      </c>
      <c r="D6967">
        <v>161100</v>
      </c>
      <c r="E6967" t="s">
        <v>14</v>
      </c>
      <c r="F6967">
        <v>45.676900000000003</v>
      </c>
      <c r="G6967">
        <v>13.7547</v>
      </c>
      <c r="H6967">
        <v>1</v>
      </c>
      <c r="I6967">
        <v>3.5</v>
      </c>
      <c r="J6967" t="str">
        <f>HYPERLINK("https://climate.onebuilding.org/WMO_Region_6_Europe/ITA_Italy/FV_Friuli-Venezia_Giulia/ITA_FV_Trieste.161100_TMYx.zip")</f>
        <v>https://climate.onebuilding.org/WMO_Region_6_Europe/ITA_Italy/FV_Friuli-Venezia_Giulia/ITA_FV_Trieste.161100_TMYx.zip</v>
      </c>
    </row>
    <row r="6968" spans="1:10" x14ac:dyDescent="0.25">
      <c r="A6968" t="s">
        <v>5239</v>
      </c>
      <c r="B6968" t="s">
        <v>5312</v>
      </c>
      <c r="C6968" t="s">
        <v>5313</v>
      </c>
      <c r="D6968">
        <v>161110</v>
      </c>
      <c r="E6968" t="s">
        <v>14</v>
      </c>
      <c r="F6968">
        <v>44.2425</v>
      </c>
      <c r="G6968">
        <v>8.2011000000000003</v>
      </c>
      <c r="H6968">
        <v>1</v>
      </c>
      <c r="I6968">
        <v>1383</v>
      </c>
      <c r="J6968" t="str">
        <f>HYPERLINK("https://climate.onebuilding.org/WMO_Region_6_Europe/ITA_Italy/LG_Liguria/ITA_LG_Settepani.Mtn.161110_TMYx.2007-2021.zip")</f>
        <v>https://climate.onebuilding.org/WMO_Region_6_Europe/ITA_Italy/LG_Liguria/ITA_LG_Settepani.Mtn.161110_TMYx.2007-2021.zip</v>
      </c>
    </row>
    <row r="6969" spans="1:10" x14ac:dyDescent="0.25">
      <c r="A6969" t="s">
        <v>5239</v>
      </c>
      <c r="B6969" t="s">
        <v>5312</v>
      </c>
      <c r="C6969" t="s">
        <v>5313</v>
      </c>
      <c r="D6969">
        <v>161110</v>
      </c>
      <c r="E6969" t="s">
        <v>14</v>
      </c>
      <c r="F6969">
        <v>44.2425</v>
      </c>
      <c r="G6969">
        <v>8.2011000000000003</v>
      </c>
      <c r="H6969">
        <v>1</v>
      </c>
      <c r="I6969">
        <v>1383</v>
      </c>
      <c r="J6969" t="str">
        <f>HYPERLINK("https://climate.onebuilding.org/WMO_Region_6_Europe/ITA_Italy/LG_Liguria/ITA_LG_Settepani.Mtn.161110_TMYx.2009-2023.zip")</f>
        <v>https://climate.onebuilding.org/WMO_Region_6_Europe/ITA_Italy/LG_Liguria/ITA_LG_Settepani.Mtn.161110_TMYx.2009-2023.zip</v>
      </c>
    </row>
    <row r="6970" spans="1:10" x14ac:dyDescent="0.25">
      <c r="A6970" t="s">
        <v>5239</v>
      </c>
      <c r="B6970" t="s">
        <v>5312</v>
      </c>
      <c r="C6970" t="s">
        <v>5313</v>
      </c>
      <c r="D6970">
        <v>161110</v>
      </c>
      <c r="E6970" t="s">
        <v>14</v>
      </c>
      <c r="F6970">
        <v>44.2425</v>
      </c>
      <c r="G6970">
        <v>8.2011000000000003</v>
      </c>
      <c r="H6970">
        <v>1</v>
      </c>
      <c r="I6970">
        <v>1383</v>
      </c>
      <c r="J6970" t="str">
        <f>HYPERLINK("https://climate.onebuilding.org/WMO_Region_6_Europe/ITA_Italy/LG_Liguria/ITA_LG_Settepani.Mtn.161110_TMYx.zip")</f>
        <v>https://climate.onebuilding.org/WMO_Region_6_Europe/ITA_Italy/LG_Liguria/ITA_LG_Settepani.Mtn.161110_TMYx.zip</v>
      </c>
    </row>
    <row r="6971" spans="1:10" x14ac:dyDescent="0.25">
      <c r="A6971" t="s">
        <v>5239</v>
      </c>
      <c r="B6971" t="s">
        <v>1221</v>
      </c>
      <c r="C6971" t="s">
        <v>5314</v>
      </c>
      <c r="D6971">
        <v>161120</v>
      </c>
      <c r="E6971" t="s">
        <v>14</v>
      </c>
      <c r="F6971">
        <v>44.982999999999997</v>
      </c>
      <c r="G6971">
        <v>6.85</v>
      </c>
      <c r="H6971">
        <v>1</v>
      </c>
      <c r="I6971">
        <v>2680</v>
      </c>
      <c r="J6971" t="str">
        <f>HYPERLINK("https://climate.onebuilding.org/WMO_Region_6_Europe/ITA_Italy/PM_Piedmont/ITA_PM_Fraiteve.Mtn.161120_TMYx.zip")</f>
        <v>https://climate.onebuilding.org/WMO_Region_6_Europe/ITA_Italy/PM_Piedmont/ITA_PM_Fraiteve.Mtn.161120_TMYx.zip</v>
      </c>
    </row>
    <row r="6972" spans="1:10" x14ac:dyDescent="0.25">
      <c r="A6972" t="s">
        <v>5239</v>
      </c>
      <c r="B6972" t="s">
        <v>1221</v>
      </c>
      <c r="C6972" t="s">
        <v>5315</v>
      </c>
      <c r="D6972">
        <v>161140</v>
      </c>
      <c r="E6972" t="s">
        <v>5316</v>
      </c>
      <c r="F6972">
        <v>44.390300000000003</v>
      </c>
      <c r="G6972">
        <v>7.8292000000000002</v>
      </c>
      <c r="H6972">
        <v>1</v>
      </c>
      <c r="I6972">
        <v>560</v>
      </c>
      <c r="J6972" t="str">
        <f>HYPERLINK("https://climate.onebuilding.org/WMO_Region_6_Europe/ITA_Italy/PM_Piedmont/ITA_PM_Mondovi.161140_TMYx.2004-2018.zip")</f>
        <v>https://climate.onebuilding.org/WMO_Region_6_Europe/ITA_Italy/PM_Piedmont/ITA_PM_Mondovi.161140_TMYx.2004-2018.zip</v>
      </c>
    </row>
    <row r="6973" spans="1:10" x14ac:dyDescent="0.25">
      <c r="A6973" t="s">
        <v>5239</v>
      </c>
      <c r="B6973" t="s">
        <v>1221</v>
      </c>
      <c r="C6973" t="s">
        <v>5315</v>
      </c>
      <c r="D6973">
        <v>161140</v>
      </c>
      <c r="E6973" t="s">
        <v>14</v>
      </c>
      <c r="F6973">
        <v>44.390300000000003</v>
      </c>
      <c r="G6973">
        <v>7.8292000000000002</v>
      </c>
      <c r="H6973">
        <v>1</v>
      </c>
      <c r="I6973">
        <v>560</v>
      </c>
      <c r="J6973" t="str">
        <f>HYPERLINK("https://climate.onebuilding.org/WMO_Region_6_Europe/ITA_Italy/PM_Piedmont/ITA_PM_Mondovi.161140_TMYx.2007-2021.zip")</f>
        <v>https://climate.onebuilding.org/WMO_Region_6_Europe/ITA_Italy/PM_Piedmont/ITA_PM_Mondovi.161140_TMYx.2007-2021.zip</v>
      </c>
    </row>
    <row r="6974" spans="1:10" x14ac:dyDescent="0.25">
      <c r="A6974" t="s">
        <v>5239</v>
      </c>
      <c r="B6974" t="s">
        <v>1221</v>
      </c>
      <c r="C6974" t="s">
        <v>5315</v>
      </c>
      <c r="D6974">
        <v>161140</v>
      </c>
      <c r="E6974" t="s">
        <v>14</v>
      </c>
      <c r="F6974">
        <v>44.390300000000003</v>
      </c>
      <c r="G6974">
        <v>7.8292000000000002</v>
      </c>
      <c r="H6974">
        <v>1</v>
      </c>
      <c r="I6974">
        <v>560</v>
      </c>
      <c r="J6974" t="str">
        <f>HYPERLINK("https://climate.onebuilding.org/WMO_Region_6_Europe/ITA_Italy/PM_Piedmont/ITA_PM_Mondovi.161140_TMYx.2009-2023.zip")</f>
        <v>https://climate.onebuilding.org/WMO_Region_6_Europe/ITA_Italy/PM_Piedmont/ITA_PM_Mondovi.161140_TMYx.2009-2023.zip</v>
      </c>
    </row>
    <row r="6975" spans="1:10" x14ac:dyDescent="0.25">
      <c r="A6975" t="s">
        <v>5239</v>
      </c>
      <c r="B6975" t="s">
        <v>1221</v>
      </c>
      <c r="C6975" t="s">
        <v>5315</v>
      </c>
      <c r="D6975">
        <v>161140</v>
      </c>
      <c r="E6975" t="s">
        <v>14</v>
      </c>
      <c r="F6975">
        <v>44.390300000000003</v>
      </c>
      <c r="G6975">
        <v>7.8292000000000002</v>
      </c>
      <c r="H6975">
        <v>1</v>
      </c>
      <c r="I6975">
        <v>560</v>
      </c>
      <c r="J6975" t="str">
        <f>HYPERLINK("https://climate.onebuilding.org/WMO_Region_6_Europe/ITA_Italy/PM_Piedmont/ITA_PM_Mondovi.161140_TMYx.zip")</f>
        <v>https://climate.onebuilding.org/WMO_Region_6_Europe/ITA_Italy/PM_Piedmont/ITA_PM_Mondovi.161140_TMYx.zip</v>
      </c>
    </row>
    <row r="6976" spans="1:10" x14ac:dyDescent="0.25">
      <c r="A6976" t="s">
        <v>5239</v>
      </c>
      <c r="B6976" t="s">
        <v>1221</v>
      </c>
      <c r="C6976" t="s">
        <v>5317</v>
      </c>
      <c r="D6976">
        <v>161150</v>
      </c>
      <c r="E6976" t="s">
        <v>5318</v>
      </c>
      <c r="F6976">
        <v>44.178899999999999</v>
      </c>
      <c r="G6976">
        <v>7.5682999999999998</v>
      </c>
      <c r="H6976">
        <v>1</v>
      </c>
      <c r="I6976">
        <v>1234</v>
      </c>
      <c r="J6976" t="str">
        <f>HYPERLINK("https://climate.onebuilding.org/WMO_Region_6_Europe/ITA_Italy/PM_Piedmont/ITA_PM_Limone.Colle.di.Tenda.161150_TMYx.2004-2018.zip")</f>
        <v>https://climate.onebuilding.org/WMO_Region_6_Europe/ITA_Italy/PM_Piedmont/ITA_PM_Limone.Colle.di.Tenda.161150_TMYx.2004-2018.zip</v>
      </c>
    </row>
    <row r="6977" spans="1:10" x14ac:dyDescent="0.25">
      <c r="A6977" t="s">
        <v>5239</v>
      </c>
      <c r="B6977" t="s">
        <v>1221</v>
      </c>
      <c r="C6977" t="s">
        <v>5317</v>
      </c>
      <c r="D6977">
        <v>161150</v>
      </c>
      <c r="E6977" t="s">
        <v>14</v>
      </c>
      <c r="F6977">
        <v>44.178899999999999</v>
      </c>
      <c r="G6977">
        <v>7.5682999999999998</v>
      </c>
      <c r="H6977">
        <v>1</v>
      </c>
      <c r="I6977">
        <v>1234</v>
      </c>
      <c r="J6977" t="str">
        <f>HYPERLINK("https://climate.onebuilding.org/WMO_Region_6_Europe/ITA_Italy/PM_Piedmont/ITA_PM_Limone.Colle.di.Tenda.161150_TMYx.2007-2021.zip")</f>
        <v>https://climate.onebuilding.org/WMO_Region_6_Europe/ITA_Italy/PM_Piedmont/ITA_PM_Limone.Colle.di.Tenda.161150_TMYx.2007-2021.zip</v>
      </c>
    </row>
    <row r="6978" spans="1:10" x14ac:dyDescent="0.25">
      <c r="A6978" t="s">
        <v>5239</v>
      </c>
      <c r="B6978" t="s">
        <v>1221</v>
      </c>
      <c r="C6978" t="s">
        <v>5317</v>
      </c>
      <c r="D6978">
        <v>161150</v>
      </c>
      <c r="E6978" t="s">
        <v>14</v>
      </c>
      <c r="F6978">
        <v>44.178899999999999</v>
      </c>
      <c r="G6978">
        <v>7.5682999999999998</v>
      </c>
      <c r="H6978">
        <v>1</v>
      </c>
      <c r="I6978">
        <v>1234</v>
      </c>
      <c r="J6978" t="str">
        <f>HYPERLINK("https://climate.onebuilding.org/WMO_Region_6_Europe/ITA_Italy/PM_Piedmont/ITA_PM_Limone.Colle.di.Tenda.161150_TMYx.2009-2023.zip")</f>
        <v>https://climate.onebuilding.org/WMO_Region_6_Europe/ITA_Italy/PM_Piedmont/ITA_PM_Limone.Colle.di.Tenda.161150_TMYx.2009-2023.zip</v>
      </c>
    </row>
    <row r="6979" spans="1:10" x14ac:dyDescent="0.25">
      <c r="A6979" t="s">
        <v>5239</v>
      </c>
      <c r="B6979" t="s">
        <v>1221</v>
      </c>
      <c r="C6979" t="s">
        <v>5317</v>
      </c>
      <c r="D6979">
        <v>161150</v>
      </c>
      <c r="E6979" t="s">
        <v>14</v>
      </c>
      <c r="F6979">
        <v>44.178899999999999</v>
      </c>
      <c r="G6979">
        <v>7.5682999999999998</v>
      </c>
      <c r="H6979">
        <v>1</v>
      </c>
      <c r="I6979">
        <v>1234</v>
      </c>
      <c r="J6979" t="str">
        <f>HYPERLINK("https://climate.onebuilding.org/WMO_Region_6_Europe/ITA_Italy/PM_Piedmont/ITA_PM_Limone.Colle.di.Tenda.161150_TMYx.zip")</f>
        <v>https://climate.onebuilding.org/WMO_Region_6_Europe/ITA_Italy/PM_Piedmont/ITA_PM_Limone.Colle.di.Tenda.161150_TMYx.zip</v>
      </c>
    </row>
    <row r="6980" spans="1:10" x14ac:dyDescent="0.25">
      <c r="A6980" t="s">
        <v>5239</v>
      </c>
      <c r="B6980" t="s">
        <v>1221</v>
      </c>
      <c r="C6980" t="s">
        <v>5319</v>
      </c>
      <c r="D6980">
        <v>161160</v>
      </c>
      <c r="E6980" t="s">
        <v>14</v>
      </c>
      <c r="F6980">
        <v>44.8</v>
      </c>
      <c r="G6980">
        <v>8.1</v>
      </c>
      <c r="H6980">
        <v>1</v>
      </c>
      <c r="I6980">
        <v>315</v>
      </c>
      <c r="J6980" t="str">
        <f>HYPERLINK("https://climate.onebuilding.org/WMO_Region_6_Europe/ITA_Italy/PM_Piedmont/ITA_PM_Govone.161160_TMYx.zip")</f>
        <v>https://climate.onebuilding.org/WMO_Region_6_Europe/ITA_Italy/PM_Piedmont/ITA_PM_Govone.161160_TMYx.zip</v>
      </c>
    </row>
    <row r="6981" spans="1:10" x14ac:dyDescent="0.25">
      <c r="A6981" t="s">
        <v>5239</v>
      </c>
      <c r="B6981" t="s">
        <v>1221</v>
      </c>
      <c r="C6981" t="s">
        <v>5320</v>
      </c>
      <c r="D6981">
        <v>161170</v>
      </c>
      <c r="E6981" t="s">
        <v>5321</v>
      </c>
      <c r="F6981">
        <v>44.553100000000001</v>
      </c>
      <c r="G6981">
        <v>7.625</v>
      </c>
      <c r="H6981">
        <v>1</v>
      </c>
      <c r="I6981">
        <v>387</v>
      </c>
      <c r="J6981" t="str">
        <f>HYPERLINK("https://climate.onebuilding.org/WMO_Region_6_Europe/ITA_Italy/PM_Piedmont/ITA_PM_Cuneo-Levaldigi.AP.161170_TMYx.2004-2018.zip")</f>
        <v>https://climate.onebuilding.org/WMO_Region_6_Europe/ITA_Italy/PM_Piedmont/ITA_PM_Cuneo-Levaldigi.AP.161170_TMYx.2004-2018.zip</v>
      </c>
    </row>
    <row r="6982" spans="1:10" x14ac:dyDescent="0.25">
      <c r="A6982" t="s">
        <v>5239</v>
      </c>
      <c r="B6982" t="s">
        <v>1221</v>
      </c>
      <c r="C6982" t="s">
        <v>5320</v>
      </c>
      <c r="D6982">
        <v>161170</v>
      </c>
      <c r="E6982" t="s">
        <v>14</v>
      </c>
      <c r="F6982">
        <v>44.553100000000001</v>
      </c>
      <c r="G6982">
        <v>7.625</v>
      </c>
      <c r="H6982">
        <v>1</v>
      </c>
      <c r="I6982">
        <v>387</v>
      </c>
      <c r="J6982" t="str">
        <f>HYPERLINK("https://climate.onebuilding.org/WMO_Region_6_Europe/ITA_Italy/PM_Piedmont/ITA_PM_Cuneo-Levaldigi.AP.161170_TMYx.2007-2021.zip")</f>
        <v>https://climate.onebuilding.org/WMO_Region_6_Europe/ITA_Italy/PM_Piedmont/ITA_PM_Cuneo-Levaldigi.AP.161170_TMYx.2007-2021.zip</v>
      </c>
    </row>
    <row r="6983" spans="1:10" x14ac:dyDescent="0.25">
      <c r="A6983" t="s">
        <v>5239</v>
      </c>
      <c r="B6983" t="s">
        <v>1221</v>
      </c>
      <c r="C6983" t="s">
        <v>5320</v>
      </c>
      <c r="D6983">
        <v>161170</v>
      </c>
      <c r="E6983" t="s">
        <v>14</v>
      </c>
      <c r="F6983">
        <v>44.553100000000001</v>
      </c>
      <c r="G6983">
        <v>7.625</v>
      </c>
      <c r="H6983">
        <v>1</v>
      </c>
      <c r="I6983">
        <v>387</v>
      </c>
      <c r="J6983" t="str">
        <f>HYPERLINK("https://climate.onebuilding.org/WMO_Region_6_Europe/ITA_Italy/PM_Piedmont/ITA_PM_Cuneo-Levaldigi.AP.161170_TMYx.2009-2023.zip")</f>
        <v>https://climate.onebuilding.org/WMO_Region_6_Europe/ITA_Italy/PM_Piedmont/ITA_PM_Cuneo-Levaldigi.AP.161170_TMYx.2009-2023.zip</v>
      </c>
    </row>
    <row r="6984" spans="1:10" x14ac:dyDescent="0.25">
      <c r="A6984" t="s">
        <v>5239</v>
      </c>
      <c r="B6984" t="s">
        <v>1221</v>
      </c>
      <c r="C6984" t="s">
        <v>5320</v>
      </c>
      <c r="D6984">
        <v>161170</v>
      </c>
      <c r="E6984" t="s">
        <v>14</v>
      </c>
      <c r="F6984">
        <v>44.553100000000001</v>
      </c>
      <c r="G6984">
        <v>7.625</v>
      </c>
      <c r="H6984">
        <v>1</v>
      </c>
      <c r="I6984">
        <v>387</v>
      </c>
      <c r="J6984" t="str">
        <f>HYPERLINK("https://climate.onebuilding.org/WMO_Region_6_Europe/ITA_Italy/PM_Piedmont/ITA_PM_Cuneo-Levaldigi.AP.161170_TMYx.zip")</f>
        <v>https://climate.onebuilding.org/WMO_Region_6_Europe/ITA_Italy/PM_Piedmont/ITA_PM_Cuneo-Levaldigi.AP.161170_TMYx.zip</v>
      </c>
    </row>
    <row r="6985" spans="1:10" x14ac:dyDescent="0.25">
      <c r="A6985" t="s">
        <v>5239</v>
      </c>
      <c r="B6985" t="s">
        <v>1221</v>
      </c>
      <c r="C6985" t="s">
        <v>5322</v>
      </c>
      <c r="D6985">
        <v>161180</v>
      </c>
      <c r="E6985" t="s">
        <v>14</v>
      </c>
      <c r="F6985">
        <v>44.767000000000003</v>
      </c>
      <c r="G6985">
        <v>8.7829999999999995</v>
      </c>
      <c r="H6985">
        <v>1</v>
      </c>
      <c r="I6985">
        <v>187</v>
      </c>
      <c r="J6985" t="str">
        <f>HYPERLINK("https://climate.onebuilding.org/WMO_Region_6_Europe/ITA_Italy/PM_Piedmont/ITA_PM_Novi.Ligure.161180_TMYx.zip")</f>
        <v>https://climate.onebuilding.org/WMO_Region_6_Europe/ITA_Italy/PM_Piedmont/ITA_PM_Novi.Ligure.161180_TMYx.zip</v>
      </c>
    </row>
    <row r="6986" spans="1:10" x14ac:dyDescent="0.25">
      <c r="A6986" t="s">
        <v>5239</v>
      </c>
      <c r="B6986" t="s">
        <v>5312</v>
      </c>
      <c r="C6986" t="s">
        <v>5323</v>
      </c>
      <c r="D6986">
        <v>161190</v>
      </c>
      <c r="E6986" t="s">
        <v>5324</v>
      </c>
      <c r="F6986">
        <v>44.552199999999999</v>
      </c>
      <c r="G6986">
        <v>8.9375</v>
      </c>
      <c r="H6986">
        <v>1</v>
      </c>
      <c r="I6986">
        <v>488</v>
      </c>
      <c r="J6986" t="str">
        <f>HYPERLINK("https://climate.onebuilding.org/WMO_Region_6_Europe/ITA_Italy/LG_Liguria/ITA_LG_Giovi.Pass.161190_TMYx.2004-2018.zip")</f>
        <v>https://climate.onebuilding.org/WMO_Region_6_Europe/ITA_Italy/LG_Liguria/ITA_LG_Giovi.Pass.161190_TMYx.2004-2018.zip</v>
      </c>
    </row>
    <row r="6987" spans="1:10" x14ac:dyDescent="0.25">
      <c r="A6987" t="s">
        <v>5239</v>
      </c>
      <c r="B6987" t="s">
        <v>5312</v>
      </c>
      <c r="C6987" t="s">
        <v>5323</v>
      </c>
      <c r="D6987">
        <v>161190</v>
      </c>
      <c r="E6987" t="s">
        <v>14</v>
      </c>
      <c r="F6987">
        <v>44.552199999999999</v>
      </c>
      <c r="G6987">
        <v>8.9375</v>
      </c>
      <c r="H6987">
        <v>1</v>
      </c>
      <c r="I6987">
        <v>488</v>
      </c>
      <c r="J6987" t="str">
        <f>HYPERLINK("https://climate.onebuilding.org/WMO_Region_6_Europe/ITA_Italy/LG_Liguria/ITA_LG_Giovi.Pass.161190_TMYx.2007-2021.zip")</f>
        <v>https://climate.onebuilding.org/WMO_Region_6_Europe/ITA_Italy/LG_Liguria/ITA_LG_Giovi.Pass.161190_TMYx.2007-2021.zip</v>
      </c>
    </row>
    <row r="6988" spans="1:10" x14ac:dyDescent="0.25">
      <c r="A6988" t="s">
        <v>5239</v>
      </c>
      <c r="B6988" t="s">
        <v>5312</v>
      </c>
      <c r="C6988" t="s">
        <v>5323</v>
      </c>
      <c r="D6988">
        <v>161190</v>
      </c>
      <c r="E6988" t="s">
        <v>14</v>
      </c>
      <c r="F6988">
        <v>44.552199999999999</v>
      </c>
      <c r="G6988">
        <v>8.9375</v>
      </c>
      <c r="H6988">
        <v>1</v>
      </c>
      <c r="I6988">
        <v>488</v>
      </c>
      <c r="J6988" t="str">
        <f>HYPERLINK("https://climate.onebuilding.org/WMO_Region_6_Europe/ITA_Italy/LG_Liguria/ITA_LG_Giovi.Pass.161190_TMYx.2009-2023.zip")</f>
        <v>https://climate.onebuilding.org/WMO_Region_6_Europe/ITA_Italy/LG_Liguria/ITA_LG_Giovi.Pass.161190_TMYx.2009-2023.zip</v>
      </c>
    </row>
    <row r="6989" spans="1:10" x14ac:dyDescent="0.25">
      <c r="A6989" t="s">
        <v>5239</v>
      </c>
      <c r="B6989" t="s">
        <v>5312</v>
      </c>
      <c r="C6989" t="s">
        <v>5323</v>
      </c>
      <c r="D6989">
        <v>161190</v>
      </c>
      <c r="E6989" t="s">
        <v>14</v>
      </c>
      <c r="F6989">
        <v>44.552199999999999</v>
      </c>
      <c r="G6989">
        <v>8.9375</v>
      </c>
      <c r="H6989">
        <v>1</v>
      </c>
      <c r="I6989">
        <v>488</v>
      </c>
      <c r="J6989" t="str">
        <f>HYPERLINK("https://climate.onebuilding.org/WMO_Region_6_Europe/ITA_Italy/LG_Liguria/ITA_LG_Giovi.Pass.161190_TMYx.zip")</f>
        <v>https://climate.onebuilding.org/WMO_Region_6_Europe/ITA_Italy/LG_Liguria/ITA_LG_Giovi.Pass.161190_TMYx.zip</v>
      </c>
    </row>
    <row r="6990" spans="1:10" x14ac:dyDescent="0.25">
      <c r="A6990" t="s">
        <v>5239</v>
      </c>
      <c r="B6990" t="s">
        <v>5312</v>
      </c>
      <c r="C6990" t="s">
        <v>5325</v>
      </c>
      <c r="D6990">
        <v>161200</v>
      </c>
      <c r="E6990" t="s">
        <v>5326</v>
      </c>
      <c r="F6990">
        <v>44.4133</v>
      </c>
      <c r="G6990">
        <v>8.8375000000000004</v>
      </c>
      <c r="H6990">
        <v>1</v>
      </c>
      <c r="I6990">
        <v>3</v>
      </c>
      <c r="J6990" t="str">
        <f>HYPERLINK("https://climate.onebuilding.org/WMO_Region_6_Europe/ITA_Italy/LG_Liguria/ITA_LG_Genoa.Colombo.AP.161200_TMYx.2004-2018.zip")</f>
        <v>https://climate.onebuilding.org/WMO_Region_6_Europe/ITA_Italy/LG_Liguria/ITA_LG_Genoa.Colombo.AP.161200_TMYx.2004-2018.zip</v>
      </c>
    </row>
    <row r="6991" spans="1:10" x14ac:dyDescent="0.25">
      <c r="A6991" t="s">
        <v>5239</v>
      </c>
      <c r="B6991" t="s">
        <v>5312</v>
      </c>
      <c r="C6991" t="s">
        <v>5325</v>
      </c>
      <c r="D6991">
        <v>161200</v>
      </c>
      <c r="E6991" t="s">
        <v>14</v>
      </c>
      <c r="F6991">
        <v>44.4133</v>
      </c>
      <c r="G6991">
        <v>8.8375000000000004</v>
      </c>
      <c r="H6991">
        <v>1</v>
      </c>
      <c r="I6991">
        <v>3</v>
      </c>
      <c r="J6991" t="str">
        <f>HYPERLINK("https://climate.onebuilding.org/WMO_Region_6_Europe/ITA_Italy/LG_Liguria/ITA_LG_Genoa.Colombo.AP.161200_TMYx.2007-2021.zip")</f>
        <v>https://climate.onebuilding.org/WMO_Region_6_Europe/ITA_Italy/LG_Liguria/ITA_LG_Genoa.Colombo.AP.161200_TMYx.2007-2021.zip</v>
      </c>
    </row>
    <row r="6992" spans="1:10" x14ac:dyDescent="0.25">
      <c r="A6992" t="s">
        <v>5239</v>
      </c>
      <c r="B6992" t="s">
        <v>5312</v>
      </c>
      <c r="C6992" t="s">
        <v>5325</v>
      </c>
      <c r="D6992">
        <v>161200</v>
      </c>
      <c r="E6992" t="s">
        <v>14</v>
      </c>
      <c r="F6992">
        <v>44.4133</v>
      </c>
      <c r="G6992">
        <v>8.8375000000000004</v>
      </c>
      <c r="H6992">
        <v>1</v>
      </c>
      <c r="I6992">
        <v>3</v>
      </c>
      <c r="J6992" t="str">
        <f>HYPERLINK("https://climate.onebuilding.org/WMO_Region_6_Europe/ITA_Italy/LG_Liguria/ITA_LG_Genoa.Colombo.AP.161200_TMYx.2009-2023.zip")</f>
        <v>https://climate.onebuilding.org/WMO_Region_6_Europe/ITA_Italy/LG_Liguria/ITA_LG_Genoa.Colombo.AP.161200_TMYx.2009-2023.zip</v>
      </c>
    </row>
    <row r="6993" spans="1:10" x14ac:dyDescent="0.25">
      <c r="A6993" t="s">
        <v>5239</v>
      </c>
      <c r="B6993" t="s">
        <v>5312</v>
      </c>
      <c r="C6993" t="s">
        <v>5325</v>
      </c>
      <c r="D6993">
        <v>161200</v>
      </c>
      <c r="E6993" t="s">
        <v>14</v>
      </c>
      <c r="F6993">
        <v>44.4133</v>
      </c>
      <c r="G6993">
        <v>8.8375000000000004</v>
      </c>
      <c r="H6993">
        <v>1</v>
      </c>
      <c r="I6993">
        <v>3</v>
      </c>
      <c r="J6993" t="str">
        <f>HYPERLINK("https://climate.onebuilding.org/WMO_Region_6_Europe/ITA_Italy/LG_Liguria/ITA_LG_Genoa.Colombo.AP.161200_TMYx.zip")</f>
        <v>https://climate.onebuilding.org/WMO_Region_6_Europe/ITA_Italy/LG_Liguria/ITA_LG_Genoa.Colombo.AP.161200_TMYx.zip</v>
      </c>
    </row>
    <row r="6994" spans="1:10" x14ac:dyDescent="0.25">
      <c r="A6994" t="s">
        <v>5239</v>
      </c>
      <c r="B6994" t="s">
        <v>5312</v>
      </c>
      <c r="C6994" t="s">
        <v>5327</v>
      </c>
      <c r="D6994">
        <v>161210</v>
      </c>
      <c r="E6994" t="s">
        <v>14</v>
      </c>
      <c r="F6994">
        <v>44.419400000000003</v>
      </c>
      <c r="G6994">
        <v>8.9210999999999991</v>
      </c>
      <c r="H6994">
        <v>1</v>
      </c>
      <c r="I6994">
        <v>46</v>
      </c>
      <c r="J6994" t="str">
        <f>HYPERLINK("https://climate.onebuilding.org/WMO_Region_6_Europe/ITA_Italy/LG_Liguria/ITA_LG_Genoa.161210_TMYx.2007-2021.zip")</f>
        <v>https://climate.onebuilding.org/WMO_Region_6_Europe/ITA_Italy/LG_Liguria/ITA_LG_Genoa.161210_TMYx.2007-2021.zip</v>
      </c>
    </row>
    <row r="6995" spans="1:10" x14ac:dyDescent="0.25">
      <c r="A6995" t="s">
        <v>5239</v>
      </c>
      <c r="B6995" t="s">
        <v>5312</v>
      </c>
      <c r="C6995" t="s">
        <v>5327</v>
      </c>
      <c r="D6995">
        <v>161210</v>
      </c>
      <c r="E6995" t="s">
        <v>14</v>
      </c>
      <c r="F6995">
        <v>44.419400000000003</v>
      </c>
      <c r="G6995">
        <v>8.9210999999999991</v>
      </c>
      <c r="H6995">
        <v>1</v>
      </c>
      <c r="I6995">
        <v>46</v>
      </c>
      <c r="J6995" t="str">
        <f>HYPERLINK("https://climate.onebuilding.org/WMO_Region_6_Europe/ITA_Italy/LG_Liguria/ITA_LG_Genoa.161210_TMYx.zip")</f>
        <v>https://climate.onebuilding.org/WMO_Region_6_Europe/ITA_Italy/LG_Liguria/ITA_LG_Genoa.161210_TMYx.zip</v>
      </c>
    </row>
    <row r="6996" spans="1:10" x14ac:dyDescent="0.25">
      <c r="A6996" t="s">
        <v>5239</v>
      </c>
      <c r="B6996" t="s">
        <v>5312</v>
      </c>
      <c r="C6996" t="s">
        <v>5328</v>
      </c>
      <c r="D6996">
        <v>161220</v>
      </c>
      <c r="E6996" t="s">
        <v>5329</v>
      </c>
      <c r="F6996">
        <v>44.0458</v>
      </c>
      <c r="G6996">
        <v>8.1256000000000004</v>
      </c>
      <c r="H6996">
        <v>1</v>
      </c>
      <c r="I6996">
        <v>49</v>
      </c>
      <c r="J6996" t="str">
        <f>HYPERLINK("https://climate.onebuilding.org/WMO_Region_6_Europe/ITA_Italy/LG_Liguria/ITA_LG_Albenga-Riviera.AP.161220_TMYx.2004-2018.zip")</f>
        <v>https://climate.onebuilding.org/WMO_Region_6_Europe/ITA_Italy/LG_Liguria/ITA_LG_Albenga-Riviera.AP.161220_TMYx.2004-2018.zip</v>
      </c>
    </row>
    <row r="6997" spans="1:10" x14ac:dyDescent="0.25">
      <c r="A6997" t="s">
        <v>5239</v>
      </c>
      <c r="B6997" t="s">
        <v>5312</v>
      </c>
      <c r="C6997" t="s">
        <v>5328</v>
      </c>
      <c r="D6997">
        <v>161220</v>
      </c>
      <c r="E6997" t="s">
        <v>14</v>
      </c>
      <c r="F6997">
        <v>44.0458</v>
      </c>
      <c r="G6997">
        <v>8.1256000000000004</v>
      </c>
      <c r="H6997">
        <v>1</v>
      </c>
      <c r="I6997">
        <v>49</v>
      </c>
      <c r="J6997" t="str">
        <f>HYPERLINK("https://climate.onebuilding.org/WMO_Region_6_Europe/ITA_Italy/LG_Liguria/ITA_LG_Albenga-Riviera.AP.161220_TMYx.2007-2021.zip")</f>
        <v>https://climate.onebuilding.org/WMO_Region_6_Europe/ITA_Italy/LG_Liguria/ITA_LG_Albenga-Riviera.AP.161220_TMYx.2007-2021.zip</v>
      </c>
    </row>
    <row r="6998" spans="1:10" x14ac:dyDescent="0.25">
      <c r="A6998" t="s">
        <v>5239</v>
      </c>
      <c r="B6998" t="s">
        <v>5312</v>
      </c>
      <c r="C6998" t="s">
        <v>5328</v>
      </c>
      <c r="D6998">
        <v>161220</v>
      </c>
      <c r="E6998" t="s">
        <v>14</v>
      </c>
      <c r="F6998">
        <v>44.0458</v>
      </c>
      <c r="G6998">
        <v>8.1256000000000004</v>
      </c>
      <c r="H6998">
        <v>1</v>
      </c>
      <c r="I6998">
        <v>49</v>
      </c>
      <c r="J6998" t="str">
        <f>HYPERLINK("https://climate.onebuilding.org/WMO_Region_6_Europe/ITA_Italy/LG_Liguria/ITA_LG_Albenga-Riviera.AP.161220_TMYx.2009-2023.zip")</f>
        <v>https://climate.onebuilding.org/WMO_Region_6_Europe/ITA_Italy/LG_Liguria/ITA_LG_Albenga-Riviera.AP.161220_TMYx.2009-2023.zip</v>
      </c>
    </row>
    <row r="6999" spans="1:10" x14ac:dyDescent="0.25">
      <c r="A6999" t="s">
        <v>5239</v>
      </c>
      <c r="B6999" t="s">
        <v>5312</v>
      </c>
      <c r="C6999" t="s">
        <v>5328</v>
      </c>
      <c r="D6999">
        <v>161220</v>
      </c>
      <c r="E6999" t="s">
        <v>14</v>
      </c>
      <c r="F6999">
        <v>44.0458</v>
      </c>
      <c r="G6999">
        <v>8.1256000000000004</v>
      </c>
      <c r="H6999">
        <v>1</v>
      </c>
      <c r="I6999">
        <v>49</v>
      </c>
      <c r="J6999" t="str">
        <f>HYPERLINK("https://climate.onebuilding.org/WMO_Region_6_Europe/ITA_Italy/LG_Liguria/ITA_LG_Albenga-Riviera.AP.161220_TMYx.zip")</f>
        <v>https://climate.onebuilding.org/WMO_Region_6_Europe/ITA_Italy/LG_Liguria/ITA_LG_Albenga-Riviera.AP.161220_TMYx.zip</v>
      </c>
    </row>
    <row r="7000" spans="1:10" x14ac:dyDescent="0.25">
      <c r="A7000" t="s">
        <v>5239</v>
      </c>
      <c r="B7000" t="s">
        <v>5312</v>
      </c>
      <c r="C7000" t="s">
        <v>5330</v>
      </c>
      <c r="D7000">
        <v>161230</v>
      </c>
      <c r="E7000" t="s">
        <v>14</v>
      </c>
      <c r="F7000">
        <v>44.326099999999997</v>
      </c>
      <c r="G7000">
        <v>9.3472000000000008</v>
      </c>
      <c r="H7000">
        <v>1</v>
      </c>
      <c r="I7000">
        <v>31</v>
      </c>
      <c r="J7000" t="str">
        <f>HYPERLINK("https://climate.onebuilding.org/WMO_Region_6_Europe/ITA_Italy/LG_Liguria/ITA_LG_Chiavari.161230_TMYx.2007-2021.zip")</f>
        <v>https://climate.onebuilding.org/WMO_Region_6_Europe/ITA_Italy/LG_Liguria/ITA_LG_Chiavari.161230_TMYx.2007-2021.zip</v>
      </c>
    </row>
    <row r="7001" spans="1:10" x14ac:dyDescent="0.25">
      <c r="A7001" t="s">
        <v>5239</v>
      </c>
      <c r="B7001" t="s">
        <v>5312</v>
      </c>
      <c r="C7001" t="s">
        <v>5330</v>
      </c>
      <c r="D7001">
        <v>161230</v>
      </c>
      <c r="E7001" t="s">
        <v>14</v>
      </c>
      <c r="F7001">
        <v>44.326099999999997</v>
      </c>
      <c r="G7001">
        <v>9.3472000000000008</v>
      </c>
      <c r="H7001">
        <v>1</v>
      </c>
      <c r="I7001">
        <v>31</v>
      </c>
      <c r="J7001" t="str">
        <f>HYPERLINK("https://climate.onebuilding.org/WMO_Region_6_Europe/ITA_Italy/LG_Liguria/ITA_LG_Chiavari.161230_TMYx.2009-2023.zip")</f>
        <v>https://climate.onebuilding.org/WMO_Region_6_Europe/ITA_Italy/LG_Liguria/ITA_LG_Chiavari.161230_TMYx.2009-2023.zip</v>
      </c>
    </row>
    <row r="7002" spans="1:10" x14ac:dyDescent="0.25">
      <c r="A7002" t="s">
        <v>5239</v>
      </c>
      <c r="B7002" t="s">
        <v>5312</v>
      </c>
      <c r="C7002" t="s">
        <v>5330</v>
      </c>
      <c r="D7002">
        <v>161230</v>
      </c>
      <c r="E7002" t="s">
        <v>14</v>
      </c>
      <c r="F7002">
        <v>44.326099999999997</v>
      </c>
      <c r="G7002">
        <v>9.3472000000000008</v>
      </c>
      <c r="H7002">
        <v>1</v>
      </c>
      <c r="I7002">
        <v>31</v>
      </c>
      <c r="J7002" t="str">
        <f>HYPERLINK("https://climate.onebuilding.org/WMO_Region_6_Europe/ITA_Italy/LG_Liguria/ITA_LG_Chiavari.161230_TMYx.zip")</f>
        <v>https://climate.onebuilding.org/WMO_Region_6_Europe/ITA_Italy/LG_Liguria/ITA_LG_Chiavari.161230_TMYx.zip</v>
      </c>
    </row>
    <row r="7003" spans="1:10" x14ac:dyDescent="0.25">
      <c r="A7003" t="s">
        <v>5239</v>
      </c>
      <c r="B7003" t="s">
        <v>5287</v>
      </c>
      <c r="C7003" t="s">
        <v>5331</v>
      </c>
      <c r="D7003">
        <v>161240</v>
      </c>
      <c r="E7003" t="s">
        <v>5332</v>
      </c>
      <c r="F7003">
        <v>44.472000000000001</v>
      </c>
      <c r="G7003">
        <v>9.9285999999999994</v>
      </c>
      <c r="H7003">
        <v>1</v>
      </c>
      <c r="I7003">
        <v>1040</v>
      </c>
      <c r="J7003" t="str">
        <f>HYPERLINK("https://climate.onebuilding.org/WMO_Region_6_Europe/ITA_Italy/ER_Emilia-Romagna/ITA_ER_Cisa.Pass.161240_TMYx.2004-2018.zip")</f>
        <v>https://climate.onebuilding.org/WMO_Region_6_Europe/ITA_Italy/ER_Emilia-Romagna/ITA_ER_Cisa.Pass.161240_TMYx.2004-2018.zip</v>
      </c>
    </row>
    <row r="7004" spans="1:10" x14ac:dyDescent="0.25">
      <c r="A7004" t="s">
        <v>5239</v>
      </c>
      <c r="B7004" t="s">
        <v>5287</v>
      </c>
      <c r="C7004" t="s">
        <v>5331</v>
      </c>
      <c r="D7004">
        <v>161240</v>
      </c>
      <c r="E7004" t="s">
        <v>14</v>
      </c>
      <c r="F7004">
        <v>44.472000000000001</v>
      </c>
      <c r="G7004">
        <v>9.9285999999999994</v>
      </c>
      <c r="H7004">
        <v>1</v>
      </c>
      <c r="I7004">
        <v>1040</v>
      </c>
      <c r="J7004" t="str">
        <f>HYPERLINK("https://climate.onebuilding.org/WMO_Region_6_Europe/ITA_Italy/ER_Emilia-Romagna/ITA_ER_Cisa.Pass.161240_TMYx.2007-2021.zip")</f>
        <v>https://climate.onebuilding.org/WMO_Region_6_Europe/ITA_Italy/ER_Emilia-Romagna/ITA_ER_Cisa.Pass.161240_TMYx.2007-2021.zip</v>
      </c>
    </row>
    <row r="7005" spans="1:10" x14ac:dyDescent="0.25">
      <c r="A7005" t="s">
        <v>5239</v>
      </c>
      <c r="B7005" t="s">
        <v>5287</v>
      </c>
      <c r="C7005" t="s">
        <v>5331</v>
      </c>
      <c r="D7005">
        <v>161240</v>
      </c>
      <c r="E7005" t="s">
        <v>14</v>
      </c>
      <c r="F7005">
        <v>44.472000000000001</v>
      </c>
      <c r="G7005">
        <v>9.9285999999999994</v>
      </c>
      <c r="H7005">
        <v>1</v>
      </c>
      <c r="I7005">
        <v>1040</v>
      </c>
      <c r="J7005" t="str">
        <f>HYPERLINK("https://climate.onebuilding.org/WMO_Region_6_Europe/ITA_Italy/ER_Emilia-Romagna/ITA_ER_Cisa.Pass.161240_TMYx.2009-2023.zip")</f>
        <v>https://climate.onebuilding.org/WMO_Region_6_Europe/ITA_Italy/ER_Emilia-Romagna/ITA_ER_Cisa.Pass.161240_TMYx.2009-2023.zip</v>
      </c>
    </row>
    <row r="7006" spans="1:10" x14ac:dyDescent="0.25">
      <c r="A7006" t="s">
        <v>5239</v>
      </c>
      <c r="B7006" t="s">
        <v>5287</v>
      </c>
      <c r="C7006" t="s">
        <v>5331</v>
      </c>
      <c r="D7006">
        <v>161240</v>
      </c>
      <c r="E7006" t="s">
        <v>14</v>
      </c>
      <c r="F7006">
        <v>44.472000000000001</v>
      </c>
      <c r="G7006">
        <v>9.9285999999999994</v>
      </c>
      <c r="H7006">
        <v>1</v>
      </c>
      <c r="I7006">
        <v>1040</v>
      </c>
      <c r="J7006" t="str">
        <f>HYPERLINK("https://climate.onebuilding.org/WMO_Region_6_Europe/ITA_Italy/ER_Emilia-Romagna/ITA_ER_Cisa.Pass.161240_TMYx.zip")</f>
        <v>https://climate.onebuilding.org/WMO_Region_6_Europe/ITA_Italy/ER_Emilia-Romagna/ITA_ER_Cisa.Pass.161240_TMYx.zip</v>
      </c>
    </row>
    <row r="7007" spans="1:10" x14ac:dyDescent="0.25">
      <c r="A7007" t="s">
        <v>5239</v>
      </c>
      <c r="B7007" t="s">
        <v>5312</v>
      </c>
      <c r="C7007" t="s">
        <v>5333</v>
      </c>
      <c r="D7007">
        <v>161250</v>
      </c>
      <c r="E7007" t="s">
        <v>14</v>
      </c>
      <c r="F7007">
        <v>44.087200000000003</v>
      </c>
      <c r="G7007">
        <v>9.9849999999999994</v>
      </c>
      <c r="H7007">
        <v>1</v>
      </c>
      <c r="I7007">
        <v>10</v>
      </c>
      <c r="J7007" t="str">
        <f>HYPERLINK("https://climate.onebuilding.org/WMO_Region_6_Europe/ITA_Italy/LG_Liguria/ITA_LG_Sarzana-Luni.AB.161250_TMYx.2007-2021.zip")</f>
        <v>https://climate.onebuilding.org/WMO_Region_6_Europe/ITA_Italy/LG_Liguria/ITA_LG_Sarzana-Luni.AB.161250_TMYx.2007-2021.zip</v>
      </c>
    </row>
    <row r="7008" spans="1:10" x14ac:dyDescent="0.25">
      <c r="A7008" t="s">
        <v>5239</v>
      </c>
      <c r="B7008" t="s">
        <v>5312</v>
      </c>
      <c r="C7008" t="s">
        <v>5333</v>
      </c>
      <c r="D7008">
        <v>161250</v>
      </c>
      <c r="E7008" t="s">
        <v>14</v>
      </c>
      <c r="F7008">
        <v>44.087200000000003</v>
      </c>
      <c r="G7008">
        <v>9.9849999999999994</v>
      </c>
      <c r="H7008">
        <v>1</v>
      </c>
      <c r="I7008">
        <v>10</v>
      </c>
      <c r="J7008" t="str">
        <f>HYPERLINK("https://climate.onebuilding.org/WMO_Region_6_Europe/ITA_Italy/LG_Liguria/ITA_LG_Sarzana-Luni.AB.161250_TMYx.2009-2023.zip")</f>
        <v>https://climate.onebuilding.org/WMO_Region_6_Europe/ITA_Italy/LG_Liguria/ITA_LG_Sarzana-Luni.AB.161250_TMYx.2009-2023.zip</v>
      </c>
    </row>
    <row r="7009" spans="1:10" x14ac:dyDescent="0.25">
      <c r="A7009" t="s">
        <v>5239</v>
      </c>
      <c r="B7009" t="s">
        <v>5312</v>
      </c>
      <c r="C7009" t="s">
        <v>5333</v>
      </c>
      <c r="D7009">
        <v>161250</v>
      </c>
      <c r="E7009" t="s">
        <v>14</v>
      </c>
      <c r="F7009">
        <v>44.087200000000003</v>
      </c>
      <c r="G7009">
        <v>9.9849999999999994</v>
      </c>
      <c r="H7009">
        <v>1</v>
      </c>
      <c r="I7009">
        <v>10</v>
      </c>
      <c r="J7009" t="str">
        <f>HYPERLINK("https://climate.onebuilding.org/WMO_Region_6_Europe/ITA_Italy/LG_Liguria/ITA_LG_Sarzana-Luni.AB.161250_TMYx.zip")</f>
        <v>https://climate.onebuilding.org/WMO_Region_6_Europe/ITA_Italy/LG_Liguria/ITA_LG_Sarzana-Luni.AB.161250_TMYx.zip</v>
      </c>
    </row>
    <row r="7010" spans="1:10" x14ac:dyDescent="0.25">
      <c r="A7010" t="s">
        <v>5239</v>
      </c>
      <c r="B7010" t="s">
        <v>5312</v>
      </c>
      <c r="C7010" t="s">
        <v>5334</v>
      </c>
      <c r="D7010">
        <v>161270</v>
      </c>
      <c r="E7010" t="s">
        <v>14</v>
      </c>
      <c r="F7010">
        <v>44.082999999999998</v>
      </c>
      <c r="G7010">
        <v>9.9830000000000005</v>
      </c>
      <c r="H7010">
        <v>1</v>
      </c>
      <c r="I7010">
        <v>9</v>
      </c>
      <c r="J7010" t="str">
        <f>HYPERLINK("https://climate.onebuilding.org/WMO_Region_6_Europe/ITA_Italy/LG_Liguria/ITA_LG_Sarzana.Luni.AP.161270_TMYx.zip")</f>
        <v>https://climate.onebuilding.org/WMO_Region_6_Europe/ITA_Italy/LG_Liguria/ITA_LG_Sarzana.Luni.AP.161270_TMYx.zip</v>
      </c>
    </row>
    <row r="7011" spans="1:10" x14ac:dyDescent="0.25">
      <c r="A7011" t="s">
        <v>5239</v>
      </c>
      <c r="B7011" t="s">
        <v>5287</v>
      </c>
      <c r="C7011" t="s">
        <v>5335</v>
      </c>
      <c r="D7011">
        <v>161280</v>
      </c>
      <c r="E7011" t="s">
        <v>14</v>
      </c>
      <c r="F7011">
        <v>44.65</v>
      </c>
      <c r="G7011">
        <v>10.95</v>
      </c>
      <c r="H7011">
        <v>1</v>
      </c>
      <c r="I7011">
        <v>33</v>
      </c>
      <c r="J7011" t="str">
        <f>HYPERLINK("https://climate.onebuilding.org/WMO_Region_6_Europe/ITA_Italy/ER_Emilia-Romagna/ITA_ER_Modena.161280_TMYx.zip")</f>
        <v>https://climate.onebuilding.org/WMO_Region_6_Europe/ITA_Italy/ER_Emilia-Romagna/ITA_ER_Modena.161280_TMYx.zip</v>
      </c>
    </row>
    <row r="7012" spans="1:10" x14ac:dyDescent="0.25">
      <c r="A7012" t="s">
        <v>5239</v>
      </c>
      <c r="B7012" t="s">
        <v>5312</v>
      </c>
      <c r="C7012" t="s">
        <v>5336</v>
      </c>
      <c r="D7012">
        <v>161290</v>
      </c>
      <c r="E7012" t="s">
        <v>14</v>
      </c>
      <c r="F7012">
        <v>44.066899999999997</v>
      </c>
      <c r="G7012">
        <v>9.8163999999999998</v>
      </c>
      <c r="H7012">
        <v>1</v>
      </c>
      <c r="I7012">
        <v>410</v>
      </c>
      <c r="J7012" t="str">
        <f>HYPERLINK("https://climate.onebuilding.org/WMO_Region_6_Europe/ITA_Italy/LG_Liguria/ITA_LG_La.Spezia-La.Castellana-Palmaria.Island.161290_TMYx.2007-2021.zip")</f>
        <v>https://climate.onebuilding.org/WMO_Region_6_Europe/ITA_Italy/LG_Liguria/ITA_LG_La.Spezia-La.Castellana-Palmaria.Island.161290_TMYx.2007-2021.zip</v>
      </c>
    </row>
    <row r="7013" spans="1:10" x14ac:dyDescent="0.25">
      <c r="A7013" t="s">
        <v>5239</v>
      </c>
      <c r="B7013" t="s">
        <v>5312</v>
      </c>
      <c r="C7013" t="s">
        <v>5336</v>
      </c>
      <c r="D7013">
        <v>161290</v>
      </c>
      <c r="E7013" t="s">
        <v>14</v>
      </c>
      <c r="F7013">
        <v>44.066899999999997</v>
      </c>
      <c r="G7013">
        <v>9.8163999999999998</v>
      </c>
      <c r="H7013">
        <v>1</v>
      </c>
      <c r="I7013">
        <v>410</v>
      </c>
      <c r="J7013" t="str">
        <f>HYPERLINK("https://climate.onebuilding.org/WMO_Region_6_Europe/ITA_Italy/LG_Liguria/ITA_LG_La.Spezia-La.Castellana-Palmaria.Island.161290_TMYx.2009-2023.zip")</f>
        <v>https://climate.onebuilding.org/WMO_Region_6_Europe/ITA_Italy/LG_Liguria/ITA_LG_La.Spezia-La.Castellana-Palmaria.Island.161290_TMYx.2009-2023.zip</v>
      </c>
    </row>
    <row r="7014" spans="1:10" x14ac:dyDescent="0.25">
      <c r="A7014" t="s">
        <v>5239</v>
      </c>
      <c r="B7014" t="s">
        <v>5312</v>
      </c>
      <c r="C7014" t="s">
        <v>5336</v>
      </c>
      <c r="D7014">
        <v>161290</v>
      </c>
      <c r="E7014" t="s">
        <v>14</v>
      </c>
      <c r="F7014">
        <v>44.066899999999997</v>
      </c>
      <c r="G7014">
        <v>9.8163999999999998</v>
      </c>
      <c r="H7014">
        <v>1</v>
      </c>
      <c r="I7014">
        <v>410</v>
      </c>
      <c r="J7014" t="str">
        <f>HYPERLINK("https://climate.onebuilding.org/WMO_Region_6_Europe/ITA_Italy/LG_Liguria/ITA_LG_La.Spezia-La.Castellana-Palmaria.Island.161290_TMYx.zip")</f>
        <v>https://climate.onebuilding.org/WMO_Region_6_Europe/ITA_Italy/LG_Liguria/ITA_LG_La.Spezia-La.Castellana-Palmaria.Island.161290_TMYx.zip</v>
      </c>
    </row>
    <row r="7015" spans="1:10" x14ac:dyDescent="0.25">
      <c r="A7015" t="s">
        <v>5239</v>
      </c>
      <c r="B7015" t="s">
        <v>5287</v>
      </c>
      <c r="C7015" t="s">
        <v>5337</v>
      </c>
      <c r="D7015">
        <v>161300</v>
      </c>
      <c r="E7015" t="s">
        <v>5338</v>
      </c>
      <c r="F7015">
        <v>44.8172</v>
      </c>
      <c r="G7015">
        <v>10.296900000000001</v>
      </c>
      <c r="H7015">
        <v>1</v>
      </c>
      <c r="I7015">
        <v>52</v>
      </c>
      <c r="J7015" t="str">
        <f>HYPERLINK("https://climate.onebuilding.org/WMO_Region_6_Europe/ITA_Italy/ER_Emilia-Romagna/ITA_ER_Parma-Verdi.AP.161300_TMYx.2004-2018.zip")</f>
        <v>https://climate.onebuilding.org/WMO_Region_6_Europe/ITA_Italy/ER_Emilia-Romagna/ITA_ER_Parma-Verdi.AP.161300_TMYx.2004-2018.zip</v>
      </c>
    </row>
    <row r="7016" spans="1:10" x14ac:dyDescent="0.25">
      <c r="A7016" t="s">
        <v>5239</v>
      </c>
      <c r="B7016" t="s">
        <v>5287</v>
      </c>
      <c r="C7016" t="s">
        <v>5337</v>
      </c>
      <c r="D7016">
        <v>161300</v>
      </c>
      <c r="E7016" t="s">
        <v>14</v>
      </c>
      <c r="F7016">
        <v>44.8172</v>
      </c>
      <c r="G7016">
        <v>10.296900000000001</v>
      </c>
      <c r="H7016">
        <v>1</v>
      </c>
      <c r="I7016">
        <v>52</v>
      </c>
      <c r="J7016" t="str">
        <f>HYPERLINK("https://climate.onebuilding.org/WMO_Region_6_Europe/ITA_Italy/ER_Emilia-Romagna/ITA_ER_Parma-Verdi.AP.161300_TMYx.2007-2021.zip")</f>
        <v>https://climate.onebuilding.org/WMO_Region_6_Europe/ITA_Italy/ER_Emilia-Romagna/ITA_ER_Parma-Verdi.AP.161300_TMYx.2007-2021.zip</v>
      </c>
    </row>
    <row r="7017" spans="1:10" x14ac:dyDescent="0.25">
      <c r="A7017" t="s">
        <v>5239</v>
      </c>
      <c r="B7017" t="s">
        <v>5287</v>
      </c>
      <c r="C7017" t="s">
        <v>5337</v>
      </c>
      <c r="D7017">
        <v>161300</v>
      </c>
      <c r="E7017" t="s">
        <v>14</v>
      </c>
      <c r="F7017">
        <v>44.8172</v>
      </c>
      <c r="G7017">
        <v>10.296900000000001</v>
      </c>
      <c r="H7017">
        <v>1</v>
      </c>
      <c r="I7017">
        <v>52</v>
      </c>
      <c r="J7017" t="str">
        <f>HYPERLINK("https://climate.onebuilding.org/WMO_Region_6_Europe/ITA_Italy/ER_Emilia-Romagna/ITA_ER_Parma-Verdi.AP.161300_TMYx.2009-2023.zip")</f>
        <v>https://climate.onebuilding.org/WMO_Region_6_Europe/ITA_Italy/ER_Emilia-Romagna/ITA_ER_Parma-Verdi.AP.161300_TMYx.2009-2023.zip</v>
      </c>
    </row>
    <row r="7018" spans="1:10" x14ac:dyDescent="0.25">
      <c r="A7018" t="s">
        <v>5239</v>
      </c>
      <c r="B7018" t="s">
        <v>5287</v>
      </c>
      <c r="C7018" t="s">
        <v>5337</v>
      </c>
      <c r="D7018">
        <v>161300</v>
      </c>
      <c r="E7018" t="s">
        <v>14</v>
      </c>
      <c r="F7018">
        <v>44.8172</v>
      </c>
      <c r="G7018">
        <v>10.296900000000001</v>
      </c>
      <c r="H7018">
        <v>1</v>
      </c>
      <c r="I7018">
        <v>52</v>
      </c>
      <c r="J7018" t="str">
        <f>HYPERLINK("https://climate.onebuilding.org/WMO_Region_6_Europe/ITA_Italy/ER_Emilia-Romagna/ITA_ER_Parma-Verdi.AP.161300_TMYx.zip")</f>
        <v>https://climate.onebuilding.org/WMO_Region_6_Europe/ITA_Italy/ER_Emilia-Romagna/ITA_ER_Parma-Verdi.AP.161300_TMYx.zip</v>
      </c>
    </row>
    <row r="7019" spans="1:10" x14ac:dyDescent="0.25">
      <c r="A7019" t="s">
        <v>5239</v>
      </c>
      <c r="B7019" t="s">
        <v>5287</v>
      </c>
      <c r="C7019" t="s">
        <v>5339</v>
      </c>
      <c r="D7019">
        <v>161340</v>
      </c>
      <c r="E7019" t="s">
        <v>5340</v>
      </c>
      <c r="F7019">
        <v>44.193600000000004</v>
      </c>
      <c r="G7019">
        <v>10.7</v>
      </c>
      <c r="H7019">
        <v>1</v>
      </c>
      <c r="I7019">
        <v>2173</v>
      </c>
      <c r="J7019" t="str">
        <f>HYPERLINK("https://climate.onebuilding.org/WMO_Region_6_Europe/ITA_Italy/ER_Emilia-Romagna/ITA_ER_Cimone.Mtn.161340_TMYx.2004-2018.zip")</f>
        <v>https://climate.onebuilding.org/WMO_Region_6_Europe/ITA_Italy/ER_Emilia-Romagna/ITA_ER_Cimone.Mtn.161340_TMYx.2004-2018.zip</v>
      </c>
    </row>
    <row r="7020" spans="1:10" x14ac:dyDescent="0.25">
      <c r="A7020" t="s">
        <v>5239</v>
      </c>
      <c r="B7020" t="s">
        <v>5287</v>
      </c>
      <c r="C7020" t="s">
        <v>5339</v>
      </c>
      <c r="D7020">
        <v>161340</v>
      </c>
      <c r="E7020" t="s">
        <v>14</v>
      </c>
      <c r="F7020">
        <v>44.193600000000004</v>
      </c>
      <c r="G7020">
        <v>10.7</v>
      </c>
      <c r="H7020">
        <v>1</v>
      </c>
      <c r="I7020">
        <v>2173</v>
      </c>
      <c r="J7020" t="str">
        <f>HYPERLINK("https://climate.onebuilding.org/WMO_Region_6_Europe/ITA_Italy/ER_Emilia-Romagna/ITA_ER_Cimone.Mtn.161340_TMYx.2007-2021.zip")</f>
        <v>https://climate.onebuilding.org/WMO_Region_6_Europe/ITA_Italy/ER_Emilia-Romagna/ITA_ER_Cimone.Mtn.161340_TMYx.2007-2021.zip</v>
      </c>
    </row>
    <row r="7021" spans="1:10" x14ac:dyDescent="0.25">
      <c r="A7021" t="s">
        <v>5239</v>
      </c>
      <c r="B7021" t="s">
        <v>5287</v>
      </c>
      <c r="C7021" t="s">
        <v>5339</v>
      </c>
      <c r="D7021">
        <v>161340</v>
      </c>
      <c r="E7021" t="s">
        <v>14</v>
      </c>
      <c r="F7021">
        <v>44.193600000000004</v>
      </c>
      <c r="G7021">
        <v>10.7</v>
      </c>
      <c r="H7021">
        <v>1</v>
      </c>
      <c r="I7021">
        <v>2173</v>
      </c>
      <c r="J7021" t="str">
        <f>HYPERLINK("https://climate.onebuilding.org/WMO_Region_6_Europe/ITA_Italy/ER_Emilia-Romagna/ITA_ER_Cimone.Mtn.161340_TMYx.2009-2023.zip")</f>
        <v>https://climate.onebuilding.org/WMO_Region_6_Europe/ITA_Italy/ER_Emilia-Romagna/ITA_ER_Cimone.Mtn.161340_TMYx.2009-2023.zip</v>
      </c>
    </row>
    <row r="7022" spans="1:10" x14ac:dyDescent="0.25">
      <c r="A7022" t="s">
        <v>5239</v>
      </c>
      <c r="B7022" t="s">
        <v>5287</v>
      </c>
      <c r="C7022" t="s">
        <v>5339</v>
      </c>
      <c r="D7022">
        <v>161340</v>
      </c>
      <c r="E7022" t="s">
        <v>14</v>
      </c>
      <c r="F7022">
        <v>44.193600000000004</v>
      </c>
      <c r="G7022">
        <v>10.7</v>
      </c>
      <c r="H7022">
        <v>1</v>
      </c>
      <c r="I7022">
        <v>2173</v>
      </c>
      <c r="J7022" t="str">
        <f>HYPERLINK("https://climate.onebuilding.org/WMO_Region_6_Europe/ITA_Italy/ER_Emilia-Romagna/ITA_ER_Cimone.Mtn.161340_TMYx.zip")</f>
        <v>https://climate.onebuilding.org/WMO_Region_6_Europe/ITA_Italy/ER_Emilia-Romagna/ITA_ER_Cimone.Mtn.161340_TMYx.zip</v>
      </c>
    </row>
    <row r="7023" spans="1:10" x14ac:dyDescent="0.25">
      <c r="A7023" t="s">
        <v>5239</v>
      </c>
      <c r="B7023" t="s">
        <v>4683</v>
      </c>
      <c r="C7023" t="s">
        <v>5341</v>
      </c>
      <c r="D7023">
        <v>161350</v>
      </c>
      <c r="E7023" t="s">
        <v>14</v>
      </c>
      <c r="F7023">
        <v>44.028300000000002</v>
      </c>
      <c r="G7023">
        <v>11.0055</v>
      </c>
      <c r="H7023">
        <v>1</v>
      </c>
      <c r="I7023">
        <v>1315</v>
      </c>
      <c r="J7023" t="str">
        <f>HYPERLINK("https://climate.onebuilding.org/WMO_Region_6_Europe/ITA_Italy/TC_Tuscany/ITA_TC_Porretta.Pass.161350_TMYx.zip")</f>
        <v>https://climate.onebuilding.org/WMO_Region_6_Europe/ITA_Italy/TC_Tuscany/ITA_TC_Porretta.Pass.161350_TMYx.zip</v>
      </c>
    </row>
    <row r="7024" spans="1:10" x14ac:dyDescent="0.25">
      <c r="A7024" t="s">
        <v>5239</v>
      </c>
      <c r="B7024" t="s">
        <v>5287</v>
      </c>
      <c r="C7024" t="s">
        <v>5342</v>
      </c>
      <c r="D7024">
        <v>161380</v>
      </c>
      <c r="E7024" t="s">
        <v>5343</v>
      </c>
      <c r="F7024">
        <v>44.815600000000003</v>
      </c>
      <c r="G7024">
        <v>11.612500000000001</v>
      </c>
      <c r="H7024">
        <v>1</v>
      </c>
      <c r="I7024">
        <v>10</v>
      </c>
      <c r="J7024" t="str">
        <f>HYPERLINK("https://climate.onebuilding.org/WMO_Region_6_Europe/ITA_Italy/ER_Emilia-Romagna/ITA_ER_Ferrara.AP.161380_TMYx.2004-2018.zip")</f>
        <v>https://climate.onebuilding.org/WMO_Region_6_Europe/ITA_Italy/ER_Emilia-Romagna/ITA_ER_Ferrara.AP.161380_TMYx.2004-2018.zip</v>
      </c>
    </row>
    <row r="7025" spans="1:10" x14ac:dyDescent="0.25">
      <c r="A7025" t="s">
        <v>5239</v>
      </c>
      <c r="B7025" t="s">
        <v>5287</v>
      </c>
      <c r="C7025" t="s">
        <v>5342</v>
      </c>
      <c r="D7025">
        <v>161380</v>
      </c>
      <c r="E7025" t="s">
        <v>14</v>
      </c>
      <c r="F7025">
        <v>44.815600000000003</v>
      </c>
      <c r="G7025">
        <v>11.612500000000001</v>
      </c>
      <c r="H7025">
        <v>1</v>
      </c>
      <c r="I7025">
        <v>10</v>
      </c>
      <c r="J7025" t="str">
        <f>HYPERLINK("https://climate.onebuilding.org/WMO_Region_6_Europe/ITA_Italy/ER_Emilia-Romagna/ITA_ER_Ferrara.AP.161380_TMYx.2007-2021.zip")</f>
        <v>https://climate.onebuilding.org/WMO_Region_6_Europe/ITA_Italy/ER_Emilia-Romagna/ITA_ER_Ferrara.AP.161380_TMYx.2007-2021.zip</v>
      </c>
    </row>
    <row r="7026" spans="1:10" x14ac:dyDescent="0.25">
      <c r="A7026" t="s">
        <v>5239</v>
      </c>
      <c r="B7026" t="s">
        <v>5287</v>
      </c>
      <c r="C7026" t="s">
        <v>5342</v>
      </c>
      <c r="D7026">
        <v>161380</v>
      </c>
      <c r="E7026" t="s">
        <v>14</v>
      </c>
      <c r="F7026">
        <v>44.815600000000003</v>
      </c>
      <c r="G7026">
        <v>11.612500000000001</v>
      </c>
      <c r="H7026">
        <v>1</v>
      </c>
      <c r="I7026">
        <v>10</v>
      </c>
      <c r="J7026" t="str">
        <f>HYPERLINK("https://climate.onebuilding.org/WMO_Region_6_Europe/ITA_Italy/ER_Emilia-Romagna/ITA_ER_Ferrara.AP.161380_TMYx.2009-2023.zip")</f>
        <v>https://climate.onebuilding.org/WMO_Region_6_Europe/ITA_Italy/ER_Emilia-Romagna/ITA_ER_Ferrara.AP.161380_TMYx.2009-2023.zip</v>
      </c>
    </row>
    <row r="7027" spans="1:10" x14ac:dyDescent="0.25">
      <c r="A7027" t="s">
        <v>5239</v>
      </c>
      <c r="B7027" t="s">
        <v>5287</v>
      </c>
      <c r="C7027" t="s">
        <v>5342</v>
      </c>
      <c r="D7027">
        <v>161380</v>
      </c>
      <c r="E7027" t="s">
        <v>14</v>
      </c>
      <c r="F7027">
        <v>44.815600000000003</v>
      </c>
      <c r="G7027">
        <v>11.612500000000001</v>
      </c>
      <c r="H7027">
        <v>1</v>
      </c>
      <c r="I7027">
        <v>10</v>
      </c>
      <c r="J7027" t="str">
        <f>HYPERLINK("https://climate.onebuilding.org/WMO_Region_6_Europe/ITA_Italy/ER_Emilia-Romagna/ITA_ER_Ferrara.AP.161380_TMYx.zip")</f>
        <v>https://climate.onebuilding.org/WMO_Region_6_Europe/ITA_Italy/ER_Emilia-Romagna/ITA_ER_Ferrara.AP.161380_TMYx.zip</v>
      </c>
    </row>
    <row r="7028" spans="1:10" x14ac:dyDescent="0.25">
      <c r="A7028" t="s">
        <v>5239</v>
      </c>
      <c r="B7028" t="s">
        <v>5287</v>
      </c>
      <c r="C7028" t="s">
        <v>5344</v>
      </c>
      <c r="D7028">
        <v>161400</v>
      </c>
      <c r="E7028" t="s">
        <v>5345</v>
      </c>
      <c r="F7028">
        <v>44.530799999999999</v>
      </c>
      <c r="G7028">
        <v>11.296900000000001</v>
      </c>
      <c r="H7028">
        <v>1</v>
      </c>
      <c r="I7028">
        <v>37</v>
      </c>
      <c r="J7028" t="str">
        <f>HYPERLINK("https://climate.onebuilding.org/WMO_Region_6_Europe/ITA_Italy/ER_Emilia-Romagna/ITA_ER_Bologna-Marconi.AP.161400_TMYx.2004-2018.zip")</f>
        <v>https://climate.onebuilding.org/WMO_Region_6_Europe/ITA_Italy/ER_Emilia-Romagna/ITA_ER_Bologna-Marconi.AP.161400_TMYx.2004-2018.zip</v>
      </c>
    </row>
    <row r="7029" spans="1:10" x14ac:dyDescent="0.25">
      <c r="A7029" t="s">
        <v>5239</v>
      </c>
      <c r="B7029" t="s">
        <v>5287</v>
      </c>
      <c r="C7029" t="s">
        <v>5344</v>
      </c>
      <c r="D7029">
        <v>161400</v>
      </c>
      <c r="E7029" t="s">
        <v>14</v>
      </c>
      <c r="F7029">
        <v>44.530799999999999</v>
      </c>
      <c r="G7029">
        <v>11.296900000000001</v>
      </c>
      <c r="H7029">
        <v>1</v>
      </c>
      <c r="I7029">
        <v>37</v>
      </c>
      <c r="J7029" t="str">
        <f>HYPERLINK("https://climate.onebuilding.org/WMO_Region_6_Europe/ITA_Italy/ER_Emilia-Romagna/ITA_ER_Bologna-Marconi.AP.161400_TMYx.2007-2021.zip")</f>
        <v>https://climate.onebuilding.org/WMO_Region_6_Europe/ITA_Italy/ER_Emilia-Romagna/ITA_ER_Bologna-Marconi.AP.161400_TMYx.2007-2021.zip</v>
      </c>
    </row>
    <row r="7030" spans="1:10" x14ac:dyDescent="0.25">
      <c r="A7030" t="s">
        <v>5239</v>
      </c>
      <c r="B7030" t="s">
        <v>5287</v>
      </c>
      <c r="C7030" t="s">
        <v>5344</v>
      </c>
      <c r="D7030">
        <v>161400</v>
      </c>
      <c r="E7030" t="s">
        <v>14</v>
      </c>
      <c r="F7030">
        <v>44.530799999999999</v>
      </c>
      <c r="G7030">
        <v>11.296900000000001</v>
      </c>
      <c r="H7030">
        <v>1</v>
      </c>
      <c r="I7030">
        <v>37</v>
      </c>
      <c r="J7030" t="str">
        <f>HYPERLINK("https://climate.onebuilding.org/WMO_Region_6_Europe/ITA_Italy/ER_Emilia-Romagna/ITA_ER_Bologna-Marconi.AP.161400_TMYx.2009-2023.zip")</f>
        <v>https://climate.onebuilding.org/WMO_Region_6_Europe/ITA_Italy/ER_Emilia-Romagna/ITA_ER_Bologna-Marconi.AP.161400_TMYx.2009-2023.zip</v>
      </c>
    </row>
    <row r="7031" spans="1:10" x14ac:dyDescent="0.25">
      <c r="A7031" t="s">
        <v>5239</v>
      </c>
      <c r="B7031" t="s">
        <v>5287</v>
      </c>
      <c r="C7031" t="s">
        <v>5344</v>
      </c>
      <c r="D7031">
        <v>161400</v>
      </c>
      <c r="E7031" t="s">
        <v>14</v>
      </c>
      <c r="F7031">
        <v>44.530799999999999</v>
      </c>
      <c r="G7031">
        <v>11.296900000000001</v>
      </c>
      <c r="H7031">
        <v>1</v>
      </c>
      <c r="I7031">
        <v>37</v>
      </c>
      <c r="J7031" t="str">
        <f>HYPERLINK("https://climate.onebuilding.org/WMO_Region_6_Europe/ITA_Italy/ER_Emilia-Romagna/ITA_ER_Bologna-Marconi.AP.161400_TMYx.zip")</f>
        <v>https://climate.onebuilding.org/WMO_Region_6_Europe/ITA_Italy/ER_Emilia-Romagna/ITA_ER_Bologna-Marconi.AP.161400_TMYx.zip</v>
      </c>
    </row>
    <row r="7032" spans="1:10" x14ac:dyDescent="0.25">
      <c r="A7032" t="s">
        <v>5239</v>
      </c>
      <c r="B7032" t="s">
        <v>4683</v>
      </c>
      <c r="C7032" t="s">
        <v>5346</v>
      </c>
      <c r="D7032">
        <v>161420</v>
      </c>
      <c r="E7032" t="s">
        <v>14</v>
      </c>
      <c r="F7032">
        <v>44.066800000000001</v>
      </c>
      <c r="G7032">
        <v>11.388999999999999</v>
      </c>
      <c r="H7032">
        <v>1</v>
      </c>
      <c r="I7032">
        <v>705</v>
      </c>
      <c r="J7032" t="str">
        <f>HYPERLINK("https://climate.onebuilding.org/WMO_Region_6_Europe/ITA_Italy/TC_Tuscany/ITA_TC_Rifredo.Mugello.161420_TMYx.zip")</f>
        <v>https://climate.onebuilding.org/WMO_Region_6_Europe/ITA_Italy/TC_Tuscany/ITA_TC_Rifredo.Mugello.161420_TMYx.zip</v>
      </c>
    </row>
    <row r="7033" spans="1:10" x14ac:dyDescent="0.25">
      <c r="A7033" t="s">
        <v>5239</v>
      </c>
      <c r="B7033" t="s">
        <v>5287</v>
      </c>
      <c r="C7033" t="s">
        <v>5347</v>
      </c>
      <c r="D7033">
        <v>161460</v>
      </c>
      <c r="E7033" t="s">
        <v>14</v>
      </c>
      <c r="F7033">
        <v>44.441400000000002</v>
      </c>
      <c r="G7033">
        <v>12.296099999999999</v>
      </c>
      <c r="H7033">
        <v>1</v>
      </c>
      <c r="I7033">
        <v>6</v>
      </c>
      <c r="J7033" t="str">
        <f>HYPERLINK("https://climate.onebuilding.org/WMO_Region_6_Europe/ITA_Italy/ER_Emilia-Romagna/ITA_ER_Punta.Marina.161460_TMYx.2007-2021.zip")</f>
        <v>https://climate.onebuilding.org/WMO_Region_6_Europe/ITA_Italy/ER_Emilia-Romagna/ITA_ER_Punta.Marina.161460_TMYx.2007-2021.zip</v>
      </c>
    </row>
    <row r="7034" spans="1:10" x14ac:dyDescent="0.25">
      <c r="A7034" t="s">
        <v>5239</v>
      </c>
      <c r="B7034" t="s">
        <v>5287</v>
      </c>
      <c r="C7034" t="s">
        <v>5347</v>
      </c>
      <c r="D7034">
        <v>161460</v>
      </c>
      <c r="E7034" t="s">
        <v>14</v>
      </c>
      <c r="F7034">
        <v>44.441400000000002</v>
      </c>
      <c r="G7034">
        <v>12.296099999999999</v>
      </c>
      <c r="H7034">
        <v>1</v>
      </c>
      <c r="I7034">
        <v>6</v>
      </c>
      <c r="J7034" t="str">
        <f>HYPERLINK("https://climate.onebuilding.org/WMO_Region_6_Europe/ITA_Italy/ER_Emilia-Romagna/ITA_ER_Punta.Marina.161460_TMYx.2009-2023.zip")</f>
        <v>https://climate.onebuilding.org/WMO_Region_6_Europe/ITA_Italy/ER_Emilia-Romagna/ITA_ER_Punta.Marina.161460_TMYx.2009-2023.zip</v>
      </c>
    </row>
    <row r="7035" spans="1:10" x14ac:dyDescent="0.25">
      <c r="A7035" t="s">
        <v>5239</v>
      </c>
      <c r="B7035" t="s">
        <v>5287</v>
      </c>
      <c r="C7035" t="s">
        <v>5347</v>
      </c>
      <c r="D7035">
        <v>161460</v>
      </c>
      <c r="E7035" t="s">
        <v>14</v>
      </c>
      <c r="F7035">
        <v>44.441400000000002</v>
      </c>
      <c r="G7035">
        <v>12.296099999999999</v>
      </c>
      <c r="H7035">
        <v>1</v>
      </c>
      <c r="I7035">
        <v>6</v>
      </c>
      <c r="J7035" t="str">
        <f>HYPERLINK("https://climate.onebuilding.org/WMO_Region_6_Europe/ITA_Italy/ER_Emilia-Romagna/ITA_ER_Punta.Marina.161460_TMYx.zip")</f>
        <v>https://climate.onebuilding.org/WMO_Region_6_Europe/ITA_Italy/ER_Emilia-Romagna/ITA_ER_Punta.Marina.161460_TMYx.zip</v>
      </c>
    </row>
    <row r="7036" spans="1:10" x14ac:dyDescent="0.25">
      <c r="A7036" t="s">
        <v>5239</v>
      </c>
      <c r="B7036" t="s">
        <v>5287</v>
      </c>
      <c r="C7036" t="s">
        <v>5348</v>
      </c>
      <c r="D7036">
        <v>161470</v>
      </c>
      <c r="E7036" t="s">
        <v>5349</v>
      </c>
      <c r="F7036">
        <v>44.195599999999999</v>
      </c>
      <c r="G7036">
        <v>12.069699999999999</v>
      </c>
      <c r="H7036">
        <v>1</v>
      </c>
      <c r="I7036">
        <v>32</v>
      </c>
      <c r="J7036" t="str">
        <f>HYPERLINK("https://climate.onebuilding.org/WMO_Region_6_Europe/ITA_Italy/ER_Emilia-Romagna/ITA_ER_Forli.AP.161470_TMYx.2004-2018.zip")</f>
        <v>https://climate.onebuilding.org/WMO_Region_6_Europe/ITA_Italy/ER_Emilia-Romagna/ITA_ER_Forli.AP.161470_TMYx.2004-2018.zip</v>
      </c>
    </row>
    <row r="7037" spans="1:10" x14ac:dyDescent="0.25">
      <c r="A7037" t="s">
        <v>5239</v>
      </c>
      <c r="B7037" t="s">
        <v>5287</v>
      </c>
      <c r="C7037" t="s">
        <v>5348</v>
      </c>
      <c r="D7037">
        <v>161470</v>
      </c>
      <c r="E7037" t="s">
        <v>14</v>
      </c>
      <c r="F7037">
        <v>44.195599999999999</v>
      </c>
      <c r="G7037">
        <v>12.069699999999999</v>
      </c>
      <c r="H7037">
        <v>1</v>
      </c>
      <c r="I7037">
        <v>32</v>
      </c>
      <c r="J7037" t="str">
        <f>HYPERLINK("https://climate.onebuilding.org/WMO_Region_6_Europe/ITA_Italy/ER_Emilia-Romagna/ITA_ER_Forli.AP.161470_TMYx.2007-2021.zip")</f>
        <v>https://climate.onebuilding.org/WMO_Region_6_Europe/ITA_Italy/ER_Emilia-Romagna/ITA_ER_Forli.AP.161470_TMYx.2007-2021.zip</v>
      </c>
    </row>
    <row r="7038" spans="1:10" x14ac:dyDescent="0.25">
      <c r="A7038" t="s">
        <v>5239</v>
      </c>
      <c r="B7038" t="s">
        <v>5287</v>
      </c>
      <c r="C7038" t="s">
        <v>5348</v>
      </c>
      <c r="D7038">
        <v>161470</v>
      </c>
      <c r="E7038" t="s">
        <v>14</v>
      </c>
      <c r="F7038">
        <v>44.195599999999999</v>
      </c>
      <c r="G7038">
        <v>12.069699999999999</v>
      </c>
      <c r="H7038">
        <v>1</v>
      </c>
      <c r="I7038">
        <v>32</v>
      </c>
      <c r="J7038" t="str">
        <f>HYPERLINK("https://climate.onebuilding.org/WMO_Region_6_Europe/ITA_Italy/ER_Emilia-Romagna/ITA_ER_Forli.AP.161470_TMYx.2009-2023.zip")</f>
        <v>https://climate.onebuilding.org/WMO_Region_6_Europe/ITA_Italy/ER_Emilia-Romagna/ITA_ER_Forli.AP.161470_TMYx.2009-2023.zip</v>
      </c>
    </row>
    <row r="7039" spans="1:10" x14ac:dyDescent="0.25">
      <c r="A7039" t="s">
        <v>5239</v>
      </c>
      <c r="B7039" t="s">
        <v>5287</v>
      </c>
      <c r="C7039" t="s">
        <v>5348</v>
      </c>
      <c r="D7039">
        <v>161470</v>
      </c>
      <c r="E7039" t="s">
        <v>14</v>
      </c>
      <c r="F7039">
        <v>44.195599999999999</v>
      </c>
      <c r="G7039">
        <v>12.069699999999999</v>
      </c>
      <c r="H7039">
        <v>1</v>
      </c>
      <c r="I7039">
        <v>32</v>
      </c>
      <c r="J7039" t="str">
        <f>HYPERLINK("https://climate.onebuilding.org/WMO_Region_6_Europe/ITA_Italy/ER_Emilia-Romagna/ITA_ER_Forli.AP.161470_TMYx.zip")</f>
        <v>https://climate.onebuilding.org/WMO_Region_6_Europe/ITA_Italy/ER_Emilia-Romagna/ITA_ER_Forli.AP.161470_TMYx.zip</v>
      </c>
    </row>
    <row r="7040" spans="1:10" x14ac:dyDescent="0.25">
      <c r="A7040" t="s">
        <v>5239</v>
      </c>
      <c r="B7040" t="s">
        <v>5287</v>
      </c>
      <c r="C7040" t="s">
        <v>5350</v>
      </c>
      <c r="D7040">
        <v>161480</v>
      </c>
      <c r="E7040" t="s">
        <v>5351</v>
      </c>
      <c r="F7040">
        <v>44.228900000000003</v>
      </c>
      <c r="G7040">
        <v>12.2919</v>
      </c>
      <c r="H7040">
        <v>1</v>
      </c>
      <c r="I7040">
        <v>10</v>
      </c>
      <c r="J7040" t="str">
        <f>HYPERLINK("https://climate.onebuilding.org/WMO_Region_6_Europe/ITA_Italy/ER_Emilia-Romagna/ITA_ER_Cervia.AB.161480_TMYx.2004-2018.zip")</f>
        <v>https://climate.onebuilding.org/WMO_Region_6_Europe/ITA_Italy/ER_Emilia-Romagna/ITA_ER_Cervia.AB.161480_TMYx.2004-2018.zip</v>
      </c>
    </row>
    <row r="7041" spans="1:10" x14ac:dyDescent="0.25">
      <c r="A7041" t="s">
        <v>5239</v>
      </c>
      <c r="B7041" t="s">
        <v>5287</v>
      </c>
      <c r="C7041" t="s">
        <v>5350</v>
      </c>
      <c r="D7041">
        <v>161480</v>
      </c>
      <c r="E7041" t="s">
        <v>14</v>
      </c>
      <c r="F7041">
        <v>44.223999999999997</v>
      </c>
      <c r="G7041">
        <v>12.307</v>
      </c>
      <c r="H7041">
        <v>1</v>
      </c>
      <c r="I7041">
        <v>10</v>
      </c>
      <c r="J7041" t="str">
        <f>HYPERLINK("https://climate.onebuilding.org/WMO_Region_6_Europe/ITA_Italy/ER_Emilia-Romagna/ITA_ER_Cervia.AB.161480_TMYx.2007-2021.zip")</f>
        <v>https://climate.onebuilding.org/WMO_Region_6_Europe/ITA_Italy/ER_Emilia-Romagna/ITA_ER_Cervia.AB.161480_TMYx.2007-2021.zip</v>
      </c>
    </row>
    <row r="7042" spans="1:10" x14ac:dyDescent="0.25">
      <c r="A7042" t="s">
        <v>5239</v>
      </c>
      <c r="B7042" t="s">
        <v>5287</v>
      </c>
      <c r="C7042" t="s">
        <v>5350</v>
      </c>
      <c r="D7042">
        <v>161480</v>
      </c>
      <c r="E7042" t="s">
        <v>14</v>
      </c>
      <c r="F7042">
        <v>44.223999999999997</v>
      </c>
      <c r="G7042">
        <v>12.307</v>
      </c>
      <c r="H7042">
        <v>1</v>
      </c>
      <c r="I7042">
        <v>10</v>
      </c>
      <c r="J7042" t="str">
        <f>HYPERLINK("https://climate.onebuilding.org/WMO_Region_6_Europe/ITA_Italy/ER_Emilia-Romagna/ITA_ER_Cervia.AB.161480_TMYx.2009-2023.zip")</f>
        <v>https://climate.onebuilding.org/WMO_Region_6_Europe/ITA_Italy/ER_Emilia-Romagna/ITA_ER_Cervia.AB.161480_TMYx.2009-2023.zip</v>
      </c>
    </row>
    <row r="7043" spans="1:10" x14ac:dyDescent="0.25">
      <c r="A7043" t="s">
        <v>5239</v>
      </c>
      <c r="B7043" t="s">
        <v>5287</v>
      </c>
      <c r="C7043" t="s">
        <v>5350</v>
      </c>
      <c r="D7043">
        <v>161480</v>
      </c>
      <c r="E7043" t="s">
        <v>14</v>
      </c>
      <c r="F7043">
        <v>44.223999999999997</v>
      </c>
      <c r="G7043">
        <v>12.307</v>
      </c>
      <c r="H7043">
        <v>1</v>
      </c>
      <c r="I7043">
        <v>10</v>
      </c>
      <c r="J7043" t="str">
        <f>HYPERLINK("https://climate.onebuilding.org/WMO_Region_6_Europe/ITA_Italy/ER_Emilia-Romagna/ITA_ER_Cervia.AB.161480_TMYx.zip")</f>
        <v>https://climate.onebuilding.org/WMO_Region_6_Europe/ITA_Italy/ER_Emilia-Romagna/ITA_ER_Cervia.AB.161480_TMYx.zip</v>
      </c>
    </row>
    <row r="7044" spans="1:10" x14ac:dyDescent="0.25">
      <c r="A7044" t="s">
        <v>5239</v>
      </c>
      <c r="B7044" t="s">
        <v>5287</v>
      </c>
      <c r="C7044" t="s">
        <v>5352</v>
      </c>
      <c r="D7044">
        <v>161490</v>
      </c>
      <c r="E7044" t="s">
        <v>5353</v>
      </c>
      <c r="F7044">
        <v>44.0244</v>
      </c>
      <c r="G7044">
        <v>12.6128</v>
      </c>
      <c r="H7044">
        <v>1</v>
      </c>
      <c r="I7044">
        <v>13</v>
      </c>
      <c r="J7044" t="str">
        <f>HYPERLINK("https://climate.onebuilding.org/WMO_Region_6_Europe/ITA_Italy/ER_Emilia-Romagna/ITA_ER_Rimini-Fellini.AP.161490_TMYx.2004-2018.zip")</f>
        <v>https://climate.onebuilding.org/WMO_Region_6_Europe/ITA_Italy/ER_Emilia-Romagna/ITA_ER_Rimini-Fellini.AP.161490_TMYx.2004-2018.zip</v>
      </c>
    </row>
    <row r="7045" spans="1:10" x14ac:dyDescent="0.25">
      <c r="A7045" t="s">
        <v>5239</v>
      </c>
      <c r="B7045" t="s">
        <v>5287</v>
      </c>
      <c r="C7045" t="s">
        <v>5352</v>
      </c>
      <c r="D7045">
        <v>161490</v>
      </c>
      <c r="E7045" t="s">
        <v>14</v>
      </c>
      <c r="F7045">
        <v>44.0244</v>
      </c>
      <c r="G7045">
        <v>12.6128</v>
      </c>
      <c r="H7045">
        <v>1</v>
      </c>
      <c r="I7045">
        <v>13</v>
      </c>
      <c r="J7045" t="str">
        <f>HYPERLINK("https://climate.onebuilding.org/WMO_Region_6_Europe/ITA_Italy/ER_Emilia-Romagna/ITA_ER_Rimini-Fellini.AP.161490_TMYx.2007-2021.zip")</f>
        <v>https://climate.onebuilding.org/WMO_Region_6_Europe/ITA_Italy/ER_Emilia-Romagna/ITA_ER_Rimini-Fellini.AP.161490_TMYx.2007-2021.zip</v>
      </c>
    </row>
    <row r="7046" spans="1:10" x14ac:dyDescent="0.25">
      <c r="A7046" t="s">
        <v>5239</v>
      </c>
      <c r="B7046" t="s">
        <v>5287</v>
      </c>
      <c r="C7046" t="s">
        <v>5352</v>
      </c>
      <c r="D7046">
        <v>161490</v>
      </c>
      <c r="E7046" t="s">
        <v>14</v>
      </c>
      <c r="F7046">
        <v>44.0244</v>
      </c>
      <c r="G7046">
        <v>12.6128</v>
      </c>
      <c r="H7046">
        <v>1</v>
      </c>
      <c r="I7046">
        <v>13</v>
      </c>
      <c r="J7046" t="str">
        <f>HYPERLINK("https://climate.onebuilding.org/WMO_Region_6_Europe/ITA_Italy/ER_Emilia-Romagna/ITA_ER_Rimini-Fellini.AP.161490_TMYx.2009-2023.zip")</f>
        <v>https://climate.onebuilding.org/WMO_Region_6_Europe/ITA_Italy/ER_Emilia-Romagna/ITA_ER_Rimini-Fellini.AP.161490_TMYx.2009-2023.zip</v>
      </c>
    </row>
    <row r="7047" spans="1:10" x14ac:dyDescent="0.25">
      <c r="A7047" t="s">
        <v>5239</v>
      </c>
      <c r="B7047" t="s">
        <v>5287</v>
      </c>
      <c r="C7047" t="s">
        <v>5352</v>
      </c>
      <c r="D7047">
        <v>161490</v>
      </c>
      <c r="E7047" t="s">
        <v>14</v>
      </c>
      <c r="F7047">
        <v>44.0244</v>
      </c>
      <c r="G7047">
        <v>12.6128</v>
      </c>
      <c r="H7047">
        <v>1</v>
      </c>
      <c r="I7047">
        <v>13</v>
      </c>
      <c r="J7047" t="str">
        <f>HYPERLINK("https://climate.onebuilding.org/WMO_Region_6_Europe/ITA_Italy/ER_Emilia-Romagna/ITA_ER_Rimini-Fellini.AP.161490_TMYx.zip")</f>
        <v>https://climate.onebuilding.org/WMO_Region_6_Europe/ITA_Italy/ER_Emilia-Romagna/ITA_ER_Rimini-Fellini.AP.161490_TMYx.zip</v>
      </c>
    </row>
    <row r="7048" spans="1:10" x14ac:dyDescent="0.25">
      <c r="A7048" t="s">
        <v>5239</v>
      </c>
      <c r="B7048" t="s">
        <v>5312</v>
      </c>
      <c r="C7048" t="s">
        <v>5354</v>
      </c>
      <c r="D7048">
        <v>161500</v>
      </c>
      <c r="E7048" t="s">
        <v>14</v>
      </c>
      <c r="F7048">
        <v>43.884900000000002</v>
      </c>
      <c r="G7048">
        <v>8.0300999999999991</v>
      </c>
      <c r="H7048">
        <v>1</v>
      </c>
      <c r="I7048">
        <v>5</v>
      </c>
      <c r="J7048" t="str">
        <f>HYPERLINK("https://climate.onebuilding.org/WMO_Region_6_Europe/ITA_Italy/LG_Liguria/ITA_LG_Imperia.161500_TMYx.zip")</f>
        <v>https://climate.onebuilding.org/WMO_Region_6_Europe/ITA_Italy/LG_Liguria/ITA_LG_Imperia.161500_TMYx.zip</v>
      </c>
    </row>
    <row r="7049" spans="1:10" x14ac:dyDescent="0.25">
      <c r="A7049" t="s">
        <v>5239</v>
      </c>
      <c r="B7049" t="s">
        <v>5312</v>
      </c>
      <c r="C7049" t="s">
        <v>5355</v>
      </c>
      <c r="D7049">
        <v>161530</v>
      </c>
      <c r="E7049" t="s">
        <v>5356</v>
      </c>
      <c r="F7049">
        <v>43.9572</v>
      </c>
      <c r="G7049">
        <v>8.1697000000000006</v>
      </c>
      <c r="H7049">
        <v>1</v>
      </c>
      <c r="I7049">
        <v>221</v>
      </c>
      <c r="J7049" t="str">
        <f>HYPERLINK("https://climate.onebuilding.org/WMO_Region_6_Europe/ITA_Italy/LG_Liguria/ITA_LG_Cape.Mele.161530_TMYx.2004-2018.zip")</f>
        <v>https://climate.onebuilding.org/WMO_Region_6_Europe/ITA_Italy/LG_Liguria/ITA_LG_Cape.Mele.161530_TMYx.2004-2018.zip</v>
      </c>
    </row>
    <row r="7050" spans="1:10" x14ac:dyDescent="0.25">
      <c r="A7050" t="s">
        <v>5239</v>
      </c>
      <c r="B7050" t="s">
        <v>5312</v>
      </c>
      <c r="C7050" t="s">
        <v>5355</v>
      </c>
      <c r="D7050">
        <v>161530</v>
      </c>
      <c r="E7050" t="s">
        <v>14</v>
      </c>
      <c r="F7050">
        <v>43.9572</v>
      </c>
      <c r="G7050">
        <v>8.1697000000000006</v>
      </c>
      <c r="H7050">
        <v>1</v>
      </c>
      <c r="I7050">
        <v>221</v>
      </c>
      <c r="J7050" t="str">
        <f>HYPERLINK("https://climate.onebuilding.org/WMO_Region_6_Europe/ITA_Italy/LG_Liguria/ITA_LG_Cape.Mele.161530_TMYx.2007-2021.zip")</f>
        <v>https://climate.onebuilding.org/WMO_Region_6_Europe/ITA_Italy/LG_Liguria/ITA_LG_Cape.Mele.161530_TMYx.2007-2021.zip</v>
      </c>
    </row>
    <row r="7051" spans="1:10" x14ac:dyDescent="0.25">
      <c r="A7051" t="s">
        <v>5239</v>
      </c>
      <c r="B7051" t="s">
        <v>5312</v>
      </c>
      <c r="C7051" t="s">
        <v>5355</v>
      </c>
      <c r="D7051">
        <v>161530</v>
      </c>
      <c r="E7051" t="s">
        <v>14</v>
      </c>
      <c r="F7051">
        <v>43.9572</v>
      </c>
      <c r="G7051">
        <v>8.1697000000000006</v>
      </c>
      <c r="H7051">
        <v>1</v>
      </c>
      <c r="I7051">
        <v>221</v>
      </c>
      <c r="J7051" t="str">
        <f>HYPERLINK("https://climate.onebuilding.org/WMO_Region_6_Europe/ITA_Italy/LG_Liguria/ITA_LG_Cape.Mele.161530_TMYx.2009-2023.zip")</f>
        <v>https://climate.onebuilding.org/WMO_Region_6_Europe/ITA_Italy/LG_Liguria/ITA_LG_Cape.Mele.161530_TMYx.2009-2023.zip</v>
      </c>
    </row>
    <row r="7052" spans="1:10" x14ac:dyDescent="0.25">
      <c r="A7052" t="s">
        <v>5239</v>
      </c>
      <c r="B7052" t="s">
        <v>5312</v>
      </c>
      <c r="C7052" t="s">
        <v>5355</v>
      </c>
      <c r="D7052">
        <v>161530</v>
      </c>
      <c r="E7052" t="s">
        <v>14</v>
      </c>
      <c r="F7052">
        <v>43.9572</v>
      </c>
      <c r="G7052">
        <v>8.1697000000000006</v>
      </c>
      <c r="H7052">
        <v>1</v>
      </c>
      <c r="I7052">
        <v>221</v>
      </c>
      <c r="J7052" t="str">
        <f>HYPERLINK("https://climate.onebuilding.org/WMO_Region_6_Europe/ITA_Italy/LG_Liguria/ITA_LG_Cape.Mele.161530_TMYx.zip")</f>
        <v>https://climate.onebuilding.org/WMO_Region_6_Europe/ITA_Italy/LG_Liguria/ITA_LG_Cape.Mele.161530_TMYx.zip</v>
      </c>
    </row>
    <row r="7053" spans="1:10" x14ac:dyDescent="0.25">
      <c r="A7053" t="s">
        <v>5239</v>
      </c>
      <c r="B7053" t="s">
        <v>4683</v>
      </c>
      <c r="C7053" t="s">
        <v>5357</v>
      </c>
      <c r="D7053">
        <v>161540</v>
      </c>
      <c r="E7053" t="s">
        <v>14</v>
      </c>
      <c r="F7053">
        <v>43.428100000000001</v>
      </c>
      <c r="G7053">
        <v>9.8941999999999997</v>
      </c>
      <c r="H7053">
        <v>1</v>
      </c>
      <c r="I7053">
        <v>259</v>
      </c>
      <c r="J7053" t="str">
        <f>HYPERLINK("https://climate.onebuilding.org/WMO_Region_6_Europe/ITA_Italy/TC_Tuscany/ITA_TC_Isola.Gorgona.161540_TMYx.zip")</f>
        <v>https://climate.onebuilding.org/WMO_Region_6_Europe/ITA_Italy/TC_Tuscany/ITA_TC_Isola.Gorgona.161540_TMYx.zip</v>
      </c>
    </row>
    <row r="7054" spans="1:10" x14ac:dyDescent="0.25">
      <c r="A7054" t="s">
        <v>5239</v>
      </c>
      <c r="B7054" t="s">
        <v>4683</v>
      </c>
      <c r="C7054" t="s">
        <v>5358</v>
      </c>
      <c r="D7054">
        <v>161580</v>
      </c>
      <c r="E7054" t="s">
        <v>5359</v>
      </c>
      <c r="F7054">
        <v>43.682499999999997</v>
      </c>
      <c r="G7054">
        <v>10.3956</v>
      </c>
      <c r="H7054">
        <v>1</v>
      </c>
      <c r="I7054">
        <v>6.1</v>
      </c>
      <c r="J7054" t="str">
        <f>HYPERLINK("https://climate.onebuilding.org/WMO_Region_6_Europe/ITA_Italy/TC_Tuscany/ITA_TC_Pisa-Galileo.Galilei.AP.161580_TMYx.2004-2018.zip")</f>
        <v>https://climate.onebuilding.org/WMO_Region_6_Europe/ITA_Italy/TC_Tuscany/ITA_TC_Pisa-Galileo.Galilei.AP.161580_TMYx.2004-2018.zip</v>
      </c>
    </row>
    <row r="7055" spans="1:10" x14ac:dyDescent="0.25">
      <c r="A7055" t="s">
        <v>5239</v>
      </c>
      <c r="B7055" t="s">
        <v>4683</v>
      </c>
      <c r="C7055" t="s">
        <v>5358</v>
      </c>
      <c r="D7055">
        <v>161580</v>
      </c>
      <c r="E7055" t="s">
        <v>14</v>
      </c>
      <c r="F7055">
        <v>43.682499999999997</v>
      </c>
      <c r="G7055">
        <v>10.3956</v>
      </c>
      <c r="H7055">
        <v>1</v>
      </c>
      <c r="I7055">
        <v>6.1</v>
      </c>
      <c r="J7055" t="str">
        <f>HYPERLINK("https://climate.onebuilding.org/WMO_Region_6_Europe/ITA_Italy/TC_Tuscany/ITA_TC_Pisa-Galileo.Galilei.AP.161580_TMYx.2007-2021.zip")</f>
        <v>https://climate.onebuilding.org/WMO_Region_6_Europe/ITA_Italy/TC_Tuscany/ITA_TC_Pisa-Galileo.Galilei.AP.161580_TMYx.2007-2021.zip</v>
      </c>
    </row>
    <row r="7056" spans="1:10" x14ac:dyDescent="0.25">
      <c r="A7056" t="s">
        <v>5239</v>
      </c>
      <c r="B7056" t="s">
        <v>4683</v>
      </c>
      <c r="C7056" t="s">
        <v>5358</v>
      </c>
      <c r="D7056">
        <v>161580</v>
      </c>
      <c r="E7056" t="s">
        <v>14</v>
      </c>
      <c r="F7056">
        <v>43.682499999999997</v>
      </c>
      <c r="G7056">
        <v>10.3956</v>
      </c>
      <c r="H7056">
        <v>1</v>
      </c>
      <c r="I7056">
        <v>6.1</v>
      </c>
      <c r="J7056" t="str">
        <f>HYPERLINK("https://climate.onebuilding.org/WMO_Region_6_Europe/ITA_Italy/TC_Tuscany/ITA_TC_Pisa-Galileo.Galilei.AP.161580_TMYx.2009-2023.zip")</f>
        <v>https://climate.onebuilding.org/WMO_Region_6_Europe/ITA_Italy/TC_Tuscany/ITA_TC_Pisa-Galileo.Galilei.AP.161580_TMYx.2009-2023.zip</v>
      </c>
    </row>
    <row r="7057" spans="1:10" x14ac:dyDescent="0.25">
      <c r="A7057" t="s">
        <v>5239</v>
      </c>
      <c r="B7057" t="s">
        <v>4683</v>
      </c>
      <c r="C7057" t="s">
        <v>5358</v>
      </c>
      <c r="D7057">
        <v>161580</v>
      </c>
      <c r="E7057" t="s">
        <v>14</v>
      </c>
      <c r="F7057">
        <v>43.682499999999997</v>
      </c>
      <c r="G7057">
        <v>10.3956</v>
      </c>
      <c r="H7057">
        <v>1</v>
      </c>
      <c r="I7057">
        <v>6.1</v>
      </c>
      <c r="J7057" t="str">
        <f>HYPERLINK("https://climate.onebuilding.org/WMO_Region_6_Europe/ITA_Italy/TC_Tuscany/ITA_TC_Pisa-Galileo.Galilei.AP.161580_TMYx.zip")</f>
        <v>https://climate.onebuilding.org/WMO_Region_6_Europe/ITA_Italy/TC_Tuscany/ITA_TC_Pisa-Galileo.Galilei.AP.161580_TMYx.zip</v>
      </c>
    </row>
    <row r="7058" spans="1:10" x14ac:dyDescent="0.25">
      <c r="A7058" t="s">
        <v>5239</v>
      </c>
      <c r="B7058" t="s">
        <v>4683</v>
      </c>
      <c r="C7058" t="s">
        <v>5360</v>
      </c>
      <c r="D7058">
        <v>161640</v>
      </c>
      <c r="E7058" t="s">
        <v>14</v>
      </c>
      <c r="F7058">
        <v>43.4</v>
      </c>
      <c r="G7058">
        <v>10.867000000000001</v>
      </c>
      <c r="H7058">
        <v>1</v>
      </c>
      <c r="I7058">
        <v>575</v>
      </c>
      <c r="J7058" t="str">
        <f>HYPERLINK("https://climate.onebuilding.org/WMO_Region_6_Europe/ITA_Italy/TC_Tuscany/ITA_TC_Volterra.161640_TMYx.zip")</f>
        <v>https://climate.onebuilding.org/WMO_Region_6_Europe/ITA_Italy/TC_Tuscany/ITA_TC_Volterra.161640_TMYx.zip</v>
      </c>
    </row>
    <row r="7059" spans="1:10" x14ac:dyDescent="0.25">
      <c r="A7059" t="s">
        <v>5239</v>
      </c>
      <c r="B7059" t="s">
        <v>4683</v>
      </c>
      <c r="C7059" t="s">
        <v>5361</v>
      </c>
      <c r="D7059">
        <v>161680</v>
      </c>
      <c r="E7059" t="s">
        <v>5362</v>
      </c>
      <c r="F7059">
        <v>42.387</v>
      </c>
      <c r="G7059">
        <v>11.169700000000001</v>
      </c>
      <c r="H7059">
        <v>1</v>
      </c>
      <c r="I7059">
        <v>631.29999999999995</v>
      </c>
      <c r="J7059" t="str">
        <f>HYPERLINK("https://climate.onebuilding.org/WMO_Region_6_Europe/ITA_Italy/TC_Tuscany/ITA_TC_Argentario.Mtn.161680_TMYx.2004-2018.zip")</f>
        <v>https://climate.onebuilding.org/WMO_Region_6_Europe/ITA_Italy/TC_Tuscany/ITA_TC_Argentario.Mtn.161680_TMYx.2004-2018.zip</v>
      </c>
    </row>
    <row r="7060" spans="1:10" x14ac:dyDescent="0.25">
      <c r="A7060" t="s">
        <v>5239</v>
      </c>
      <c r="B7060" t="s">
        <v>4683</v>
      </c>
      <c r="C7060" t="s">
        <v>5361</v>
      </c>
      <c r="D7060">
        <v>161680</v>
      </c>
      <c r="E7060" t="s">
        <v>14</v>
      </c>
      <c r="F7060">
        <v>42.387</v>
      </c>
      <c r="G7060">
        <v>11.169700000000001</v>
      </c>
      <c r="H7060">
        <v>1</v>
      </c>
      <c r="I7060">
        <v>631.29999999999995</v>
      </c>
      <c r="J7060" t="str">
        <f>HYPERLINK("https://climate.onebuilding.org/WMO_Region_6_Europe/ITA_Italy/TC_Tuscany/ITA_TC_Argentario.Mtn.161680_TMYx.2007-2021.zip")</f>
        <v>https://climate.onebuilding.org/WMO_Region_6_Europe/ITA_Italy/TC_Tuscany/ITA_TC_Argentario.Mtn.161680_TMYx.2007-2021.zip</v>
      </c>
    </row>
    <row r="7061" spans="1:10" x14ac:dyDescent="0.25">
      <c r="A7061" t="s">
        <v>5239</v>
      </c>
      <c r="B7061" t="s">
        <v>4683</v>
      </c>
      <c r="C7061" t="s">
        <v>5361</v>
      </c>
      <c r="D7061">
        <v>161680</v>
      </c>
      <c r="E7061" t="s">
        <v>14</v>
      </c>
      <c r="F7061">
        <v>42.387</v>
      </c>
      <c r="G7061">
        <v>11.169700000000001</v>
      </c>
      <c r="H7061">
        <v>1</v>
      </c>
      <c r="I7061">
        <v>631.29999999999995</v>
      </c>
      <c r="J7061" t="str">
        <f>HYPERLINK("https://climate.onebuilding.org/WMO_Region_6_Europe/ITA_Italy/TC_Tuscany/ITA_TC_Argentario.Mtn.161680_TMYx.2009-2023.zip")</f>
        <v>https://climate.onebuilding.org/WMO_Region_6_Europe/ITA_Italy/TC_Tuscany/ITA_TC_Argentario.Mtn.161680_TMYx.2009-2023.zip</v>
      </c>
    </row>
    <row r="7062" spans="1:10" x14ac:dyDescent="0.25">
      <c r="A7062" t="s">
        <v>5239</v>
      </c>
      <c r="B7062" t="s">
        <v>4683</v>
      </c>
      <c r="C7062" t="s">
        <v>5361</v>
      </c>
      <c r="D7062">
        <v>161680</v>
      </c>
      <c r="E7062" t="s">
        <v>14</v>
      </c>
      <c r="F7062">
        <v>42.387</v>
      </c>
      <c r="G7062">
        <v>11.169700000000001</v>
      </c>
      <c r="H7062">
        <v>1</v>
      </c>
      <c r="I7062">
        <v>631.29999999999995</v>
      </c>
      <c r="J7062" t="str">
        <f>HYPERLINK("https://climate.onebuilding.org/WMO_Region_6_Europe/ITA_Italy/TC_Tuscany/ITA_TC_Argentario.Mtn.161680_TMYx.zip")</f>
        <v>https://climate.onebuilding.org/WMO_Region_6_Europe/ITA_Italy/TC_Tuscany/ITA_TC_Argentario.Mtn.161680_TMYx.zip</v>
      </c>
    </row>
    <row r="7063" spans="1:10" x14ac:dyDescent="0.25">
      <c r="A7063" t="s">
        <v>5239</v>
      </c>
      <c r="B7063" t="s">
        <v>4683</v>
      </c>
      <c r="C7063" t="s">
        <v>5363</v>
      </c>
      <c r="D7063">
        <v>161700</v>
      </c>
      <c r="E7063" t="s">
        <v>5364</v>
      </c>
      <c r="F7063">
        <v>43.808599999999998</v>
      </c>
      <c r="G7063">
        <v>11.2028</v>
      </c>
      <c r="H7063">
        <v>1</v>
      </c>
      <c r="I7063">
        <v>38</v>
      </c>
      <c r="J7063" t="str">
        <f>HYPERLINK("https://climate.onebuilding.org/WMO_Region_6_Europe/ITA_Italy/TC_Tuscany/ITA_TC_Firenze-Peretola.AP.161700_TMYx.2004-2018.zip")</f>
        <v>https://climate.onebuilding.org/WMO_Region_6_Europe/ITA_Italy/TC_Tuscany/ITA_TC_Firenze-Peretola.AP.161700_TMYx.2004-2018.zip</v>
      </c>
    </row>
    <row r="7064" spans="1:10" x14ac:dyDescent="0.25">
      <c r="A7064" t="s">
        <v>5239</v>
      </c>
      <c r="B7064" t="s">
        <v>4683</v>
      </c>
      <c r="C7064" t="s">
        <v>5363</v>
      </c>
      <c r="D7064">
        <v>161700</v>
      </c>
      <c r="E7064" t="s">
        <v>14</v>
      </c>
      <c r="F7064">
        <v>43.808599999999998</v>
      </c>
      <c r="G7064">
        <v>11.2028</v>
      </c>
      <c r="H7064">
        <v>1</v>
      </c>
      <c r="I7064">
        <v>38</v>
      </c>
      <c r="J7064" t="str">
        <f>HYPERLINK("https://climate.onebuilding.org/WMO_Region_6_Europe/ITA_Italy/TC_Tuscany/ITA_TC_Firenze-Peretola.AP.161700_TMYx.2007-2021.zip")</f>
        <v>https://climate.onebuilding.org/WMO_Region_6_Europe/ITA_Italy/TC_Tuscany/ITA_TC_Firenze-Peretola.AP.161700_TMYx.2007-2021.zip</v>
      </c>
    </row>
    <row r="7065" spans="1:10" x14ac:dyDescent="0.25">
      <c r="A7065" t="s">
        <v>5239</v>
      </c>
      <c r="B7065" t="s">
        <v>4683</v>
      </c>
      <c r="C7065" t="s">
        <v>5363</v>
      </c>
      <c r="D7065">
        <v>161700</v>
      </c>
      <c r="E7065" t="s">
        <v>14</v>
      </c>
      <c r="F7065">
        <v>43.808599999999998</v>
      </c>
      <c r="G7065">
        <v>11.2028</v>
      </c>
      <c r="H7065">
        <v>1</v>
      </c>
      <c r="I7065">
        <v>38</v>
      </c>
      <c r="J7065" t="str">
        <f>HYPERLINK("https://climate.onebuilding.org/WMO_Region_6_Europe/ITA_Italy/TC_Tuscany/ITA_TC_Firenze-Peretola.AP.161700_TMYx.2009-2023.zip")</f>
        <v>https://climate.onebuilding.org/WMO_Region_6_Europe/ITA_Italy/TC_Tuscany/ITA_TC_Firenze-Peretola.AP.161700_TMYx.2009-2023.zip</v>
      </c>
    </row>
    <row r="7066" spans="1:10" x14ac:dyDescent="0.25">
      <c r="A7066" t="s">
        <v>5239</v>
      </c>
      <c r="B7066" t="s">
        <v>4683</v>
      </c>
      <c r="C7066" t="s">
        <v>5363</v>
      </c>
      <c r="D7066">
        <v>161700</v>
      </c>
      <c r="E7066" t="s">
        <v>14</v>
      </c>
      <c r="F7066">
        <v>43.808599999999998</v>
      </c>
      <c r="G7066">
        <v>11.2028</v>
      </c>
      <c r="H7066">
        <v>1</v>
      </c>
      <c r="I7066">
        <v>38</v>
      </c>
      <c r="J7066" t="str">
        <f>HYPERLINK("https://climate.onebuilding.org/WMO_Region_6_Europe/ITA_Italy/TC_Tuscany/ITA_TC_Firenze-Peretola.AP.161700_TMYx.zip")</f>
        <v>https://climate.onebuilding.org/WMO_Region_6_Europe/ITA_Italy/TC_Tuscany/ITA_TC_Firenze-Peretola.AP.161700_TMYx.zip</v>
      </c>
    </row>
    <row r="7067" spans="1:10" x14ac:dyDescent="0.25">
      <c r="A7067" t="s">
        <v>5239</v>
      </c>
      <c r="B7067" t="s">
        <v>4683</v>
      </c>
      <c r="C7067" t="s">
        <v>5365</v>
      </c>
      <c r="D7067">
        <v>161710</v>
      </c>
      <c r="E7067" t="s">
        <v>14</v>
      </c>
      <c r="F7067">
        <v>43.785600000000002</v>
      </c>
      <c r="G7067">
        <v>11.2158</v>
      </c>
      <c r="H7067">
        <v>1</v>
      </c>
      <c r="I7067">
        <v>19</v>
      </c>
      <c r="J7067" t="str">
        <f>HYPERLINK("https://climate.onebuilding.org/WMO_Region_6_Europe/ITA_Italy/TC_Tuscany/ITA_TC_Firenze.161710_TMYx.2007-2021.zip")</f>
        <v>https://climate.onebuilding.org/WMO_Region_6_Europe/ITA_Italy/TC_Tuscany/ITA_TC_Firenze.161710_TMYx.2007-2021.zip</v>
      </c>
    </row>
    <row r="7068" spans="1:10" x14ac:dyDescent="0.25">
      <c r="A7068" t="s">
        <v>5239</v>
      </c>
      <c r="B7068" t="s">
        <v>4683</v>
      </c>
      <c r="C7068" t="s">
        <v>5365</v>
      </c>
      <c r="D7068">
        <v>161710</v>
      </c>
      <c r="E7068" t="s">
        <v>14</v>
      </c>
      <c r="F7068">
        <v>43.785600000000002</v>
      </c>
      <c r="G7068">
        <v>11.2158</v>
      </c>
      <c r="H7068">
        <v>1</v>
      </c>
      <c r="I7068">
        <v>19</v>
      </c>
      <c r="J7068" t="str">
        <f>HYPERLINK("https://climate.onebuilding.org/WMO_Region_6_Europe/ITA_Italy/TC_Tuscany/ITA_TC_Firenze.161710_TMYx.2009-2023.zip")</f>
        <v>https://climate.onebuilding.org/WMO_Region_6_Europe/ITA_Italy/TC_Tuscany/ITA_TC_Firenze.161710_TMYx.2009-2023.zip</v>
      </c>
    </row>
    <row r="7069" spans="1:10" x14ac:dyDescent="0.25">
      <c r="A7069" t="s">
        <v>5239</v>
      </c>
      <c r="B7069" t="s">
        <v>4683</v>
      </c>
      <c r="C7069" t="s">
        <v>5365</v>
      </c>
      <c r="D7069">
        <v>161710</v>
      </c>
      <c r="E7069" t="s">
        <v>14</v>
      </c>
      <c r="F7069">
        <v>43.785600000000002</v>
      </c>
      <c r="G7069">
        <v>11.2158</v>
      </c>
      <c r="H7069">
        <v>1</v>
      </c>
      <c r="I7069">
        <v>19</v>
      </c>
      <c r="J7069" t="str">
        <f>HYPERLINK("https://climate.onebuilding.org/WMO_Region_6_Europe/ITA_Italy/TC_Tuscany/ITA_TC_Firenze.161710_TMYx.zip")</f>
        <v>https://climate.onebuilding.org/WMO_Region_6_Europe/ITA_Italy/TC_Tuscany/ITA_TC_Firenze.161710_TMYx.zip</v>
      </c>
    </row>
    <row r="7070" spans="1:10" x14ac:dyDescent="0.25">
      <c r="A7070" t="s">
        <v>5239</v>
      </c>
      <c r="B7070" t="s">
        <v>4683</v>
      </c>
      <c r="C7070" t="s">
        <v>5366</v>
      </c>
      <c r="D7070">
        <v>161720</v>
      </c>
      <c r="E7070" t="s">
        <v>5367</v>
      </c>
      <c r="F7070">
        <v>43.459699999999998</v>
      </c>
      <c r="G7070">
        <v>11.845599999999999</v>
      </c>
      <c r="H7070">
        <v>1</v>
      </c>
      <c r="I7070">
        <v>249</v>
      </c>
      <c r="J7070" t="str">
        <f>HYPERLINK("https://climate.onebuilding.org/WMO_Region_6_Europe/ITA_Italy/TC_Tuscany/ITA_TC_Arezzo-Molin.Bianco.AP.161720_TMYx.2004-2018.zip")</f>
        <v>https://climate.onebuilding.org/WMO_Region_6_Europe/ITA_Italy/TC_Tuscany/ITA_TC_Arezzo-Molin.Bianco.AP.161720_TMYx.2004-2018.zip</v>
      </c>
    </row>
    <row r="7071" spans="1:10" x14ac:dyDescent="0.25">
      <c r="A7071" t="s">
        <v>5239</v>
      </c>
      <c r="B7071" t="s">
        <v>4683</v>
      </c>
      <c r="C7071" t="s">
        <v>5366</v>
      </c>
      <c r="D7071">
        <v>161720</v>
      </c>
      <c r="E7071" t="s">
        <v>14</v>
      </c>
      <c r="F7071">
        <v>43.459699999999998</v>
      </c>
      <c r="G7071">
        <v>11.845599999999999</v>
      </c>
      <c r="H7071">
        <v>1</v>
      </c>
      <c r="I7071">
        <v>249</v>
      </c>
      <c r="J7071" t="str">
        <f>HYPERLINK("https://climate.onebuilding.org/WMO_Region_6_Europe/ITA_Italy/TC_Tuscany/ITA_TC_Arezzo-Molin.Bianco.AP.161720_TMYx.2007-2021.zip")</f>
        <v>https://climate.onebuilding.org/WMO_Region_6_Europe/ITA_Italy/TC_Tuscany/ITA_TC_Arezzo-Molin.Bianco.AP.161720_TMYx.2007-2021.zip</v>
      </c>
    </row>
    <row r="7072" spans="1:10" x14ac:dyDescent="0.25">
      <c r="A7072" t="s">
        <v>5239</v>
      </c>
      <c r="B7072" t="s">
        <v>4683</v>
      </c>
      <c r="C7072" t="s">
        <v>5366</v>
      </c>
      <c r="D7072">
        <v>161720</v>
      </c>
      <c r="E7072" t="s">
        <v>14</v>
      </c>
      <c r="F7072">
        <v>43.459699999999998</v>
      </c>
      <c r="G7072">
        <v>11.845599999999999</v>
      </c>
      <c r="H7072">
        <v>1</v>
      </c>
      <c r="I7072">
        <v>249</v>
      </c>
      <c r="J7072" t="str">
        <f>HYPERLINK("https://climate.onebuilding.org/WMO_Region_6_Europe/ITA_Italy/TC_Tuscany/ITA_TC_Arezzo-Molin.Bianco.AP.161720_TMYx.2009-2023.zip")</f>
        <v>https://climate.onebuilding.org/WMO_Region_6_Europe/ITA_Italy/TC_Tuscany/ITA_TC_Arezzo-Molin.Bianco.AP.161720_TMYx.2009-2023.zip</v>
      </c>
    </row>
    <row r="7073" spans="1:10" x14ac:dyDescent="0.25">
      <c r="A7073" t="s">
        <v>5239</v>
      </c>
      <c r="B7073" t="s">
        <v>4683</v>
      </c>
      <c r="C7073" t="s">
        <v>5366</v>
      </c>
      <c r="D7073">
        <v>161720</v>
      </c>
      <c r="E7073" t="s">
        <v>14</v>
      </c>
      <c r="F7073">
        <v>43.459699999999998</v>
      </c>
      <c r="G7073">
        <v>11.845599999999999</v>
      </c>
      <c r="H7073">
        <v>1</v>
      </c>
      <c r="I7073">
        <v>249</v>
      </c>
      <c r="J7073" t="str">
        <f>HYPERLINK("https://climate.onebuilding.org/WMO_Region_6_Europe/ITA_Italy/TC_Tuscany/ITA_TC_Arezzo-Molin.Bianco.AP.161720_TMYx.zip")</f>
        <v>https://climate.onebuilding.org/WMO_Region_6_Europe/ITA_Italy/TC_Tuscany/ITA_TC_Arezzo-Molin.Bianco.AP.161720_TMYx.zip</v>
      </c>
    </row>
    <row r="7074" spans="1:10" x14ac:dyDescent="0.25">
      <c r="A7074" t="s">
        <v>5239</v>
      </c>
      <c r="B7074" t="s">
        <v>15</v>
      </c>
      <c r="C7074" t="s">
        <v>5368</v>
      </c>
      <c r="D7074">
        <v>161790</v>
      </c>
      <c r="E7074" t="s">
        <v>5369</v>
      </c>
      <c r="F7074">
        <v>43.5169</v>
      </c>
      <c r="G7074">
        <v>12.7278</v>
      </c>
      <c r="H7074">
        <v>1</v>
      </c>
      <c r="I7074">
        <v>574</v>
      </c>
      <c r="J7074" t="str">
        <f>HYPERLINK("https://climate.onebuilding.org/WMO_Region_6_Europe/ITA_Italy/MH_Marche/ITA_MH_Frontone.161790_TMYx.2004-2018.zip")</f>
        <v>https://climate.onebuilding.org/WMO_Region_6_Europe/ITA_Italy/MH_Marche/ITA_MH_Frontone.161790_TMYx.2004-2018.zip</v>
      </c>
    </row>
    <row r="7075" spans="1:10" x14ac:dyDescent="0.25">
      <c r="A7075" t="s">
        <v>5239</v>
      </c>
      <c r="B7075" t="s">
        <v>15</v>
      </c>
      <c r="C7075" t="s">
        <v>5368</v>
      </c>
      <c r="D7075">
        <v>161790</v>
      </c>
      <c r="E7075" t="s">
        <v>14</v>
      </c>
      <c r="F7075">
        <v>43.5169</v>
      </c>
      <c r="G7075">
        <v>12.7278</v>
      </c>
      <c r="H7075">
        <v>1</v>
      </c>
      <c r="I7075">
        <v>574</v>
      </c>
      <c r="J7075" t="str">
        <f>HYPERLINK("https://climate.onebuilding.org/WMO_Region_6_Europe/ITA_Italy/MH_Marche/ITA_MH_Frontone.161790_TMYx.2007-2021.zip")</f>
        <v>https://climate.onebuilding.org/WMO_Region_6_Europe/ITA_Italy/MH_Marche/ITA_MH_Frontone.161790_TMYx.2007-2021.zip</v>
      </c>
    </row>
    <row r="7076" spans="1:10" x14ac:dyDescent="0.25">
      <c r="A7076" t="s">
        <v>5239</v>
      </c>
      <c r="B7076" t="s">
        <v>15</v>
      </c>
      <c r="C7076" t="s">
        <v>5368</v>
      </c>
      <c r="D7076">
        <v>161790</v>
      </c>
      <c r="E7076" t="s">
        <v>14</v>
      </c>
      <c r="F7076">
        <v>43.5169</v>
      </c>
      <c r="G7076">
        <v>12.7278</v>
      </c>
      <c r="H7076">
        <v>1</v>
      </c>
      <c r="I7076">
        <v>574</v>
      </c>
      <c r="J7076" t="str">
        <f>HYPERLINK("https://climate.onebuilding.org/WMO_Region_6_Europe/ITA_Italy/MH_Marche/ITA_MH_Frontone.161790_TMYx.2009-2023.zip")</f>
        <v>https://climate.onebuilding.org/WMO_Region_6_Europe/ITA_Italy/MH_Marche/ITA_MH_Frontone.161790_TMYx.2009-2023.zip</v>
      </c>
    </row>
    <row r="7077" spans="1:10" x14ac:dyDescent="0.25">
      <c r="A7077" t="s">
        <v>5239</v>
      </c>
      <c r="B7077" t="s">
        <v>15</v>
      </c>
      <c r="C7077" t="s">
        <v>5368</v>
      </c>
      <c r="D7077">
        <v>161790</v>
      </c>
      <c r="E7077" t="s">
        <v>14</v>
      </c>
      <c r="F7077">
        <v>43.5169</v>
      </c>
      <c r="G7077">
        <v>12.7278</v>
      </c>
      <c r="H7077">
        <v>1</v>
      </c>
      <c r="I7077">
        <v>574</v>
      </c>
      <c r="J7077" t="str">
        <f>HYPERLINK("https://climate.onebuilding.org/WMO_Region_6_Europe/ITA_Italy/MH_Marche/ITA_MH_Frontone.161790_TMYx.zip")</f>
        <v>https://climate.onebuilding.org/WMO_Region_6_Europe/ITA_Italy/MH_Marche/ITA_MH_Frontone.161790_TMYx.zip</v>
      </c>
    </row>
    <row r="7078" spans="1:10" x14ac:dyDescent="0.25">
      <c r="A7078" t="s">
        <v>5239</v>
      </c>
      <c r="B7078" t="s">
        <v>5370</v>
      </c>
      <c r="C7078" t="s">
        <v>5371</v>
      </c>
      <c r="D7078">
        <v>161810</v>
      </c>
      <c r="E7078" t="s">
        <v>5372</v>
      </c>
      <c r="F7078">
        <v>43.097200000000001</v>
      </c>
      <c r="G7078">
        <v>12.510300000000001</v>
      </c>
      <c r="H7078">
        <v>1</v>
      </c>
      <c r="I7078">
        <v>204</v>
      </c>
      <c r="J7078" t="str">
        <f>HYPERLINK("https://climate.onebuilding.org/WMO_Region_6_Europe/ITA_Italy/UM_Umbria/ITA_UM_Umbria-Perugia-d-Assisi.AP.161810_TMYx.2004-2018.zip")</f>
        <v>https://climate.onebuilding.org/WMO_Region_6_Europe/ITA_Italy/UM_Umbria/ITA_UM_Umbria-Perugia-d-Assisi.AP.161810_TMYx.2004-2018.zip</v>
      </c>
    </row>
    <row r="7079" spans="1:10" x14ac:dyDescent="0.25">
      <c r="A7079" t="s">
        <v>5239</v>
      </c>
      <c r="B7079" t="s">
        <v>5370</v>
      </c>
      <c r="C7079" t="s">
        <v>5371</v>
      </c>
      <c r="D7079">
        <v>161810</v>
      </c>
      <c r="E7079" t="s">
        <v>14</v>
      </c>
      <c r="F7079">
        <v>43.097200000000001</v>
      </c>
      <c r="G7079">
        <v>12.510300000000001</v>
      </c>
      <c r="H7079">
        <v>1</v>
      </c>
      <c r="I7079">
        <v>204</v>
      </c>
      <c r="J7079" t="str">
        <f>HYPERLINK("https://climate.onebuilding.org/WMO_Region_6_Europe/ITA_Italy/UM_Umbria/ITA_UM_Umbria-Perugia-d-Assisi.AP.161810_TMYx.2007-2021.zip")</f>
        <v>https://climate.onebuilding.org/WMO_Region_6_Europe/ITA_Italy/UM_Umbria/ITA_UM_Umbria-Perugia-d-Assisi.AP.161810_TMYx.2007-2021.zip</v>
      </c>
    </row>
    <row r="7080" spans="1:10" x14ac:dyDescent="0.25">
      <c r="A7080" t="s">
        <v>5239</v>
      </c>
      <c r="B7080" t="s">
        <v>5370</v>
      </c>
      <c r="C7080" t="s">
        <v>5371</v>
      </c>
      <c r="D7080">
        <v>161810</v>
      </c>
      <c r="E7080" t="s">
        <v>14</v>
      </c>
      <c r="F7080">
        <v>43.097200000000001</v>
      </c>
      <c r="G7080">
        <v>12.510300000000001</v>
      </c>
      <c r="H7080">
        <v>1</v>
      </c>
      <c r="I7080">
        <v>204</v>
      </c>
      <c r="J7080" t="str">
        <f>HYPERLINK("https://climate.onebuilding.org/WMO_Region_6_Europe/ITA_Italy/UM_Umbria/ITA_UM_Umbria-Perugia-d-Assisi.AP.161810_TMYx.2009-2023.zip")</f>
        <v>https://climate.onebuilding.org/WMO_Region_6_Europe/ITA_Italy/UM_Umbria/ITA_UM_Umbria-Perugia-d-Assisi.AP.161810_TMYx.2009-2023.zip</v>
      </c>
    </row>
    <row r="7081" spans="1:10" x14ac:dyDescent="0.25">
      <c r="A7081" t="s">
        <v>5239</v>
      </c>
      <c r="B7081" t="s">
        <v>5370</v>
      </c>
      <c r="C7081" t="s">
        <v>5371</v>
      </c>
      <c r="D7081">
        <v>161810</v>
      </c>
      <c r="E7081" t="s">
        <v>14</v>
      </c>
      <c r="F7081">
        <v>43.097200000000001</v>
      </c>
      <c r="G7081">
        <v>12.510300000000001</v>
      </c>
      <c r="H7081">
        <v>1</v>
      </c>
      <c r="I7081">
        <v>204</v>
      </c>
      <c r="J7081" t="str">
        <f>HYPERLINK("https://climate.onebuilding.org/WMO_Region_6_Europe/ITA_Italy/UM_Umbria/ITA_UM_Umbria-Perugia-d-Assisi.AP.161810_TMYx.zip")</f>
        <v>https://climate.onebuilding.org/WMO_Region_6_Europe/ITA_Italy/UM_Umbria/ITA_UM_Umbria-Perugia-d-Assisi.AP.161810_TMYx.zip</v>
      </c>
    </row>
    <row r="7082" spans="1:10" x14ac:dyDescent="0.25">
      <c r="A7082" t="s">
        <v>5239</v>
      </c>
      <c r="B7082" t="s">
        <v>15</v>
      </c>
      <c r="C7082" t="s">
        <v>5373</v>
      </c>
      <c r="D7082">
        <v>161900</v>
      </c>
      <c r="E7082" t="s">
        <v>14</v>
      </c>
      <c r="F7082">
        <v>43.611400000000003</v>
      </c>
      <c r="G7082">
        <v>13.5253</v>
      </c>
      <c r="H7082">
        <v>1</v>
      </c>
      <c r="I7082">
        <v>143</v>
      </c>
      <c r="J7082" t="str">
        <f>HYPERLINK("https://climate.onebuilding.org/WMO_Region_6_Europe/ITA_Italy/MH_Marche/ITA_MH_Ancona.161900_TMYx.2007-2021.zip")</f>
        <v>https://climate.onebuilding.org/WMO_Region_6_Europe/ITA_Italy/MH_Marche/ITA_MH_Ancona.161900_TMYx.2007-2021.zip</v>
      </c>
    </row>
    <row r="7083" spans="1:10" x14ac:dyDescent="0.25">
      <c r="A7083" t="s">
        <v>5239</v>
      </c>
      <c r="B7083" t="s">
        <v>15</v>
      </c>
      <c r="C7083" t="s">
        <v>5373</v>
      </c>
      <c r="D7083">
        <v>161900</v>
      </c>
      <c r="E7083" t="s">
        <v>14</v>
      </c>
      <c r="F7083">
        <v>43.611400000000003</v>
      </c>
      <c r="G7083">
        <v>13.5253</v>
      </c>
      <c r="H7083">
        <v>1</v>
      </c>
      <c r="I7083">
        <v>143</v>
      </c>
      <c r="J7083" t="str">
        <f>HYPERLINK("https://climate.onebuilding.org/WMO_Region_6_Europe/ITA_Italy/MH_Marche/ITA_MH_Ancona.161900_TMYx.2009-2023.zip")</f>
        <v>https://climate.onebuilding.org/WMO_Region_6_Europe/ITA_Italy/MH_Marche/ITA_MH_Ancona.161900_TMYx.2009-2023.zip</v>
      </c>
    </row>
    <row r="7084" spans="1:10" x14ac:dyDescent="0.25">
      <c r="A7084" t="s">
        <v>5239</v>
      </c>
      <c r="B7084" t="s">
        <v>15</v>
      </c>
      <c r="C7084" t="s">
        <v>5373</v>
      </c>
      <c r="D7084">
        <v>161900</v>
      </c>
      <c r="E7084" t="s">
        <v>14</v>
      </c>
      <c r="F7084">
        <v>43.611400000000003</v>
      </c>
      <c r="G7084">
        <v>13.5253</v>
      </c>
      <c r="H7084">
        <v>1</v>
      </c>
      <c r="I7084">
        <v>143</v>
      </c>
      <c r="J7084" t="str">
        <f>HYPERLINK("https://climate.onebuilding.org/WMO_Region_6_Europe/ITA_Italy/MH_Marche/ITA_MH_Ancona.161900_TMYx.zip")</f>
        <v>https://climate.onebuilding.org/WMO_Region_6_Europe/ITA_Italy/MH_Marche/ITA_MH_Ancona.161900_TMYx.zip</v>
      </c>
    </row>
    <row r="7085" spans="1:10" x14ac:dyDescent="0.25">
      <c r="A7085" t="s">
        <v>5239</v>
      </c>
      <c r="B7085" t="s">
        <v>15</v>
      </c>
      <c r="C7085" t="s">
        <v>5374</v>
      </c>
      <c r="D7085">
        <v>161910</v>
      </c>
      <c r="E7085" t="s">
        <v>5375</v>
      </c>
      <c r="F7085">
        <v>43.616700000000002</v>
      </c>
      <c r="G7085">
        <v>13.360300000000001</v>
      </c>
      <c r="H7085">
        <v>1</v>
      </c>
      <c r="I7085">
        <v>15</v>
      </c>
      <c r="J7085" t="str">
        <f>HYPERLINK("https://climate.onebuilding.org/WMO_Region_6_Europe/ITA_Italy/MH_Marche/ITA_MH_Marche.AP.161910_TMYx.2004-2018.zip")</f>
        <v>https://climate.onebuilding.org/WMO_Region_6_Europe/ITA_Italy/MH_Marche/ITA_MH_Marche.AP.161910_TMYx.2004-2018.zip</v>
      </c>
    </row>
    <row r="7086" spans="1:10" x14ac:dyDescent="0.25">
      <c r="A7086" t="s">
        <v>5239</v>
      </c>
      <c r="B7086" t="s">
        <v>15</v>
      </c>
      <c r="C7086" t="s">
        <v>5374</v>
      </c>
      <c r="D7086">
        <v>161910</v>
      </c>
      <c r="E7086" t="s">
        <v>14</v>
      </c>
      <c r="F7086">
        <v>43.616700000000002</v>
      </c>
      <c r="G7086">
        <v>13.360300000000001</v>
      </c>
      <c r="H7086">
        <v>1</v>
      </c>
      <c r="I7086">
        <v>15</v>
      </c>
      <c r="J7086" t="str">
        <f>HYPERLINK("https://climate.onebuilding.org/WMO_Region_6_Europe/ITA_Italy/MH_Marche/ITA_MH_Marche.AP.161910_TMYx.2007-2021.zip")</f>
        <v>https://climate.onebuilding.org/WMO_Region_6_Europe/ITA_Italy/MH_Marche/ITA_MH_Marche.AP.161910_TMYx.2007-2021.zip</v>
      </c>
    </row>
    <row r="7087" spans="1:10" x14ac:dyDescent="0.25">
      <c r="A7087" t="s">
        <v>5239</v>
      </c>
      <c r="B7087" t="s">
        <v>15</v>
      </c>
      <c r="C7087" t="s">
        <v>5374</v>
      </c>
      <c r="D7087">
        <v>161910</v>
      </c>
      <c r="E7087" t="s">
        <v>14</v>
      </c>
      <c r="F7087">
        <v>43.616700000000002</v>
      </c>
      <c r="G7087">
        <v>13.360300000000001</v>
      </c>
      <c r="H7087">
        <v>1</v>
      </c>
      <c r="I7087">
        <v>15</v>
      </c>
      <c r="J7087" t="str">
        <f>HYPERLINK("https://climate.onebuilding.org/WMO_Region_6_Europe/ITA_Italy/MH_Marche/ITA_MH_Marche.AP.161910_TMYx.2009-2023.zip")</f>
        <v>https://climate.onebuilding.org/WMO_Region_6_Europe/ITA_Italy/MH_Marche/ITA_MH_Marche.AP.161910_TMYx.2009-2023.zip</v>
      </c>
    </row>
    <row r="7088" spans="1:10" x14ac:dyDescent="0.25">
      <c r="A7088" t="s">
        <v>5239</v>
      </c>
      <c r="B7088" t="s">
        <v>15</v>
      </c>
      <c r="C7088" t="s">
        <v>5374</v>
      </c>
      <c r="D7088">
        <v>161910</v>
      </c>
      <c r="E7088" t="s">
        <v>14</v>
      </c>
      <c r="F7088">
        <v>43.616700000000002</v>
      </c>
      <c r="G7088">
        <v>13.360300000000001</v>
      </c>
      <c r="H7088">
        <v>1</v>
      </c>
      <c r="I7088">
        <v>15</v>
      </c>
      <c r="J7088" t="str">
        <f>HYPERLINK("https://climate.onebuilding.org/WMO_Region_6_Europe/ITA_Italy/MH_Marche/ITA_MH_Marche.AP.161910_TMYx.zip")</f>
        <v>https://climate.onebuilding.org/WMO_Region_6_Europe/ITA_Italy/MH_Marche/ITA_MH_Marche.AP.161910_TMYx.zip</v>
      </c>
    </row>
    <row r="7089" spans="1:10" x14ac:dyDescent="0.25">
      <c r="A7089" t="s">
        <v>5239</v>
      </c>
      <c r="B7089" t="s">
        <v>15</v>
      </c>
      <c r="C7089" t="s">
        <v>5376</v>
      </c>
      <c r="D7089">
        <v>161920</v>
      </c>
      <c r="E7089" t="s">
        <v>14</v>
      </c>
      <c r="F7089">
        <v>43.43</v>
      </c>
      <c r="G7089">
        <v>13.6036</v>
      </c>
      <c r="H7089">
        <v>1</v>
      </c>
      <c r="I7089">
        <v>198</v>
      </c>
      <c r="J7089" t="str">
        <f>HYPERLINK("https://climate.onebuilding.org/WMO_Region_6_Europe/ITA_Italy/MH_Marche/ITA_MH_Loreto.161920_TMYx.2007-2021.zip")</f>
        <v>https://climate.onebuilding.org/WMO_Region_6_Europe/ITA_Italy/MH_Marche/ITA_MH_Loreto.161920_TMYx.2007-2021.zip</v>
      </c>
    </row>
    <row r="7090" spans="1:10" x14ac:dyDescent="0.25">
      <c r="A7090" t="s">
        <v>5239</v>
      </c>
      <c r="B7090" t="s">
        <v>15</v>
      </c>
      <c r="C7090" t="s">
        <v>5376</v>
      </c>
      <c r="D7090">
        <v>161920</v>
      </c>
      <c r="E7090" t="s">
        <v>14</v>
      </c>
      <c r="F7090">
        <v>43.43</v>
      </c>
      <c r="G7090">
        <v>13.6036</v>
      </c>
      <c r="H7090">
        <v>1</v>
      </c>
      <c r="I7090">
        <v>198</v>
      </c>
      <c r="J7090" t="str">
        <f>HYPERLINK("https://climate.onebuilding.org/WMO_Region_6_Europe/ITA_Italy/MH_Marche/ITA_MH_Loreto.161920_TMYx.2009-2023.zip")</f>
        <v>https://climate.onebuilding.org/WMO_Region_6_Europe/ITA_Italy/MH_Marche/ITA_MH_Loreto.161920_TMYx.2009-2023.zip</v>
      </c>
    </row>
    <row r="7091" spans="1:10" x14ac:dyDescent="0.25">
      <c r="A7091" t="s">
        <v>5239</v>
      </c>
      <c r="B7091" t="s">
        <v>15</v>
      </c>
      <c r="C7091" t="s">
        <v>5376</v>
      </c>
      <c r="D7091">
        <v>161920</v>
      </c>
      <c r="E7091" t="s">
        <v>14</v>
      </c>
      <c r="F7091">
        <v>43.43</v>
      </c>
      <c r="G7091">
        <v>13.6036</v>
      </c>
      <c r="H7091">
        <v>1</v>
      </c>
      <c r="I7091">
        <v>198</v>
      </c>
      <c r="J7091" t="str">
        <f>HYPERLINK("https://climate.onebuilding.org/WMO_Region_6_Europe/ITA_Italy/MH_Marche/ITA_MH_Loreto.161920_TMYx.zip")</f>
        <v>https://climate.onebuilding.org/WMO_Region_6_Europe/ITA_Italy/MH_Marche/ITA_MH_Loreto.161920_TMYx.zip</v>
      </c>
    </row>
    <row r="7092" spans="1:10" x14ac:dyDescent="0.25">
      <c r="A7092" t="s">
        <v>5239</v>
      </c>
      <c r="B7092" t="s">
        <v>4683</v>
      </c>
      <c r="C7092" t="s">
        <v>5377</v>
      </c>
      <c r="D7092">
        <v>161970</v>
      </c>
      <c r="E7092" t="s">
        <v>5378</v>
      </c>
      <c r="F7092">
        <v>42.731099999999998</v>
      </c>
      <c r="G7092">
        <v>10.3956</v>
      </c>
      <c r="H7092">
        <v>1</v>
      </c>
      <c r="I7092">
        <v>397</v>
      </c>
      <c r="J7092" t="str">
        <f>HYPERLINK("https://climate.onebuilding.org/WMO_Region_6_Europe/ITA_Italy/TC_Tuscany/ITA_TC_Calamita.Mtn.161970_TMYx.2004-2018.zip")</f>
        <v>https://climate.onebuilding.org/WMO_Region_6_Europe/ITA_Italy/TC_Tuscany/ITA_TC_Calamita.Mtn.161970_TMYx.2004-2018.zip</v>
      </c>
    </row>
    <row r="7093" spans="1:10" x14ac:dyDescent="0.25">
      <c r="A7093" t="s">
        <v>5239</v>
      </c>
      <c r="B7093" t="s">
        <v>4683</v>
      </c>
      <c r="C7093" t="s">
        <v>5377</v>
      </c>
      <c r="D7093">
        <v>161970</v>
      </c>
      <c r="E7093" t="s">
        <v>14</v>
      </c>
      <c r="F7093">
        <v>42.731099999999998</v>
      </c>
      <c r="G7093">
        <v>10.3956</v>
      </c>
      <c r="H7093">
        <v>1</v>
      </c>
      <c r="I7093">
        <v>397</v>
      </c>
      <c r="J7093" t="str">
        <f>HYPERLINK("https://climate.onebuilding.org/WMO_Region_6_Europe/ITA_Italy/TC_Tuscany/ITA_TC_Calamita.Mtn.161970_TMYx.2007-2021.zip")</f>
        <v>https://climate.onebuilding.org/WMO_Region_6_Europe/ITA_Italy/TC_Tuscany/ITA_TC_Calamita.Mtn.161970_TMYx.2007-2021.zip</v>
      </c>
    </row>
    <row r="7094" spans="1:10" x14ac:dyDescent="0.25">
      <c r="A7094" t="s">
        <v>5239</v>
      </c>
      <c r="B7094" t="s">
        <v>4683</v>
      </c>
      <c r="C7094" t="s">
        <v>5377</v>
      </c>
      <c r="D7094">
        <v>161970</v>
      </c>
      <c r="E7094" t="s">
        <v>14</v>
      </c>
      <c r="F7094">
        <v>42.731099999999998</v>
      </c>
      <c r="G7094">
        <v>10.3956</v>
      </c>
      <c r="H7094">
        <v>1</v>
      </c>
      <c r="I7094">
        <v>397</v>
      </c>
      <c r="J7094" t="str">
        <f>HYPERLINK("https://climate.onebuilding.org/WMO_Region_6_Europe/ITA_Italy/TC_Tuscany/ITA_TC_Calamita.Mtn.161970_TMYx.2009-2023.zip")</f>
        <v>https://climate.onebuilding.org/WMO_Region_6_Europe/ITA_Italy/TC_Tuscany/ITA_TC_Calamita.Mtn.161970_TMYx.2009-2023.zip</v>
      </c>
    </row>
    <row r="7095" spans="1:10" x14ac:dyDescent="0.25">
      <c r="A7095" t="s">
        <v>5239</v>
      </c>
      <c r="B7095" t="s">
        <v>4683</v>
      </c>
      <c r="C7095" t="s">
        <v>5377</v>
      </c>
      <c r="D7095">
        <v>161970</v>
      </c>
      <c r="E7095" t="s">
        <v>14</v>
      </c>
      <c r="F7095">
        <v>42.731099999999998</v>
      </c>
      <c r="G7095">
        <v>10.3956</v>
      </c>
      <c r="H7095">
        <v>1</v>
      </c>
      <c r="I7095">
        <v>397</v>
      </c>
      <c r="J7095" t="str">
        <f>HYPERLINK("https://climate.onebuilding.org/WMO_Region_6_Europe/ITA_Italy/TC_Tuscany/ITA_TC_Calamita.Mtn.161970_TMYx.zip")</f>
        <v>https://climate.onebuilding.org/WMO_Region_6_Europe/ITA_Italy/TC_Tuscany/ITA_TC_Calamita.Mtn.161970_TMYx.zip</v>
      </c>
    </row>
    <row r="7096" spans="1:10" x14ac:dyDescent="0.25">
      <c r="A7096" t="s">
        <v>5239</v>
      </c>
      <c r="B7096" t="s">
        <v>4683</v>
      </c>
      <c r="C7096" t="s">
        <v>5379</v>
      </c>
      <c r="D7096">
        <v>161980</v>
      </c>
      <c r="E7096" t="s">
        <v>14</v>
      </c>
      <c r="F7096">
        <v>42.731099999999998</v>
      </c>
      <c r="G7096">
        <v>10.3956</v>
      </c>
      <c r="H7096">
        <v>1</v>
      </c>
      <c r="I7096">
        <v>398</v>
      </c>
      <c r="J7096" t="str">
        <f>HYPERLINK("https://climate.onebuilding.org/WMO_Region_6_Europe/ITA_Italy/TC_Tuscany/ITA_TC_Isola.D-Elba.161980_TMYx.zip")</f>
        <v>https://climate.onebuilding.org/WMO_Region_6_Europe/ITA_Italy/TC_Tuscany/ITA_TC_Isola.D-Elba.161980_TMYx.zip</v>
      </c>
    </row>
    <row r="7097" spans="1:10" x14ac:dyDescent="0.25">
      <c r="A7097" t="s">
        <v>5239</v>
      </c>
      <c r="B7097" t="s">
        <v>4683</v>
      </c>
      <c r="C7097" t="s">
        <v>5380</v>
      </c>
      <c r="D7097">
        <v>162000</v>
      </c>
      <c r="E7097" t="s">
        <v>14</v>
      </c>
      <c r="F7097">
        <v>42.5854</v>
      </c>
      <c r="G7097">
        <v>10.0969</v>
      </c>
      <c r="H7097">
        <v>1</v>
      </c>
      <c r="I7097">
        <v>15</v>
      </c>
      <c r="J7097" t="str">
        <f>HYPERLINK("https://climate.onebuilding.org/WMO_Region_6_Europe/ITA_Italy/TC_Tuscany/ITA_TC_Pianosa.Island.162000_TMYx.zip")</f>
        <v>https://climate.onebuilding.org/WMO_Region_6_Europe/ITA_Italy/TC_Tuscany/ITA_TC_Pianosa.Island.162000_TMYx.zip</v>
      </c>
    </row>
    <row r="7098" spans="1:10" x14ac:dyDescent="0.25">
      <c r="A7098" t="s">
        <v>5239</v>
      </c>
      <c r="B7098" t="s">
        <v>4683</v>
      </c>
      <c r="C7098" t="s">
        <v>5381</v>
      </c>
      <c r="D7098">
        <v>162040</v>
      </c>
      <c r="E7098" t="s">
        <v>14</v>
      </c>
      <c r="F7098">
        <v>42.896099999999997</v>
      </c>
      <c r="G7098">
        <v>11.767799999999999</v>
      </c>
      <c r="H7098">
        <v>1</v>
      </c>
      <c r="I7098">
        <v>828</v>
      </c>
      <c r="J7098" t="str">
        <f>HYPERLINK("https://climate.onebuilding.org/WMO_Region_6_Europe/ITA_Italy/TC_Tuscany/ITA_TC_Radicofani.162040_TMYx.2007-2021.zip")</f>
        <v>https://climate.onebuilding.org/WMO_Region_6_Europe/ITA_Italy/TC_Tuscany/ITA_TC_Radicofani.162040_TMYx.2007-2021.zip</v>
      </c>
    </row>
    <row r="7099" spans="1:10" x14ac:dyDescent="0.25">
      <c r="A7099" t="s">
        <v>5239</v>
      </c>
      <c r="B7099" t="s">
        <v>4683</v>
      </c>
      <c r="C7099" t="s">
        <v>5381</v>
      </c>
      <c r="D7099">
        <v>162040</v>
      </c>
      <c r="E7099" t="s">
        <v>14</v>
      </c>
      <c r="F7099">
        <v>42.896099999999997</v>
      </c>
      <c r="G7099">
        <v>11.767799999999999</v>
      </c>
      <c r="H7099">
        <v>1</v>
      </c>
      <c r="I7099">
        <v>828</v>
      </c>
      <c r="J7099" t="str">
        <f>HYPERLINK("https://climate.onebuilding.org/WMO_Region_6_Europe/ITA_Italy/TC_Tuscany/ITA_TC_Radicofani.162040_TMYx.2009-2023.zip")</f>
        <v>https://climate.onebuilding.org/WMO_Region_6_Europe/ITA_Italy/TC_Tuscany/ITA_TC_Radicofani.162040_TMYx.2009-2023.zip</v>
      </c>
    </row>
    <row r="7100" spans="1:10" x14ac:dyDescent="0.25">
      <c r="A7100" t="s">
        <v>5239</v>
      </c>
      <c r="B7100" t="s">
        <v>4683</v>
      </c>
      <c r="C7100" t="s">
        <v>5381</v>
      </c>
      <c r="D7100">
        <v>162040</v>
      </c>
      <c r="E7100" t="s">
        <v>14</v>
      </c>
      <c r="F7100">
        <v>42.896099999999997</v>
      </c>
      <c r="G7100">
        <v>11.767799999999999</v>
      </c>
      <c r="H7100">
        <v>1</v>
      </c>
      <c r="I7100">
        <v>828</v>
      </c>
      <c r="J7100" t="str">
        <f>HYPERLINK("https://climate.onebuilding.org/WMO_Region_6_Europe/ITA_Italy/TC_Tuscany/ITA_TC_Radicofani.162040_TMYx.zip")</f>
        <v>https://climate.onebuilding.org/WMO_Region_6_Europe/ITA_Italy/TC_Tuscany/ITA_TC_Radicofani.162040_TMYx.zip</v>
      </c>
    </row>
    <row r="7101" spans="1:10" x14ac:dyDescent="0.25">
      <c r="A7101" t="s">
        <v>5239</v>
      </c>
      <c r="B7101" t="s">
        <v>4683</v>
      </c>
      <c r="C7101" t="s">
        <v>5382</v>
      </c>
      <c r="D7101">
        <v>162060</v>
      </c>
      <c r="E7101" t="s">
        <v>5383</v>
      </c>
      <c r="F7101">
        <v>42.748100000000001</v>
      </c>
      <c r="G7101">
        <v>11.0589</v>
      </c>
      <c r="H7101">
        <v>1</v>
      </c>
      <c r="I7101">
        <v>7</v>
      </c>
      <c r="J7101" t="str">
        <f>HYPERLINK("https://climate.onebuilding.org/WMO_Region_6_Europe/ITA_Italy/TC_Tuscany/ITA_TC_Grosseto.AP.162060_TMYx.2004-2018.zip")</f>
        <v>https://climate.onebuilding.org/WMO_Region_6_Europe/ITA_Italy/TC_Tuscany/ITA_TC_Grosseto.AP.162060_TMYx.2004-2018.zip</v>
      </c>
    </row>
    <row r="7102" spans="1:10" x14ac:dyDescent="0.25">
      <c r="A7102" t="s">
        <v>5239</v>
      </c>
      <c r="B7102" t="s">
        <v>4683</v>
      </c>
      <c r="C7102" t="s">
        <v>5382</v>
      </c>
      <c r="D7102">
        <v>162060</v>
      </c>
      <c r="E7102" t="s">
        <v>14</v>
      </c>
      <c r="F7102">
        <v>42.748100000000001</v>
      </c>
      <c r="G7102">
        <v>11.0589</v>
      </c>
      <c r="H7102">
        <v>1</v>
      </c>
      <c r="I7102">
        <v>7</v>
      </c>
      <c r="J7102" t="str">
        <f>HYPERLINK("https://climate.onebuilding.org/WMO_Region_6_Europe/ITA_Italy/TC_Tuscany/ITA_TC_Grosseto.AP.162060_TMYx.2007-2021.zip")</f>
        <v>https://climate.onebuilding.org/WMO_Region_6_Europe/ITA_Italy/TC_Tuscany/ITA_TC_Grosseto.AP.162060_TMYx.2007-2021.zip</v>
      </c>
    </row>
    <row r="7103" spans="1:10" x14ac:dyDescent="0.25">
      <c r="A7103" t="s">
        <v>5239</v>
      </c>
      <c r="B7103" t="s">
        <v>4683</v>
      </c>
      <c r="C7103" t="s">
        <v>5382</v>
      </c>
      <c r="D7103">
        <v>162060</v>
      </c>
      <c r="E7103" t="s">
        <v>14</v>
      </c>
      <c r="F7103">
        <v>42.748100000000001</v>
      </c>
      <c r="G7103">
        <v>11.0589</v>
      </c>
      <c r="H7103">
        <v>1</v>
      </c>
      <c r="I7103">
        <v>7</v>
      </c>
      <c r="J7103" t="str">
        <f>HYPERLINK("https://climate.onebuilding.org/WMO_Region_6_Europe/ITA_Italy/TC_Tuscany/ITA_TC_Grosseto.AP.162060_TMYx.2009-2023.zip")</f>
        <v>https://climate.onebuilding.org/WMO_Region_6_Europe/ITA_Italy/TC_Tuscany/ITA_TC_Grosseto.AP.162060_TMYx.2009-2023.zip</v>
      </c>
    </row>
    <row r="7104" spans="1:10" x14ac:dyDescent="0.25">
      <c r="A7104" t="s">
        <v>5239</v>
      </c>
      <c r="B7104" t="s">
        <v>4683</v>
      </c>
      <c r="C7104" t="s">
        <v>5382</v>
      </c>
      <c r="D7104">
        <v>162060</v>
      </c>
      <c r="E7104" t="s">
        <v>14</v>
      </c>
      <c r="F7104">
        <v>42.748100000000001</v>
      </c>
      <c r="G7104">
        <v>11.0589</v>
      </c>
      <c r="H7104">
        <v>1</v>
      </c>
      <c r="I7104">
        <v>7</v>
      </c>
      <c r="J7104" t="str">
        <f>HYPERLINK("https://climate.onebuilding.org/WMO_Region_6_Europe/ITA_Italy/TC_Tuscany/ITA_TC_Grosseto.AP.162060_TMYx.zip")</f>
        <v>https://climate.onebuilding.org/WMO_Region_6_Europe/ITA_Italy/TC_Tuscany/ITA_TC_Grosseto.AP.162060_TMYx.zip</v>
      </c>
    </row>
    <row r="7105" spans="1:10" x14ac:dyDescent="0.25">
      <c r="A7105" t="s">
        <v>5239</v>
      </c>
      <c r="B7105" t="s">
        <v>5384</v>
      </c>
      <c r="C7105" t="s">
        <v>5385</v>
      </c>
      <c r="D7105">
        <v>162140</v>
      </c>
      <c r="E7105" t="s">
        <v>5386</v>
      </c>
      <c r="F7105">
        <v>42.032800000000002</v>
      </c>
      <c r="G7105">
        <v>11.8331</v>
      </c>
      <c r="H7105">
        <v>1</v>
      </c>
      <c r="I7105">
        <v>4.4000000000000004</v>
      </c>
      <c r="J7105" t="str">
        <f>HYPERLINK("https://climate.onebuilding.org/WMO_Region_6_Europe/ITA_Italy/LZ_Lazio/ITA_LZ_Civitavecchia.162140_TMYx.2004-2018.zip")</f>
        <v>https://climate.onebuilding.org/WMO_Region_6_Europe/ITA_Italy/LZ_Lazio/ITA_LZ_Civitavecchia.162140_TMYx.2004-2018.zip</v>
      </c>
    </row>
    <row r="7106" spans="1:10" x14ac:dyDescent="0.25">
      <c r="A7106" t="s">
        <v>5239</v>
      </c>
      <c r="B7106" t="s">
        <v>5384</v>
      </c>
      <c r="C7106" t="s">
        <v>5385</v>
      </c>
      <c r="D7106">
        <v>162140</v>
      </c>
      <c r="E7106" t="s">
        <v>14</v>
      </c>
      <c r="F7106">
        <v>42.032800000000002</v>
      </c>
      <c r="G7106">
        <v>11.8331</v>
      </c>
      <c r="H7106">
        <v>1</v>
      </c>
      <c r="I7106">
        <v>4.4000000000000004</v>
      </c>
      <c r="J7106" t="str">
        <f>HYPERLINK("https://climate.onebuilding.org/WMO_Region_6_Europe/ITA_Italy/LZ_Lazio/ITA_LZ_Civitavecchia.162140_TMYx.2007-2021.zip")</f>
        <v>https://climate.onebuilding.org/WMO_Region_6_Europe/ITA_Italy/LZ_Lazio/ITA_LZ_Civitavecchia.162140_TMYx.2007-2021.zip</v>
      </c>
    </row>
    <row r="7107" spans="1:10" x14ac:dyDescent="0.25">
      <c r="A7107" t="s">
        <v>5239</v>
      </c>
      <c r="B7107" t="s">
        <v>5384</v>
      </c>
      <c r="C7107" t="s">
        <v>5385</v>
      </c>
      <c r="D7107">
        <v>162140</v>
      </c>
      <c r="E7107" t="s">
        <v>14</v>
      </c>
      <c r="F7107">
        <v>42.032800000000002</v>
      </c>
      <c r="G7107">
        <v>11.8331</v>
      </c>
      <c r="H7107">
        <v>1</v>
      </c>
      <c r="I7107">
        <v>4.4000000000000004</v>
      </c>
      <c r="J7107" t="str">
        <f>HYPERLINK("https://climate.onebuilding.org/WMO_Region_6_Europe/ITA_Italy/LZ_Lazio/ITA_LZ_Civitavecchia.162140_TMYx.2009-2023.zip")</f>
        <v>https://climate.onebuilding.org/WMO_Region_6_Europe/ITA_Italy/LZ_Lazio/ITA_LZ_Civitavecchia.162140_TMYx.2009-2023.zip</v>
      </c>
    </row>
    <row r="7108" spans="1:10" x14ac:dyDescent="0.25">
      <c r="A7108" t="s">
        <v>5239</v>
      </c>
      <c r="B7108" t="s">
        <v>5384</v>
      </c>
      <c r="C7108" t="s">
        <v>5385</v>
      </c>
      <c r="D7108">
        <v>162140</v>
      </c>
      <c r="E7108" t="s">
        <v>14</v>
      </c>
      <c r="F7108">
        <v>42.032800000000002</v>
      </c>
      <c r="G7108">
        <v>11.8331</v>
      </c>
      <c r="H7108">
        <v>1</v>
      </c>
      <c r="I7108">
        <v>4.4000000000000004</v>
      </c>
      <c r="J7108" t="str">
        <f>HYPERLINK("https://climate.onebuilding.org/WMO_Region_6_Europe/ITA_Italy/LZ_Lazio/ITA_LZ_Civitavecchia.162140_TMYx.zip")</f>
        <v>https://climate.onebuilding.org/WMO_Region_6_Europe/ITA_Italy/LZ_Lazio/ITA_LZ_Civitavecchia.162140_TMYx.zip</v>
      </c>
    </row>
    <row r="7109" spans="1:10" x14ac:dyDescent="0.25">
      <c r="A7109" t="s">
        <v>5239</v>
      </c>
      <c r="B7109" t="s">
        <v>5384</v>
      </c>
      <c r="C7109" t="s">
        <v>5387</v>
      </c>
      <c r="D7109">
        <v>162160</v>
      </c>
      <c r="E7109" t="s">
        <v>5388</v>
      </c>
      <c r="F7109">
        <v>42.438299999999998</v>
      </c>
      <c r="G7109">
        <v>12.055</v>
      </c>
      <c r="H7109">
        <v>1</v>
      </c>
      <c r="I7109">
        <v>308</v>
      </c>
      <c r="J7109" t="str">
        <f>HYPERLINK("https://climate.onebuilding.org/WMO_Region_6_Europe/ITA_Italy/LZ_Lazio/ITA_LZ_Viterbo.AP.162160_TMYx.2004-2018.zip")</f>
        <v>https://climate.onebuilding.org/WMO_Region_6_Europe/ITA_Italy/LZ_Lazio/ITA_LZ_Viterbo.AP.162160_TMYx.2004-2018.zip</v>
      </c>
    </row>
    <row r="7110" spans="1:10" x14ac:dyDescent="0.25">
      <c r="A7110" t="s">
        <v>5239</v>
      </c>
      <c r="B7110" t="s">
        <v>5384</v>
      </c>
      <c r="C7110" t="s">
        <v>5387</v>
      </c>
      <c r="D7110">
        <v>162160</v>
      </c>
      <c r="E7110" t="s">
        <v>14</v>
      </c>
      <c r="F7110">
        <v>42.438299999999998</v>
      </c>
      <c r="G7110">
        <v>12.055</v>
      </c>
      <c r="H7110">
        <v>1</v>
      </c>
      <c r="I7110">
        <v>308</v>
      </c>
      <c r="J7110" t="str">
        <f>HYPERLINK("https://climate.onebuilding.org/WMO_Region_6_Europe/ITA_Italy/LZ_Lazio/ITA_LZ_Viterbo.AP.162160_TMYx.2007-2021.zip")</f>
        <v>https://climate.onebuilding.org/WMO_Region_6_Europe/ITA_Italy/LZ_Lazio/ITA_LZ_Viterbo.AP.162160_TMYx.2007-2021.zip</v>
      </c>
    </row>
    <row r="7111" spans="1:10" x14ac:dyDescent="0.25">
      <c r="A7111" t="s">
        <v>5239</v>
      </c>
      <c r="B7111" t="s">
        <v>5384</v>
      </c>
      <c r="C7111" t="s">
        <v>5387</v>
      </c>
      <c r="D7111">
        <v>162160</v>
      </c>
      <c r="E7111" t="s">
        <v>14</v>
      </c>
      <c r="F7111">
        <v>42.438299999999998</v>
      </c>
      <c r="G7111">
        <v>12.055</v>
      </c>
      <c r="H7111">
        <v>1</v>
      </c>
      <c r="I7111">
        <v>308</v>
      </c>
      <c r="J7111" t="str">
        <f>HYPERLINK("https://climate.onebuilding.org/WMO_Region_6_Europe/ITA_Italy/LZ_Lazio/ITA_LZ_Viterbo.AP.162160_TMYx.2009-2023.zip")</f>
        <v>https://climate.onebuilding.org/WMO_Region_6_Europe/ITA_Italy/LZ_Lazio/ITA_LZ_Viterbo.AP.162160_TMYx.2009-2023.zip</v>
      </c>
    </row>
    <row r="7112" spans="1:10" x14ac:dyDescent="0.25">
      <c r="A7112" t="s">
        <v>5239</v>
      </c>
      <c r="B7112" t="s">
        <v>5384</v>
      </c>
      <c r="C7112" t="s">
        <v>5387</v>
      </c>
      <c r="D7112">
        <v>162160</v>
      </c>
      <c r="E7112" t="s">
        <v>14</v>
      </c>
      <c r="F7112">
        <v>42.438299999999998</v>
      </c>
      <c r="G7112">
        <v>12.055</v>
      </c>
      <c r="H7112">
        <v>1</v>
      </c>
      <c r="I7112">
        <v>308</v>
      </c>
      <c r="J7112" t="str">
        <f>HYPERLINK("https://climate.onebuilding.org/WMO_Region_6_Europe/ITA_Italy/LZ_Lazio/ITA_LZ_Viterbo.AP.162160_TMYx.zip")</f>
        <v>https://climate.onebuilding.org/WMO_Region_6_Europe/ITA_Italy/LZ_Lazio/ITA_LZ_Viterbo.AP.162160_TMYx.zip</v>
      </c>
    </row>
    <row r="7113" spans="1:10" x14ac:dyDescent="0.25">
      <c r="A7113" t="s">
        <v>5239</v>
      </c>
      <c r="B7113" t="s">
        <v>5384</v>
      </c>
      <c r="C7113" t="s">
        <v>5389</v>
      </c>
      <c r="D7113">
        <v>162170</v>
      </c>
      <c r="E7113" t="s">
        <v>14</v>
      </c>
      <c r="F7113">
        <v>42.471400000000003</v>
      </c>
      <c r="G7113">
        <v>12.3422</v>
      </c>
      <c r="H7113">
        <v>1</v>
      </c>
      <c r="I7113">
        <v>76</v>
      </c>
      <c r="J7113" t="str">
        <f>HYPERLINK("https://climate.onebuilding.org/WMO_Region_6_Europe/ITA_Italy/LZ_Lazio/ITA_LZ_Orte.162170_TMYx.zip")</f>
        <v>https://climate.onebuilding.org/WMO_Region_6_Europe/ITA_Italy/LZ_Lazio/ITA_LZ_Orte.162170_TMYx.zip</v>
      </c>
    </row>
    <row r="7114" spans="1:10" x14ac:dyDescent="0.25">
      <c r="A7114" t="s">
        <v>5239</v>
      </c>
      <c r="B7114" t="s">
        <v>5384</v>
      </c>
      <c r="C7114" t="s">
        <v>5390</v>
      </c>
      <c r="D7114">
        <v>162190</v>
      </c>
      <c r="E7114" t="s">
        <v>5391</v>
      </c>
      <c r="F7114">
        <v>42.466700000000003</v>
      </c>
      <c r="G7114">
        <v>12.9833</v>
      </c>
      <c r="H7114">
        <v>1</v>
      </c>
      <c r="I7114">
        <v>1875</v>
      </c>
      <c r="J7114" t="str">
        <f>HYPERLINK("https://climate.onebuilding.org/WMO_Region_6_Europe/ITA_Italy/LZ_Lazio/ITA_LZ_Terminillo.Mtn.162190_TMYx.2004-2018.zip")</f>
        <v>https://climate.onebuilding.org/WMO_Region_6_Europe/ITA_Italy/LZ_Lazio/ITA_LZ_Terminillo.Mtn.162190_TMYx.2004-2018.zip</v>
      </c>
    </row>
    <row r="7115" spans="1:10" x14ac:dyDescent="0.25">
      <c r="A7115" t="s">
        <v>5239</v>
      </c>
      <c r="B7115" t="s">
        <v>5384</v>
      </c>
      <c r="C7115" t="s">
        <v>5390</v>
      </c>
      <c r="D7115">
        <v>162190</v>
      </c>
      <c r="E7115" t="s">
        <v>14</v>
      </c>
      <c r="F7115">
        <v>42.466700000000003</v>
      </c>
      <c r="G7115">
        <v>12.9833</v>
      </c>
      <c r="H7115">
        <v>1</v>
      </c>
      <c r="I7115">
        <v>1875</v>
      </c>
      <c r="J7115" t="str">
        <f>HYPERLINK("https://climate.onebuilding.org/WMO_Region_6_Europe/ITA_Italy/LZ_Lazio/ITA_LZ_Terminillo.Mtn.162190_TMYx.2007-2021.zip")</f>
        <v>https://climate.onebuilding.org/WMO_Region_6_Europe/ITA_Italy/LZ_Lazio/ITA_LZ_Terminillo.Mtn.162190_TMYx.2007-2021.zip</v>
      </c>
    </row>
    <row r="7116" spans="1:10" x14ac:dyDescent="0.25">
      <c r="A7116" t="s">
        <v>5239</v>
      </c>
      <c r="B7116" t="s">
        <v>5384</v>
      </c>
      <c r="C7116" t="s">
        <v>5390</v>
      </c>
      <c r="D7116">
        <v>162190</v>
      </c>
      <c r="E7116" t="s">
        <v>14</v>
      </c>
      <c r="F7116">
        <v>42.466700000000003</v>
      </c>
      <c r="G7116">
        <v>12.9833</v>
      </c>
      <c r="H7116">
        <v>1</v>
      </c>
      <c r="I7116">
        <v>1875</v>
      </c>
      <c r="J7116" t="str">
        <f>HYPERLINK("https://climate.onebuilding.org/WMO_Region_6_Europe/ITA_Italy/LZ_Lazio/ITA_LZ_Terminillo.Mtn.162190_TMYx.2009-2023.zip")</f>
        <v>https://climate.onebuilding.org/WMO_Region_6_Europe/ITA_Italy/LZ_Lazio/ITA_LZ_Terminillo.Mtn.162190_TMYx.2009-2023.zip</v>
      </c>
    </row>
    <row r="7117" spans="1:10" x14ac:dyDescent="0.25">
      <c r="A7117" t="s">
        <v>5239</v>
      </c>
      <c r="B7117" t="s">
        <v>5384</v>
      </c>
      <c r="C7117" t="s">
        <v>5390</v>
      </c>
      <c r="D7117">
        <v>162190</v>
      </c>
      <c r="E7117" t="s">
        <v>14</v>
      </c>
      <c r="F7117">
        <v>42.466700000000003</v>
      </c>
      <c r="G7117">
        <v>12.9833</v>
      </c>
      <c r="H7117">
        <v>1</v>
      </c>
      <c r="I7117">
        <v>1875</v>
      </c>
      <c r="J7117" t="str">
        <f>HYPERLINK("https://climate.onebuilding.org/WMO_Region_6_Europe/ITA_Italy/LZ_Lazio/ITA_LZ_Terminillo.Mtn.162190_TMYx.zip")</f>
        <v>https://climate.onebuilding.org/WMO_Region_6_Europe/ITA_Italy/LZ_Lazio/ITA_LZ_Terminillo.Mtn.162190_TMYx.zip</v>
      </c>
    </row>
    <row r="7118" spans="1:10" x14ac:dyDescent="0.25">
      <c r="A7118" t="s">
        <v>5239</v>
      </c>
      <c r="B7118" t="s">
        <v>5384</v>
      </c>
      <c r="C7118" t="s">
        <v>5392</v>
      </c>
      <c r="D7118">
        <v>162210</v>
      </c>
      <c r="E7118" t="s">
        <v>5393</v>
      </c>
      <c r="F7118">
        <v>42.426699999999997</v>
      </c>
      <c r="G7118">
        <v>12.85</v>
      </c>
      <c r="H7118">
        <v>1</v>
      </c>
      <c r="I7118">
        <v>389</v>
      </c>
      <c r="J7118" t="str">
        <f>HYPERLINK("https://climate.onebuilding.org/WMO_Region_6_Europe/ITA_Italy/LZ_Lazio/ITA_LZ_Rieti.AF.162210_TMYx.2004-2018.zip")</f>
        <v>https://climate.onebuilding.org/WMO_Region_6_Europe/ITA_Italy/LZ_Lazio/ITA_LZ_Rieti.AF.162210_TMYx.2004-2018.zip</v>
      </c>
    </row>
    <row r="7119" spans="1:10" x14ac:dyDescent="0.25">
      <c r="A7119" t="s">
        <v>5239</v>
      </c>
      <c r="B7119" t="s">
        <v>5384</v>
      </c>
      <c r="C7119" t="s">
        <v>5392</v>
      </c>
      <c r="D7119">
        <v>162210</v>
      </c>
      <c r="E7119" t="s">
        <v>14</v>
      </c>
      <c r="F7119">
        <v>42.426699999999997</v>
      </c>
      <c r="G7119">
        <v>12.85</v>
      </c>
      <c r="H7119">
        <v>1</v>
      </c>
      <c r="I7119">
        <v>389</v>
      </c>
      <c r="J7119" t="str">
        <f>HYPERLINK("https://climate.onebuilding.org/WMO_Region_6_Europe/ITA_Italy/LZ_Lazio/ITA_LZ_Rieti.AF.162210_TMYx.2007-2021.zip")</f>
        <v>https://climate.onebuilding.org/WMO_Region_6_Europe/ITA_Italy/LZ_Lazio/ITA_LZ_Rieti.AF.162210_TMYx.2007-2021.zip</v>
      </c>
    </row>
    <row r="7120" spans="1:10" x14ac:dyDescent="0.25">
      <c r="A7120" t="s">
        <v>5239</v>
      </c>
      <c r="B7120" t="s">
        <v>5384</v>
      </c>
      <c r="C7120" t="s">
        <v>5392</v>
      </c>
      <c r="D7120">
        <v>162210</v>
      </c>
      <c r="E7120" t="s">
        <v>14</v>
      </c>
      <c r="F7120">
        <v>42.426699999999997</v>
      </c>
      <c r="G7120">
        <v>12.85</v>
      </c>
      <c r="H7120">
        <v>1</v>
      </c>
      <c r="I7120">
        <v>389</v>
      </c>
      <c r="J7120" t="str">
        <f>HYPERLINK("https://climate.onebuilding.org/WMO_Region_6_Europe/ITA_Italy/LZ_Lazio/ITA_LZ_Rieti.AF.162210_TMYx.2009-2023.zip")</f>
        <v>https://climate.onebuilding.org/WMO_Region_6_Europe/ITA_Italy/LZ_Lazio/ITA_LZ_Rieti.AF.162210_TMYx.2009-2023.zip</v>
      </c>
    </row>
    <row r="7121" spans="1:10" x14ac:dyDescent="0.25">
      <c r="A7121" t="s">
        <v>5239</v>
      </c>
      <c r="B7121" t="s">
        <v>5384</v>
      </c>
      <c r="C7121" t="s">
        <v>5392</v>
      </c>
      <c r="D7121">
        <v>162210</v>
      </c>
      <c r="E7121" t="s">
        <v>14</v>
      </c>
      <c r="F7121">
        <v>42.426699999999997</v>
      </c>
      <c r="G7121">
        <v>12.85</v>
      </c>
      <c r="H7121">
        <v>1</v>
      </c>
      <c r="I7121">
        <v>389</v>
      </c>
      <c r="J7121" t="str">
        <f>HYPERLINK("https://climate.onebuilding.org/WMO_Region_6_Europe/ITA_Italy/LZ_Lazio/ITA_LZ_Rieti.AF.162210_TMYx.zip")</f>
        <v>https://climate.onebuilding.org/WMO_Region_6_Europe/ITA_Italy/LZ_Lazio/ITA_LZ_Rieti.AF.162210_TMYx.zip</v>
      </c>
    </row>
    <row r="7122" spans="1:10" x14ac:dyDescent="0.25">
      <c r="A7122" t="s">
        <v>5239</v>
      </c>
      <c r="B7122" t="s">
        <v>5384</v>
      </c>
      <c r="C7122" t="s">
        <v>5394</v>
      </c>
      <c r="D7122">
        <v>162240</v>
      </c>
      <c r="E7122" t="s">
        <v>5395</v>
      </c>
      <c r="F7122">
        <v>42.080300000000001</v>
      </c>
      <c r="G7122">
        <v>12.211399999999999</v>
      </c>
      <c r="H7122">
        <v>1</v>
      </c>
      <c r="I7122">
        <v>266</v>
      </c>
      <c r="J7122" t="str">
        <f>HYPERLINK("https://climate.onebuilding.org/WMO_Region_6_Europe/ITA_Italy/LZ_Lazio/ITA_LZ_Vigna.di.Valle.162240_TMYx.2004-2018.zip")</f>
        <v>https://climate.onebuilding.org/WMO_Region_6_Europe/ITA_Italy/LZ_Lazio/ITA_LZ_Vigna.di.Valle.162240_TMYx.2004-2018.zip</v>
      </c>
    </row>
    <row r="7123" spans="1:10" x14ac:dyDescent="0.25">
      <c r="A7123" t="s">
        <v>5239</v>
      </c>
      <c r="B7123" t="s">
        <v>5384</v>
      </c>
      <c r="C7123" t="s">
        <v>5394</v>
      </c>
      <c r="D7123">
        <v>162240</v>
      </c>
      <c r="E7123" t="s">
        <v>14</v>
      </c>
      <c r="F7123">
        <v>42.080300000000001</v>
      </c>
      <c r="G7123">
        <v>12.211399999999999</v>
      </c>
      <c r="H7123">
        <v>1</v>
      </c>
      <c r="I7123">
        <v>266</v>
      </c>
      <c r="J7123" t="str">
        <f>HYPERLINK("https://climate.onebuilding.org/WMO_Region_6_Europe/ITA_Italy/LZ_Lazio/ITA_LZ_Vigna.di.Valle.162240_TMYx.2007-2021.zip")</f>
        <v>https://climate.onebuilding.org/WMO_Region_6_Europe/ITA_Italy/LZ_Lazio/ITA_LZ_Vigna.di.Valle.162240_TMYx.2007-2021.zip</v>
      </c>
    </row>
    <row r="7124" spans="1:10" x14ac:dyDescent="0.25">
      <c r="A7124" t="s">
        <v>5239</v>
      </c>
      <c r="B7124" t="s">
        <v>5384</v>
      </c>
      <c r="C7124" t="s">
        <v>5394</v>
      </c>
      <c r="D7124">
        <v>162240</v>
      </c>
      <c r="E7124" t="s">
        <v>14</v>
      </c>
      <c r="F7124">
        <v>42.080300000000001</v>
      </c>
      <c r="G7124">
        <v>12.211399999999999</v>
      </c>
      <c r="H7124">
        <v>1</v>
      </c>
      <c r="I7124">
        <v>266</v>
      </c>
      <c r="J7124" t="str">
        <f>HYPERLINK("https://climate.onebuilding.org/WMO_Region_6_Europe/ITA_Italy/LZ_Lazio/ITA_LZ_Vigna.di.Valle.162240_TMYx.2009-2023.zip")</f>
        <v>https://climate.onebuilding.org/WMO_Region_6_Europe/ITA_Italy/LZ_Lazio/ITA_LZ_Vigna.di.Valle.162240_TMYx.2009-2023.zip</v>
      </c>
    </row>
    <row r="7125" spans="1:10" x14ac:dyDescent="0.25">
      <c r="A7125" t="s">
        <v>5239</v>
      </c>
      <c r="B7125" t="s">
        <v>5384</v>
      </c>
      <c r="C7125" t="s">
        <v>5394</v>
      </c>
      <c r="D7125">
        <v>162240</v>
      </c>
      <c r="E7125" t="s">
        <v>14</v>
      </c>
      <c r="F7125">
        <v>42.080300000000001</v>
      </c>
      <c r="G7125">
        <v>12.211399999999999</v>
      </c>
      <c r="H7125">
        <v>1</v>
      </c>
      <c r="I7125">
        <v>266</v>
      </c>
      <c r="J7125" t="str">
        <f>HYPERLINK("https://climate.onebuilding.org/WMO_Region_6_Europe/ITA_Italy/LZ_Lazio/ITA_LZ_Vigna.di.Valle.162240_TMYx.zip")</f>
        <v>https://climate.onebuilding.org/WMO_Region_6_Europe/ITA_Italy/LZ_Lazio/ITA_LZ_Vigna.di.Valle.162240_TMYx.zip</v>
      </c>
    </row>
    <row r="7126" spans="1:10" x14ac:dyDescent="0.25">
      <c r="A7126" t="s">
        <v>5239</v>
      </c>
      <c r="B7126" t="s">
        <v>15</v>
      </c>
      <c r="C7126" t="s">
        <v>5396</v>
      </c>
      <c r="D7126">
        <v>162250</v>
      </c>
      <c r="E7126" t="s">
        <v>14</v>
      </c>
      <c r="F7126">
        <v>42.982999999999997</v>
      </c>
      <c r="G7126">
        <v>13.867000000000001</v>
      </c>
      <c r="H7126">
        <v>1</v>
      </c>
      <c r="I7126">
        <v>1</v>
      </c>
      <c r="J7126" t="str">
        <f>HYPERLINK("https://climate.onebuilding.org/WMO_Region_6_Europe/ITA_Italy/MH_Marche/ITA_MH_Grottammare.162250_TMYx.zip")</f>
        <v>https://climate.onebuilding.org/WMO_Region_6_Europe/ITA_Italy/MH_Marche/ITA_MH_Grottammare.162250_TMYx.zip</v>
      </c>
    </row>
    <row r="7127" spans="1:10" x14ac:dyDescent="0.25">
      <c r="A7127" t="s">
        <v>5239</v>
      </c>
      <c r="B7127" t="s">
        <v>5397</v>
      </c>
      <c r="C7127" t="s">
        <v>5398</v>
      </c>
      <c r="D7127">
        <v>162270</v>
      </c>
      <c r="E7127" t="s">
        <v>14</v>
      </c>
      <c r="F7127">
        <v>41.978299999999997</v>
      </c>
      <c r="G7127">
        <v>13.6053</v>
      </c>
      <c r="H7127">
        <v>1</v>
      </c>
      <c r="I7127">
        <v>651</v>
      </c>
      <c r="J7127" t="str">
        <f>HYPERLINK("https://climate.onebuilding.org/WMO_Region_6_Europe/ITA_Italy/AB_Abruzzi/ITA_AB_Fucino.162270_TMYx.2007-2021.zip")</f>
        <v>https://climate.onebuilding.org/WMO_Region_6_Europe/ITA_Italy/AB_Abruzzi/ITA_AB_Fucino.162270_TMYx.2007-2021.zip</v>
      </c>
    </row>
    <row r="7128" spans="1:10" x14ac:dyDescent="0.25">
      <c r="A7128" t="s">
        <v>5239</v>
      </c>
      <c r="B7128" t="s">
        <v>5397</v>
      </c>
      <c r="C7128" t="s">
        <v>5398</v>
      </c>
      <c r="D7128">
        <v>162270</v>
      </c>
      <c r="E7128" t="s">
        <v>14</v>
      </c>
      <c r="F7128">
        <v>41.978299999999997</v>
      </c>
      <c r="G7128">
        <v>13.6053</v>
      </c>
      <c r="H7128">
        <v>1</v>
      </c>
      <c r="I7128">
        <v>651</v>
      </c>
      <c r="J7128" t="str">
        <f>HYPERLINK("https://climate.onebuilding.org/WMO_Region_6_Europe/ITA_Italy/AB_Abruzzi/ITA_AB_Fucino.162270_TMYx.2009-2023.zip")</f>
        <v>https://climate.onebuilding.org/WMO_Region_6_Europe/ITA_Italy/AB_Abruzzi/ITA_AB_Fucino.162270_TMYx.2009-2023.zip</v>
      </c>
    </row>
    <row r="7129" spans="1:10" x14ac:dyDescent="0.25">
      <c r="A7129" t="s">
        <v>5239</v>
      </c>
      <c r="B7129" t="s">
        <v>5397</v>
      </c>
      <c r="C7129" t="s">
        <v>5398</v>
      </c>
      <c r="D7129">
        <v>162270</v>
      </c>
      <c r="E7129" t="s">
        <v>14</v>
      </c>
      <c r="F7129">
        <v>41.978299999999997</v>
      </c>
      <c r="G7129">
        <v>13.6053</v>
      </c>
      <c r="H7129">
        <v>1</v>
      </c>
      <c r="I7129">
        <v>651</v>
      </c>
      <c r="J7129" t="str">
        <f>HYPERLINK("https://climate.onebuilding.org/WMO_Region_6_Europe/ITA_Italy/AB_Abruzzi/ITA_AB_Fucino.162270_TMYx.zip")</f>
        <v>https://climate.onebuilding.org/WMO_Region_6_Europe/ITA_Italy/AB_Abruzzi/ITA_AB_Fucino.162270_TMYx.zip</v>
      </c>
    </row>
    <row r="7130" spans="1:10" x14ac:dyDescent="0.25">
      <c r="A7130" t="s">
        <v>5239</v>
      </c>
      <c r="B7130" t="s">
        <v>5397</v>
      </c>
      <c r="C7130" t="s">
        <v>5399</v>
      </c>
      <c r="D7130">
        <v>162280</v>
      </c>
      <c r="E7130" t="s">
        <v>14</v>
      </c>
      <c r="F7130">
        <v>42.366999999999997</v>
      </c>
      <c r="G7130">
        <v>13.3</v>
      </c>
      <c r="H7130">
        <v>1</v>
      </c>
      <c r="I7130">
        <v>667</v>
      </c>
      <c r="J7130" t="str">
        <f>HYPERLINK("https://climate.onebuilding.org/WMO_Region_6_Europe/ITA_Italy/AB_Abruzzi/ITA_AB_Preturo.162280_TMYx.zip")</f>
        <v>https://climate.onebuilding.org/WMO_Region_6_Europe/ITA_Italy/AB_Abruzzi/ITA_AB_Preturo.162280_TMYx.zip</v>
      </c>
    </row>
    <row r="7131" spans="1:10" x14ac:dyDescent="0.25">
      <c r="A7131" t="s">
        <v>5239</v>
      </c>
      <c r="B7131" t="s">
        <v>5397</v>
      </c>
      <c r="C7131" t="s">
        <v>5400</v>
      </c>
      <c r="D7131">
        <v>162290</v>
      </c>
      <c r="E7131" t="s">
        <v>14</v>
      </c>
      <c r="F7131">
        <v>42.45</v>
      </c>
      <c r="G7131">
        <v>13.55</v>
      </c>
      <c r="H7131">
        <v>1</v>
      </c>
      <c r="I7131">
        <v>2138</v>
      </c>
      <c r="J7131" t="str">
        <f>HYPERLINK("https://climate.onebuilding.org/WMO_Region_6_Europe/ITA_Italy/AB_Abruzzi/ITA_AB_Gran.Sasso.Mtn.Rng.162290_TMYx.zip")</f>
        <v>https://climate.onebuilding.org/WMO_Region_6_Europe/ITA_Italy/AB_Abruzzi/ITA_AB_Gran.Sasso.Mtn.Rng.162290_TMYx.zip</v>
      </c>
    </row>
    <row r="7132" spans="1:10" x14ac:dyDescent="0.25">
      <c r="A7132" t="s">
        <v>5239</v>
      </c>
      <c r="B7132" t="s">
        <v>5397</v>
      </c>
      <c r="C7132" t="s">
        <v>5401</v>
      </c>
      <c r="D7132">
        <v>162300</v>
      </c>
      <c r="E7132" t="s">
        <v>5402</v>
      </c>
      <c r="F7132">
        <v>42.437199999999997</v>
      </c>
      <c r="G7132">
        <v>14.187200000000001</v>
      </c>
      <c r="H7132">
        <v>1</v>
      </c>
      <c r="I7132">
        <v>11</v>
      </c>
      <c r="J7132" t="str">
        <f>HYPERLINK("https://climate.onebuilding.org/WMO_Region_6_Europe/ITA_Italy/AB_Abruzzi/ITA_AB_Pescara.Abruzzo.AP.162300_TMYx.2004-2018.zip")</f>
        <v>https://climate.onebuilding.org/WMO_Region_6_Europe/ITA_Italy/AB_Abruzzi/ITA_AB_Pescara.Abruzzo.AP.162300_TMYx.2004-2018.zip</v>
      </c>
    </row>
    <row r="7133" spans="1:10" x14ac:dyDescent="0.25">
      <c r="A7133" t="s">
        <v>5239</v>
      </c>
      <c r="B7133" t="s">
        <v>5397</v>
      </c>
      <c r="C7133" t="s">
        <v>5401</v>
      </c>
      <c r="D7133">
        <v>162300</v>
      </c>
      <c r="E7133" t="s">
        <v>14</v>
      </c>
      <c r="F7133">
        <v>42.437199999999997</v>
      </c>
      <c r="G7133">
        <v>14.187200000000001</v>
      </c>
      <c r="H7133">
        <v>1</v>
      </c>
      <c r="I7133">
        <v>11</v>
      </c>
      <c r="J7133" t="str">
        <f>HYPERLINK("https://climate.onebuilding.org/WMO_Region_6_Europe/ITA_Italy/AB_Abruzzi/ITA_AB_Pescara.Abruzzo.AP.162300_TMYx.2007-2021.zip")</f>
        <v>https://climate.onebuilding.org/WMO_Region_6_Europe/ITA_Italy/AB_Abruzzi/ITA_AB_Pescara.Abruzzo.AP.162300_TMYx.2007-2021.zip</v>
      </c>
    </row>
    <row r="7134" spans="1:10" x14ac:dyDescent="0.25">
      <c r="A7134" t="s">
        <v>5239</v>
      </c>
      <c r="B7134" t="s">
        <v>5397</v>
      </c>
      <c r="C7134" t="s">
        <v>5401</v>
      </c>
      <c r="D7134">
        <v>162300</v>
      </c>
      <c r="E7134" t="s">
        <v>14</v>
      </c>
      <c r="F7134">
        <v>42.437199999999997</v>
      </c>
      <c r="G7134">
        <v>14.187200000000001</v>
      </c>
      <c r="H7134">
        <v>1</v>
      </c>
      <c r="I7134">
        <v>11</v>
      </c>
      <c r="J7134" t="str">
        <f>HYPERLINK("https://climate.onebuilding.org/WMO_Region_6_Europe/ITA_Italy/AB_Abruzzi/ITA_AB_Pescara.Abruzzo.AP.162300_TMYx.2009-2023.zip")</f>
        <v>https://climate.onebuilding.org/WMO_Region_6_Europe/ITA_Italy/AB_Abruzzi/ITA_AB_Pescara.Abruzzo.AP.162300_TMYx.2009-2023.zip</v>
      </c>
    </row>
    <row r="7135" spans="1:10" x14ac:dyDescent="0.25">
      <c r="A7135" t="s">
        <v>5239</v>
      </c>
      <c r="B7135" t="s">
        <v>5397</v>
      </c>
      <c r="C7135" t="s">
        <v>5401</v>
      </c>
      <c r="D7135">
        <v>162300</v>
      </c>
      <c r="E7135" t="s">
        <v>14</v>
      </c>
      <c r="F7135">
        <v>42.437199999999997</v>
      </c>
      <c r="G7135">
        <v>14.187200000000001</v>
      </c>
      <c r="H7135">
        <v>1</v>
      </c>
      <c r="I7135">
        <v>11</v>
      </c>
      <c r="J7135" t="str">
        <f>HYPERLINK("https://climate.onebuilding.org/WMO_Region_6_Europe/ITA_Italy/AB_Abruzzi/ITA_AB_Pescara.Abruzzo.AP.162300_TMYx.zip")</f>
        <v>https://climate.onebuilding.org/WMO_Region_6_Europe/ITA_Italy/AB_Abruzzi/ITA_AB_Pescara.Abruzzo.AP.162300_TMYx.zip</v>
      </c>
    </row>
    <row r="7136" spans="1:10" x14ac:dyDescent="0.25">
      <c r="A7136" t="s">
        <v>5239</v>
      </c>
      <c r="B7136" t="s">
        <v>5403</v>
      </c>
      <c r="C7136" t="s">
        <v>5404</v>
      </c>
      <c r="D7136">
        <v>162320</v>
      </c>
      <c r="E7136" t="s">
        <v>5405</v>
      </c>
      <c r="F7136">
        <v>42.004199999999997</v>
      </c>
      <c r="G7136">
        <v>14.9964</v>
      </c>
      <c r="H7136">
        <v>1</v>
      </c>
      <c r="I7136">
        <v>44</v>
      </c>
      <c r="J7136" t="str">
        <f>HYPERLINK("https://climate.onebuilding.org/WMO_Region_6_Europe/ITA_Italy/ML_Molise/ITA_ML_Termoli.162320_TMYx.2004-2018.zip")</f>
        <v>https://climate.onebuilding.org/WMO_Region_6_Europe/ITA_Italy/ML_Molise/ITA_ML_Termoli.162320_TMYx.2004-2018.zip</v>
      </c>
    </row>
    <row r="7137" spans="1:10" x14ac:dyDescent="0.25">
      <c r="A7137" t="s">
        <v>5239</v>
      </c>
      <c r="B7137" t="s">
        <v>5403</v>
      </c>
      <c r="C7137" t="s">
        <v>5404</v>
      </c>
      <c r="D7137">
        <v>162320</v>
      </c>
      <c r="E7137" t="s">
        <v>14</v>
      </c>
      <c r="F7137">
        <v>42.004199999999997</v>
      </c>
      <c r="G7137">
        <v>14.9964</v>
      </c>
      <c r="H7137">
        <v>1</v>
      </c>
      <c r="I7137">
        <v>44</v>
      </c>
      <c r="J7137" t="str">
        <f>HYPERLINK("https://climate.onebuilding.org/WMO_Region_6_Europe/ITA_Italy/ML_Molise/ITA_ML_Termoli.162320_TMYx.2007-2021.zip")</f>
        <v>https://climate.onebuilding.org/WMO_Region_6_Europe/ITA_Italy/ML_Molise/ITA_ML_Termoli.162320_TMYx.2007-2021.zip</v>
      </c>
    </row>
    <row r="7138" spans="1:10" x14ac:dyDescent="0.25">
      <c r="A7138" t="s">
        <v>5239</v>
      </c>
      <c r="B7138" t="s">
        <v>5403</v>
      </c>
      <c r="C7138" t="s">
        <v>5404</v>
      </c>
      <c r="D7138">
        <v>162320</v>
      </c>
      <c r="E7138" t="s">
        <v>14</v>
      </c>
      <c r="F7138">
        <v>42.004199999999997</v>
      </c>
      <c r="G7138">
        <v>14.9964</v>
      </c>
      <c r="H7138">
        <v>1</v>
      </c>
      <c r="I7138">
        <v>44</v>
      </c>
      <c r="J7138" t="str">
        <f>HYPERLINK("https://climate.onebuilding.org/WMO_Region_6_Europe/ITA_Italy/ML_Molise/ITA_ML_Termoli.162320_TMYx.2009-2023.zip")</f>
        <v>https://climate.onebuilding.org/WMO_Region_6_Europe/ITA_Italy/ML_Molise/ITA_ML_Termoli.162320_TMYx.2009-2023.zip</v>
      </c>
    </row>
    <row r="7139" spans="1:10" x14ac:dyDescent="0.25">
      <c r="A7139" t="s">
        <v>5239</v>
      </c>
      <c r="B7139" t="s">
        <v>5403</v>
      </c>
      <c r="C7139" t="s">
        <v>5404</v>
      </c>
      <c r="D7139">
        <v>162320</v>
      </c>
      <c r="E7139" t="s">
        <v>14</v>
      </c>
      <c r="F7139">
        <v>42.004199999999997</v>
      </c>
      <c r="G7139">
        <v>14.9964</v>
      </c>
      <c r="H7139">
        <v>1</v>
      </c>
      <c r="I7139">
        <v>44</v>
      </c>
      <c r="J7139" t="str">
        <f>HYPERLINK("https://climate.onebuilding.org/WMO_Region_6_Europe/ITA_Italy/ML_Molise/ITA_ML_Termoli.162320_TMYx.zip")</f>
        <v>https://climate.onebuilding.org/WMO_Region_6_Europe/ITA_Italy/ML_Molise/ITA_ML_Termoli.162320_TMYx.zip</v>
      </c>
    </row>
    <row r="7140" spans="1:10" x14ac:dyDescent="0.25">
      <c r="A7140" t="s">
        <v>5239</v>
      </c>
      <c r="B7140" t="s">
        <v>5384</v>
      </c>
      <c r="C7140" t="s">
        <v>5406</v>
      </c>
      <c r="D7140">
        <v>162340</v>
      </c>
      <c r="E7140" t="s">
        <v>5407</v>
      </c>
      <c r="F7140">
        <v>41.996699999999997</v>
      </c>
      <c r="G7140">
        <v>12.734400000000001</v>
      </c>
      <c r="H7140">
        <v>1</v>
      </c>
      <c r="I7140">
        <v>88.9</v>
      </c>
      <c r="J7140" t="str">
        <f>HYPERLINK("https://climate.onebuilding.org/WMO_Region_6_Europe/ITA_Italy/LZ_Lazio/ITA_LZ_Guidonia.AB.162340_TMYx.2004-2018.zip")</f>
        <v>https://climate.onebuilding.org/WMO_Region_6_Europe/ITA_Italy/LZ_Lazio/ITA_LZ_Guidonia.AB.162340_TMYx.2004-2018.zip</v>
      </c>
    </row>
    <row r="7141" spans="1:10" x14ac:dyDescent="0.25">
      <c r="A7141" t="s">
        <v>5239</v>
      </c>
      <c r="B7141" t="s">
        <v>5384</v>
      </c>
      <c r="C7141" t="s">
        <v>5406</v>
      </c>
      <c r="D7141">
        <v>162340</v>
      </c>
      <c r="E7141" t="s">
        <v>14</v>
      </c>
      <c r="F7141">
        <v>41.996699999999997</v>
      </c>
      <c r="G7141">
        <v>12.734400000000001</v>
      </c>
      <c r="H7141">
        <v>1</v>
      </c>
      <c r="I7141">
        <v>88.9</v>
      </c>
      <c r="J7141" t="str">
        <f>HYPERLINK("https://climate.onebuilding.org/WMO_Region_6_Europe/ITA_Italy/LZ_Lazio/ITA_LZ_Guidonia.AB.162340_TMYx.2007-2021.zip")</f>
        <v>https://climate.onebuilding.org/WMO_Region_6_Europe/ITA_Italy/LZ_Lazio/ITA_LZ_Guidonia.AB.162340_TMYx.2007-2021.zip</v>
      </c>
    </row>
    <row r="7142" spans="1:10" x14ac:dyDescent="0.25">
      <c r="A7142" t="s">
        <v>5239</v>
      </c>
      <c r="B7142" t="s">
        <v>5384</v>
      </c>
      <c r="C7142" t="s">
        <v>5406</v>
      </c>
      <c r="D7142">
        <v>162340</v>
      </c>
      <c r="E7142" t="s">
        <v>14</v>
      </c>
      <c r="F7142">
        <v>41.996699999999997</v>
      </c>
      <c r="G7142">
        <v>12.734400000000001</v>
      </c>
      <c r="H7142">
        <v>1</v>
      </c>
      <c r="I7142">
        <v>88.9</v>
      </c>
      <c r="J7142" t="str">
        <f>HYPERLINK("https://climate.onebuilding.org/WMO_Region_6_Europe/ITA_Italy/LZ_Lazio/ITA_LZ_Guidonia.AB.162340_TMYx.2009-2023.zip")</f>
        <v>https://climate.onebuilding.org/WMO_Region_6_Europe/ITA_Italy/LZ_Lazio/ITA_LZ_Guidonia.AB.162340_TMYx.2009-2023.zip</v>
      </c>
    </row>
    <row r="7143" spans="1:10" x14ac:dyDescent="0.25">
      <c r="A7143" t="s">
        <v>5239</v>
      </c>
      <c r="B7143" t="s">
        <v>5384</v>
      </c>
      <c r="C7143" t="s">
        <v>5406</v>
      </c>
      <c r="D7143">
        <v>162340</v>
      </c>
      <c r="E7143" t="s">
        <v>14</v>
      </c>
      <c r="F7143">
        <v>41.996699999999997</v>
      </c>
      <c r="G7143">
        <v>12.734400000000001</v>
      </c>
      <c r="H7143">
        <v>1</v>
      </c>
      <c r="I7143">
        <v>88.9</v>
      </c>
      <c r="J7143" t="str">
        <f>HYPERLINK("https://climate.onebuilding.org/WMO_Region_6_Europe/ITA_Italy/LZ_Lazio/ITA_LZ_Guidonia.AB.162340_TMYx.zip")</f>
        <v>https://climate.onebuilding.org/WMO_Region_6_Europe/ITA_Italy/LZ_Lazio/ITA_LZ_Guidonia.AB.162340_TMYx.zip</v>
      </c>
    </row>
    <row r="7144" spans="1:10" x14ac:dyDescent="0.25">
      <c r="A7144" t="s">
        <v>5239</v>
      </c>
      <c r="B7144" t="s">
        <v>5384</v>
      </c>
      <c r="C7144" t="s">
        <v>5408</v>
      </c>
      <c r="D7144">
        <v>162350</v>
      </c>
      <c r="E7144" t="s">
        <v>5409</v>
      </c>
      <c r="F7144">
        <v>41.951999999999998</v>
      </c>
      <c r="G7144">
        <v>12.5008</v>
      </c>
      <c r="H7144">
        <v>1</v>
      </c>
      <c r="I7144">
        <v>24</v>
      </c>
      <c r="J7144" t="str">
        <f>HYPERLINK("https://climate.onebuilding.org/WMO_Region_6_Europe/ITA_Italy/LZ_Lazio/ITA_LZ_Roma.Urbe.Rgnl.AP.162350_TMYx.2004-2018.zip")</f>
        <v>https://climate.onebuilding.org/WMO_Region_6_Europe/ITA_Italy/LZ_Lazio/ITA_LZ_Roma.Urbe.Rgnl.AP.162350_TMYx.2004-2018.zip</v>
      </c>
    </row>
    <row r="7145" spans="1:10" x14ac:dyDescent="0.25">
      <c r="A7145" t="s">
        <v>5239</v>
      </c>
      <c r="B7145" t="s">
        <v>5384</v>
      </c>
      <c r="C7145" t="s">
        <v>5408</v>
      </c>
      <c r="D7145">
        <v>162350</v>
      </c>
      <c r="E7145" t="s">
        <v>14</v>
      </c>
      <c r="F7145">
        <v>41.951999999999998</v>
      </c>
      <c r="G7145">
        <v>12.5008</v>
      </c>
      <c r="H7145">
        <v>1</v>
      </c>
      <c r="I7145">
        <v>24</v>
      </c>
      <c r="J7145" t="str">
        <f>HYPERLINK("https://climate.onebuilding.org/WMO_Region_6_Europe/ITA_Italy/LZ_Lazio/ITA_LZ_Roma.Urbe.Rgnl.AP.162350_TMYx.2007-2021.zip")</f>
        <v>https://climate.onebuilding.org/WMO_Region_6_Europe/ITA_Italy/LZ_Lazio/ITA_LZ_Roma.Urbe.Rgnl.AP.162350_TMYx.2007-2021.zip</v>
      </c>
    </row>
    <row r="7146" spans="1:10" x14ac:dyDescent="0.25">
      <c r="A7146" t="s">
        <v>5239</v>
      </c>
      <c r="B7146" t="s">
        <v>5384</v>
      </c>
      <c r="C7146" t="s">
        <v>5408</v>
      </c>
      <c r="D7146">
        <v>162350</v>
      </c>
      <c r="E7146" t="s">
        <v>14</v>
      </c>
      <c r="F7146">
        <v>41.951999999999998</v>
      </c>
      <c r="G7146">
        <v>12.5008</v>
      </c>
      <c r="H7146">
        <v>1</v>
      </c>
      <c r="I7146">
        <v>24</v>
      </c>
      <c r="J7146" t="str">
        <f>HYPERLINK("https://climate.onebuilding.org/WMO_Region_6_Europe/ITA_Italy/LZ_Lazio/ITA_LZ_Roma.Urbe.Rgnl.AP.162350_TMYx.2009-2023.zip")</f>
        <v>https://climate.onebuilding.org/WMO_Region_6_Europe/ITA_Italy/LZ_Lazio/ITA_LZ_Roma.Urbe.Rgnl.AP.162350_TMYx.2009-2023.zip</v>
      </c>
    </row>
    <row r="7147" spans="1:10" x14ac:dyDescent="0.25">
      <c r="A7147" t="s">
        <v>5239</v>
      </c>
      <c r="B7147" t="s">
        <v>5384</v>
      </c>
      <c r="C7147" t="s">
        <v>5408</v>
      </c>
      <c r="D7147">
        <v>162350</v>
      </c>
      <c r="E7147" t="s">
        <v>14</v>
      </c>
      <c r="F7147">
        <v>41.951999999999998</v>
      </c>
      <c r="G7147">
        <v>12.5008</v>
      </c>
      <c r="H7147">
        <v>1</v>
      </c>
      <c r="I7147">
        <v>24</v>
      </c>
      <c r="J7147" t="str">
        <f>HYPERLINK("https://climate.onebuilding.org/WMO_Region_6_Europe/ITA_Italy/LZ_Lazio/ITA_LZ_Roma.Urbe.Rgnl.AP.162350_TMYx.zip")</f>
        <v>https://climate.onebuilding.org/WMO_Region_6_Europe/ITA_Italy/LZ_Lazio/ITA_LZ_Roma.Urbe.Rgnl.AP.162350_TMYx.zip</v>
      </c>
    </row>
    <row r="7148" spans="1:10" x14ac:dyDescent="0.25">
      <c r="A7148" t="s">
        <v>5239</v>
      </c>
      <c r="B7148" t="s">
        <v>5384</v>
      </c>
      <c r="C7148" t="s">
        <v>5410</v>
      </c>
      <c r="D7148">
        <v>162380</v>
      </c>
      <c r="E7148" t="s">
        <v>14</v>
      </c>
      <c r="F7148">
        <v>41.868000000000002</v>
      </c>
      <c r="G7148">
        <v>12.5578</v>
      </c>
      <c r="H7148">
        <v>1</v>
      </c>
      <c r="I7148">
        <v>54</v>
      </c>
      <c r="J7148" t="str">
        <f>HYPERLINK("https://climate.onebuilding.org/WMO_Region_6_Europe/ITA_Italy/LZ_Lazio/ITA_LZ_Rome.Central.162380_TMYx.zip")</f>
        <v>https://climate.onebuilding.org/WMO_Region_6_Europe/ITA_Italy/LZ_Lazio/ITA_LZ_Rome.Central.162380_TMYx.zip</v>
      </c>
    </row>
    <row r="7149" spans="1:10" x14ac:dyDescent="0.25">
      <c r="A7149" t="s">
        <v>5239</v>
      </c>
      <c r="B7149" t="s">
        <v>5384</v>
      </c>
      <c r="C7149" t="s">
        <v>5411</v>
      </c>
      <c r="D7149">
        <v>162390</v>
      </c>
      <c r="E7149" t="s">
        <v>5412</v>
      </c>
      <c r="F7149">
        <v>41.808100000000003</v>
      </c>
      <c r="G7149">
        <v>12.5847</v>
      </c>
      <c r="H7149">
        <v>1</v>
      </c>
      <c r="I7149">
        <v>105</v>
      </c>
      <c r="J7149" t="str">
        <f>HYPERLINK("https://climate.onebuilding.org/WMO_Region_6_Europe/ITA_Italy/LZ_Lazio/ITA_LZ_Roma-Ciampino.AP.162390_TMYx.2004-2018.zip")</f>
        <v>https://climate.onebuilding.org/WMO_Region_6_Europe/ITA_Italy/LZ_Lazio/ITA_LZ_Roma-Ciampino.AP.162390_TMYx.2004-2018.zip</v>
      </c>
    </row>
    <row r="7150" spans="1:10" x14ac:dyDescent="0.25">
      <c r="A7150" t="s">
        <v>5239</v>
      </c>
      <c r="B7150" t="s">
        <v>5384</v>
      </c>
      <c r="C7150" t="s">
        <v>5411</v>
      </c>
      <c r="D7150">
        <v>162390</v>
      </c>
      <c r="E7150" t="s">
        <v>14</v>
      </c>
      <c r="F7150">
        <v>41.808100000000003</v>
      </c>
      <c r="G7150">
        <v>12.5847</v>
      </c>
      <c r="H7150">
        <v>1</v>
      </c>
      <c r="I7150">
        <v>105</v>
      </c>
      <c r="J7150" t="str">
        <f>HYPERLINK("https://climate.onebuilding.org/WMO_Region_6_Europe/ITA_Italy/LZ_Lazio/ITA_LZ_Roma-Ciampino.AP.162390_TMYx.2007-2021.zip")</f>
        <v>https://climate.onebuilding.org/WMO_Region_6_Europe/ITA_Italy/LZ_Lazio/ITA_LZ_Roma-Ciampino.AP.162390_TMYx.2007-2021.zip</v>
      </c>
    </row>
    <row r="7151" spans="1:10" x14ac:dyDescent="0.25">
      <c r="A7151" t="s">
        <v>5239</v>
      </c>
      <c r="B7151" t="s">
        <v>5384</v>
      </c>
      <c r="C7151" t="s">
        <v>5411</v>
      </c>
      <c r="D7151">
        <v>162390</v>
      </c>
      <c r="E7151" t="s">
        <v>14</v>
      </c>
      <c r="F7151">
        <v>41.808100000000003</v>
      </c>
      <c r="G7151">
        <v>12.5847</v>
      </c>
      <c r="H7151">
        <v>1</v>
      </c>
      <c r="I7151">
        <v>105</v>
      </c>
      <c r="J7151" t="str">
        <f>HYPERLINK("https://climate.onebuilding.org/WMO_Region_6_Europe/ITA_Italy/LZ_Lazio/ITA_LZ_Roma-Ciampino.AP.162390_TMYx.2009-2023.zip")</f>
        <v>https://climate.onebuilding.org/WMO_Region_6_Europe/ITA_Italy/LZ_Lazio/ITA_LZ_Roma-Ciampino.AP.162390_TMYx.2009-2023.zip</v>
      </c>
    </row>
    <row r="7152" spans="1:10" x14ac:dyDescent="0.25">
      <c r="A7152" t="s">
        <v>5239</v>
      </c>
      <c r="B7152" t="s">
        <v>5384</v>
      </c>
      <c r="C7152" t="s">
        <v>5411</v>
      </c>
      <c r="D7152">
        <v>162390</v>
      </c>
      <c r="E7152" t="s">
        <v>14</v>
      </c>
      <c r="F7152">
        <v>41.808100000000003</v>
      </c>
      <c r="G7152">
        <v>12.5847</v>
      </c>
      <c r="H7152">
        <v>1</v>
      </c>
      <c r="I7152">
        <v>105</v>
      </c>
      <c r="J7152" t="str">
        <f>HYPERLINK("https://climate.onebuilding.org/WMO_Region_6_Europe/ITA_Italy/LZ_Lazio/ITA_LZ_Roma-Ciampino.AP.162390_TMYx.zip")</f>
        <v>https://climate.onebuilding.org/WMO_Region_6_Europe/ITA_Italy/LZ_Lazio/ITA_LZ_Roma-Ciampino.AP.162390_TMYx.zip</v>
      </c>
    </row>
    <row r="7153" spans="1:10" x14ac:dyDescent="0.25">
      <c r="A7153" t="s">
        <v>5239</v>
      </c>
      <c r="B7153" t="s">
        <v>5384</v>
      </c>
      <c r="C7153" t="s">
        <v>5413</v>
      </c>
      <c r="D7153">
        <v>162400</v>
      </c>
      <c r="E7153" t="s">
        <v>14</v>
      </c>
      <c r="F7153">
        <v>41.9</v>
      </c>
      <c r="G7153">
        <v>12.483000000000001</v>
      </c>
      <c r="H7153">
        <v>1</v>
      </c>
      <c r="I7153">
        <v>95</v>
      </c>
      <c r="J7153" t="str">
        <f>HYPERLINK("https://climate.onebuilding.org/WMO_Region_6_Europe/ITA_Italy/LZ_Lazio/ITA_LZ_Rome.162400_TMYx.zip")</f>
        <v>https://climate.onebuilding.org/WMO_Region_6_Europe/ITA_Italy/LZ_Lazio/ITA_LZ_Rome.162400_TMYx.zip</v>
      </c>
    </row>
    <row r="7154" spans="1:10" x14ac:dyDescent="0.25">
      <c r="A7154" t="s">
        <v>5239</v>
      </c>
      <c r="B7154" t="s">
        <v>5384</v>
      </c>
      <c r="C7154" t="s">
        <v>5414</v>
      </c>
      <c r="D7154">
        <v>162420</v>
      </c>
      <c r="E7154" t="s">
        <v>5415</v>
      </c>
      <c r="F7154">
        <v>41.8003</v>
      </c>
      <c r="G7154">
        <v>12.238899999999999</v>
      </c>
      <c r="H7154">
        <v>1</v>
      </c>
      <c r="I7154">
        <v>3</v>
      </c>
      <c r="J7154" t="str">
        <f>HYPERLINK("https://climate.onebuilding.org/WMO_Region_6_Europe/ITA_Italy/LZ_Lazio/ITA_LZ_Rome-Fiumicino-da.Vinci.AP.162420_TMYx.2004-2018.zip")</f>
        <v>https://climate.onebuilding.org/WMO_Region_6_Europe/ITA_Italy/LZ_Lazio/ITA_LZ_Rome-Fiumicino-da.Vinci.AP.162420_TMYx.2004-2018.zip</v>
      </c>
    </row>
    <row r="7155" spans="1:10" x14ac:dyDescent="0.25">
      <c r="A7155" t="s">
        <v>5239</v>
      </c>
      <c r="B7155" t="s">
        <v>5384</v>
      </c>
      <c r="C7155" t="s">
        <v>5414</v>
      </c>
      <c r="D7155">
        <v>162420</v>
      </c>
      <c r="E7155" t="s">
        <v>14</v>
      </c>
      <c r="F7155">
        <v>41.8003</v>
      </c>
      <c r="G7155">
        <v>12.238899999999999</v>
      </c>
      <c r="H7155">
        <v>1</v>
      </c>
      <c r="I7155">
        <v>3</v>
      </c>
      <c r="J7155" t="str">
        <f>HYPERLINK("https://climate.onebuilding.org/WMO_Region_6_Europe/ITA_Italy/LZ_Lazio/ITA_LZ_Rome-Fiumicino-da.Vinci.AP.162420_TMYx.2007-2021.zip")</f>
        <v>https://climate.onebuilding.org/WMO_Region_6_Europe/ITA_Italy/LZ_Lazio/ITA_LZ_Rome-Fiumicino-da.Vinci.AP.162420_TMYx.2007-2021.zip</v>
      </c>
    </row>
    <row r="7156" spans="1:10" x14ac:dyDescent="0.25">
      <c r="A7156" t="s">
        <v>5239</v>
      </c>
      <c r="B7156" t="s">
        <v>5384</v>
      </c>
      <c r="C7156" t="s">
        <v>5414</v>
      </c>
      <c r="D7156">
        <v>162420</v>
      </c>
      <c r="E7156" t="s">
        <v>14</v>
      </c>
      <c r="F7156">
        <v>41.8003</v>
      </c>
      <c r="G7156">
        <v>12.238899999999999</v>
      </c>
      <c r="H7156">
        <v>1</v>
      </c>
      <c r="I7156">
        <v>3</v>
      </c>
      <c r="J7156" t="str">
        <f>HYPERLINK("https://climate.onebuilding.org/WMO_Region_6_Europe/ITA_Italy/LZ_Lazio/ITA_LZ_Rome-Fiumicino-da.Vinci.AP.162420_TMYx.2009-2023.zip")</f>
        <v>https://climate.onebuilding.org/WMO_Region_6_Europe/ITA_Italy/LZ_Lazio/ITA_LZ_Rome-Fiumicino-da.Vinci.AP.162420_TMYx.2009-2023.zip</v>
      </c>
    </row>
    <row r="7157" spans="1:10" x14ac:dyDescent="0.25">
      <c r="A7157" t="s">
        <v>5239</v>
      </c>
      <c r="B7157" t="s">
        <v>5384</v>
      </c>
      <c r="C7157" t="s">
        <v>5414</v>
      </c>
      <c r="D7157">
        <v>162420</v>
      </c>
      <c r="E7157" t="s">
        <v>14</v>
      </c>
      <c r="F7157">
        <v>41.8003</v>
      </c>
      <c r="G7157">
        <v>12.238899999999999</v>
      </c>
      <c r="H7157">
        <v>1</v>
      </c>
      <c r="I7157">
        <v>3</v>
      </c>
      <c r="J7157" t="str">
        <f>HYPERLINK("https://climate.onebuilding.org/WMO_Region_6_Europe/ITA_Italy/LZ_Lazio/ITA_LZ_Rome-Fiumicino-da.Vinci.AP.162420_TMYx.zip")</f>
        <v>https://climate.onebuilding.org/WMO_Region_6_Europe/ITA_Italy/LZ_Lazio/ITA_LZ_Rome-Fiumicino-da.Vinci.AP.162420_TMYx.zip</v>
      </c>
    </row>
    <row r="7158" spans="1:10" x14ac:dyDescent="0.25">
      <c r="A7158" t="s">
        <v>5239</v>
      </c>
      <c r="B7158" t="s">
        <v>5384</v>
      </c>
      <c r="C7158" t="s">
        <v>5416</v>
      </c>
      <c r="D7158">
        <v>162430</v>
      </c>
      <c r="E7158" t="s">
        <v>5417</v>
      </c>
      <c r="F7158">
        <v>41.5458</v>
      </c>
      <c r="G7158">
        <v>12.909700000000001</v>
      </c>
      <c r="H7158">
        <v>1</v>
      </c>
      <c r="I7158">
        <v>26.3</v>
      </c>
      <c r="J7158" t="str">
        <f>HYPERLINK("https://climate.onebuilding.org/WMO_Region_6_Europe/ITA_Italy/LZ_Lazio/ITA_LZ_Latina.AP.162430_TMYx.2004-2018.zip")</f>
        <v>https://climate.onebuilding.org/WMO_Region_6_Europe/ITA_Italy/LZ_Lazio/ITA_LZ_Latina.AP.162430_TMYx.2004-2018.zip</v>
      </c>
    </row>
    <row r="7159" spans="1:10" x14ac:dyDescent="0.25">
      <c r="A7159" t="s">
        <v>5239</v>
      </c>
      <c r="B7159" t="s">
        <v>5384</v>
      </c>
      <c r="C7159" t="s">
        <v>5416</v>
      </c>
      <c r="D7159">
        <v>162430</v>
      </c>
      <c r="E7159" t="s">
        <v>14</v>
      </c>
      <c r="F7159">
        <v>41.5458</v>
      </c>
      <c r="G7159">
        <v>12.909700000000001</v>
      </c>
      <c r="H7159">
        <v>1</v>
      </c>
      <c r="I7159">
        <v>26.3</v>
      </c>
      <c r="J7159" t="str">
        <f>HYPERLINK("https://climate.onebuilding.org/WMO_Region_6_Europe/ITA_Italy/LZ_Lazio/ITA_LZ_Latina.AP.162430_TMYx.2007-2021.zip")</f>
        <v>https://climate.onebuilding.org/WMO_Region_6_Europe/ITA_Italy/LZ_Lazio/ITA_LZ_Latina.AP.162430_TMYx.2007-2021.zip</v>
      </c>
    </row>
    <row r="7160" spans="1:10" x14ac:dyDescent="0.25">
      <c r="A7160" t="s">
        <v>5239</v>
      </c>
      <c r="B7160" t="s">
        <v>5384</v>
      </c>
      <c r="C7160" t="s">
        <v>5416</v>
      </c>
      <c r="D7160">
        <v>162430</v>
      </c>
      <c r="E7160" t="s">
        <v>14</v>
      </c>
      <c r="F7160">
        <v>41.5458</v>
      </c>
      <c r="G7160">
        <v>12.909700000000001</v>
      </c>
      <c r="H7160">
        <v>1</v>
      </c>
      <c r="I7160">
        <v>26.3</v>
      </c>
      <c r="J7160" t="str">
        <f>HYPERLINK("https://climate.onebuilding.org/WMO_Region_6_Europe/ITA_Italy/LZ_Lazio/ITA_LZ_Latina.AP.162430_TMYx.2009-2023.zip")</f>
        <v>https://climate.onebuilding.org/WMO_Region_6_Europe/ITA_Italy/LZ_Lazio/ITA_LZ_Latina.AP.162430_TMYx.2009-2023.zip</v>
      </c>
    </row>
    <row r="7161" spans="1:10" x14ac:dyDescent="0.25">
      <c r="A7161" t="s">
        <v>5239</v>
      </c>
      <c r="B7161" t="s">
        <v>5384</v>
      </c>
      <c r="C7161" t="s">
        <v>5416</v>
      </c>
      <c r="D7161">
        <v>162430</v>
      </c>
      <c r="E7161" t="s">
        <v>14</v>
      </c>
      <c r="F7161">
        <v>41.5458</v>
      </c>
      <c r="G7161">
        <v>12.909700000000001</v>
      </c>
      <c r="H7161">
        <v>1</v>
      </c>
      <c r="I7161">
        <v>26.3</v>
      </c>
      <c r="J7161" t="str">
        <f>HYPERLINK("https://climate.onebuilding.org/WMO_Region_6_Europe/ITA_Italy/LZ_Lazio/ITA_LZ_Latina.AP.162430_TMYx.zip")</f>
        <v>https://climate.onebuilding.org/WMO_Region_6_Europe/ITA_Italy/LZ_Lazio/ITA_LZ_Latina.AP.162430_TMYx.zip</v>
      </c>
    </row>
    <row r="7162" spans="1:10" x14ac:dyDescent="0.25">
      <c r="A7162" t="s">
        <v>5239</v>
      </c>
      <c r="B7162" t="s">
        <v>5384</v>
      </c>
      <c r="C7162" t="s">
        <v>5418</v>
      </c>
      <c r="D7162">
        <v>162440</v>
      </c>
      <c r="E7162" t="s">
        <v>5419</v>
      </c>
      <c r="F7162">
        <v>41.645000000000003</v>
      </c>
      <c r="G7162">
        <v>13.2994</v>
      </c>
      <c r="H7162">
        <v>1</v>
      </c>
      <c r="I7162">
        <v>185</v>
      </c>
      <c r="J7162" t="str">
        <f>HYPERLINK("https://climate.onebuilding.org/WMO_Region_6_Europe/ITA_Italy/LZ_Lazio/ITA_LZ_Frosinone.AB.162440_TMYx.2004-2018.zip")</f>
        <v>https://climate.onebuilding.org/WMO_Region_6_Europe/ITA_Italy/LZ_Lazio/ITA_LZ_Frosinone.AB.162440_TMYx.2004-2018.zip</v>
      </c>
    </row>
    <row r="7163" spans="1:10" x14ac:dyDescent="0.25">
      <c r="A7163" t="s">
        <v>5239</v>
      </c>
      <c r="B7163" t="s">
        <v>5384</v>
      </c>
      <c r="C7163" t="s">
        <v>5418</v>
      </c>
      <c r="D7163">
        <v>162440</v>
      </c>
      <c r="E7163" t="s">
        <v>14</v>
      </c>
      <c r="F7163">
        <v>41.645000000000003</v>
      </c>
      <c r="G7163">
        <v>13.2994</v>
      </c>
      <c r="H7163">
        <v>1</v>
      </c>
      <c r="I7163">
        <v>185</v>
      </c>
      <c r="J7163" t="str">
        <f>HYPERLINK("https://climate.onebuilding.org/WMO_Region_6_Europe/ITA_Italy/LZ_Lazio/ITA_LZ_Frosinone.AB.162440_TMYx.2007-2021.zip")</f>
        <v>https://climate.onebuilding.org/WMO_Region_6_Europe/ITA_Italy/LZ_Lazio/ITA_LZ_Frosinone.AB.162440_TMYx.2007-2021.zip</v>
      </c>
    </row>
    <row r="7164" spans="1:10" x14ac:dyDescent="0.25">
      <c r="A7164" t="s">
        <v>5239</v>
      </c>
      <c r="B7164" t="s">
        <v>5384</v>
      </c>
      <c r="C7164" t="s">
        <v>5418</v>
      </c>
      <c r="D7164">
        <v>162440</v>
      </c>
      <c r="E7164" t="s">
        <v>14</v>
      </c>
      <c r="F7164">
        <v>41.645000000000003</v>
      </c>
      <c r="G7164">
        <v>13.2994</v>
      </c>
      <c r="H7164">
        <v>1</v>
      </c>
      <c r="I7164">
        <v>185</v>
      </c>
      <c r="J7164" t="str">
        <f>HYPERLINK("https://climate.onebuilding.org/WMO_Region_6_Europe/ITA_Italy/LZ_Lazio/ITA_LZ_Frosinone.AB.162440_TMYx.2009-2023.zip")</f>
        <v>https://climate.onebuilding.org/WMO_Region_6_Europe/ITA_Italy/LZ_Lazio/ITA_LZ_Frosinone.AB.162440_TMYx.2009-2023.zip</v>
      </c>
    </row>
    <row r="7165" spans="1:10" x14ac:dyDescent="0.25">
      <c r="A7165" t="s">
        <v>5239</v>
      </c>
      <c r="B7165" t="s">
        <v>5384</v>
      </c>
      <c r="C7165" t="s">
        <v>5418</v>
      </c>
      <c r="D7165">
        <v>162440</v>
      </c>
      <c r="E7165" t="s">
        <v>14</v>
      </c>
      <c r="F7165">
        <v>41.645000000000003</v>
      </c>
      <c r="G7165">
        <v>13.2994</v>
      </c>
      <c r="H7165">
        <v>1</v>
      </c>
      <c r="I7165">
        <v>185</v>
      </c>
      <c r="J7165" t="str">
        <f>HYPERLINK("https://climate.onebuilding.org/WMO_Region_6_Europe/ITA_Italy/LZ_Lazio/ITA_LZ_Frosinone.AB.162440_TMYx.zip")</f>
        <v>https://climate.onebuilding.org/WMO_Region_6_Europe/ITA_Italy/LZ_Lazio/ITA_LZ_Frosinone.AB.162440_TMYx.zip</v>
      </c>
    </row>
    <row r="7166" spans="1:10" x14ac:dyDescent="0.25">
      <c r="A7166" t="s">
        <v>5239</v>
      </c>
      <c r="B7166" t="s">
        <v>5384</v>
      </c>
      <c r="C7166" t="s">
        <v>5420</v>
      </c>
      <c r="D7166">
        <v>162450</v>
      </c>
      <c r="E7166" t="s">
        <v>5421</v>
      </c>
      <c r="F7166">
        <v>41.6556</v>
      </c>
      <c r="G7166">
        <v>12.4481</v>
      </c>
      <c r="H7166">
        <v>1</v>
      </c>
      <c r="I7166">
        <v>21.5</v>
      </c>
      <c r="J7166" t="str">
        <f>HYPERLINK("https://climate.onebuilding.org/WMO_Region_6_Europe/ITA_Italy/LZ_Lazio/ITA_LZ_Pratica.di.Mare.AB.162450_TMYx.2004-2018.zip")</f>
        <v>https://climate.onebuilding.org/WMO_Region_6_Europe/ITA_Italy/LZ_Lazio/ITA_LZ_Pratica.di.Mare.AB.162450_TMYx.2004-2018.zip</v>
      </c>
    </row>
    <row r="7167" spans="1:10" x14ac:dyDescent="0.25">
      <c r="A7167" t="s">
        <v>5239</v>
      </c>
      <c r="B7167" t="s">
        <v>5384</v>
      </c>
      <c r="C7167" t="s">
        <v>5420</v>
      </c>
      <c r="D7167">
        <v>162450</v>
      </c>
      <c r="E7167" t="s">
        <v>14</v>
      </c>
      <c r="F7167">
        <v>41.6556</v>
      </c>
      <c r="G7167">
        <v>12.4481</v>
      </c>
      <c r="H7167">
        <v>1</v>
      </c>
      <c r="I7167">
        <v>21.5</v>
      </c>
      <c r="J7167" t="str">
        <f>HYPERLINK("https://climate.onebuilding.org/WMO_Region_6_Europe/ITA_Italy/LZ_Lazio/ITA_LZ_Pratica.di.Mare.AB.162450_TMYx.2007-2021.zip")</f>
        <v>https://climate.onebuilding.org/WMO_Region_6_Europe/ITA_Italy/LZ_Lazio/ITA_LZ_Pratica.di.Mare.AB.162450_TMYx.2007-2021.zip</v>
      </c>
    </row>
    <row r="7168" spans="1:10" x14ac:dyDescent="0.25">
      <c r="A7168" t="s">
        <v>5239</v>
      </c>
      <c r="B7168" t="s">
        <v>5384</v>
      </c>
      <c r="C7168" t="s">
        <v>5420</v>
      </c>
      <c r="D7168">
        <v>162450</v>
      </c>
      <c r="E7168" t="s">
        <v>14</v>
      </c>
      <c r="F7168">
        <v>41.6556</v>
      </c>
      <c r="G7168">
        <v>12.4481</v>
      </c>
      <c r="H7168">
        <v>1</v>
      </c>
      <c r="I7168">
        <v>21.5</v>
      </c>
      <c r="J7168" t="str">
        <f>HYPERLINK("https://climate.onebuilding.org/WMO_Region_6_Europe/ITA_Italy/LZ_Lazio/ITA_LZ_Pratica.di.Mare.AB.162450_TMYx.2009-2023.zip")</f>
        <v>https://climate.onebuilding.org/WMO_Region_6_Europe/ITA_Italy/LZ_Lazio/ITA_LZ_Pratica.di.Mare.AB.162450_TMYx.2009-2023.zip</v>
      </c>
    </row>
    <row r="7169" spans="1:10" x14ac:dyDescent="0.25">
      <c r="A7169" t="s">
        <v>5239</v>
      </c>
      <c r="B7169" t="s">
        <v>5384</v>
      </c>
      <c r="C7169" t="s">
        <v>5420</v>
      </c>
      <c r="D7169">
        <v>162450</v>
      </c>
      <c r="E7169" t="s">
        <v>14</v>
      </c>
      <c r="F7169">
        <v>41.6556</v>
      </c>
      <c r="G7169">
        <v>12.4481</v>
      </c>
      <c r="H7169">
        <v>1</v>
      </c>
      <c r="I7169">
        <v>21.5</v>
      </c>
      <c r="J7169" t="str">
        <f>HYPERLINK("https://climate.onebuilding.org/WMO_Region_6_Europe/ITA_Italy/LZ_Lazio/ITA_LZ_Pratica.di.Mare.AB.162450_TMYx.zip")</f>
        <v>https://climate.onebuilding.org/WMO_Region_6_Europe/ITA_Italy/LZ_Lazio/ITA_LZ_Pratica.di.Mare.AB.162450_TMYx.zip</v>
      </c>
    </row>
    <row r="7170" spans="1:10" x14ac:dyDescent="0.25">
      <c r="A7170" t="s">
        <v>5239</v>
      </c>
      <c r="B7170" t="s">
        <v>5384</v>
      </c>
      <c r="C7170" t="s">
        <v>5422</v>
      </c>
      <c r="D7170">
        <v>162490</v>
      </c>
      <c r="E7170" t="s">
        <v>14</v>
      </c>
      <c r="F7170">
        <v>41.250799999999998</v>
      </c>
      <c r="G7170">
        <v>13.118600000000001</v>
      </c>
      <c r="H7170">
        <v>1</v>
      </c>
      <c r="I7170">
        <v>4</v>
      </c>
      <c r="J7170" t="str">
        <f>HYPERLINK("https://climate.onebuilding.org/WMO_Region_6_Europe/ITA_Italy/LZ_Lazio/ITA_LZ_Cape.Circeo.162490_TMYx.2007-2021.zip")</f>
        <v>https://climate.onebuilding.org/WMO_Region_6_Europe/ITA_Italy/LZ_Lazio/ITA_LZ_Cape.Circeo.162490_TMYx.2007-2021.zip</v>
      </c>
    </row>
    <row r="7171" spans="1:10" x14ac:dyDescent="0.25">
      <c r="A7171" t="s">
        <v>5239</v>
      </c>
      <c r="B7171" t="s">
        <v>5384</v>
      </c>
      <c r="C7171" t="s">
        <v>5422</v>
      </c>
      <c r="D7171">
        <v>162490</v>
      </c>
      <c r="E7171" t="s">
        <v>14</v>
      </c>
      <c r="F7171">
        <v>41.250799999999998</v>
      </c>
      <c r="G7171">
        <v>13.118600000000001</v>
      </c>
      <c r="H7171">
        <v>1</v>
      </c>
      <c r="I7171">
        <v>4</v>
      </c>
      <c r="J7171" t="str">
        <f>HYPERLINK("https://climate.onebuilding.org/WMO_Region_6_Europe/ITA_Italy/LZ_Lazio/ITA_LZ_Cape.Circeo.162490_TMYx.zip")</f>
        <v>https://climate.onebuilding.org/WMO_Region_6_Europe/ITA_Italy/LZ_Lazio/ITA_LZ_Cape.Circeo.162490_TMYx.zip</v>
      </c>
    </row>
    <row r="7172" spans="1:10" x14ac:dyDescent="0.25">
      <c r="A7172" t="s">
        <v>5239</v>
      </c>
      <c r="B7172" t="s">
        <v>5403</v>
      </c>
      <c r="C7172" t="s">
        <v>5423</v>
      </c>
      <c r="D7172">
        <v>162520</v>
      </c>
      <c r="E7172" t="s">
        <v>5424</v>
      </c>
      <c r="F7172">
        <v>41.563600000000001</v>
      </c>
      <c r="G7172">
        <v>14.654999999999999</v>
      </c>
      <c r="H7172">
        <v>1</v>
      </c>
      <c r="I7172">
        <v>807</v>
      </c>
      <c r="J7172" t="str">
        <f>HYPERLINK("https://climate.onebuilding.org/WMO_Region_6_Europe/ITA_Italy/ML_Molise/ITA_ML_Campobasso.162520_TMYx.2004-2018.zip")</f>
        <v>https://climate.onebuilding.org/WMO_Region_6_Europe/ITA_Italy/ML_Molise/ITA_ML_Campobasso.162520_TMYx.2004-2018.zip</v>
      </c>
    </row>
    <row r="7173" spans="1:10" x14ac:dyDescent="0.25">
      <c r="A7173" t="s">
        <v>5239</v>
      </c>
      <c r="B7173" t="s">
        <v>5403</v>
      </c>
      <c r="C7173" t="s">
        <v>5423</v>
      </c>
      <c r="D7173">
        <v>162520</v>
      </c>
      <c r="E7173" t="s">
        <v>14</v>
      </c>
      <c r="F7173">
        <v>41.563600000000001</v>
      </c>
      <c r="G7173">
        <v>14.654999999999999</v>
      </c>
      <c r="H7173">
        <v>1</v>
      </c>
      <c r="I7173">
        <v>807</v>
      </c>
      <c r="J7173" t="str">
        <f>HYPERLINK("https://climate.onebuilding.org/WMO_Region_6_Europe/ITA_Italy/ML_Molise/ITA_ML_Campobasso.162520_TMYx.2007-2021.zip")</f>
        <v>https://climate.onebuilding.org/WMO_Region_6_Europe/ITA_Italy/ML_Molise/ITA_ML_Campobasso.162520_TMYx.2007-2021.zip</v>
      </c>
    </row>
    <row r="7174" spans="1:10" x14ac:dyDescent="0.25">
      <c r="A7174" t="s">
        <v>5239</v>
      </c>
      <c r="B7174" t="s">
        <v>5403</v>
      </c>
      <c r="C7174" t="s">
        <v>5423</v>
      </c>
      <c r="D7174">
        <v>162520</v>
      </c>
      <c r="E7174" t="s">
        <v>14</v>
      </c>
      <c r="F7174">
        <v>41.563600000000001</v>
      </c>
      <c r="G7174">
        <v>14.654999999999999</v>
      </c>
      <c r="H7174">
        <v>1</v>
      </c>
      <c r="I7174">
        <v>807</v>
      </c>
      <c r="J7174" t="str">
        <f>HYPERLINK("https://climate.onebuilding.org/WMO_Region_6_Europe/ITA_Italy/ML_Molise/ITA_ML_Campobasso.162520_TMYx.2009-2023.zip")</f>
        <v>https://climate.onebuilding.org/WMO_Region_6_Europe/ITA_Italy/ML_Molise/ITA_ML_Campobasso.162520_TMYx.2009-2023.zip</v>
      </c>
    </row>
    <row r="7175" spans="1:10" x14ac:dyDescent="0.25">
      <c r="A7175" t="s">
        <v>5239</v>
      </c>
      <c r="B7175" t="s">
        <v>5403</v>
      </c>
      <c r="C7175" t="s">
        <v>5423</v>
      </c>
      <c r="D7175">
        <v>162520</v>
      </c>
      <c r="E7175" t="s">
        <v>14</v>
      </c>
      <c r="F7175">
        <v>41.563600000000001</v>
      </c>
      <c r="G7175">
        <v>14.654999999999999</v>
      </c>
      <c r="H7175">
        <v>1</v>
      </c>
      <c r="I7175">
        <v>807</v>
      </c>
      <c r="J7175" t="str">
        <f>HYPERLINK("https://climate.onebuilding.org/WMO_Region_6_Europe/ITA_Italy/ML_Molise/ITA_ML_Campobasso.162520_TMYx.zip")</f>
        <v>https://climate.onebuilding.org/WMO_Region_6_Europe/ITA_Italy/ML_Molise/ITA_ML_Campobasso.162520_TMYx.zip</v>
      </c>
    </row>
    <row r="7176" spans="1:10" x14ac:dyDescent="0.25">
      <c r="A7176" t="s">
        <v>5239</v>
      </c>
      <c r="B7176" t="s">
        <v>2117</v>
      </c>
      <c r="C7176" t="s">
        <v>5425</v>
      </c>
      <c r="D7176">
        <v>162530</v>
      </c>
      <c r="E7176" t="s">
        <v>5426</v>
      </c>
      <c r="F7176">
        <v>41.060600000000001</v>
      </c>
      <c r="G7176">
        <v>14.078900000000001</v>
      </c>
      <c r="H7176">
        <v>1</v>
      </c>
      <c r="I7176">
        <v>10</v>
      </c>
      <c r="J7176" t="str">
        <f>HYPERLINK("https://climate.onebuilding.org/WMO_Region_6_Europe/ITA_Italy/CM_Campania/ITA_CM_Grazzanise.AB.162530_TMYx.2004-2018.zip")</f>
        <v>https://climate.onebuilding.org/WMO_Region_6_Europe/ITA_Italy/CM_Campania/ITA_CM_Grazzanise.AB.162530_TMYx.2004-2018.zip</v>
      </c>
    </row>
    <row r="7177" spans="1:10" x14ac:dyDescent="0.25">
      <c r="A7177" t="s">
        <v>5239</v>
      </c>
      <c r="B7177" t="s">
        <v>2117</v>
      </c>
      <c r="C7177" t="s">
        <v>5425</v>
      </c>
      <c r="D7177">
        <v>162530</v>
      </c>
      <c r="E7177" t="s">
        <v>14</v>
      </c>
      <c r="F7177">
        <v>41.060600000000001</v>
      </c>
      <c r="G7177">
        <v>14.078900000000001</v>
      </c>
      <c r="H7177">
        <v>1</v>
      </c>
      <c r="I7177">
        <v>10</v>
      </c>
      <c r="J7177" t="str">
        <f>HYPERLINK("https://climate.onebuilding.org/WMO_Region_6_Europe/ITA_Italy/CM_Campania/ITA_CM_Grazzanise.AB.162530_TMYx.2007-2021.zip")</f>
        <v>https://climate.onebuilding.org/WMO_Region_6_Europe/ITA_Italy/CM_Campania/ITA_CM_Grazzanise.AB.162530_TMYx.2007-2021.zip</v>
      </c>
    </row>
    <row r="7178" spans="1:10" x14ac:dyDescent="0.25">
      <c r="A7178" t="s">
        <v>5239</v>
      </c>
      <c r="B7178" t="s">
        <v>2117</v>
      </c>
      <c r="C7178" t="s">
        <v>5425</v>
      </c>
      <c r="D7178">
        <v>162530</v>
      </c>
      <c r="E7178" t="s">
        <v>14</v>
      </c>
      <c r="F7178">
        <v>41.060600000000001</v>
      </c>
      <c r="G7178">
        <v>14.078900000000001</v>
      </c>
      <c r="H7178">
        <v>1</v>
      </c>
      <c r="I7178">
        <v>10</v>
      </c>
      <c r="J7178" t="str">
        <f>HYPERLINK("https://climate.onebuilding.org/WMO_Region_6_Europe/ITA_Italy/CM_Campania/ITA_CM_Grazzanise.AB.162530_TMYx.2009-2023.zip")</f>
        <v>https://climate.onebuilding.org/WMO_Region_6_Europe/ITA_Italy/CM_Campania/ITA_CM_Grazzanise.AB.162530_TMYx.2009-2023.zip</v>
      </c>
    </row>
    <row r="7179" spans="1:10" x14ac:dyDescent="0.25">
      <c r="A7179" t="s">
        <v>5239</v>
      </c>
      <c r="B7179" t="s">
        <v>2117</v>
      </c>
      <c r="C7179" t="s">
        <v>5425</v>
      </c>
      <c r="D7179">
        <v>162530</v>
      </c>
      <c r="E7179" t="s">
        <v>14</v>
      </c>
      <c r="F7179">
        <v>41.060600000000001</v>
      </c>
      <c r="G7179">
        <v>14.078900000000001</v>
      </c>
      <c r="H7179">
        <v>1</v>
      </c>
      <c r="I7179">
        <v>10</v>
      </c>
      <c r="J7179" t="str">
        <f>HYPERLINK("https://climate.onebuilding.org/WMO_Region_6_Europe/ITA_Italy/CM_Campania/ITA_CM_Grazzanise.AB.162530_TMYx.zip")</f>
        <v>https://climate.onebuilding.org/WMO_Region_6_Europe/ITA_Italy/CM_Campania/ITA_CM_Grazzanise.AB.162530_TMYx.zip</v>
      </c>
    </row>
    <row r="7180" spans="1:10" x14ac:dyDescent="0.25">
      <c r="A7180" t="s">
        <v>5239</v>
      </c>
      <c r="B7180" t="s">
        <v>5427</v>
      </c>
      <c r="C7180" t="s">
        <v>5428</v>
      </c>
      <c r="D7180">
        <v>162580</v>
      </c>
      <c r="E7180" t="s">
        <v>5429</v>
      </c>
      <c r="F7180">
        <v>41.708300000000001</v>
      </c>
      <c r="G7180">
        <v>15.947800000000001</v>
      </c>
      <c r="H7180">
        <v>1</v>
      </c>
      <c r="I7180">
        <v>848</v>
      </c>
      <c r="J7180" t="str">
        <f>HYPERLINK("https://climate.onebuilding.org/WMO_Region_6_Europe/ITA_Italy/PU_Apulia/ITA_PU_S.Angelo.Mtn.162580_TMYx.2004-2018.zip")</f>
        <v>https://climate.onebuilding.org/WMO_Region_6_Europe/ITA_Italy/PU_Apulia/ITA_PU_S.Angelo.Mtn.162580_TMYx.2004-2018.zip</v>
      </c>
    </row>
    <row r="7181" spans="1:10" x14ac:dyDescent="0.25">
      <c r="A7181" t="s">
        <v>5239</v>
      </c>
      <c r="B7181" t="s">
        <v>5427</v>
      </c>
      <c r="C7181" t="s">
        <v>5428</v>
      </c>
      <c r="D7181">
        <v>162580</v>
      </c>
      <c r="E7181" t="s">
        <v>14</v>
      </c>
      <c r="F7181">
        <v>41.708300000000001</v>
      </c>
      <c r="G7181">
        <v>15.947800000000001</v>
      </c>
      <c r="H7181">
        <v>1</v>
      </c>
      <c r="I7181">
        <v>848</v>
      </c>
      <c r="J7181" t="str">
        <f>HYPERLINK("https://climate.onebuilding.org/WMO_Region_6_Europe/ITA_Italy/PU_Apulia/ITA_PU_S.Angelo.Mtn.162580_TMYx.2007-2021.zip")</f>
        <v>https://climate.onebuilding.org/WMO_Region_6_Europe/ITA_Italy/PU_Apulia/ITA_PU_S.Angelo.Mtn.162580_TMYx.2007-2021.zip</v>
      </c>
    </row>
    <row r="7182" spans="1:10" x14ac:dyDescent="0.25">
      <c r="A7182" t="s">
        <v>5239</v>
      </c>
      <c r="B7182" t="s">
        <v>5427</v>
      </c>
      <c r="C7182" t="s">
        <v>5428</v>
      </c>
      <c r="D7182">
        <v>162580</v>
      </c>
      <c r="E7182" t="s">
        <v>14</v>
      </c>
      <c r="F7182">
        <v>41.708300000000001</v>
      </c>
      <c r="G7182">
        <v>15.947800000000001</v>
      </c>
      <c r="H7182">
        <v>1</v>
      </c>
      <c r="I7182">
        <v>848</v>
      </c>
      <c r="J7182" t="str">
        <f>HYPERLINK("https://climate.onebuilding.org/WMO_Region_6_Europe/ITA_Italy/PU_Apulia/ITA_PU_S.Angelo.Mtn.162580_TMYx.2009-2023.zip")</f>
        <v>https://climate.onebuilding.org/WMO_Region_6_Europe/ITA_Italy/PU_Apulia/ITA_PU_S.Angelo.Mtn.162580_TMYx.2009-2023.zip</v>
      </c>
    </row>
    <row r="7183" spans="1:10" x14ac:dyDescent="0.25">
      <c r="A7183" t="s">
        <v>5239</v>
      </c>
      <c r="B7183" t="s">
        <v>5427</v>
      </c>
      <c r="C7183" t="s">
        <v>5428</v>
      </c>
      <c r="D7183">
        <v>162580</v>
      </c>
      <c r="E7183" t="s">
        <v>14</v>
      </c>
      <c r="F7183">
        <v>41.708300000000001</v>
      </c>
      <c r="G7183">
        <v>15.947800000000001</v>
      </c>
      <c r="H7183">
        <v>1</v>
      </c>
      <c r="I7183">
        <v>848</v>
      </c>
      <c r="J7183" t="str">
        <f>HYPERLINK("https://climate.onebuilding.org/WMO_Region_6_Europe/ITA_Italy/PU_Apulia/ITA_PU_S.Angelo.Mtn.162580_TMYx.zip")</f>
        <v>https://climate.onebuilding.org/WMO_Region_6_Europe/ITA_Italy/PU_Apulia/ITA_PU_S.Angelo.Mtn.162580_TMYx.zip</v>
      </c>
    </row>
    <row r="7184" spans="1:10" x14ac:dyDescent="0.25">
      <c r="A7184" t="s">
        <v>5239</v>
      </c>
      <c r="B7184" t="s">
        <v>5276</v>
      </c>
      <c r="C7184" t="s">
        <v>5430</v>
      </c>
      <c r="D7184">
        <v>162593</v>
      </c>
      <c r="E7184" t="s">
        <v>5431</v>
      </c>
      <c r="F7184">
        <v>45.429000000000002</v>
      </c>
      <c r="G7184">
        <v>10.331</v>
      </c>
      <c r="H7184">
        <v>1</v>
      </c>
      <c r="I7184">
        <v>108.5</v>
      </c>
      <c r="J7184" t="str">
        <f>HYPERLINK("https://climate.onebuilding.org/WMO_Region_6_Europe/ITA_Italy/LM_Lombardy/ITA_LM_Brescia-Montichiari.AP.162593_TMYx.2004-2018.zip")</f>
        <v>https://climate.onebuilding.org/WMO_Region_6_Europe/ITA_Italy/LM_Lombardy/ITA_LM_Brescia-Montichiari.AP.162593_TMYx.2004-2018.zip</v>
      </c>
    </row>
    <row r="7185" spans="1:10" x14ac:dyDescent="0.25">
      <c r="A7185" t="s">
        <v>5239</v>
      </c>
      <c r="B7185" t="s">
        <v>5276</v>
      </c>
      <c r="C7185" t="s">
        <v>5430</v>
      </c>
      <c r="D7185">
        <v>162593</v>
      </c>
      <c r="E7185" t="s">
        <v>14</v>
      </c>
      <c r="F7185">
        <v>45.429000000000002</v>
      </c>
      <c r="G7185">
        <v>10.331</v>
      </c>
      <c r="H7185">
        <v>1</v>
      </c>
      <c r="I7185">
        <v>108.5</v>
      </c>
      <c r="J7185" t="str">
        <f>HYPERLINK("https://climate.onebuilding.org/WMO_Region_6_Europe/ITA_Italy/LM_Lombardy/ITA_LM_Brescia-Montichiari.AP.162593_TMYx.2007-2021.zip")</f>
        <v>https://climate.onebuilding.org/WMO_Region_6_Europe/ITA_Italy/LM_Lombardy/ITA_LM_Brescia-Montichiari.AP.162593_TMYx.2007-2021.zip</v>
      </c>
    </row>
    <row r="7186" spans="1:10" x14ac:dyDescent="0.25">
      <c r="A7186" t="s">
        <v>5239</v>
      </c>
      <c r="B7186" t="s">
        <v>5276</v>
      </c>
      <c r="C7186" t="s">
        <v>5430</v>
      </c>
      <c r="D7186">
        <v>162593</v>
      </c>
      <c r="E7186" t="s">
        <v>14</v>
      </c>
      <c r="F7186">
        <v>45.429000000000002</v>
      </c>
      <c r="G7186">
        <v>10.331</v>
      </c>
      <c r="H7186">
        <v>1</v>
      </c>
      <c r="I7186">
        <v>108.5</v>
      </c>
      <c r="J7186" t="str">
        <f>HYPERLINK("https://climate.onebuilding.org/WMO_Region_6_Europe/ITA_Italy/LM_Lombardy/ITA_LM_Brescia-Montichiari.AP.162593_TMYx.2009-2023.zip")</f>
        <v>https://climate.onebuilding.org/WMO_Region_6_Europe/ITA_Italy/LM_Lombardy/ITA_LM_Brescia-Montichiari.AP.162593_TMYx.2009-2023.zip</v>
      </c>
    </row>
    <row r="7187" spans="1:10" x14ac:dyDescent="0.25">
      <c r="A7187" t="s">
        <v>5239</v>
      </c>
      <c r="B7187" t="s">
        <v>5276</v>
      </c>
      <c r="C7187" t="s">
        <v>5430</v>
      </c>
      <c r="D7187">
        <v>162593</v>
      </c>
      <c r="E7187" t="s">
        <v>14</v>
      </c>
      <c r="F7187">
        <v>45.429000000000002</v>
      </c>
      <c r="G7187">
        <v>10.331</v>
      </c>
      <c r="H7187">
        <v>1</v>
      </c>
      <c r="I7187">
        <v>108.5</v>
      </c>
      <c r="J7187" t="str">
        <f>HYPERLINK("https://climate.onebuilding.org/WMO_Region_6_Europe/ITA_Italy/LM_Lombardy/ITA_LM_Brescia-Montichiari.AP.162593_TMYx.zip")</f>
        <v>https://climate.onebuilding.org/WMO_Region_6_Europe/ITA_Italy/LM_Lombardy/ITA_LM_Brescia-Montichiari.AP.162593_TMYx.zip</v>
      </c>
    </row>
    <row r="7188" spans="1:10" x14ac:dyDescent="0.25">
      <c r="A7188" t="s">
        <v>5239</v>
      </c>
      <c r="B7188" t="s">
        <v>5427</v>
      </c>
      <c r="C7188" t="s">
        <v>5432</v>
      </c>
      <c r="D7188">
        <v>162600</v>
      </c>
      <c r="E7188" t="s">
        <v>5433</v>
      </c>
      <c r="F7188">
        <v>41.433</v>
      </c>
      <c r="G7188">
        <v>15.532999999999999</v>
      </c>
      <c r="H7188">
        <v>1</v>
      </c>
      <c r="I7188">
        <v>81</v>
      </c>
      <c r="J7188" t="str">
        <f>HYPERLINK("https://climate.onebuilding.org/WMO_Region_6_Europe/ITA_Italy/PU_Apulia/ITA_PU_Foggia.AP.162600_TMYx.2004-2018.zip")</f>
        <v>https://climate.onebuilding.org/WMO_Region_6_Europe/ITA_Italy/PU_Apulia/ITA_PU_Foggia.AP.162600_TMYx.2004-2018.zip</v>
      </c>
    </row>
    <row r="7189" spans="1:10" x14ac:dyDescent="0.25">
      <c r="A7189" t="s">
        <v>5239</v>
      </c>
      <c r="B7189" t="s">
        <v>5427</v>
      </c>
      <c r="C7189" t="s">
        <v>5432</v>
      </c>
      <c r="D7189">
        <v>162600</v>
      </c>
      <c r="E7189" t="s">
        <v>14</v>
      </c>
      <c r="F7189">
        <v>41.433</v>
      </c>
      <c r="G7189">
        <v>15.532999999999999</v>
      </c>
      <c r="H7189">
        <v>1</v>
      </c>
      <c r="I7189">
        <v>81</v>
      </c>
      <c r="J7189" t="str">
        <f>HYPERLINK("https://climate.onebuilding.org/WMO_Region_6_Europe/ITA_Italy/PU_Apulia/ITA_PU_Foggia.AP.162600_TMYx.2007-2021.zip")</f>
        <v>https://climate.onebuilding.org/WMO_Region_6_Europe/ITA_Italy/PU_Apulia/ITA_PU_Foggia.AP.162600_TMYx.2007-2021.zip</v>
      </c>
    </row>
    <row r="7190" spans="1:10" x14ac:dyDescent="0.25">
      <c r="A7190" t="s">
        <v>5239</v>
      </c>
      <c r="B7190" t="s">
        <v>5427</v>
      </c>
      <c r="C7190" t="s">
        <v>5432</v>
      </c>
      <c r="D7190">
        <v>162600</v>
      </c>
      <c r="E7190" t="s">
        <v>14</v>
      </c>
      <c r="F7190">
        <v>41.433</v>
      </c>
      <c r="G7190">
        <v>15.532999999999999</v>
      </c>
      <c r="H7190">
        <v>1</v>
      </c>
      <c r="I7190">
        <v>81</v>
      </c>
      <c r="J7190" t="str">
        <f>HYPERLINK("https://climate.onebuilding.org/WMO_Region_6_Europe/ITA_Italy/PU_Apulia/ITA_PU_Foggia.AP.162600_TMYx.2009-2023.zip")</f>
        <v>https://climate.onebuilding.org/WMO_Region_6_Europe/ITA_Italy/PU_Apulia/ITA_PU_Foggia.AP.162600_TMYx.2009-2023.zip</v>
      </c>
    </row>
    <row r="7191" spans="1:10" x14ac:dyDescent="0.25">
      <c r="A7191" t="s">
        <v>5239</v>
      </c>
      <c r="B7191" t="s">
        <v>5427</v>
      </c>
      <c r="C7191" t="s">
        <v>5432</v>
      </c>
      <c r="D7191">
        <v>162600</v>
      </c>
      <c r="E7191" t="s">
        <v>14</v>
      </c>
      <c r="F7191">
        <v>41.433</v>
      </c>
      <c r="G7191">
        <v>15.532999999999999</v>
      </c>
      <c r="H7191">
        <v>1</v>
      </c>
      <c r="I7191">
        <v>81</v>
      </c>
      <c r="J7191" t="str">
        <f>HYPERLINK("https://climate.onebuilding.org/WMO_Region_6_Europe/ITA_Italy/PU_Apulia/ITA_PU_Foggia.AP.162600_TMYx.zip")</f>
        <v>https://climate.onebuilding.org/WMO_Region_6_Europe/ITA_Italy/PU_Apulia/ITA_PU_Foggia.AP.162600_TMYx.zip</v>
      </c>
    </row>
    <row r="7192" spans="1:10" x14ac:dyDescent="0.25">
      <c r="A7192" t="s">
        <v>5239</v>
      </c>
      <c r="B7192" t="s">
        <v>5427</v>
      </c>
      <c r="C7192" t="s">
        <v>5434</v>
      </c>
      <c r="D7192">
        <v>162610</v>
      </c>
      <c r="E7192" t="s">
        <v>5435</v>
      </c>
      <c r="F7192">
        <v>41.5381</v>
      </c>
      <c r="G7192">
        <v>15.713900000000001</v>
      </c>
      <c r="H7192">
        <v>1</v>
      </c>
      <c r="I7192">
        <v>60</v>
      </c>
      <c r="J7192" t="str">
        <f>HYPERLINK("https://climate.onebuilding.org/WMO_Region_6_Europe/ITA_Italy/PU_Apulia/ITA_PU_Amendola.AP.162610_TMYx.2004-2018.zip")</f>
        <v>https://climate.onebuilding.org/WMO_Region_6_Europe/ITA_Italy/PU_Apulia/ITA_PU_Amendola.AP.162610_TMYx.2004-2018.zip</v>
      </c>
    </row>
    <row r="7193" spans="1:10" x14ac:dyDescent="0.25">
      <c r="A7193" t="s">
        <v>5239</v>
      </c>
      <c r="B7193" t="s">
        <v>5427</v>
      </c>
      <c r="C7193" t="s">
        <v>5434</v>
      </c>
      <c r="D7193">
        <v>162610</v>
      </c>
      <c r="E7193" t="s">
        <v>14</v>
      </c>
      <c r="F7193">
        <v>41.5381</v>
      </c>
      <c r="G7193">
        <v>15.713900000000001</v>
      </c>
      <c r="H7193">
        <v>1</v>
      </c>
      <c r="I7193">
        <v>60</v>
      </c>
      <c r="J7193" t="str">
        <f>HYPERLINK("https://climate.onebuilding.org/WMO_Region_6_Europe/ITA_Italy/PU_Apulia/ITA_PU_Amendola.AP.162610_TMYx.2007-2021.zip")</f>
        <v>https://climate.onebuilding.org/WMO_Region_6_Europe/ITA_Italy/PU_Apulia/ITA_PU_Amendola.AP.162610_TMYx.2007-2021.zip</v>
      </c>
    </row>
    <row r="7194" spans="1:10" x14ac:dyDescent="0.25">
      <c r="A7194" t="s">
        <v>5239</v>
      </c>
      <c r="B7194" t="s">
        <v>5427</v>
      </c>
      <c r="C7194" t="s">
        <v>5434</v>
      </c>
      <c r="D7194">
        <v>162610</v>
      </c>
      <c r="E7194" t="s">
        <v>14</v>
      </c>
      <c r="F7194">
        <v>41.5381</v>
      </c>
      <c r="G7194">
        <v>15.713900000000001</v>
      </c>
      <c r="H7194">
        <v>1</v>
      </c>
      <c r="I7194">
        <v>60</v>
      </c>
      <c r="J7194" t="str">
        <f>HYPERLINK("https://climate.onebuilding.org/WMO_Region_6_Europe/ITA_Italy/PU_Apulia/ITA_PU_Amendola.AP.162610_TMYx.2009-2023.zip")</f>
        <v>https://climate.onebuilding.org/WMO_Region_6_Europe/ITA_Italy/PU_Apulia/ITA_PU_Amendola.AP.162610_TMYx.2009-2023.zip</v>
      </c>
    </row>
    <row r="7195" spans="1:10" x14ac:dyDescent="0.25">
      <c r="A7195" t="s">
        <v>5239</v>
      </c>
      <c r="B7195" t="s">
        <v>5427</v>
      </c>
      <c r="C7195" t="s">
        <v>5434</v>
      </c>
      <c r="D7195">
        <v>162610</v>
      </c>
      <c r="E7195" t="s">
        <v>14</v>
      </c>
      <c r="F7195">
        <v>41.5381</v>
      </c>
      <c r="G7195">
        <v>15.713900000000001</v>
      </c>
      <c r="H7195">
        <v>1</v>
      </c>
      <c r="I7195">
        <v>60</v>
      </c>
      <c r="J7195" t="str">
        <f>HYPERLINK("https://climate.onebuilding.org/WMO_Region_6_Europe/ITA_Italy/PU_Apulia/ITA_PU_Amendola.AP.162610_TMYx.zip")</f>
        <v>https://climate.onebuilding.org/WMO_Region_6_Europe/ITA_Italy/PU_Apulia/ITA_PU_Amendola.AP.162610_TMYx.zip</v>
      </c>
    </row>
    <row r="7196" spans="1:10" x14ac:dyDescent="0.25">
      <c r="A7196" t="s">
        <v>5239</v>
      </c>
      <c r="B7196" t="s">
        <v>2117</v>
      </c>
      <c r="C7196" t="s">
        <v>5436</v>
      </c>
      <c r="D7196">
        <v>162630</v>
      </c>
      <c r="E7196" t="s">
        <v>5437</v>
      </c>
      <c r="F7196">
        <v>41.046700000000001</v>
      </c>
      <c r="G7196">
        <v>15.232799999999999</v>
      </c>
      <c r="H7196">
        <v>1</v>
      </c>
      <c r="I7196">
        <v>1093</v>
      </c>
      <c r="J7196" t="str">
        <f>HYPERLINK("https://climate.onebuilding.org/WMO_Region_6_Europe/ITA_Italy/CM_Campania/ITA_CM_Trevico.162630_TMYx.2004-2018.zip")</f>
        <v>https://climate.onebuilding.org/WMO_Region_6_Europe/ITA_Italy/CM_Campania/ITA_CM_Trevico.162630_TMYx.2004-2018.zip</v>
      </c>
    </row>
    <row r="7197" spans="1:10" x14ac:dyDescent="0.25">
      <c r="A7197" t="s">
        <v>5239</v>
      </c>
      <c r="B7197" t="s">
        <v>2117</v>
      </c>
      <c r="C7197" t="s">
        <v>5436</v>
      </c>
      <c r="D7197">
        <v>162630</v>
      </c>
      <c r="E7197" t="s">
        <v>14</v>
      </c>
      <c r="F7197">
        <v>41.046700000000001</v>
      </c>
      <c r="G7197">
        <v>15.232799999999999</v>
      </c>
      <c r="H7197">
        <v>1</v>
      </c>
      <c r="I7197">
        <v>1093</v>
      </c>
      <c r="J7197" t="str">
        <f>HYPERLINK("https://climate.onebuilding.org/WMO_Region_6_Europe/ITA_Italy/CM_Campania/ITA_CM_Trevico.162630_TMYx.2007-2021.zip")</f>
        <v>https://climate.onebuilding.org/WMO_Region_6_Europe/ITA_Italy/CM_Campania/ITA_CM_Trevico.162630_TMYx.2007-2021.zip</v>
      </c>
    </row>
    <row r="7198" spans="1:10" x14ac:dyDescent="0.25">
      <c r="A7198" t="s">
        <v>5239</v>
      </c>
      <c r="B7198" t="s">
        <v>2117</v>
      </c>
      <c r="C7198" t="s">
        <v>5436</v>
      </c>
      <c r="D7198">
        <v>162630</v>
      </c>
      <c r="E7198" t="s">
        <v>14</v>
      </c>
      <c r="F7198">
        <v>41.046700000000001</v>
      </c>
      <c r="G7198">
        <v>15.232799999999999</v>
      </c>
      <c r="H7198">
        <v>1</v>
      </c>
      <c r="I7198">
        <v>1093</v>
      </c>
      <c r="J7198" t="str">
        <f>HYPERLINK("https://climate.onebuilding.org/WMO_Region_6_Europe/ITA_Italy/CM_Campania/ITA_CM_Trevico.162630_TMYx.2009-2023.zip")</f>
        <v>https://climate.onebuilding.org/WMO_Region_6_Europe/ITA_Italy/CM_Campania/ITA_CM_Trevico.162630_TMYx.2009-2023.zip</v>
      </c>
    </row>
    <row r="7199" spans="1:10" x14ac:dyDescent="0.25">
      <c r="A7199" t="s">
        <v>5239</v>
      </c>
      <c r="B7199" t="s">
        <v>2117</v>
      </c>
      <c r="C7199" t="s">
        <v>5436</v>
      </c>
      <c r="D7199">
        <v>162630</v>
      </c>
      <c r="E7199" t="s">
        <v>14</v>
      </c>
      <c r="F7199">
        <v>41.046700000000001</v>
      </c>
      <c r="G7199">
        <v>15.232799999999999</v>
      </c>
      <c r="H7199">
        <v>1</v>
      </c>
      <c r="I7199">
        <v>1093</v>
      </c>
      <c r="J7199" t="str">
        <f>HYPERLINK("https://climate.onebuilding.org/WMO_Region_6_Europe/ITA_Italy/CM_Campania/ITA_CM_Trevico.162630_TMYx.zip")</f>
        <v>https://climate.onebuilding.org/WMO_Region_6_Europe/ITA_Italy/CM_Campania/ITA_CM_Trevico.162630_TMYx.zip</v>
      </c>
    </row>
    <row r="7200" spans="1:10" x14ac:dyDescent="0.25">
      <c r="A7200" t="s">
        <v>5239</v>
      </c>
      <c r="B7200" t="s">
        <v>5427</v>
      </c>
      <c r="C7200" t="s">
        <v>5438</v>
      </c>
      <c r="D7200">
        <v>162640</v>
      </c>
      <c r="E7200" t="s">
        <v>14</v>
      </c>
      <c r="F7200">
        <v>41.133000000000003</v>
      </c>
      <c r="G7200">
        <v>15.516999999999999</v>
      </c>
      <c r="H7200">
        <v>1</v>
      </c>
      <c r="I7200">
        <v>514</v>
      </c>
      <c r="J7200" t="str">
        <f>HYPERLINK("https://climate.onebuilding.org/WMO_Region_6_Europe/ITA_Italy/PU_Apulia/ITA_PU_Marina.di.Ginosa.162640_TMYx.zip")</f>
        <v>https://climate.onebuilding.org/WMO_Region_6_Europe/ITA_Italy/PU_Apulia/ITA_PU_Marina.di.Ginosa.162640_TMYx.zip</v>
      </c>
    </row>
    <row r="7201" spans="1:10" x14ac:dyDescent="0.25">
      <c r="A7201" t="s">
        <v>5239</v>
      </c>
      <c r="B7201" t="s">
        <v>5427</v>
      </c>
      <c r="C7201" t="s">
        <v>5439</v>
      </c>
      <c r="D7201">
        <v>162660</v>
      </c>
      <c r="E7201" t="s">
        <v>14</v>
      </c>
      <c r="F7201">
        <v>41.888100000000001</v>
      </c>
      <c r="G7201">
        <v>16.1647</v>
      </c>
      <c r="H7201">
        <v>1</v>
      </c>
      <c r="I7201">
        <v>5</v>
      </c>
      <c r="J7201" t="str">
        <f>HYPERLINK("https://climate.onebuilding.org/WMO_Region_6_Europe/ITA_Italy/PU_Apulia/ITA_PU_Vieste.162660_TMYx.2007-2021.zip")</f>
        <v>https://climate.onebuilding.org/WMO_Region_6_Europe/ITA_Italy/PU_Apulia/ITA_PU_Vieste.162660_TMYx.2007-2021.zip</v>
      </c>
    </row>
    <row r="7202" spans="1:10" x14ac:dyDescent="0.25">
      <c r="A7202" t="s">
        <v>5239</v>
      </c>
      <c r="B7202" t="s">
        <v>5427</v>
      </c>
      <c r="C7202" t="s">
        <v>5439</v>
      </c>
      <c r="D7202">
        <v>162660</v>
      </c>
      <c r="E7202" t="s">
        <v>14</v>
      </c>
      <c r="F7202">
        <v>41.888100000000001</v>
      </c>
      <c r="G7202">
        <v>16.1647</v>
      </c>
      <c r="H7202">
        <v>1</v>
      </c>
      <c r="I7202">
        <v>5</v>
      </c>
      <c r="J7202" t="str">
        <f>HYPERLINK("https://climate.onebuilding.org/WMO_Region_6_Europe/ITA_Italy/PU_Apulia/ITA_PU_Vieste.162660_TMYx.2009-2023.zip")</f>
        <v>https://climate.onebuilding.org/WMO_Region_6_Europe/ITA_Italy/PU_Apulia/ITA_PU_Vieste.162660_TMYx.2009-2023.zip</v>
      </c>
    </row>
    <row r="7203" spans="1:10" x14ac:dyDescent="0.25">
      <c r="A7203" t="s">
        <v>5239</v>
      </c>
      <c r="B7203" t="s">
        <v>5427</v>
      </c>
      <c r="C7203" t="s">
        <v>5439</v>
      </c>
      <c r="D7203">
        <v>162660</v>
      </c>
      <c r="E7203" t="s">
        <v>14</v>
      </c>
      <c r="F7203">
        <v>41.888100000000001</v>
      </c>
      <c r="G7203">
        <v>16.1647</v>
      </c>
      <c r="H7203">
        <v>1</v>
      </c>
      <c r="I7203">
        <v>5</v>
      </c>
      <c r="J7203" t="str">
        <f>HYPERLINK("https://climate.onebuilding.org/WMO_Region_6_Europe/ITA_Italy/PU_Apulia/ITA_PU_Vieste.162660_TMYx.zip")</f>
        <v>https://climate.onebuilding.org/WMO_Region_6_Europe/ITA_Italy/PU_Apulia/ITA_PU_Vieste.162660_TMYx.zip</v>
      </c>
    </row>
    <row r="7204" spans="1:10" x14ac:dyDescent="0.25">
      <c r="A7204" t="s">
        <v>5239</v>
      </c>
      <c r="B7204" t="s">
        <v>5427</v>
      </c>
      <c r="C7204" t="s">
        <v>5440</v>
      </c>
      <c r="D7204">
        <v>162700</v>
      </c>
      <c r="E7204" t="s">
        <v>5441</v>
      </c>
      <c r="F7204">
        <v>41.138100000000001</v>
      </c>
      <c r="G7204">
        <v>16.765000000000001</v>
      </c>
      <c r="H7204">
        <v>1</v>
      </c>
      <c r="I7204">
        <v>49</v>
      </c>
      <c r="J7204" t="str">
        <f>HYPERLINK("https://climate.onebuilding.org/WMO_Region_6_Europe/ITA_Italy/PU_Apulia/ITA_PU_Bari-Wojtyla.Intl.AP.162700_TMYx.2004-2018.zip")</f>
        <v>https://climate.onebuilding.org/WMO_Region_6_Europe/ITA_Italy/PU_Apulia/ITA_PU_Bari-Wojtyla.Intl.AP.162700_TMYx.2004-2018.zip</v>
      </c>
    </row>
    <row r="7205" spans="1:10" x14ac:dyDescent="0.25">
      <c r="A7205" t="s">
        <v>5239</v>
      </c>
      <c r="B7205" t="s">
        <v>5427</v>
      </c>
      <c r="C7205" t="s">
        <v>5440</v>
      </c>
      <c r="D7205">
        <v>162700</v>
      </c>
      <c r="E7205" t="s">
        <v>14</v>
      </c>
      <c r="F7205">
        <v>41.138100000000001</v>
      </c>
      <c r="G7205">
        <v>16.765000000000001</v>
      </c>
      <c r="H7205">
        <v>1</v>
      </c>
      <c r="I7205">
        <v>49</v>
      </c>
      <c r="J7205" t="str">
        <f>HYPERLINK("https://climate.onebuilding.org/WMO_Region_6_Europe/ITA_Italy/PU_Apulia/ITA_PU_Bari-Wojtyla.Intl.AP.162700_TMYx.2007-2021.zip")</f>
        <v>https://climate.onebuilding.org/WMO_Region_6_Europe/ITA_Italy/PU_Apulia/ITA_PU_Bari-Wojtyla.Intl.AP.162700_TMYx.2007-2021.zip</v>
      </c>
    </row>
    <row r="7206" spans="1:10" x14ac:dyDescent="0.25">
      <c r="A7206" t="s">
        <v>5239</v>
      </c>
      <c r="B7206" t="s">
        <v>5427</v>
      </c>
      <c r="C7206" t="s">
        <v>5440</v>
      </c>
      <c r="D7206">
        <v>162700</v>
      </c>
      <c r="E7206" t="s">
        <v>14</v>
      </c>
      <c r="F7206">
        <v>41.138100000000001</v>
      </c>
      <c r="G7206">
        <v>16.765000000000001</v>
      </c>
      <c r="H7206">
        <v>1</v>
      </c>
      <c r="I7206">
        <v>49</v>
      </c>
      <c r="J7206" t="str">
        <f>HYPERLINK("https://climate.onebuilding.org/WMO_Region_6_Europe/ITA_Italy/PU_Apulia/ITA_PU_Bari-Wojtyla.Intl.AP.162700_TMYx.2009-2023.zip")</f>
        <v>https://climate.onebuilding.org/WMO_Region_6_Europe/ITA_Italy/PU_Apulia/ITA_PU_Bari-Wojtyla.Intl.AP.162700_TMYx.2009-2023.zip</v>
      </c>
    </row>
    <row r="7207" spans="1:10" x14ac:dyDescent="0.25">
      <c r="A7207" t="s">
        <v>5239</v>
      </c>
      <c r="B7207" t="s">
        <v>5427</v>
      </c>
      <c r="C7207" t="s">
        <v>5440</v>
      </c>
      <c r="D7207">
        <v>162700</v>
      </c>
      <c r="E7207" t="s">
        <v>14</v>
      </c>
      <c r="F7207">
        <v>41.138100000000001</v>
      </c>
      <c r="G7207">
        <v>16.765000000000001</v>
      </c>
      <c r="H7207">
        <v>1</v>
      </c>
      <c r="I7207">
        <v>49</v>
      </c>
      <c r="J7207" t="str">
        <f>HYPERLINK("https://climate.onebuilding.org/WMO_Region_6_Europe/ITA_Italy/PU_Apulia/ITA_PU_Bari-Wojtyla.Intl.AP.162700_TMYx.zip")</f>
        <v>https://climate.onebuilding.org/WMO_Region_6_Europe/ITA_Italy/PU_Apulia/ITA_PU_Bari-Wojtyla.Intl.AP.162700_TMYx.zip</v>
      </c>
    </row>
    <row r="7208" spans="1:10" x14ac:dyDescent="0.25">
      <c r="A7208" t="s">
        <v>5239</v>
      </c>
      <c r="B7208" t="s">
        <v>5427</v>
      </c>
      <c r="C7208" t="s">
        <v>5442</v>
      </c>
      <c r="D7208">
        <v>162710</v>
      </c>
      <c r="E7208" t="s">
        <v>5443</v>
      </c>
      <c r="F7208">
        <v>41.1205</v>
      </c>
      <c r="G7208">
        <v>16.883600000000001</v>
      </c>
      <c r="H7208">
        <v>1</v>
      </c>
      <c r="I7208">
        <v>12</v>
      </c>
      <c r="J7208" t="str">
        <f>HYPERLINK("https://climate.onebuilding.org/WMO_Region_6_Europe/ITA_Italy/PU_Apulia/ITA_PU_Bari.162710_TMYx.2004-2018.zip")</f>
        <v>https://climate.onebuilding.org/WMO_Region_6_Europe/ITA_Italy/PU_Apulia/ITA_PU_Bari.162710_TMYx.2004-2018.zip</v>
      </c>
    </row>
    <row r="7209" spans="1:10" x14ac:dyDescent="0.25">
      <c r="A7209" t="s">
        <v>5239</v>
      </c>
      <c r="B7209" t="s">
        <v>5427</v>
      </c>
      <c r="C7209" t="s">
        <v>5442</v>
      </c>
      <c r="D7209">
        <v>162710</v>
      </c>
      <c r="E7209" t="s">
        <v>14</v>
      </c>
      <c r="F7209">
        <v>41.1205</v>
      </c>
      <c r="G7209">
        <v>16.883600000000001</v>
      </c>
      <c r="H7209">
        <v>1</v>
      </c>
      <c r="I7209">
        <v>12</v>
      </c>
      <c r="J7209" t="str">
        <f>HYPERLINK("https://climate.onebuilding.org/WMO_Region_6_Europe/ITA_Italy/PU_Apulia/ITA_PU_Bari.162710_TMYx.2007-2021.zip")</f>
        <v>https://climate.onebuilding.org/WMO_Region_6_Europe/ITA_Italy/PU_Apulia/ITA_PU_Bari.162710_TMYx.2007-2021.zip</v>
      </c>
    </row>
    <row r="7210" spans="1:10" x14ac:dyDescent="0.25">
      <c r="A7210" t="s">
        <v>5239</v>
      </c>
      <c r="B7210" t="s">
        <v>5427</v>
      </c>
      <c r="C7210" t="s">
        <v>5442</v>
      </c>
      <c r="D7210">
        <v>162710</v>
      </c>
      <c r="E7210" t="s">
        <v>14</v>
      </c>
      <c r="F7210">
        <v>41.1205</v>
      </c>
      <c r="G7210">
        <v>16.883600000000001</v>
      </c>
      <c r="H7210">
        <v>1</v>
      </c>
      <c r="I7210">
        <v>12</v>
      </c>
      <c r="J7210" t="str">
        <f>HYPERLINK("https://climate.onebuilding.org/WMO_Region_6_Europe/ITA_Italy/PU_Apulia/ITA_PU_Bari.162710_TMYx.2009-2023.zip")</f>
        <v>https://climate.onebuilding.org/WMO_Region_6_Europe/ITA_Italy/PU_Apulia/ITA_PU_Bari.162710_TMYx.2009-2023.zip</v>
      </c>
    </row>
    <row r="7211" spans="1:10" x14ac:dyDescent="0.25">
      <c r="A7211" t="s">
        <v>5239</v>
      </c>
      <c r="B7211" t="s">
        <v>5427</v>
      </c>
      <c r="C7211" t="s">
        <v>5442</v>
      </c>
      <c r="D7211">
        <v>162710</v>
      </c>
      <c r="E7211" t="s">
        <v>14</v>
      </c>
      <c r="F7211">
        <v>41.1205</v>
      </c>
      <c r="G7211">
        <v>16.883600000000001</v>
      </c>
      <c r="H7211">
        <v>1</v>
      </c>
      <c r="I7211">
        <v>12</v>
      </c>
      <c r="J7211" t="str">
        <f>HYPERLINK("https://climate.onebuilding.org/WMO_Region_6_Europe/ITA_Italy/PU_Apulia/ITA_PU_Bari.162710_TMYx.zip")</f>
        <v>https://climate.onebuilding.org/WMO_Region_6_Europe/ITA_Italy/PU_Apulia/ITA_PU_Bari.162710_TMYx.zip</v>
      </c>
    </row>
    <row r="7212" spans="1:10" x14ac:dyDescent="0.25">
      <c r="A7212" t="s">
        <v>5239</v>
      </c>
      <c r="B7212" t="s">
        <v>5384</v>
      </c>
      <c r="C7212" t="s">
        <v>5444</v>
      </c>
      <c r="D7212">
        <v>162800</v>
      </c>
      <c r="E7212" t="s">
        <v>5445</v>
      </c>
      <c r="F7212">
        <v>40.911900000000003</v>
      </c>
      <c r="G7212">
        <v>12.956899999999999</v>
      </c>
      <c r="H7212">
        <v>1</v>
      </c>
      <c r="I7212">
        <v>185</v>
      </c>
      <c r="J7212" t="str">
        <f>HYPERLINK("https://climate.onebuilding.org/WMO_Region_6_Europe/ITA_Italy/LZ_Lazio/ITA_LZ_Isola.di.Ponza.162800_TMYx.2004-2018.zip")</f>
        <v>https://climate.onebuilding.org/WMO_Region_6_Europe/ITA_Italy/LZ_Lazio/ITA_LZ_Isola.di.Ponza.162800_TMYx.2004-2018.zip</v>
      </c>
    </row>
    <row r="7213" spans="1:10" x14ac:dyDescent="0.25">
      <c r="A7213" t="s">
        <v>5239</v>
      </c>
      <c r="B7213" t="s">
        <v>5384</v>
      </c>
      <c r="C7213" t="s">
        <v>5444</v>
      </c>
      <c r="D7213">
        <v>162800</v>
      </c>
      <c r="E7213" t="s">
        <v>14</v>
      </c>
      <c r="F7213">
        <v>40.911900000000003</v>
      </c>
      <c r="G7213">
        <v>12.956899999999999</v>
      </c>
      <c r="H7213">
        <v>1</v>
      </c>
      <c r="I7213">
        <v>185</v>
      </c>
      <c r="J7213" t="str">
        <f>HYPERLINK("https://climate.onebuilding.org/WMO_Region_6_Europe/ITA_Italy/LZ_Lazio/ITA_LZ_Isola.di.Ponza.162800_TMYx.2007-2021.zip")</f>
        <v>https://climate.onebuilding.org/WMO_Region_6_Europe/ITA_Italy/LZ_Lazio/ITA_LZ_Isola.di.Ponza.162800_TMYx.2007-2021.zip</v>
      </c>
    </row>
    <row r="7214" spans="1:10" x14ac:dyDescent="0.25">
      <c r="A7214" t="s">
        <v>5239</v>
      </c>
      <c r="B7214" t="s">
        <v>5384</v>
      </c>
      <c r="C7214" t="s">
        <v>5444</v>
      </c>
      <c r="D7214">
        <v>162800</v>
      </c>
      <c r="E7214" t="s">
        <v>14</v>
      </c>
      <c r="F7214">
        <v>40.911900000000003</v>
      </c>
      <c r="G7214">
        <v>12.956899999999999</v>
      </c>
      <c r="H7214">
        <v>1</v>
      </c>
      <c r="I7214">
        <v>185</v>
      </c>
      <c r="J7214" t="str">
        <f>HYPERLINK("https://climate.onebuilding.org/WMO_Region_6_Europe/ITA_Italy/LZ_Lazio/ITA_LZ_Isola.di.Ponza.162800_TMYx.2009-2023.zip")</f>
        <v>https://climate.onebuilding.org/WMO_Region_6_Europe/ITA_Italy/LZ_Lazio/ITA_LZ_Isola.di.Ponza.162800_TMYx.2009-2023.zip</v>
      </c>
    </row>
    <row r="7215" spans="1:10" x14ac:dyDescent="0.25">
      <c r="A7215" t="s">
        <v>5239</v>
      </c>
      <c r="B7215" t="s">
        <v>5384</v>
      </c>
      <c r="C7215" t="s">
        <v>5444</v>
      </c>
      <c r="D7215">
        <v>162800</v>
      </c>
      <c r="E7215" t="s">
        <v>14</v>
      </c>
      <c r="F7215">
        <v>40.911900000000003</v>
      </c>
      <c r="G7215">
        <v>12.956899999999999</v>
      </c>
      <c r="H7215">
        <v>1</v>
      </c>
      <c r="I7215">
        <v>185</v>
      </c>
      <c r="J7215" t="str">
        <f>HYPERLINK("https://climate.onebuilding.org/WMO_Region_6_Europe/ITA_Italy/LZ_Lazio/ITA_LZ_Isola.di.Ponza.162800_TMYx.zip")</f>
        <v>https://climate.onebuilding.org/WMO_Region_6_Europe/ITA_Italy/LZ_Lazio/ITA_LZ_Isola.di.Ponza.162800_TMYx.zip</v>
      </c>
    </row>
    <row r="7216" spans="1:10" x14ac:dyDescent="0.25">
      <c r="A7216" t="s">
        <v>5239</v>
      </c>
      <c r="B7216" t="s">
        <v>2117</v>
      </c>
      <c r="C7216" t="s">
        <v>5446</v>
      </c>
      <c r="D7216">
        <v>162880</v>
      </c>
      <c r="E7216" t="s">
        <v>14</v>
      </c>
      <c r="F7216">
        <v>41.070799999999998</v>
      </c>
      <c r="G7216">
        <v>14.323600000000001</v>
      </c>
      <c r="H7216">
        <v>1</v>
      </c>
      <c r="I7216">
        <v>63</v>
      </c>
      <c r="J7216" t="str">
        <f>HYPERLINK("https://climate.onebuilding.org/WMO_Region_6_Europe/ITA_Italy/CM_Campania/ITA_CM_Caserta.162880_TMYx.2007-2021.zip")</f>
        <v>https://climate.onebuilding.org/WMO_Region_6_Europe/ITA_Italy/CM_Campania/ITA_CM_Caserta.162880_TMYx.2007-2021.zip</v>
      </c>
    </row>
    <row r="7217" spans="1:10" x14ac:dyDescent="0.25">
      <c r="A7217" t="s">
        <v>5239</v>
      </c>
      <c r="B7217" t="s">
        <v>2117</v>
      </c>
      <c r="C7217" t="s">
        <v>5446</v>
      </c>
      <c r="D7217">
        <v>162880</v>
      </c>
      <c r="E7217" t="s">
        <v>14</v>
      </c>
      <c r="F7217">
        <v>41.070799999999998</v>
      </c>
      <c r="G7217">
        <v>14.323600000000001</v>
      </c>
      <c r="H7217">
        <v>1</v>
      </c>
      <c r="I7217">
        <v>63</v>
      </c>
      <c r="J7217" t="str">
        <f>HYPERLINK("https://climate.onebuilding.org/WMO_Region_6_Europe/ITA_Italy/CM_Campania/ITA_CM_Caserta.162880_TMYx.2009-2023.zip")</f>
        <v>https://climate.onebuilding.org/WMO_Region_6_Europe/ITA_Italy/CM_Campania/ITA_CM_Caserta.162880_TMYx.2009-2023.zip</v>
      </c>
    </row>
    <row r="7218" spans="1:10" x14ac:dyDescent="0.25">
      <c r="A7218" t="s">
        <v>5239</v>
      </c>
      <c r="B7218" t="s">
        <v>2117</v>
      </c>
      <c r="C7218" t="s">
        <v>5446</v>
      </c>
      <c r="D7218">
        <v>162880</v>
      </c>
      <c r="E7218" t="s">
        <v>14</v>
      </c>
      <c r="F7218">
        <v>41.070799999999998</v>
      </c>
      <c r="G7218">
        <v>14.323600000000001</v>
      </c>
      <c r="H7218">
        <v>1</v>
      </c>
      <c r="I7218">
        <v>63</v>
      </c>
      <c r="J7218" t="str">
        <f>HYPERLINK("https://climate.onebuilding.org/WMO_Region_6_Europe/ITA_Italy/CM_Campania/ITA_CM_Caserta.162880_TMYx.zip")</f>
        <v>https://climate.onebuilding.org/WMO_Region_6_Europe/ITA_Italy/CM_Campania/ITA_CM_Caserta.162880_TMYx.zip</v>
      </c>
    </row>
    <row r="7219" spans="1:10" x14ac:dyDescent="0.25">
      <c r="A7219" t="s">
        <v>5239</v>
      </c>
      <c r="B7219" t="s">
        <v>2117</v>
      </c>
      <c r="C7219" t="s">
        <v>5447</v>
      </c>
      <c r="D7219">
        <v>162890</v>
      </c>
      <c r="E7219" t="s">
        <v>5448</v>
      </c>
      <c r="F7219">
        <v>40.85</v>
      </c>
      <c r="G7219">
        <v>14.3</v>
      </c>
      <c r="H7219">
        <v>1</v>
      </c>
      <c r="I7219">
        <v>72</v>
      </c>
      <c r="J7219" t="str">
        <f>HYPERLINK("https://climate.onebuilding.org/WMO_Region_6_Europe/ITA_Italy/CM_Campania/ITA_CM_Napoli-Capodichino.AP.162890_TMYx.2004-2018.zip")</f>
        <v>https://climate.onebuilding.org/WMO_Region_6_Europe/ITA_Italy/CM_Campania/ITA_CM_Napoli-Capodichino.AP.162890_TMYx.2004-2018.zip</v>
      </c>
    </row>
    <row r="7220" spans="1:10" x14ac:dyDescent="0.25">
      <c r="A7220" t="s">
        <v>5239</v>
      </c>
      <c r="B7220" t="s">
        <v>2117</v>
      </c>
      <c r="C7220" t="s">
        <v>5447</v>
      </c>
      <c r="D7220">
        <v>162890</v>
      </c>
      <c r="E7220" t="s">
        <v>14</v>
      </c>
      <c r="F7220">
        <v>40.884</v>
      </c>
      <c r="G7220">
        <v>14.291</v>
      </c>
      <c r="H7220">
        <v>1</v>
      </c>
      <c r="I7220">
        <v>72</v>
      </c>
      <c r="J7220" t="str">
        <f>HYPERLINK("https://climate.onebuilding.org/WMO_Region_6_Europe/ITA_Italy/CM_Campania/ITA_CM_Napoli-Capodichino.AP.162890_TMYx.2007-2021.zip")</f>
        <v>https://climate.onebuilding.org/WMO_Region_6_Europe/ITA_Italy/CM_Campania/ITA_CM_Napoli-Capodichino.AP.162890_TMYx.2007-2021.zip</v>
      </c>
    </row>
    <row r="7221" spans="1:10" x14ac:dyDescent="0.25">
      <c r="A7221" t="s">
        <v>5239</v>
      </c>
      <c r="B7221" t="s">
        <v>2117</v>
      </c>
      <c r="C7221" t="s">
        <v>5447</v>
      </c>
      <c r="D7221">
        <v>162890</v>
      </c>
      <c r="E7221" t="s">
        <v>14</v>
      </c>
      <c r="F7221">
        <v>40.884</v>
      </c>
      <c r="G7221">
        <v>14.291</v>
      </c>
      <c r="H7221">
        <v>1</v>
      </c>
      <c r="I7221">
        <v>72</v>
      </c>
      <c r="J7221" t="str">
        <f>HYPERLINK("https://climate.onebuilding.org/WMO_Region_6_Europe/ITA_Italy/CM_Campania/ITA_CM_Napoli-Capodichino.AP.162890_TMYx.2009-2023.zip")</f>
        <v>https://climate.onebuilding.org/WMO_Region_6_Europe/ITA_Italy/CM_Campania/ITA_CM_Napoli-Capodichino.AP.162890_TMYx.2009-2023.zip</v>
      </c>
    </row>
    <row r="7222" spans="1:10" x14ac:dyDescent="0.25">
      <c r="A7222" t="s">
        <v>5239</v>
      </c>
      <c r="B7222" t="s">
        <v>2117</v>
      </c>
      <c r="C7222" t="s">
        <v>5447</v>
      </c>
      <c r="D7222">
        <v>162890</v>
      </c>
      <c r="E7222" t="s">
        <v>14</v>
      </c>
      <c r="F7222">
        <v>40.884</v>
      </c>
      <c r="G7222">
        <v>14.291</v>
      </c>
      <c r="H7222">
        <v>1</v>
      </c>
      <c r="I7222">
        <v>72</v>
      </c>
      <c r="J7222" t="str">
        <f>HYPERLINK("https://climate.onebuilding.org/WMO_Region_6_Europe/ITA_Italy/CM_Campania/ITA_CM_Napoli-Capodichino.AP.162890_TMYx.zip")</f>
        <v>https://climate.onebuilding.org/WMO_Region_6_Europe/ITA_Italy/CM_Campania/ITA_CM_Napoli-Capodichino.AP.162890_TMYx.zip</v>
      </c>
    </row>
    <row r="7223" spans="1:10" x14ac:dyDescent="0.25">
      <c r="A7223" t="s">
        <v>5239</v>
      </c>
      <c r="B7223" t="s">
        <v>2117</v>
      </c>
      <c r="C7223" t="s">
        <v>5449</v>
      </c>
      <c r="D7223">
        <v>162920</v>
      </c>
      <c r="E7223" t="s">
        <v>5450</v>
      </c>
      <c r="F7223">
        <v>40.616999999999997</v>
      </c>
      <c r="G7223">
        <v>14.917</v>
      </c>
      <c r="H7223">
        <v>1</v>
      </c>
      <c r="I7223">
        <v>39</v>
      </c>
      <c r="J7223" t="str">
        <f>HYPERLINK("https://climate.onebuilding.org/WMO_Region_6_Europe/ITA_Italy/CM_Campania/ITA_CM_Salerno-Pontecagnano.AP.162920_TMYx.2004-2018.zip")</f>
        <v>https://climate.onebuilding.org/WMO_Region_6_Europe/ITA_Italy/CM_Campania/ITA_CM_Salerno-Pontecagnano.AP.162920_TMYx.2004-2018.zip</v>
      </c>
    </row>
    <row r="7224" spans="1:10" x14ac:dyDescent="0.25">
      <c r="A7224" t="s">
        <v>5239</v>
      </c>
      <c r="B7224" t="s">
        <v>2117</v>
      </c>
      <c r="C7224" t="s">
        <v>5449</v>
      </c>
      <c r="D7224">
        <v>162920</v>
      </c>
      <c r="E7224" t="s">
        <v>14</v>
      </c>
      <c r="F7224">
        <v>40.616999999999997</v>
      </c>
      <c r="G7224">
        <v>14.917</v>
      </c>
      <c r="H7224">
        <v>1</v>
      </c>
      <c r="I7224">
        <v>39</v>
      </c>
      <c r="J7224" t="str">
        <f>HYPERLINK("https://climate.onebuilding.org/WMO_Region_6_Europe/ITA_Italy/CM_Campania/ITA_CM_Salerno-Pontecagnano.AP.162920_TMYx.2007-2021.zip")</f>
        <v>https://climate.onebuilding.org/WMO_Region_6_Europe/ITA_Italy/CM_Campania/ITA_CM_Salerno-Pontecagnano.AP.162920_TMYx.2007-2021.zip</v>
      </c>
    </row>
    <row r="7225" spans="1:10" x14ac:dyDescent="0.25">
      <c r="A7225" t="s">
        <v>5239</v>
      </c>
      <c r="B7225" t="s">
        <v>2117</v>
      </c>
      <c r="C7225" t="s">
        <v>5449</v>
      </c>
      <c r="D7225">
        <v>162920</v>
      </c>
      <c r="E7225" t="s">
        <v>14</v>
      </c>
      <c r="F7225">
        <v>40.616999999999997</v>
      </c>
      <c r="G7225">
        <v>14.917</v>
      </c>
      <c r="H7225">
        <v>1</v>
      </c>
      <c r="I7225">
        <v>39</v>
      </c>
      <c r="J7225" t="str">
        <f>HYPERLINK("https://climate.onebuilding.org/WMO_Region_6_Europe/ITA_Italy/CM_Campania/ITA_CM_Salerno-Pontecagnano.AP.162920_TMYx.2009-2023.zip")</f>
        <v>https://climate.onebuilding.org/WMO_Region_6_Europe/ITA_Italy/CM_Campania/ITA_CM_Salerno-Pontecagnano.AP.162920_TMYx.2009-2023.zip</v>
      </c>
    </row>
    <row r="7226" spans="1:10" x14ac:dyDescent="0.25">
      <c r="A7226" t="s">
        <v>5239</v>
      </c>
      <c r="B7226" t="s">
        <v>2117</v>
      </c>
      <c r="C7226" t="s">
        <v>5449</v>
      </c>
      <c r="D7226">
        <v>162920</v>
      </c>
      <c r="E7226" t="s">
        <v>14</v>
      </c>
      <c r="F7226">
        <v>40.616999999999997</v>
      </c>
      <c r="G7226">
        <v>14.917</v>
      </c>
      <c r="H7226">
        <v>1</v>
      </c>
      <c r="I7226">
        <v>39</v>
      </c>
      <c r="J7226" t="str">
        <f>HYPERLINK("https://climate.onebuilding.org/WMO_Region_6_Europe/ITA_Italy/CM_Campania/ITA_CM_Salerno-Pontecagnano.AP.162920_TMYx.zip")</f>
        <v>https://climate.onebuilding.org/WMO_Region_6_Europe/ITA_Italy/CM_Campania/ITA_CM_Salerno-Pontecagnano.AP.162920_TMYx.zip</v>
      </c>
    </row>
    <row r="7227" spans="1:10" x14ac:dyDescent="0.25">
      <c r="A7227" t="s">
        <v>5239</v>
      </c>
      <c r="B7227" t="s">
        <v>2117</v>
      </c>
      <c r="C7227" t="s">
        <v>5451</v>
      </c>
      <c r="D7227">
        <v>162940</v>
      </c>
      <c r="E7227" t="s">
        <v>5452</v>
      </c>
      <c r="F7227">
        <v>40.5578</v>
      </c>
      <c r="G7227">
        <v>14.2019</v>
      </c>
      <c r="H7227">
        <v>1</v>
      </c>
      <c r="I7227">
        <v>161</v>
      </c>
      <c r="J7227" t="str">
        <f>HYPERLINK("https://climate.onebuilding.org/WMO_Region_6_Europe/ITA_Italy/CM_Campania/ITA_CM_Capri.Island.162940_TMYx.2004-2018.zip")</f>
        <v>https://climate.onebuilding.org/WMO_Region_6_Europe/ITA_Italy/CM_Campania/ITA_CM_Capri.Island.162940_TMYx.2004-2018.zip</v>
      </c>
    </row>
    <row r="7228" spans="1:10" x14ac:dyDescent="0.25">
      <c r="A7228" t="s">
        <v>5239</v>
      </c>
      <c r="B7228" t="s">
        <v>2117</v>
      </c>
      <c r="C7228" t="s">
        <v>5451</v>
      </c>
      <c r="D7228">
        <v>162940</v>
      </c>
      <c r="E7228" t="s">
        <v>14</v>
      </c>
      <c r="F7228">
        <v>40.5578</v>
      </c>
      <c r="G7228">
        <v>14.2019</v>
      </c>
      <c r="H7228">
        <v>1</v>
      </c>
      <c r="I7228">
        <v>161</v>
      </c>
      <c r="J7228" t="str">
        <f>HYPERLINK("https://climate.onebuilding.org/WMO_Region_6_Europe/ITA_Italy/CM_Campania/ITA_CM_Capri.Island.162940_TMYx.2007-2021.zip")</f>
        <v>https://climate.onebuilding.org/WMO_Region_6_Europe/ITA_Italy/CM_Campania/ITA_CM_Capri.Island.162940_TMYx.2007-2021.zip</v>
      </c>
    </row>
    <row r="7229" spans="1:10" x14ac:dyDescent="0.25">
      <c r="A7229" t="s">
        <v>5239</v>
      </c>
      <c r="B7229" t="s">
        <v>2117</v>
      </c>
      <c r="C7229" t="s">
        <v>5451</v>
      </c>
      <c r="D7229">
        <v>162940</v>
      </c>
      <c r="E7229" t="s">
        <v>14</v>
      </c>
      <c r="F7229">
        <v>40.5578</v>
      </c>
      <c r="G7229">
        <v>14.2019</v>
      </c>
      <c r="H7229">
        <v>1</v>
      </c>
      <c r="I7229">
        <v>161</v>
      </c>
      <c r="J7229" t="str">
        <f>HYPERLINK("https://climate.onebuilding.org/WMO_Region_6_Europe/ITA_Italy/CM_Campania/ITA_CM_Capri.Island.162940_TMYx.2009-2023.zip")</f>
        <v>https://climate.onebuilding.org/WMO_Region_6_Europe/ITA_Italy/CM_Campania/ITA_CM_Capri.Island.162940_TMYx.2009-2023.zip</v>
      </c>
    </row>
    <row r="7230" spans="1:10" x14ac:dyDescent="0.25">
      <c r="A7230" t="s">
        <v>5239</v>
      </c>
      <c r="B7230" t="s">
        <v>2117</v>
      </c>
      <c r="C7230" t="s">
        <v>5451</v>
      </c>
      <c r="D7230">
        <v>162940</v>
      </c>
      <c r="E7230" t="s">
        <v>14</v>
      </c>
      <c r="F7230">
        <v>40.5578</v>
      </c>
      <c r="G7230">
        <v>14.2019</v>
      </c>
      <c r="H7230">
        <v>1</v>
      </c>
      <c r="I7230">
        <v>161</v>
      </c>
      <c r="J7230" t="str">
        <f>HYPERLINK("https://climate.onebuilding.org/WMO_Region_6_Europe/ITA_Italy/CM_Campania/ITA_CM_Capri.Island.162940_TMYx.zip")</f>
        <v>https://climate.onebuilding.org/WMO_Region_6_Europe/ITA_Italy/CM_Campania/ITA_CM_Capri.Island.162940_TMYx.zip</v>
      </c>
    </row>
    <row r="7231" spans="1:10" x14ac:dyDescent="0.25">
      <c r="A7231" t="s">
        <v>5239</v>
      </c>
      <c r="B7231" t="s">
        <v>5453</v>
      </c>
      <c r="C7231" t="s">
        <v>5454</v>
      </c>
      <c r="D7231">
        <v>163000</v>
      </c>
      <c r="E7231" t="s">
        <v>14</v>
      </c>
      <c r="F7231">
        <v>40.633000000000003</v>
      </c>
      <c r="G7231">
        <v>15.8</v>
      </c>
      <c r="H7231">
        <v>1</v>
      </c>
      <c r="I7231">
        <v>843</v>
      </c>
      <c r="J7231" t="str">
        <f>HYPERLINK("https://climate.onebuilding.org/WMO_Region_6_Europe/ITA_Italy/BC_Basilicata/ITA_BC_Potenza.163000_TMYx.zip")</f>
        <v>https://climate.onebuilding.org/WMO_Region_6_Europe/ITA_Italy/BC_Basilicata/ITA_BC_Potenza.163000_TMYx.zip</v>
      </c>
    </row>
    <row r="7232" spans="1:10" x14ac:dyDescent="0.25">
      <c r="A7232" t="s">
        <v>5239</v>
      </c>
      <c r="B7232" t="s">
        <v>2117</v>
      </c>
      <c r="C7232" t="s">
        <v>5455</v>
      </c>
      <c r="D7232">
        <v>163100</v>
      </c>
      <c r="E7232" t="s">
        <v>5456</v>
      </c>
      <c r="F7232">
        <v>40.024999999999999</v>
      </c>
      <c r="G7232">
        <v>15.2803</v>
      </c>
      <c r="H7232">
        <v>1</v>
      </c>
      <c r="I7232">
        <v>185</v>
      </c>
      <c r="J7232" t="str">
        <f>HYPERLINK("https://climate.onebuilding.org/WMO_Region_6_Europe/ITA_Italy/CM_Campania/ITA_CM_Cape.Palinuro.163100_TMYx.2004-2018.zip")</f>
        <v>https://climate.onebuilding.org/WMO_Region_6_Europe/ITA_Italy/CM_Campania/ITA_CM_Cape.Palinuro.163100_TMYx.2004-2018.zip</v>
      </c>
    </row>
    <row r="7233" spans="1:10" x14ac:dyDescent="0.25">
      <c r="A7233" t="s">
        <v>5239</v>
      </c>
      <c r="B7233" t="s">
        <v>2117</v>
      </c>
      <c r="C7233" t="s">
        <v>5455</v>
      </c>
      <c r="D7233">
        <v>163100</v>
      </c>
      <c r="E7233" t="s">
        <v>14</v>
      </c>
      <c r="F7233">
        <v>40.024999999999999</v>
      </c>
      <c r="G7233">
        <v>15.2803</v>
      </c>
      <c r="H7233">
        <v>1</v>
      </c>
      <c r="I7233">
        <v>185</v>
      </c>
      <c r="J7233" t="str">
        <f>HYPERLINK("https://climate.onebuilding.org/WMO_Region_6_Europe/ITA_Italy/CM_Campania/ITA_CM_Cape.Palinuro.163100_TMYx.2007-2021.zip")</f>
        <v>https://climate.onebuilding.org/WMO_Region_6_Europe/ITA_Italy/CM_Campania/ITA_CM_Cape.Palinuro.163100_TMYx.2007-2021.zip</v>
      </c>
    </row>
    <row r="7234" spans="1:10" x14ac:dyDescent="0.25">
      <c r="A7234" t="s">
        <v>5239</v>
      </c>
      <c r="B7234" t="s">
        <v>2117</v>
      </c>
      <c r="C7234" t="s">
        <v>5455</v>
      </c>
      <c r="D7234">
        <v>163100</v>
      </c>
      <c r="E7234" t="s">
        <v>14</v>
      </c>
      <c r="F7234">
        <v>40.024999999999999</v>
      </c>
      <c r="G7234">
        <v>15.2803</v>
      </c>
      <c r="H7234">
        <v>1</v>
      </c>
      <c r="I7234">
        <v>185</v>
      </c>
      <c r="J7234" t="str">
        <f>HYPERLINK("https://climate.onebuilding.org/WMO_Region_6_Europe/ITA_Italy/CM_Campania/ITA_CM_Cape.Palinuro.163100_TMYx.2009-2023.zip")</f>
        <v>https://climate.onebuilding.org/WMO_Region_6_Europe/ITA_Italy/CM_Campania/ITA_CM_Cape.Palinuro.163100_TMYx.2009-2023.zip</v>
      </c>
    </row>
    <row r="7235" spans="1:10" x14ac:dyDescent="0.25">
      <c r="A7235" t="s">
        <v>5239</v>
      </c>
      <c r="B7235" t="s">
        <v>2117</v>
      </c>
      <c r="C7235" t="s">
        <v>5455</v>
      </c>
      <c r="D7235">
        <v>163100</v>
      </c>
      <c r="E7235" t="s">
        <v>14</v>
      </c>
      <c r="F7235">
        <v>40.024999999999999</v>
      </c>
      <c r="G7235">
        <v>15.2803</v>
      </c>
      <c r="H7235">
        <v>1</v>
      </c>
      <c r="I7235">
        <v>185</v>
      </c>
      <c r="J7235" t="str">
        <f>HYPERLINK("https://climate.onebuilding.org/WMO_Region_6_Europe/ITA_Italy/CM_Campania/ITA_CM_Cape.Palinuro.163100_TMYx.zip")</f>
        <v>https://climate.onebuilding.org/WMO_Region_6_Europe/ITA_Italy/CM_Campania/ITA_CM_Cape.Palinuro.163100_TMYx.zip</v>
      </c>
    </row>
    <row r="7236" spans="1:10" x14ac:dyDescent="0.25">
      <c r="A7236" t="s">
        <v>5239</v>
      </c>
      <c r="B7236" t="s">
        <v>5427</v>
      </c>
      <c r="C7236" t="s">
        <v>5457</v>
      </c>
      <c r="D7236">
        <v>163120</v>
      </c>
      <c r="E7236" t="s">
        <v>5458</v>
      </c>
      <c r="F7236">
        <v>40.766100000000002</v>
      </c>
      <c r="G7236">
        <v>16.935300000000002</v>
      </c>
      <c r="H7236">
        <v>1</v>
      </c>
      <c r="I7236">
        <v>351.9</v>
      </c>
      <c r="J7236" t="str">
        <f>HYPERLINK("https://climate.onebuilding.org/WMO_Region_6_Europe/ITA_Italy/PU_Apulia/ITA_PU_Ramirez.AB.163120_TMYx.2004-2018.zip")</f>
        <v>https://climate.onebuilding.org/WMO_Region_6_Europe/ITA_Italy/PU_Apulia/ITA_PU_Ramirez.AB.163120_TMYx.2004-2018.zip</v>
      </c>
    </row>
    <row r="7237" spans="1:10" x14ac:dyDescent="0.25">
      <c r="A7237" t="s">
        <v>5239</v>
      </c>
      <c r="B7237" t="s">
        <v>5427</v>
      </c>
      <c r="C7237" t="s">
        <v>5457</v>
      </c>
      <c r="D7237">
        <v>163120</v>
      </c>
      <c r="E7237" t="s">
        <v>14</v>
      </c>
      <c r="F7237">
        <v>40.766100000000002</v>
      </c>
      <c r="G7237">
        <v>16.935300000000002</v>
      </c>
      <c r="H7237">
        <v>1</v>
      </c>
      <c r="I7237">
        <v>351.9</v>
      </c>
      <c r="J7237" t="str">
        <f>HYPERLINK("https://climate.onebuilding.org/WMO_Region_6_Europe/ITA_Italy/PU_Apulia/ITA_PU_Ramirez.AB.163120_TMYx.2007-2021.zip")</f>
        <v>https://climate.onebuilding.org/WMO_Region_6_Europe/ITA_Italy/PU_Apulia/ITA_PU_Ramirez.AB.163120_TMYx.2007-2021.zip</v>
      </c>
    </row>
    <row r="7238" spans="1:10" x14ac:dyDescent="0.25">
      <c r="A7238" t="s">
        <v>5239</v>
      </c>
      <c r="B7238" t="s">
        <v>5427</v>
      </c>
      <c r="C7238" t="s">
        <v>5457</v>
      </c>
      <c r="D7238">
        <v>163120</v>
      </c>
      <c r="E7238" t="s">
        <v>14</v>
      </c>
      <c r="F7238">
        <v>40.766100000000002</v>
      </c>
      <c r="G7238">
        <v>16.935300000000002</v>
      </c>
      <c r="H7238">
        <v>1</v>
      </c>
      <c r="I7238">
        <v>351.9</v>
      </c>
      <c r="J7238" t="str">
        <f>HYPERLINK("https://climate.onebuilding.org/WMO_Region_6_Europe/ITA_Italy/PU_Apulia/ITA_PU_Ramirez.AB.163120_TMYx.2009-2023.zip")</f>
        <v>https://climate.onebuilding.org/WMO_Region_6_Europe/ITA_Italy/PU_Apulia/ITA_PU_Ramirez.AB.163120_TMYx.2009-2023.zip</v>
      </c>
    </row>
    <row r="7239" spans="1:10" x14ac:dyDescent="0.25">
      <c r="A7239" t="s">
        <v>5239</v>
      </c>
      <c r="B7239" t="s">
        <v>5427</v>
      </c>
      <c r="C7239" t="s">
        <v>5457</v>
      </c>
      <c r="D7239">
        <v>163120</v>
      </c>
      <c r="E7239" t="s">
        <v>14</v>
      </c>
      <c r="F7239">
        <v>40.766100000000002</v>
      </c>
      <c r="G7239">
        <v>16.935300000000002</v>
      </c>
      <c r="H7239">
        <v>1</v>
      </c>
      <c r="I7239">
        <v>351.9</v>
      </c>
      <c r="J7239" t="str">
        <f>HYPERLINK("https://climate.onebuilding.org/WMO_Region_6_Europe/ITA_Italy/PU_Apulia/ITA_PU_Ramirez.AB.163120_TMYx.zip")</f>
        <v>https://climate.onebuilding.org/WMO_Region_6_Europe/ITA_Italy/PU_Apulia/ITA_PU_Ramirez.AB.163120_TMYx.zip</v>
      </c>
    </row>
    <row r="7240" spans="1:10" x14ac:dyDescent="0.25">
      <c r="A7240" t="s">
        <v>5239</v>
      </c>
      <c r="B7240" t="s">
        <v>5427</v>
      </c>
      <c r="C7240" t="s">
        <v>5459</v>
      </c>
      <c r="D7240">
        <v>163140</v>
      </c>
      <c r="E7240" t="s">
        <v>14</v>
      </c>
      <c r="F7240">
        <v>40.6753</v>
      </c>
      <c r="G7240">
        <v>16.656099999999999</v>
      </c>
      <c r="H7240">
        <v>1</v>
      </c>
      <c r="I7240">
        <v>498</v>
      </c>
      <c r="J7240" t="str">
        <f>HYPERLINK("https://climate.onebuilding.org/WMO_Region_6_Europe/ITA_Italy/PU_Apulia/ITA_PU_Matera.163140_TMYx.2007-2021.zip")</f>
        <v>https://climate.onebuilding.org/WMO_Region_6_Europe/ITA_Italy/PU_Apulia/ITA_PU_Matera.163140_TMYx.2007-2021.zip</v>
      </c>
    </row>
    <row r="7241" spans="1:10" x14ac:dyDescent="0.25">
      <c r="A7241" t="s">
        <v>5239</v>
      </c>
      <c r="B7241" t="s">
        <v>5427</v>
      </c>
      <c r="C7241" t="s">
        <v>5459</v>
      </c>
      <c r="D7241">
        <v>163140</v>
      </c>
      <c r="E7241" t="s">
        <v>14</v>
      </c>
      <c r="F7241">
        <v>40.6753</v>
      </c>
      <c r="G7241">
        <v>16.656099999999999</v>
      </c>
      <c r="H7241">
        <v>1</v>
      </c>
      <c r="I7241">
        <v>498</v>
      </c>
      <c r="J7241" t="str">
        <f>HYPERLINK("https://climate.onebuilding.org/WMO_Region_6_Europe/ITA_Italy/PU_Apulia/ITA_PU_Matera.163140_TMYx.2009-2023.zip")</f>
        <v>https://climate.onebuilding.org/WMO_Region_6_Europe/ITA_Italy/PU_Apulia/ITA_PU_Matera.163140_TMYx.2009-2023.zip</v>
      </c>
    </row>
    <row r="7242" spans="1:10" x14ac:dyDescent="0.25">
      <c r="A7242" t="s">
        <v>5239</v>
      </c>
      <c r="B7242" t="s">
        <v>5427</v>
      </c>
      <c r="C7242" t="s">
        <v>5459</v>
      </c>
      <c r="D7242">
        <v>163140</v>
      </c>
      <c r="E7242" t="s">
        <v>14</v>
      </c>
      <c r="F7242">
        <v>40.6753</v>
      </c>
      <c r="G7242">
        <v>16.656099999999999</v>
      </c>
      <c r="H7242">
        <v>1</v>
      </c>
      <c r="I7242">
        <v>498</v>
      </c>
      <c r="J7242" t="str">
        <f>HYPERLINK("https://climate.onebuilding.org/WMO_Region_6_Europe/ITA_Italy/PU_Apulia/ITA_PU_Matera.163140_TMYx.zip")</f>
        <v>https://climate.onebuilding.org/WMO_Region_6_Europe/ITA_Italy/PU_Apulia/ITA_PU_Matera.163140_TMYx.zip</v>
      </c>
    </row>
    <row r="7243" spans="1:10" x14ac:dyDescent="0.25">
      <c r="A7243" t="s">
        <v>5239</v>
      </c>
      <c r="B7243" t="s">
        <v>5453</v>
      </c>
      <c r="C7243" t="s">
        <v>5460</v>
      </c>
      <c r="D7243">
        <v>163160</v>
      </c>
      <c r="E7243" t="s">
        <v>5461</v>
      </c>
      <c r="F7243">
        <v>40.087499999999999</v>
      </c>
      <c r="G7243">
        <v>16.0136</v>
      </c>
      <c r="H7243">
        <v>1</v>
      </c>
      <c r="I7243">
        <v>896</v>
      </c>
      <c r="J7243" t="str">
        <f>HYPERLINK("https://climate.onebuilding.org/WMO_Region_6_Europe/ITA_Italy/BC_Basilicata/ITA_BC_Latronico.163160_TMYx.2004-2018.zip")</f>
        <v>https://climate.onebuilding.org/WMO_Region_6_Europe/ITA_Italy/BC_Basilicata/ITA_BC_Latronico.163160_TMYx.2004-2018.zip</v>
      </c>
    </row>
    <row r="7244" spans="1:10" x14ac:dyDescent="0.25">
      <c r="A7244" t="s">
        <v>5239</v>
      </c>
      <c r="B7244" t="s">
        <v>5453</v>
      </c>
      <c r="C7244" t="s">
        <v>5460</v>
      </c>
      <c r="D7244">
        <v>163160</v>
      </c>
      <c r="E7244" t="s">
        <v>14</v>
      </c>
      <c r="F7244">
        <v>40.087499999999999</v>
      </c>
      <c r="G7244">
        <v>16.0136</v>
      </c>
      <c r="H7244">
        <v>1</v>
      </c>
      <c r="I7244">
        <v>896</v>
      </c>
      <c r="J7244" t="str">
        <f>HYPERLINK("https://climate.onebuilding.org/WMO_Region_6_Europe/ITA_Italy/BC_Basilicata/ITA_BC_Latronico.163160_TMYx.2007-2021.zip")</f>
        <v>https://climate.onebuilding.org/WMO_Region_6_Europe/ITA_Italy/BC_Basilicata/ITA_BC_Latronico.163160_TMYx.2007-2021.zip</v>
      </c>
    </row>
    <row r="7245" spans="1:10" x14ac:dyDescent="0.25">
      <c r="A7245" t="s">
        <v>5239</v>
      </c>
      <c r="B7245" t="s">
        <v>5453</v>
      </c>
      <c r="C7245" t="s">
        <v>5460</v>
      </c>
      <c r="D7245">
        <v>163160</v>
      </c>
      <c r="E7245" t="s">
        <v>14</v>
      </c>
      <c r="F7245">
        <v>40.087499999999999</v>
      </c>
      <c r="G7245">
        <v>16.0136</v>
      </c>
      <c r="H7245">
        <v>1</v>
      </c>
      <c r="I7245">
        <v>896</v>
      </c>
      <c r="J7245" t="str">
        <f>HYPERLINK("https://climate.onebuilding.org/WMO_Region_6_Europe/ITA_Italy/BC_Basilicata/ITA_BC_Latronico.163160_TMYx.2009-2023.zip")</f>
        <v>https://climate.onebuilding.org/WMO_Region_6_Europe/ITA_Italy/BC_Basilicata/ITA_BC_Latronico.163160_TMYx.2009-2023.zip</v>
      </c>
    </row>
    <row r="7246" spans="1:10" x14ac:dyDescent="0.25">
      <c r="A7246" t="s">
        <v>5239</v>
      </c>
      <c r="B7246" t="s">
        <v>5453</v>
      </c>
      <c r="C7246" t="s">
        <v>5460</v>
      </c>
      <c r="D7246">
        <v>163160</v>
      </c>
      <c r="E7246" t="s">
        <v>14</v>
      </c>
      <c r="F7246">
        <v>40.087499999999999</v>
      </c>
      <c r="G7246">
        <v>16.0136</v>
      </c>
      <c r="H7246">
        <v>1</v>
      </c>
      <c r="I7246">
        <v>896</v>
      </c>
      <c r="J7246" t="str">
        <f>HYPERLINK("https://climate.onebuilding.org/WMO_Region_6_Europe/ITA_Italy/BC_Basilicata/ITA_BC_Latronico.163160_TMYx.zip")</f>
        <v>https://climate.onebuilding.org/WMO_Region_6_Europe/ITA_Italy/BC_Basilicata/ITA_BC_Latronico.163160_TMYx.zip</v>
      </c>
    </row>
    <row r="7247" spans="1:10" x14ac:dyDescent="0.25">
      <c r="A7247" t="s">
        <v>5239</v>
      </c>
      <c r="B7247" t="s">
        <v>5427</v>
      </c>
      <c r="C7247" t="s">
        <v>5462</v>
      </c>
      <c r="D7247">
        <v>163180</v>
      </c>
      <c r="E7247" t="s">
        <v>14</v>
      </c>
      <c r="F7247">
        <v>40.642800000000001</v>
      </c>
      <c r="G7247">
        <v>17.206099999999999</v>
      </c>
      <c r="H7247">
        <v>1</v>
      </c>
      <c r="I7247">
        <v>415</v>
      </c>
      <c r="J7247" t="str">
        <f>HYPERLINK("https://climate.onebuilding.org/WMO_Region_6_Europe/ITA_Italy/PU_Apulia/ITA_PU_Martina.Franca.163180_TMYx.2007-2021.zip")</f>
        <v>https://climate.onebuilding.org/WMO_Region_6_Europe/ITA_Italy/PU_Apulia/ITA_PU_Martina.Franca.163180_TMYx.2007-2021.zip</v>
      </c>
    </row>
    <row r="7248" spans="1:10" x14ac:dyDescent="0.25">
      <c r="A7248" t="s">
        <v>5239</v>
      </c>
      <c r="B7248" t="s">
        <v>5427</v>
      </c>
      <c r="C7248" t="s">
        <v>5462</v>
      </c>
      <c r="D7248">
        <v>163180</v>
      </c>
      <c r="E7248" t="s">
        <v>14</v>
      </c>
      <c r="F7248">
        <v>40.642800000000001</v>
      </c>
      <c r="G7248">
        <v>17.206099999999999</v>
      </c>
      <c r="H7248">
        <v>1</v>
      </c>
      <c r="I7248">
        <v>415</v>
      </c>
      <c r="J7248" t="str">
        <f>HYPERLINK("https://climate.onebuilding.org/WMO_Region_6_Europe/ITA_Italy/PU_Apulia/ITA_PU_Martina.Franca.163180_TMYx.2009-2023.zip")</f>
        <v>https://climate.onebuilding.org/WMO_Region_6_Europe/ITA_Italy/PU_Apulia/ITA_PU_Martina.Franca.163180_TMYx.2009-2023.zip</v>
      </c>
    </row>
    <row r="7249" spans="1:10" x14ac:dyDescent="0.25">
      <c r="A7249" t="s">
        <v>5239</v>
      </c>
      <c r="B7249" t="s">
        <v>5427</v>
      </c>
      <c r="C7249" t="s">
        <v>5462</v>
      </c>
      <c r="D7249">
        <v>163180</v>
      </c>
      <c r="E7249" t="s">
        <v>14</v>
      </c>
      <c r="F7249">
        <v>40.642800000000001</v>
      </c>
      <c r="G7249">
        <v>17.206099999999999</v>
      </c>
      <c r="H7249">
        <v>1</v>
      </c>
      <c r="I7249">
        <v>415</v>
      </c>
      <c r="J7249" t="str">
        <f>HYPERLINK("https://climate.onebuilding.org/WMO_Region_6_Europe/ITA_Italy/PU_Apulia/ITA_PU_Martina.Franca.163180_TMYx.zip")</f>
        <v>https://climate.onebuilding.org/WMO_Region_6_Europe/ITA_Italy/PU_Apulia/ITA_PU_Martina.Franca.163180_TMYx.zip</v>
      </c>
    </row>
    <row r="7250" spans="1:10" x14ac:dyDescent="0.25">
      <c r="A7250" t="s">
        <v>5239</v>
      </c>
      <c r="B7250" t="s">
        <v>5427</v>
      </c>
      <c r="C7250" t="s">
        <v>5463</v>
      </c>
      <c r="D7250">
        <v>163200</v>
      </c>
      <c r="E7250" t="s">
        <v>5464</v>
      </c>
      <c r="F7250">
        <v>40.657800000000002</v>
      </c>
      <c r="G7250">
        <v>17.951699999999999</v>
      </c>
      <c r="H7250">
        <v>1</v>
      </c>
      <c r="I7250">
        <v>10.1</v>
      </c>
      <c r="J7250" t="str">
        <f>HYPERLINK("https://climate.onebuilding.org/WMO_Region_6_Europe/ITA_Italy/PU_Apulia/ITA_PU_Salento-Brindisi.AP.163200_TMYx.2004-2018.zip")</f>
        <v>https://climate.onebuilding.org/WMO_Region_6_Europe/ITA_Italy/PU_Apulia/ITA_PU_Salento-Brindisi.AP.163200_TMYx.2004-2018.zip</v>
      </c>
    </row>
    <row r="7251" spans="1:10" x14ac:dyDescent="0.25">
      <c r="A7251" t="s">
        <v>5239</v>
      </c>
      <c r="B7251" t="s">
        <v>5427</v>
      </c>
      <c r="C7251" t="s">
        <v>5463</v>
      </c>
      <c r="D7251">
        <v>163200</v>
      </c>
      <c r="E7251" t="s">
        <v>14</v>
      </c>
      <c r="F7251">
        <v>40.657800000000002</v>
      </c>
      <c r="G7251">
        <v>17.951699999999999</v>
      </c>
      <c r="H7251">
        <v>1</v>
      </c>
      <c r="I7251">
        <v>10.1</v>
      </c>
      <c r="J7251" t="str">
        <f>HYPERLINK("https://climate.onebuilding.org/WMO_Region_6_Europe/ITA_Italy/PU_Apulia/ITA_PU_Salento-Brindisi.AP.163200_TMYx.2007-2021.zip")</f>
        <v>https://climate.onebuilding.org/WMO_Region_6_Europe/ITA_Italy/PU_Apulia/ITA_PU_Salento-Brindisi.AP.163200_TMYx.2007-2021.zip</v>
      </c>
    </row>
    <row r="7252" spans="1:10" x14ac:dyDescent="0.25">
      <c r="A7252" t="s">
        <v>5239</v>
      </c>
      <c r="B7252" t="s">
        <v>5427</v>
      </c>
      <c r="C7252" t="s">
        <v>5463</v>
      </c>
      <c r="D7252">
        <v>163200</v>
      </c>
      <c r="E7252" t="s">
        <v>14</v>
      </c>
      <c r="F7252">
        <v>40.657800000000002</v>
      </c>
      <c r="G7252">
        <v>17.951699999999999</v>
      </c>
      <c r="H7252">
        <v>1</v>
      </c>
      <c r="I7252">
        <v>10.1</v>
      </c>
      <c r="J7252" t="str">
        <f>HYPERLINK("https://climate.onebuilding.org/WMO_Region_6_Europe/ITA_Italy/PU_Apulia/ITA_PU_Salento-Brindisi.AP.163200_TMYx.2009-2023.zip")</f>
        <v>https://climate.onebuilding.org/WMO_Region_6_Europe/ITA_Italy/PU_Apulia/ITA_PU_Salento-Brindisi.AP.163200_TMYx.2009-2023.zip</v>
      </c>
    </row>
    <row r="7253" spans="1:10" x14ac:dyDescent="0.25">
      <c r="A7253" t="s">
        <v>5239</v>
      </c>
      <c r="B7253" t="s">
        <v>5427</v>
      </c>
      <c r="C7253" t="s">
        <v>5463</v>
      </c>
      <c r="D7253">
        <v>163200</v>
      </c>
      <c r="E7253" t="s">
        <v>14</v>
      </c>
      <c r="F7253">
        <v>40.657800000000002</v>
      </c>
      <c r="G7253">
        <v>17.951699999999999</v>
      </c>
      <c r="H7253">
        <v>1</v>
      </c>
      <c r="I7253">
        <v>10.1</v>
      </c>
      <c r="J7253" t="str">
        <f>HYPERLINK("https://climate.onebuilding.org/WMO_Region_6_Europe/ITA_Italy/PU_Apulia/ITA_PU_Salento-Brindisi.AP.163200_TMYx.zip")</f>
        <v>https://climate.onebuilding.org/WMO_Region_6_Europe/ITA_Italy/PU_Apulia/ITA_PU_Salento-Brindisi.AP.163200_TMYx.zip</v>
      </c>
    </row>
    <row r="7254" spans="1:10" x14ac:dyDescent="0.25">
      <c r="A7254" t="s">
        <v>5239</v>
      </c>
      <c r="B7254" t="s">
        <v>5427</v>
      </c>
      <c r="C7254" t="s">
        <v>5465</v>
      </c>
      <c r="D7254">
        <v>163240</v>
      </c>
      <c r="E7254" t="s">
        <v>5466</v>
      </c>
      <c r="F7254">
        <v>40.517200000000003</v>
      </c>
      <c r="G7254">
        <v>17.399699999999999</v>
      </c>
      <c r="H7254">
        <v>1</v>
      </c>
      <c r="I7254">
        <v>69</v>
      </c>
      <c r="J7254" t="str">
        <f>HYPERLINK("https://climate.onebuilding.org/WMO_Region_6_Europe/ITA_Italy/PU_Apulia/ITA_PU_Taranto-Grottaglie.AP.163240_TMYx.2004-2018.zip")</f>
        <v>https://climate.onebuilding.org/WMO_Region_6_Europe/ITA_Italy/PU_Apulia/ITA_PU_Taranto-Grottaglie.AP.163240_TMYx.2004-2018.zip</v>
      </c>
    </row>
    <row r="7255" spans="1:10" x14ac:dyDescent="0.25">
      <c r="A7255" t="s">
        <v>5239</v>
      </c>
      <c r="B7255" t="s">
        <v>5427</v>
      </c>
      <c r="C7255" t="s">
        <v>5465</v>
      </c>
      <c r="D7255">
        <v>163240</v>
      </c>
      <c r="E7255" t="s">
        <v>14</v>
      </c>
      <c r="F7255">
        <v>40.517200000000003</v>
      </c>
      <c r="G7255">
        <v>17.399699999999999</v>
      </c>
      <c r="H7255">
        <v>1</v>
      </c>
      <c r="I7255">
        <v>69</v>
      </c>
      <c r="J7255" t="str">
        <f>HYPERLINK("https://climate.onebuilding.org/WMO_Region_6_Europe/ITA_Italy/PU_Apulia/ITA_PU_Taranto-Grottaglie.AP.163240_TMYx.2007-2021.zip")</f>
        <v>https://climate.onebuilding.org/WMO_Region_6_Europe/ITA_Italy/PU_Apulia/ITA_PU_Taranto-Grottaglie.AP.163240_TMYx.2007-2021.zip</v>
      </c>
    </row>
    <row r="7256" spans="1:10" x14ac:dyDescent="0.25">
      <c r="A7256" t="s">
        <v>5239</v>
      </c>
      <c r="B7256" t="s">
        <v>5427</v>
      </c>
      <c r="C7256" t="s">
        <v>5465</v>
      </c>
      <c r="D7256">
        <v>163240</v>
      </c>
      <c r="E7256" t="s">
        <v>14</v>
      </c>
      <c r="F7256">
        <v>40.517200000000003</v>
      </c>
      <c r="G7256">
        <v>17.399699999999999</v>
      </c>
      <c r="H7256">
        <v>1</v>
      </c>
      <c r="I7256">
        <v>69</v>
      </c>
      <c r="J7256" t="str">
        <f>HYPERLINK("https://climate.onebuilding.org/WMO_Region_6_Europe/ITA_Italy/PU_Apulia/ITA_PU_Taranto-Grottaglie.AP.163240_TMYx.2009-2023.zip")</f>
        <v>https://climate.onebuilding.org/WMO_Region_6_Europe/ITA_Italy/PU_Apulia/ITA_PU_Taranto-Grottaglie.AP.163240_TMYx.2009-2023.zip</v>
      </c>
    </row>
    <row r="7257" spans="1:10" x14ac:dyDescent="0.25">
      <c r="A7257" t="s">
        <v>5239</v>
      </c>
      <c r="B7257" t="s">
        <v>5427</v>
      </c>
      <c r="C7257" t="s">
        <v>5465</v>
      </c>
      <c r="D7257">
        <v>163240</v>
      </c>
      <c r="E7257" t="s">
        <v>14</v>
      </c>
      <c r="F7257">
        <v>40.517200000000003</v>
      </c>
      <c r="G7257">
        <v>17.399699999999999</v>
      </c>
      <c r="H7257">
        <v>1</v>
      </c>
      <c r="I7257">
        <v>69</v>
      </c>
      <c r="J7257" t="str">
        <f>HYPERLINK("https://climate.onebuilding.org/WMO_Region_6_Europe/ITA_Italy/PU_Apulia/ITA_PU_Taranto-Grottaglie.AP.163240_TMYx.zip")</f>
        <v>https://climate.onebuilding.org/WMO_Region_6_Europe/ITA_Italy/PU_Apulia/ITA_PU_Taranto-Grottaglie.AP.163240_TMYx.zip</v>
      </c>
    </row>
    <row r="7258" spans="1:10" x14ac:dyDescent="0.25">
      <c r="A7258" t="s">
        <v>5239</v>
      </c>
      <c r="B7258" t="s">
        <v>5427</v>
      </c>
      <c r="C7258" t="s">
        <v>5467</v>
      </c>
      <c r="D7258">
        <v>163250</v>
      </c>
      <c r="E7258" t="s">
        <v>5468</v>
      </c>
      <c r="F7258">
        <v>40.424399999999999</v>
      </c>
      <c r="G7258">
        <v>16.886700000000001</v>
      </c>
      <c r="H7258">
        <v>1</v>
      </c>
      <c r="I7258">
        <v>11.5</v>
      </c>
      <c r="J7258" t="str">
        <f>HYPERLINK("https://climate.onebuilding.org/WMO_Region_6_Europe/ITA_Italy/PU_Apulia/ITA_PU_Ginosa.Marina.163250_TMYx.2004-2018.zip")</f>
        <v>https://climate.onebuilding.org/WMO_Region_6_Europe/ITA_Italy/PU_Apulia/ITA_PU_Ginosa.Marina.163250_TMYx.2004-2018.zip</v>
      </c>
    </row>
    <row r="7259" spans="1:10" x14ac:dyDescent="0.25">
      <c r="A7259" t="s">
        <v>5239</v>
      </c>
      <c r="B7259" t="s">
        <v>5427</v>
      </c>
      <c r="C7259" t="s">
        <v>5467</v>
      </c>
      <c r="D7259">
        <v>163250</v>
      </c>
      <c r="E7259" t="s">
        <v>14</v>
      </c>
      <c r="F7259">
        <v>40.424399999999999</v>
      </c>
      <c r="G7259">
        <v>16.886700000000001</v>
      </c>
      <c r="H7259">
        <v>1</v>
      </c>
      <c r="I7259">
        <v>11.5</v>
      </c>
      <c r="J7259" t="str">
        <f>HYPERLINK("https://climate.onebuilding.org/WMO_Region_6_Europe/ITA_Italy/PU_Apulia/ITA_PU_Ginosa.Marina.163250_TMYx.2007-2021.zip")</f>
        <v>https://climate.onebuilding.org/WMO_Region_6_Europe/ITA_Italy/PU_Apulia/ITA_PU_Ginosa.Marina.163250_TMYx.2007-2021.zip</v>
      </c>
    </row>
    <row r="7260" spans="1:10" x14ac:dyDescent="0.25">
      <c r="A7260" t="s">
        <v>5239</v>
      </c>
      <c r="B7260" t="s">
        <v>5427</v>
      </c>
      <c r="C7260" t="s">
        <v>5467</v>
      </c>
      <c r="D7260">
        <v>163250</v>
      </c>
      <c r="E7260" t="s">
        <v>14</v>
      </c>
      <c r="F7260">
        <v>40.424399999999999</v>
      </c>
      <c r="G7260">
        <v>16.886700000000001</v>
      </c>
      <c r="H7260">
        <v>1</v>
      </c>
      <c r="I7260">
        <v>11.5</v>
      </c>
      <c r="J7260" t="str">
        <f>HYPERLINK("https://climate.onebuilding.org/WMO_Region_6_Europe/ITA_Italy/PU_Apulia/ITA_PU_Ginosa.Marina.163250_TMYx.2009-2023.zip")</f>
        <v>https://climate.onebuilding.org/WMO_Region_6_Europe/ITA_Italy/PU_Apulia/ITA_PU_Ginosa.Marina.163250_TMYx.2009-2023.zip</v>
      </c>
    </row>
    <row r="7261" spans="1:10" x14ac:dyDescent="0.25">
      <c r="A7261" t="s">
        <v>5239</v>
      </c>
      <c r="B7261" t="s">
        <v>5427</v>
      </c>
      <c r="C7261" t="s">
        <v>5467</v>
      </c>
      <c r="D7261">
        <v>163250</v>
      </c>
      <c r="E7261" t="s">
        <v>14</v>
      </c>
      <c r="F7261">
        <v>40.424399999999999</v>
      </c>
      <c r="G7261">
        <v>16.886700000000001</v>
      </c>
      <c r="H7261">
        <v>1</v>
      </c>
      <c r="I7261">
        <v>11.5</v>
      </c>
      <c r="J7261" t="str">
        <f>HYPERLINK("https://climate.onebuilding.org/WMO_Region_6_Europe/ITA_Italy/PU_Apulia/ITA_PU_Ginosa.Marina.163250_TMYx.zip")</f>
        <v>https://climate.onebuilding.org/WMO_Region_6_Europe/ITA_Italy/PU_Apulia/ITA_PU_Ginosa.Marina.163250_TMYx.zip</v>
      </c>
    </row>
    <row r="7262" spans="1:10" x14ac:dyDescent="0.25">
      <c r="A7262" t="s">
        <v>5239</v>
      </c>
      <c r="B7262" t="s">
        <v>5427</v>
      </c>
      <c r="C7262" t="s">
        <v>5469</v>
      </c>
      <c r="D7262">
        <v>163320</v>
      </c>
      <c r="E7262" t="s">
        <v>5470</v>
      </c>
      <c r="F7262">
        <v>40.238300000000002</v>
      </c>
      <c r="G7262">
        <v>18.1389</v>
      </c>
      <c r="H7262">
        <v>1</v>
      </c>
      <c r="I7262">
        <v>53</v>
      </c>
      <c r="J7262" t="str">
        <f>HYPERLINK("https://climate.onebuilding.org/WMO_Region_6_Europe/ITA_Italy/PU_Apulia/ITA_PU_Lecce-Galatina.AB.163320_TMYx.2004-2018.zip")</f>
        <v>https://climate.onebuilding.org/WMO_Region_6_Europe/ITA_Italy/PU_Apulia/ITA_PU_Lecce-Galatina.AB.163320_TMYx.2004-2018.zip</v>
      </c>
    </row>
    <row r="7263" spans="1:10" x14ac:dyDescent="0.25">
      <c r="A7263" t="s">
        <v>5239</v>
      </c>
      <c r="B7263" t="s">
        <v>5427</v>
      </c>
      <c r="C7263" t="s">
        <v>5469</v>
      </c>
      <c r="D7263">
        <v>163320</v>
      </c>
      <c r="E7263" t="s">
        <v>14</v>
      </c>
      <c r="F7263">
        <v>40.238300000000002</v>
      </c>
      <c r="G7263">
        <v>18.1389</v>
      </c>
      <c r="H7263">
        <v>1</v>
      </c>
      <c r="I7263">
        <v>53</v>
      </c>
      <c r="J7263" t="str">
        <f>HYPERLINK("https://climate.onebuilding.org/WMO_Region_6_Europe/ITA_Italy/PU_Apulia/ITA_PU_Lecce-Galatina.AB.163320_TMYx.2007-2021.zip")</f>
        <v>https://climate.onebuilding.org/WMO_Region_6_Europe/ITA_Italy/PU_Apulia/ITA_PU_Lecce-Galatina.AB.163320_TMYx.2007-2021.zip</v>
      </c>
    </row>
    <row r="7264" spans="1:10" x14ac:dyDescent="0.25">
      <c r="A7264" t="s">
        <v>5239</v>
      </c>
      <c r="B7264" t="s">
        <v>5427</v>
      </c>
      <c r="C7264" t="s">
        <v>5469</v>
      </c>
      <c r="D7264">
        <v>163320</v>
      </c>
      <c r="E7264" t="s">
        <v>14</v>
      </c>
      <c r="F7264">
        <v>40.238300000000002</v>
      </c>
      <c r="G7264">
        <v>18.1389</v>
      </c>
      <c r="H7264">
        <v>1</v>
      </c>
      <c r="I7264">
        <v>53</v>
      </c>
      <c r="J7264" t="str">
        <f>HYPERLINK("https://climate.onebuilding.org/WMO_Region_6_Europe/ITA_Italy/PU_Apulia/ITA_PU_Lecce-Galatina.AB.163320_TMYx.2009-2023.zip")</f>
        <v>https://climate.onebuilding.org/WMO_Region_6_Europe/ITA_Italy/PU_Apulia/ITA_PU_Lecce-Galatina.AB.163320_TMYx.2009-2023.zip</v>
      </c>
    </row>
    <row r="7265" spans="1:10" x14ac:dyDescent="0.25">
      <c r="A7265" t="s">
        <v>5239</v>
      </c>
      <c r="B7265" t="s">
        <v>5427</v>
      </c>
      <c r="C7265" t="s">
        <v>5469</v>
      </c>
      <c r="D7265">
        <v>163320</v>
      </c>
      <c r="E7265" t="s">
        <v>14</v>
      </c>
      <c r="F7265">
        <v>40.238300000000002</v>
      </c>
      <c r="G7265">
        <v>18.1389</v>
      </c>
      <c r="H7265">
        <v>1</v>
      </c>
      <c r="I7265">
        <v>53</v>
      </c>
      <c r="J7265" t="str">
        <f>HYPERLINK("https://climate.onebuilding.org/WMO_Region_6_Europe/ITA_Italy/PU_Apulia/ITA_PU_Lecce-Galatina.AB.163320_TMYx.zip")</f>
        <v>https://climate.onebuilding.org/WMO_Region_6_Europe/ITA_Italy/PU_Apulia/ITA_PU_Lecce-Galatina.AB.163320_TMYx.zip</v>
      </c>
    </row>
    <row r="7266" spans="1:10" x14ac:dyDescent="0.25">
      <c r="A7266" t="s">
        <v>5239</v>
      </c>
      <c r="B7266" t="s">
        <v>5427</v>
      </c>
      <c r="C7266" t="s">
        <v>5471</v>
      </c>
      <c r="D7266">
        <v>163340</v>
      </c>
      <c r="E7266" t="s">
        <v>14</v>
      </c>
      <c r="F7266">
        <v>40.110799999999998</v>
      </c>
      <c r="G7266">
        <v>18.5122</v>
      </c>
      <c r="H7266">
        <v>1</v>
      </c>
      <c r="I7266">
        <v>81</v>
      </c>
      <c r="J7266" t="str">
        <f>HYPERLINK("https://climate.onebuilding.org/WMO_Region_6_Europe/ITA_Italy/PU_Apulia/ITA_PU_Otranto.163340_TMYx.2007-2021.zip")</f>
        <v>https://climate.onebuilding.org/WMO_Region_6_Europe/ITA_Italy/PU_Apulia/ITA_PU_Otranto.163340_TMYx.2007-2021.zip</v>
      </c>
    </row>
    <row r="7267" spans="1:10" x14ac:dyDescent="0.25">
      <c r="A7267" t="s">
        <v>5239</v>
      </c>
      <c r="B7267" t="s">
        <v>5427</v>
      </c>
      <c r="C7267" t="s">
        <v>5471</v>
      </c>
      <c r="D7267">
        <v>163340</v>
      </c>
      <c r="E7267" t="s">
        <v>14</v>
      </c>
      <c r="F7267">
        <v>40.110799999999998</v>
      </c>
      <c r="G7267">
        <v>18.5122</v>
      </c>
      <c r="H7267">
        <v>1</v>
      </c>
      <c r="I7267">
        <v>81</v>
      </c>
      <c r="J7267" t="str">
        <f>HYPERLINK("https://climate.onebuilding.org/WMO_Region_6_Europe/ITA_Italy/PU_Apulia/ITA_PU_Otranto.163340_TMYx.2009-2023.zip")</f>
        <v>https://climate.onebuilding.org/WMO_Region_6_Europe/ITA_Italy/PU_Apulia/ITA_PU_Otranto.163340_TMYx.2009-2023.zip</v>
      </c>
    </row>
    <row r="7268" spans="1:10" x14ac:dyDescent="0.25">
      <c r="A7268" t="s">
        <v>5239</v>
      </c>
      <c r="B7268" t="s">
        <v>5427</v>
      </c>
      <c r="C7268" t="s">
        <v>5471</v>
      </c>
      <c r="D7268">
        <v>163340</v>
      </c>
      <c r="E7268" t="s">
        <v>14</v>
      </c>
      <c r="F7268">
        <v>40.110799999999998</v>
      </c>
      <c r="G7268">
        <v>18.5122</v>
      </c>
      <c r="H7268">
        <v>1</v>
      </c>
      <c r="I7268">
        <v>81</v>
      </c>
      <c r="J7268" t="str">
        <f>HYPERLINK("https://climate.onebuilding.org/WMO_Region_6_Europe/ITA_Italy/PU_Apulia/ITA_PU_Otranto.163340_TMYx.zip")</f>
        <v>https://climate.onebuilding.org/WMO_Region_6_Europe/ITA_Italy/PU_Apulia/ITA_PU_Otranto.163340_TMYx.zip</v>
      </c>
    </row>
    <row r="7269" spans="1:10" x14ac:dyDescent="0.25">
      <c r="A7269" t="s">
        <v>5239</v>
      </c>
      <c r="B7269" t="s">
        <v>5472</v>
      </c>
      <c r="C7269" t="s">
        <v>5473</v>
      </c>
      <c r="D7269">
        <v>163370</v>
      </c>
      <c r="E7269" t="s">
        <v>5474</v>
      </c>
      <c r="F7269">
        <v>39.584699999999998</v>
      </c>
      <c r="G7269">
        <v>15.891400000000001</v>
      </c>
      <c r="H7269">
        <v>1</v>
      </c>
      <c r="I7269">
        <v>485</v>
      </c>
      <c r="J7269" t="str">
        <f>HYPERLINK("https://climate.onebuilding.org/WMO_Region_6_Europe/ITA_Italy/LB_Calabria/ITA_LB_Bonifati.163370_TMYx.2004-2018.zip")</f>
        <v>https://climate.onebuilding.org/WMO_Region_6_Europe/ITA_Italy/LB_Calabria/ITA_LB_Bonifati.163370_TMYx.2004-2018.zip</v>
      </c>
    </row>
    <row r="7270" spans="1:10" x14ac:dyDescent="0.25">
      <c r="A7270" t="s">
        <v>5239</v>
      </c>
      <c r="B7270" t="s">
        <v>5472</v>
      </c>
      <c r="C7270" t="s">
        <v>5473</v>
      </c>
      <c r="D7270">
        <v>163370</v>
      </c>
      <c r="E7270" t="s">
        <v>14</v>
      </c>
      <c r="F7270">
        <v>39.584699999999998</v>
      </c>
      <c r="G7270">
        <v>15.891400000000001</v>
      </c>
      <c r="H7270">
        <v>1</v>
      </c>
      <c r="I7270">
        <v>485</v>
      </c>
      <c r="J7270" t="str">
        <f>HYPERLINK("https://climate.onebuilding.org/WMO_Region_6_Europe/ITA_Italy/LB_Calabria/ITA_LB_Bonifati.163370_TMYx.2007-2021.zip")</f>
        <v>https://climate.onebuilding.org/WMO_Region_6_Europe/ITA_Italy/LB_Calabria/ITA_LB_Bonifati.163370_TMYx.2007-2021.zip</v>
      </c>
    </row>
    <row r="7271" spans="1:10" x14ac:dyDescent="0.25">
      <c r="A7271" t="s">
        <v>5239</v>
      </c>
      <c r="B7271" t="s">
        <v>5472</v>
      </c>
      <c r="C7271" t="s">
        <v>5473</v>
      </c>
      <c r="D7271">
        <v>163370</v>
      </c>
      <c r="E7271" t="s">
        <v>14</v>
      </c>
      <c r="F7271">
        <v>39.584699999999998</v>
      </c>
      <c r="G7271">
        <v>15.891400000000001</v>
      </c>
      <c r="H7271">
        <v>1</v>
      </c>
      <c r="I7271">
        <v>485</v>
      </c>
      <c r="J7271" t="str">
        <f>HYPERLINK("https://climate.onebuilding.org/WMO_Region_6_Europe/ITA_Italy/LB_Calabria/ITA_LB_Bonifati.163370_TMYx.2009-2023.zip")</f>
        <v>https://climate.onebuilding.org/WMO_Region_6_Europe/ITA_Italy/LB_Calabria/ITA_LB_Bonifati.163370_TMYx.2009-2023.zip</v>
      </c>
    </row>
    <row r="7272" spans="1:10" x14ac:dyDescent="0.25">
      <c r="A7272" t="s">
        <v>5239</v>
      </c>
      <c r="B7272" t="s">
        <v>5472</v>
      </c>
      <c r="C7272" t="s">
        <v>5473</v>
      </c>
      <c r="D7272">
        <v>163370</v>
      </c>
      <c r="E7272" t="s">
        <v>14</v>
      </c>
      <c r="F7272">
        <v>39.584699999999998</v>
      </c>
      <c r="G7272">
        <v>15.891400000000001</v>
      </c>
      <c r="H7272">
        <v>1</v>
      </c>
      <c r="I7272">
        <v>485</v>
      </c>
      <c r="J7272" t="str">
        <f>HYPERLINK("https://climate.onebuilding.org/WMO_Region_6_Europe/ITA_Italy/LB_Calabria/ITA_LB_Bonifati.163370_TMYx.zip")</f>
        <v>https://climate.onebuilding.org/WMO_Region_6_Europe/ITA_Italy/LB_Calabria/ITA_LB_Bonifati.163370_TMYx.zip</v>
      </c>
    </row>
    <row r="7273" spans="1:10" x14ac:dyDescent="0.25">
      <c r="A7273" t="s">
        <v>5239</v>
      </c>
      <c r="B7273" t="s">
        <v>5472</v>
      </c>
      <c r="C7273" t="s">
        <v>5475</v>
      </c>
      <c r="D7273">
        <v>163440</v>
      </c>
      <c r="E7273" t="s">
        <v>5476</v>
      </c>
      <c r="F7273">
        <v>39.330599999999997</v>
      </c>
      <c r="G7273">
        <v>16.3964</v>
      </c>
      <c r="H7273">
        <v>1</v>
      </c>
      <c r="I7273">
        <v>1677</v>
      </c>
      <c r="J7273" t="str">
        <f>HYPERLINK("https://climate.onebuilding.org/WMO_Region_6_Europe/ITA_Italy/LB_Calabria/ITA_LB_Scuro.Mtn.163440_TMYx.2004-2018.zip")</f>
        <v>https://climate.onebuilding.org/WMO_Region_6_Europe/ITA_Italy/LB_Calabria/ITA_LB_Scuro.Mtn.163440_TMYx.2004-2018.zip</v>
      </c>
    </row>
    <row r="7274" spans="1:10" x14ac:dyDescent="0.25">
      <c r="A7274" t="s">
        <v>5239</v>
      </c>
      <c r="B7274" t="s">
        <v>5472</v>
      </c>
      <c r="C7274" t="s">
        <v>5475</v>
      </c>
      <c r="D7274">
        <v>163440</v>
      </c>
      <c r="E7274" t="s">
        <v>14</v>
      </c>
      <c r="F7274">
        <v>39.330599999999997</v>
      </c>
      <c r="G7274">
        <v>16.3964</v>
      </c>
      <c r="H7274">
        <v>1</v>
      </c>
      <c r="I7274">
        <v>1677</v>
      </c>
      <c r="J7274" t="str">
        <f>HYPERLINK("https://climate.onebuilding.org/WMO_Region_6_Europe/ITA_Italy/LB_Calabria/ITA_LB_Scuro.Mtn.163440_TMYx.2007-2021.zip")</f>
        <v>https://climate.onebuilding.org/WMO_Region_6_Europe/ITA_Italy/LB_Calabria/ITA_LB_Scuro.Mtn.163440_TMYx.2007-2021.zip</v>
      </c>
    </row>
    <row r="7275" spans="1:10" x14ac:dyDescent="0.25">
      <c r="A7275" t="s">
        <v>5239</v>
      </c>
      <c r="B7275" t="s">
        <v>5472</v>
      </c>
      <c r="C7275" t="s">
        <v>5475</v>
      </c>
      <c r="D7275">
        <v>163440</v>
      </c>
      <c r="E7275" t="s">
        <v>14</v>
      </c>
      <c r="F7275">
        <v>39.330599999999997</v>
      </c>
      <c r="G7275">
        <v>16.3964</v>
      </c>
      <c r="H7275">
        <v>1</v>
      </c>
      <c r="I7275">
        <v>1677</v>
      </c>
      <c r="J7275" t="str">
        <f>HYPERLINK("https://climate.onebuilding.org/WMO_Region_6_Europe/ITA_Italy/LB_Calabria/ITA_LB_Scuro.Mtn.163440_TMYx.2009-2023.zip")</f>
        <v>https://climate.onebuilding.org/WMO_Region_6_Europe/ITA_Italy/LB_Calabria/ITA_LB_Scuro.Mtn.163440_TMYx.2009-2023.zip</v>
      </c>
    </row>
    <row r="7276" spans="1:10" x14ac:dyDescent="0.25">
      <c r="A7276" t="s">
        <v>5239</v>
      </c>
      <c r="B7276" t="s">
        <v>5472</v>
      </c>
      <c r="C7276" t="s">
        <v>5475</v>
      </c>
      <c r="D7276">
        <v>163440</v>
      </c>
      <c r="E7276" t="s">
        <v>14</v>
      </c>
      <c r="F7276">
        <v>39.330599999999997</v>
      </c>
      <c r="G7276">
        <v>16.3964</v>
      </c>
      <c r="H7276">
        <v>1</v>
      </c>
      <c r="I7276">
        <v>1677</v>
      </c>
      <c r="J7276" t="str">
        <f>HYPERLINK("https://climate.onebuilding.org/WMO_Region_6_Europe/ITA_Italy/LB_Calabria/ITA_LB_Scuro.Mtn.163440_TMYx.zip")</f>
        <v>https://climate.onebuilding.org/WMO_Region_6_Europe/ITA_Italy/LB_Calabria/ITA_LB_Scuro.Mtn.163440_TMYx.zip</v>
      </c>
    </row>
    <row r="7277" spans="1:10" x14ac:dyDescent="0.25">
      <c r="A7277" t="s">
        <v>5239</v>
      </c>
      <c r="B7277" t="s">
        <v>5472</v>
      </c>
      <c r="C7277" t="s">
        <v>5477</v>
      </c>
      <c r="D7277">
        <v>163500</v>
      </c>
      <c r="E7277" t="s">
        <v>5478</v>
      </c>
      <c r="F7277">
        <v>38.996699999999997</v>
      </c>
      <c r="G7277">
        <v>17.0792</v>
      </c>
      <c r="H7277">
        <v>1</v>
      </c>
      <c r="I7277">
        <v>161</v>
      </c>
      <c r="J7277" t="str">
        <f>HYPERLINK("https://climate.onebuilding.org/WMO_Region_6_Europe/ITA_Italy/LB_Calabria/ITA_LB_Crotone-S-Anna.AP.163500_TMYx.2004-2018.zip")</f>
        <v>https://climate.onebuilding.org/WMO_Region_6_Europe/ITA_Italy/LB_Calabria/ITA_LB_Crotone-S-Anna.AP.163500_TMYx.2004-2018.zip</v>
      </c>
    </row>
    <row r="7278" spans="1:10" x14ac:dyDescent="0.25">
      <c r="A7278" t="s">
        <v>5239</v>
      </c>
      <c r="B7278" t="s">
        <v>5472</v>
      </c>
      <c r="C7278" t="s">
        <v>5477</v>
      </c>
      <c r="D7278">
        <v>163500</v>
      </c>
      <c r="E7278" t="s">
        <v>14</v>
      </c>
      <c r="F7278">
        <v>38.996699999999997</v>
      </c>
      <c r="G7278">
        <v>17.0792</v>
      </c>
      <c r="H7278">
        <v>1</v>
      </c>
      <c r="I7278">
        <v>161</v>
      </c>
      <c r="J7278" t="str">
        <f>HYPERLINK("https://climate.onebuilding.org/WMO_Region_6_Europe/ITA_Italy/LB_Calabria/ITA_LB_Crotone-S-Anna.AP.163500_TMYx.2007-2021.zip")</f>
        <v>https://climate.onebuilding.org/WMO_Region_6_Europe/ITA_Italy/LB_Calabria/ITA_LB_Crotone-S-Anna.AP.163500_TMYx.2007-2021.zip</v>
      </c>
    </row>
    <row r="7279" spans="1:10" x14ac:dyDescent="0.25">
      <c r="A7279" t="s">
        <v>5239</v>
      </c>
      <c r="B7279" t="s">
        <v>5472</v>
      </c>
      <c r="C7279" t="s">
        <v>5477</v>
      </c>
      <c r="D7279">
        <v>163500</v>
      </c>
      <c r="E7279" t="s">
        <v>14</v>
      </c>
      <c r="F7279">
        <v>38.996699999999997</v>
      </c>
      <c r="G7279">
        <v>17.0792</v>
      </c>
      <c r="H7279">
        <v>1</v>
      </c>
      <c r="I7279">
        <v>161</v>
      </c>
      <c r="J7279" t="str">
        <f>HYPERLINK("https://climate.onebuilding.org/WMO_Region_6_Europe/ITA_Italy/LB_Calabria/ITA_LB_Crotone-S-Anna.AP.163500_TMYx.2009-2023.zip")</f>
        <v>https://climate.onebuilding.org/WMO_Region_6_Europe/ITA_Italy/LB_Calabria/ITA_LB_Crotone-S-Anna.AP.163500_TMYx.2009-2023.zip</v>
      </c>
    </row>
    <row r="7280" spans="1:10" x14ac:dyDescent="0.25">
      <c r="A7280" t="s">
        <v>5239</v>
      </c>
      <c r="B7280" t="s">
        <v>5472</v>
      </c>
      <c r="C7280" t="s">
        <v>5477</v>
      </c>
      <c r="D7280">
        <v>163500</v>
      </c>
      <c r="E7280" t="s">
        <v>14</v>
      </c>
      <c r="F7280">
        <v>38.996699999999997</v>
      </c>
      <c r="G7280">
        <v>17.0792</v>
      </c>
      <c r="H7280">
        <v>1</v>
      </c>
      <c r="I7280">
        <v>161</v>
      </c>
      <c r="J7280" t="str">
        <f>HYPERLINK("https://climate.onebuilding.org/WMO_Region_6_Europe/ITA_Italy/LB_Calabria/ITA_LB_Crotone-S-Anna.AP.163500_TMYx.zip")</f>
        <v>https://climate.onebuilding.org/WMO_Region_6_Europe/ITA_Italy/LB_Calabria/ITA_LB_Crotone-S-Anna.AP.163500_TMYx.zip</v>
      </c>
    </row>
    <row r="7281" spans="1:10" x14ac:dyDescent="0.25">
      <c r="A7281" t="s">
        <v>5239</v>
      </c>
      <c r="B7281" t="s">
        <v>5427</v>
      </c>
      <c r="C7281" t="s">
        <v>5479</v>
      </c>
      <c r="D7281">
        <v>163600</v>
      </c>
      <c r="E7281" t="s">
        <v>5480</v>
      </c>
      <c r="F7281">
        <v>39.811399999999999</v>
      </c>
      <c r="G7281">
        <v>18.342199999999998</v>
      </c>
      <c r="H7281">
        <v>1</v>
      </c>
      <c r="I7281">
        <v>112</v>
      </c>
      <c r="J7281" t="str">
        <f>HYPERLINK("https://climate.onebuilding.org/WMO_Region_6_Europe/ITA_Italy/PU_Apulia/ITA_PU_Santa.Maria.di.Leuc.163600_TMYx.2004-2018.zip")</f>
        <v>https://climate.onebuilding.org/WMO_Region_6_Europe/ITA_Italy/PU_Apulia/ITA_PU_Santa.Maria.di.Leuc.163600_TMYx.2004-2018.zip</v>
      </c>
    </row>
    <row r="7282" spans="1:10" x14ac:dyDescent="0.25">
      <c r="A7282" t="s">
        <v>5239</v>
      </c>
      <c r="B7282" t="s">
        <v>5427</v>
      </c>
      <c r="C7282" t="s">
        <v>5479</v>
      </c>
      <c r="D7282">
        <v>163600</v>
      </c>
      <c r="E7282" t="s">
        <v>14</v>
      </c>
      <c r="F7282">
        <v>39.811399999999999</v>
      </c>
      <c r="G7282">
        <v>18.342199999999998</v>
      </c>
      <c r="H7282">
        <v>1</v>
      </c>
      <c r="I7282">
        <v>112</v>
      </c>
      <c r="J7282" t="str">
        <f>HYPERLINK("https://climate.onebuilding.org/WMO_Region_6_Europe/ITA_Italy/PU_Apulia/ITA_PU_Santa.Maria.di.Leuc.163600_TMYx.2007-2021.zip")</f>
        <v>https://climate.onebuilding.org/WMO_Region_6_Europe/ITA_Italy/PU_Apulia/ITA_PU_Santa.Maria.di.Leuc.163600_TMYx.2007-2021.zip</v>
      </c>
    </row>
    <row r="7283" spans="1:10" x14ac:dyDescent="0.25">
      <c r="A7283" t="s">
        <v>5239</v>
      </c>
      <c r="B7283" t="s">
        <v>5427</v>
      </c>
      <c r="C7283" t="s">
        <v>5479</v>
      </c>
      <c r="D7283">
        <v>163600</v>
      </c>
      <c r="E7283" t="s">
        <v>14</v>
      </c>
      <c r="F7283">
        <v>39.811399999999999</v>
      </c>
      <c r="G7283">
        <v>18.342199999999998</v>
      </c>
      <c r="H7283">
        <v>1</v>
      </c>
      <c r="I7283">
        <v>112</v>
      </c>
      <c r="J7283" t="str">
        <f>HYPERLINK("https://climate.onebuilding.org/WMO_Region_6_Europe/ITA_Italy/PU_Apulia/ITA_PU_Santa.Maria.di.Leuc.163600_TMYx.2009-2023.zip")</f>
        <v>https://climate.onebuilding.org/WMO_Region_6_Europe/ITA_Italy/PU_Apulia/ITA_PU_Santa.Maria.di.Leuc.163600_TMYx.2009-2023.zip</v>
      </c>
    </row>
    <row r="7284" spans="1:10" x14ac:dyDescent="0.25">
      <c r="A7284" t="s">
        <v>5239</v>
      </c>
      <c r="B7284" t="s">
        <v>5427</v>
      </c>
      <c r="C7284" t="s">
        <v>5479</v>
      </c>
      <c r="D7284">
        <v>163600</v>
      </c>
      <c r="E7284" t="s">
        <v>14</v>
      </c>
      <c r="F7284">
        <v>39.811399999999999</v>
      </c>
      <c r="G7284">
        <v>18.342199999999998</v>
      </c>
      <c r="H7284">
        <v>1</v>
      </c>
      <c r="I7284">
        <v>112</v>
      </c>
      <c r="J7284" t="str">
        <f>HYPERLINK("https://climate.onebuilding.org/WMO_Region_6_Europe/ITA_Italy/PU_Apulia/ITA_PU_Santa.Maria.di.Leuc.163600_TMYx.zip")</f>
        <v>https://climate.onebuilding.org/WMO_Region_6_Europe/ITA_Italy/PU_Apulia/ITA_PU_Santa.Maria.di.Leuc.163600_TMYx.zip</v>
      </c>
    </row>
    <row r="7285" spans="1:10" x14ac:dyDescent="0.25">
      <c r="A7285" t="s">
        <v>5239</v>
      </c>
      <c r="B7285" t="s">
        <v>5472</v>
      </c>
      <c r="C7285" t="s">
        <v>5481</v>
      </c>
      <c r="D7285">
        <v>163620</v>
      </c>
      <c r="E7285" t="s">
        <v>5482</v>
      </c>
      <c r="F7285">
        <v>38.908299999999997</v>
      </c>
      <c r="G7285">
        <v>16.241700000000002</v>
      </c>
      <c r="H7285">
        <v>1</v>
      </c>
      <c r="I7285">
        <v>16</v>
      </c>
      <c r="J7285" t="str">
        <f>HYPERLINK("https://climate.onebuilding.org/WMO_Region_6_Europe/ITA_Italy/LB_Calabria/ITA_LB_Lamezia.Terme.Intl.AP.163620_TMYx.2004-2018.zip")</f>
        <v>https://climate.onebuilding.org/WMO_Region_6_Europe/ITA_Italy/LB_Calabria/ITA_LB_Lamezia.Terme.Intl.AP.163620_TMYx.2004-2018.zip</v>
      </c>
    </row>
    <row r="7286" spans="1:10" x14ac:dyDescent="0.25">
      <c r="A7286" t="s">
        <v>5239</v>
      </c>
      <c r="B7286" t="s">
        <v>5472</v>
      </c>
      <c r="C7286" t="s">
        <v>5481</v>
      </c>
      <c r="D7286">
        <v>163620</v>
      </c>
      <c r="E7286" t="s">
        <v>14</v>
      </c>
      <c r="F7286">
        <v>38.908299999999997</v>
      </c>
      <c r="G7286">
        <v>16.241700000000002</v>
      </c>
      <c r="H7286">
        <v>1</v>
      </c>
      <c r="I7286">
        <v>16</v>
      </c>
      <c r="J7286" t="str">
        <f>HYPERLINK("https://climate.onebuilding.org/WMO_Region_6_Europe/ITA_Italy/LB_Calabria/ITA_LB_Lamezia.Terme.Intl.AP.163620_TMYx.2007-2021.zip")</f>
        <v>https://climate.onebuilding.org/WMO_Region_6_Europe/ITA_Italy/LB_Calabria/ITA_LB_Lamezia.Terme.Intl.AP.163620_TMYx.2007-2021.zip</v>
      </c>
    </row>
    <row r="7287" spans="1:10" x14ac:dyDescent="0.25">
      <c r="A7287" t="s">
        <v>5239</v>
      </c>
      <c r="B7287" t="s">
        <v>5472</v>
      </c>
      <c r="C7287" t="s">
        <v>5481</v>
      </c>
      <c r="D7287">
        <v>163620</v>
      </c>
      <c r="E7287" t="s">
        <v>14</v>
      </c>
      <c r="F7287">
        <v>38.908299999999997</v>
      </c>
      <c r="G7287">
        <v>16.241700000000002</v>
      </c>
      <c r="H7287">
        <v>1</v>
      </c>
      <c r="I7287">
        <v>16</v>
      </c>
      <c r="J7287" t="str">
        <f>HYPERLINK("https://climate.onebuilding.org/WMO_Region_6_Europe/ITA_Italy/LB_Calabria/ITA_LB_Lamezia.Terme.Intl.AP.163620_TMYx.2009-2023.zip")</f>
        <v>https://climate.onebuilding.org/WMO_Region_6_Europe/ITA_Italy/LB_Calabria/ITA_LB_Lamezia.Terme.Intl.AP.163620_TMYx.2009-2023.zip</v>
      </c>
    </row>
    <row r="7288" spans="1:10" x14ac:dyDescent="0.25">
      <c r="A7288" t="s">
        <v>5239</v>
      </c>
      <c r="B7288" t="s">
        <v>5472</v>
      </c>
      <c r="C7288" t="s">
        <v>5481</v>
      </c>
      <c r="D7288">
        <v>163620</v>
      </c>
      <c r="E7288" t="s">
        <v>14</v>
      </c>
      <c r="F7288">
        <v>38.908299999999997</v>
      </c>
      <c r="G7288">
        <v>16.241700000000002</v>
      </c>
      <c r="H7288">
        <v>1</v>
      </c>
      <c r="I7288">
        <v>16</v>
      </c>
      <c r="J7288" t="str">
        <f>HYPERLINK("https://climate.onebuilding.org/WMO_Region_6_Europe/ITA_Italy/LB_Calabria/ITA_LB_Lamezia.Terme.Intl.AP.163620_TMYx.zip")</f>
        <v>https://climate.onebuilding.org/WMO_Region_6_Europe/ITA_Italy/LB_Calabria/ITA_LB_Lamezia.Terme.Intl.AP.163620_TMYx.zip</v>
      </c>
    </row>
    <row r="7289" spans="1:10" x14ac:dyDescent="0.25">
      <c r="A7289" t="s">
        <v>5239</v>
      </c>
      <c r="B7289" t="s">
        <v>5472</v>
      </c>
      <c r="C7289" t="s">
        <v>5483</v>
      </c>
      <c r="D7289">
        <v>163640</v>
      </c>
      <c r="E7289" t="s">
        <v>14</v>
      </c>
      <c r="F7289">
        <v>38.755600000000001</v>
      </c>
      <c r="G7289">
        <v>16.368300000000001</v>
      </c>
      <c r="H7289">
        <v>1</v>
      </c>
      <c r="I7289">
        <v>998</v>
      </c>
      <c r="J7289" t="str">
        <f>HYPERLINK("https://climate.onebuilding.org/WMO_Region_6_Europe/ITA_Italy/LB_Calabria/ITA_LB_Serralta.di.S.Vito.163640_TMYx.2007-2021.zip")</f>
        <v>https://climate.onebuilding.org/WMO_Region_6_Europe/ITA_Italy/LB_Calabria/ITA_LB_Serralta.di.S.Vito.163640_TMYx.2007-2021.zip</v>
      </c>
    </row>
    <row r="7290" spans="1:10" x14ac:dyDescent="0.25">
      <c r="A7290" t="s">
        <v>5239</v>
      </c>
      <c r="B7290" t="s">
        <v>5472</v>
      </c>
      <c r="C7290" t="s">
        <v>5483</v>
      </c>
      <c r="D7290">
        <v>163640</v>
      </c>
      <c r="E7290" t="s">
        <v>14</v>
      </c>
      <c r="F7290">
        <v>38.755600000000001</v>
      </c>
      <c r="G7290">
        <v>16.368300000000001</v>
      </c>
      <c r="H7290">
        <v>1</v>
      </c>
      <c r="I7290">
        <v>998</v>
      </c>
      <c r="J7290" t="str">
        <f>HYPERLINK("https://climate.onebuilding.org/WMO_Region_6_Europe/ITA_Italy/LB_Calabria/ITA_LB_Serralta.di.S.Vito.163640_TMYx.2009-2023.zip")</f>
        <v>https://climate.onebuilding.org/WMO_Region_6_Europe/ITA_Italy/LB_Calabria/ITA_LB_Serralta.di.S.Vito.163640_TMYx.2009-2023.zip</v>
      </c>
    </row>
    <row r="7291" spans="1:10" x14ac:dyDescent="0.25">
      <c r="A7291" t="s">
        <v>5239</v>
      </c>
      <c r="B7291" t="s">
        <v>5472</v>
      </c>
      <c r="C7291" t="s">
        <v>5483</v>
      </c>
      <c r="D7291">
        <v>163640</v>
      </c>
      <c r="E7291" t="s">
        <v>14</v>
      </c>
      <c r="F7291">
        <v>38.755600000000001</v>
      </c>
      <c r="G7291">
        <v>16.368300000000001</v>
      </c>
      <c r="H7291">
        <v>1</v>
      </c>
      <c r="I7291">
        <v>998</v>
      </c>
      <c r="J7291" t="str">
        <f>HYPERLINK("https://climate.onebuilding.org/WMO_Region_6_Europe/ITA_Italy/LB_Calabria/ITA_LB_Serralta.di.S.Vito.163640_TMYx.zip")</f>
        <v>https://climate.onebuilding.org/WMO_Region_6_Europe/ITA_Italy/LB_Calabria/ITA_LB_Serralta.di.S.Vito.163640_TMYx.zip</v>
      </c>
    </row>
    <row r="7292" spans="1:10" x14ac:dyDescent="0.25">
      <c r="A7292" t="s">
        <v>5239</v>
      </c>
      <c r="B7292" t="s">
        <v>5472</v>
      </c>
      <c r="C7292" t="s">
        <v>5484</v>
      </c>
      <c r="D7292">
        <v>163650</v>
      </c>
      <c r="E7292" t="s">
        <v>14</v>
      </c>
      <c r="F7292">
        <v>38.905299999999997</v>
      </c>
      <c r="G7292">
        <v>16.595300000000002</v>
      </c>
      <c r="H7292">
        <v>1</v>
      </c>
      <c r="I7292">
        <v>334</v>
      </c>
      <c r="J7292" t="str">
        <f>HYPERLINK("https://climate.onebuilding.org/WMO_Region_6_Europe/ITA_Italy/LB_Calabria/ITA_LB_Catanzaro.163650_TMYx.2007-2021.zip")</f>
        <v>https://climate.onebuilding.org/WMO_Region_6_Europe/ITA_Italy/LB_Calabria/ITA_LB_Catanzaro.163650_TMYx.2007-2021.zip</v>
      </c>
    </row>
    <row r="7293" spans="1:10" x14ac:dyDescent="0.25">
      <c r="A7293" t="s">
        <v>5239</v>
      </c>
      <c r="B7293" t="s">
        <v>5472</v>
      </c>
      <c r="C7293" t="s">
        <v>5484</v>
      </c>
      <c r="D7293">
        <v>163650</v>
      </c>
      <c r="E7293" t="s">
        <v>14</v>
      </c>
      <c r="F7293">
        <v>38.905299999999997</v>
      </c>
      <c r="G7293">
        <v>16.595300000000002</v>
      </c>
      <c r="H7293">
        <v>1</v>
      </c>
      <c r="I7293">
        <v>334</v>
      </c>
      <c r="J7293" t="str">
        <f>HYPERLINK("https://climate.onebuilding.org/WMO_Region_6_Europe/ITA_Italy/LB_Calabria/ITA_LB_Catanzaro.163650_TMYx.2009-2023.zip")</f>
        <v>https://climate.onebuilding.org/WMO_Region_6_Europe/ITA_Italy/LB_Calabria/ITA_LB_Catanzaro.163650_TMYx.2009-2023.zip</v>
      </c>
    </row>
    <row r="7294" spans="1:10" x14ac:dyDescent="0.25">
      <c r="A7294" t="s">
        <v>5239</v>
      </c>
      <c r="B7294" t="s">
        <v>5472</v>
      </c>
      <c r="C7294" t="s">
        <v>5484</v>
      </c>
      <c r="D7294">
        <v>163650</v>
      </c>
      <c r="E7294" t="s">
        <v>14</v>
      </c>
      <c r="F7294">
        <v>38.905299999999997</v>
      </c>
      <c r="G7294">
        <v>16.595300000000002</v>
      </c>
      <c r="H7294">
        <v>1</v>
      </c>
      <c r="I7294">
        <v>334</v>
      </c>
      <c r="J7294" t="str">
        <f>HYPERLINK("https://climate.onebuilding.org/WMO_Region_6_Europe/ITA_Italy/LB_Calabria/ITA_LB_Catanzaro.163650_TMYx.zip")</f>
        <v>https://climate.onebuilding.org/WMO_Region_6_Europe/ITA_Italy/LB_Calabria/ITA_LB_Catanzaro.163650_TMYx.zip</v>
      </c>
    </row>
    <row r="7295" spans="1:10" x14ac:dyDescent="0.25">
      <c r="A7295" t="s">
        <v>5239</v>
      </c>
      <c r="B7295" t="s">
        <v>5485</v>
      </c>
      <c r="C7295" t="s">
        <v>5486</v>
      </c>
      <c r="D7295">
        <v>164000</v>
      </c>
      <c r="E7295" t="s">
        <v>5487</v>
      </c>
      <c r="F7295">
        <v>38.7072</v>
      </c>
      <c r="G7295">
        <v>13.177199999999999</v>
      </c>
      <c r="H7295">
        <v>1</v>
      </c>
      <c r="I7295">
        <v>243</v>
      </c>
      <c r="J7295" t="str">
        <f>HYPERLINK("https://climate.onebuilding.org/WMO_Region_6_Europe/ITA_Italy/SC_Sicily/ITA_SC_Ustica.Island.164000_TMYx.2004-2018.zip")</f>
        <v>https://climate.onebuilding.org/WMO_Region_6_Europe/ITA_Italy/SC_Sicily/ITA_SC_Ustica.Island.164000_TMYx.2004-2018.zip</v>
      </c>
    </row>
    <row r="7296" spans="1:10" x14ac:dyDescent="0.25">
      <c r="A7296" t="s">
        <v>5239</v>
      </c>
      <c r="B7296" t="s">
        <v>5485</v>
      </c>
      <c r="C7296" t="s">
        <v>5486</v>
      </c>
      <c r="D7296">
        <v>164000</v>
      </c>
      <c r="E7296" t="s">
        <v>14</v>
      </c>
      <c r="F7296">
        <v>38.7072</v>
      </c>
      <c r="G7296">
        <v>13.177199999999999</v>
      </c>
      <c r="H7296">
        <v>1</v>
      </c>
      <c r="I7296">
        <v>243</v>
      </c>
      <c r="J7296" t="str">
        <f>HYPERLINK("https://climate.onebuilding.org/WMO_Region_6_Europe/ITA_Italy/SC_Sicily/ITA_SC_Ustica.Island.164000_TMYx.2007-2021.zip")</f>
        <v>https://climate.onebuilding.org/WMO_Region_6_Europe/ITA_Italy/SC_Sicily/ITA_SC_Ustica.Island.164000_TMYx.2007-2021.zip</v>
      </c>
    </row>
    <row r="7297" spans="1:10" x14ac:dyDescent="0.25">
      <c r="A7297" t="s">
        <v>5239</v>
      </c>
      <c r="B7297" t="s">
        <v>5485</v>
      </c>
      <c r="C7297" t="s">
        <v>5486</v>
      </c>
      <c r="D7297">
        <v>164000</v>
      </c>
      <c r="E7297" t="s">
        <v>14</v>
      </c>
      <c r="F7297">
        <v>38.7072</v>
      </c>
      <c r="G7297">
        <v>13.177199999999999</v>
      </c>
      <c r="H7297">
        <v>1</v>
      </c>
      <c r="I7297">
        <v>243</v>
      </c>
      <c r="J7297" t="str">
        <f>HYPERLINK("https://climate.onebuilding.org/WMO_Region_6_Europe/ITA_Italy/SC_Sicily/ITA_SC_Ustica.Island.164000_TMYx.2009-2023.zip")</f>
        <v>https://climate.onebuilding.org/WMO_Region_6_Europe/ITA_Italy/SC_Sicily/ITA_SC_Ustica.Island.164000_TMYx.2009-2023.zip</v>
      </c>
    </row>
    <row r="7298" spans="1:10" x14ac:dyDescent="0.25">
      <c r="A7298" t="s">
        <v>5239</v>
      </c>
      <c r="B7298" t="s">
        <v>5485</v>
      </c>
      <c r="C7298" t="s">
        <v>5486</v>
      </c>
      <c r="D7298">
        <v>164000</v>
      </c>
      <c r="E7298" t="s">
        <v>14</v>
      </c>
      <c r="F7298">
        <v>38.7072</v>
      </c>
      <c r="G7298">
        <v>13.177199999999999</v>
      </c>
      <c r="H7298">
        <v>1</v>
      </c>
      <c r="I7298">
        <v>243</v>
      </c>
      <c r="J7298" t="str">
        <f>HYPERLINK("https://climate.onebuilding.org/WMO_Region_6_Europe/ITA_Italy/SC_Sicily/ITA_SC_Ustica.Island.164000_TMYx.zip")</f>
        <v>https://climate.onebuilding.org/WMO_Region_6_Europe/ITA_Italy/SC_Sicily/ITA_SC_Ustica.Island.164000_TMYx.zip</v>
      </c>
    </row>
    <row r="7299" spans="1:10" x14ac:dyDescent="0.25">
      <c r="A7299" t="s">
        <v>5239</v>
      </c>
      <c r="B7299" t="s">
        <v>5485</v>
      </c>
      <c r="C7299" t="s">
        <v>5488</v>
      </c>
      <c r="D7299">
        <v>164050</v>
      </c>
      <c r="E7299" t="s">
        <v>5489</v>
      </c>
      <c r="F7299">
        <v>38.181899999999999</v>
      </c>
      <c r="G7299">
        <v>13.099399999999999</v>
      </c>
      <c r="H7299">
        <v>1</v>
      </c>
      <c r="I7299">
        <v>34</v>
      </c>
      <c r="J7299" t="str">
        <f>HYPERLINK("https://climate.onebuilding.org/WMO_Region_6_Europe/ITA_Italy/SC_Sicily/ITA_SC_Palermo-Falcone.Borsellino.AP.164050_TMYx.2004-2018.zip")</f>
        <v>https://climate.onebuilding.org/WMO_Region_6_Europe/ITA_Italy/SC_Sicily/ITA_SC_Palermo-Falcone.Borsellino.AP.164050_TMYx.2004-2018.zip</v>
      </c>
    </row>
    <row r="7300" spans="1:10" x14ac:dyDescent="0.25">
      <c r="A7300" t="s">
        <v>5239</v>
      </c>
      <c r="B7300" t="s">
        <v>5485</v>
      </c>
      <c r="C7300" t="s">
        <v>5488</v>
      </c>
      <c r="D7300">
        <v>164050</v>
      </c>
      <c r="E7300" t="s">
        <v>14</v>
      </c>
      <c r="F7300">
        <v>38.181899999999999</v>
      </c>
      <c r="G7300">
        <v>13.099399999999999</v>
      </c>
      <c r="H7300">
        <v>1</v>
      </c>
      <c r="I7300">
        <v>34</v>
      </c>
      <c r="J7300" t="str">
        <f>HYPERLINK("https://climate.onebuilding.org/WMO_Region_6_Europe/ITA_Italy/SC_Sicily/ITA_SC_Palermo-Falcone.Borsellino.AP.164050_TMYx.2007-2021.zip")</f>
        <v>https://climate.onebuilding.org/WMO_Region_6_Europe/ITA_Italy/SC_Sicily/ITA_SC_Palermo-Falcone.Borsellino.AP.164050_TMYx.2007-2021.zip</v>
      </c>
    </row>
    <row r="7301" spans="1:10" x14ac:dyDescent="0.25">
      <c r="A7301" t="s">
        <v>5239</v>
      </c>
      <c r="B7301" t="s">
        <v>5485</v>
      </c>
      <c r="C7301" t="s">
        <v>5488</v>
      </c>
      <c r="D7301">
        <v>164050</v>
      </c>
      <c r="E7301" t="s">
        <v>14</v>
      </c>
      <c r="F7301">
        <v>38.181899999999999</v>
      </c>
      <c r="G7301">
        <v>13.099399999999999</v>
      </c>
      <c r="H7301">
        <v>1</v>
      </c>
      <c r="I7301">
        <v>34</v>
      </c>
      <c r="J7301" t="str">
        <f>HYPERLINK("https://climate.onebuilding.org/WMO_Region_6_Europe/ITA_Italy/SC_Sicily/ITA_SC_Palermo-Falcone.Borsellino.AP.164050_TMYx.2009-2023.zip")</f>
        <v>https://climate.onebuilding.org/WMO_Region_6_Europe/ITA_Italy/SC_Sicily/ITA_SC_Palermo-Falcone.Borsellino.AP.164050_TMYx.2009-2023.zip</v>
      </c>
    </row>
    <row r="7302" spans="1:10" x14ac:dyDescent="0.25">
      <c r="A7302" t="s">
        <v>5239</v>
      </c>
      <c r="B7302" t="s">
        <v>5485</v>
      </c>
      <c r="C7302" t="s">
        <v>5488</v>
      </c>
      <c r="D7302">
        <v>164050</v>
      </c>
      <c r="E7302" t="s">
        <v>14</v>
      </c>
      <c r="F7302">
        <v>38.181899999999999</v>
      </c>
      <c r="G7302">
        <v>13.099399999999999</v>
      </c>
      <c r="H7302">
        <v>1</v>
      </c>
      <c r="I7302">
        <v>34</v>
      </c>
      <c r="J7302" t="str">
        <f>HYPERLINK("https://climate.onebuilding.org/WMO_Region_6_Europe/ITA_Italy/SC_Sicily/ITA_SC_Palermo-Falcone.Borsellino.AP.164050_TMYx.zip")</f>
        <v>https://climate.onebuilding.org/WMO_Region_6_Europe/ITA_Italy/SC_Sicily/ITA_SC_Palermo-Falcone.Borsellino.AP.164050_TMYx.zip</v>
      </c>
    </row>
    <row r="7303" spans="1:10" x14ac:dyDescent="0.25">
      <c r="A7303" t="s">
        <v>5239</v>
      </c>
      <c r="B7303" t="s">
        <v>5485</v>
      </c>
      <c r="C7303" t="s">
        <v>5490</v>
      </c>
      <c r="D7303">
        <v>164090</v>
      </c>
      <c r="E7303" t="s">
        <v>5491</v>
      </c>
      <c r="F7303">
        <v>38.111899999999999</v>
      </c>
      <c r="G7303">
        <v>13.3117</v>
      </c>
      <c r="H7303">
        <v>1</v>
      </c>
      <c r="I7303">
        <v>122</v>
      </c>
      <c r="J7303" t="str">
        <f>HYPERLINK("https://climate.onebuilding.org/WMO_Region_6_Europe/ITA_Italy/SC_Sicily/ITA_SC_Palermo-Boccadifalco.AP.164090_TMYx.2004-2018.zip")</f>
        <v>https://climate.onebuilding.org/WMO_Region_6_Europe/ITA_Italy/SC_Sicily/ITA_SC_Palermo-Boccadifalco.AP.164090_TMYx.2004-2018.zip</v>
      </c>
    </row>
    <row r="7304" spans="1:10" x14ac:dyDescent="0.25">
      <c r="A7304" t="s">
        <v>5239</v>
      </c>
      <c r="B7304" t="s">
        <v>5485</v>
      </c>
      <c r="C7304" t="s">
        <v>5490</v>
      </c>
      <c r="D7304">
        <v>164090</v>
      </c>
      <c r="E7304" t="s">
        <v>14</v>
      </c>
      <c r="F7304">
        <v>38.111899999999999</v>
      </c>
      <c r="G7304">
        <v>13.3117</v>
      </c>
      <c r="H7304">
        <v>1</v>
      </c>
      <c r="I7304">
        <v>122</v>
      </c>
      <c r="J7304" t="str">
        <f>HYPERLINK("https://climate.onebuilding.org/WMO_Region_6_Europe/ITA_Italy/SC_Sicily/ITA_SC_Palermo-Boccadifalco.AP.164090_TMYx.2007-2021.zip")</f>
        <v>https://climate.onebuilding.org/WMO_Region_6_Europe/ITA_Italy/SC_Sicily/ITA_SC_Palermo-Boccadifalco.AP.164090_TMYx.2007-2021.zip</v>
      </c>
    </row>
    <row r="7305" spans="1:10" x14ac:dyDescent="0.25">
      <c r="A7305" t="s">
        <v>5239</v>
      </c>
      <c r="B7305" t="s">
        <v>5485</v>
      </c>
      <c r="C7305" t="s">
        <v>5490</v>
      </c>
      <c r="D7305">
        <v>164090</v>
      </c>
      <c r="E7305" t="s">
        <v>14</v>
      </c>
      <c r="F7305">
        <v>38.111899999999999</v>
      </c>
      <c r="G7305">
        <v>13.3117</v>
      </c>
      <c r="H7305">
        <v>1</v>
      </c>
      <c r="I7305">
        <v>122</v>
      </c>
      <c r="J7305" t="str">
        <f>HYPERLINK("https://climate.onebuilding.org/WMO_Region_6_Europe/ITA_Italy/SC_Sicily/ITA_SC_Palermo-Boccadifalco.AP.164090_TMYx.zip")</f>
        <v>https://climate.onebuilding.org/WMO_Region_6_Europe/ITA_Italy/SC_Sicily/ITA_SC_Palermo-Boccadifalco.AP.164090_TMYx.zip</v>
      </c>
    </row>
    <row r="7306" spans="1:10" x14ac:dyDescent="0.25">
      <c r="A7306" t="s">
        <v>5239</v>
      </c>
      <c r="B7306" t="s">
        <v>5485</v>
      </c>
      <c r="C7306" t="s">
        <v>5492</v>
      </c>
      <c r="D7306">
        <v>164150</v>
      </c>
      <c r="E7306" t="s">
        <v>14</v>
      </c>
      <c r="F7306">
        <v>38.58</v>
      </c>
      <c r="G7306">
        <v>14.871700000000001</v>
      </c>
      <c r="H7306">
        <v>1</v>
      </c>
      <c r="I7306">
        <v>47</v>
      </c>
      <c r="J7306" t="str">
        <f>HYPERLINK("https://climate.onebuilding.org/WMO_Region_6_Europe/ITA_Italy/SC_Sicily/ITA_SC_Isola.Salina.164150_TMYx.2007-2021.zip")</f>
        <v>https://climate.onebuilding.org/WMO_Region_6_Europe/ITA_Italy/SC_Sicily/ITA_SC_Isola.Salina.164150_TMYx.2007-2021.zip</v>
      </c>
    </row>
    <row r="7307" spans="1:10" x14ac:dyDescent="0.25">
      <c r="A7307" t="s">
        <v>5239</v>
      </c>
      <c r="B7307" t="s">
        <v>5485</v>
      </c>
      <c r="C7307" t="s">
        <v>5492</v>
      </c>
      <c r="D7307">
        <v>164150</v>
      </c>
      <c r="E7307" t="s">
        <v>14</v>
      </c>
      <c r="F7307">
        <v>38.58</v>
      </c>
      <c r="G7307">
        <v>14.871700000000001</v>
      </c>
      <c r="H7307">
        <v>1</v>
      </c>
      <c r="I7307">
        <v>47</v>
      </c>
      <c r="J7307" t="str">
        <f>HYPERLINK("https://climate.onebuilding.org/WMO_Region_6_Europe/ITA_Italy/SC_Sicily/ITA_SC_Isola.Salina.164150_TMYx.2009-2023.zip")</f>
        <v>https://climate.onebuilding.org/WMO_Region_6_Europe/ITA_Italy/SC_Sicily/ITA_SC_Isola.Salina.164150_TMYx.2009-2023.zip</v>
      </c>
    </row>
    <row r="7308" spans="1:10" x14ac:dyDescent="0.25">
      <c r="A7308" t="s">
        <v>5239</v>
      </c>
      <c r="B7308" t="s">
        <v>5485</v>
      </c>
      <c r="C7308" t="s">
        <v>5492</v>
      </c>
      <c r="D7308">
        <v>164150</v>
      </c>
      <c r="E7308" t="s">
        <v>14</v>
      </c>
      <c r="F7308">
        <v>38.58</v>
      </c>
      <c r="G7308">
        <v>14.871700000000001</v>
      </c>
      <c r="H7308">
        <v>1</v>
      </c>
      <c r="I7308">
        <v>47</v>
      </c>
      <c r="J7308" t="str">
        <f>HYPERLINK("https://climate.onebuilding.org/WMO_Region_6_Europe/ITA_Italy/SC_Sicily/ITA_SC_Isola.Salina.164150_TMYx.zip")</f>
        <v>https://climate.onebuilding.org/WMO_Region_6_Europe/ITA_Italy/SC_Sicily/ITA_SC_Isola.Salina.164150_TMYx.zip</v>
      </c>
    </row>
    <row r="7309" spans="1:10" x14ac:dyDescent="0.25">
      <c r="A7309" t="s">
        <v>5239</v>
      </c>
      <c r="B7309" t="s">
        <v>5485</v>
      </c>
      <c r="C7309" t="s">
        <v>5493</v>
      </c>
      <c r="D7309">
        <v>164160</v>
      </c>
      <c r="E7309" t="s">
        <v>14</v>
      </c>
      <c r="F7309">
        <v>38.802500000000002</v>
      </c>
      <c r="G7309">
        <v>15.2342</v>
      </c>
      <c r="H7309">
        <v>1</v>
      </c>
      <c r="I7309">
        <v>77</v>
      </c>
      <c r="J7309" t="str">
        <f>HYPERLINK("https://climate.onebuilding.org/WMO_Region_6_Europe/ITA_Italy/SC_Sicily/ITA_SC_Isola.Stromboli.164160_TMYx.2007-2021.zip")</f>
        <v>https://climate.onebuilding.org/WMO_Region_6_Europe/ITA_Italy/SC_Sicily/ITA_SC_Isola.Stromboli.164160_TMYx.2007-2021.zip</v>
      </c>
    </row>
    <row r="7310" spans="1:10" x14ac:dyDescent="0.25">
      <c r="A7310" t="s">
        <v>5239</v>
      </c>
      <c r="B7310" t="s">
        <v>5485</v>
      </c>
      <c r="C7310" t="s">
        <v>5493</v>
      </c>
      <c r="D7310">
        <v>164160</v>
      </c>
      <c r="E7310" t="s">
        <v>14</v>
      </c>
      <c r="F7310">
        <v>38.802500000000002</v>
      </c>
      <c r="G7310">
        <v>15.2342</v>
      </c>
      <c r="H7310">
        <v>1</v>
      </c>
      <c r="I7310">
        <v>77</v>
      </c>
      <c r="J7310" t="str">
        <f>HYPERLINK("https://climate.onebuilding.org/WMO_Region_6_Europe/ITA_Italy/SC_Sicily/ITA_SC_Isola.Stromboli.164160_TMYx.2009-2023.zip")</f>
        <v>https://climate.onebuilding.org/WMO_Region_6_Europe/ITA_Italy/SC_Sicily/ITA_SC_Isola.Stromboli.164160_TMYx.2009-2023.zip</v>
      </c>
    </row>
    <row r="7311" spans="1:10" x14ac:dyDescent="0.25">
      <c r="A7311" t="s">
        <v>5239</v>
      </c>
      <c r="B7311" t="s">
        <v>5485</v>
      </c>
      <c r="C7311" t="s">
        <v>5493</v>
      </c>
      <c r="D7311">
        <v>164160</v>
      </c>
      <c r="E7311" t="s">
        <v>14</v>
      </c>
      <c r="F7311">
        <v>38.802500000000002</v>
      </c>
      <c r="G7311">
        <v>15.2342</v>
      </c>
      <c r="H7311">
        <v>1</v>
      </c>
      <c r="I7311">
        <v>77</v>
      </c>
      <c r="J7311" t="str">
        <f>HYPERLINK("https://climate.onebuilding.org/WMO_Region_6_Europe/ITA_Italy/SC_Sicily/ITA_SC_Isola.Stromboli.164160_TMYx.zip")</f>
        <v>https://climate.onebuilding.org/WMO_Region_6_Europe/ITA_Italy/SC_Sicily/ITA_SC_Isola.Stromboli.164160_TMYx.zip</v>
      </c>
    </row>
    <row r="7312" spans="1:10" x14ac:dyDescent="0.25">
      <c r="A7312" t="s">
        <v>5239</v>
      </c>
      <c r="B7312" t="s">
        <v>5485</v>
      </c>
      <c r="C7312" t="s">
        <v>5494</v>
      </c>
      <c r="D7312">
        <v>164200</v>
      </c>
      <c r="E7312" t="s">
        <v>5495</v>
      </c>
      <c r="F7312">
        <v>38.1997</v>
      </c>
      <c r="G7312">
        <v>15.5489</v>
      </c>
      <c r="H7312">
        <v>1</v>
      </c>
      <c r="I7312">
        <v>54.1</v>
      </c>
      <c r="J7312" t="str">
        <f>HYPERLINK("https://climate.onebuilding.org/WMO_Region_6_Europe/ITA_Italy/SC_Sicily/ITA_SC_Messina.164200_TMYx.2004-2018.zip")</f>
        <v>https://climate.onebuilding.org/WMO_Region_6_Europe/ITA_Italy/SC_Sicily/ITA_SC_Messina.164200_TMYx.2004-2018.zip</v>
      </c>
    </row>
    <row r="7313" spans="1:10" x14ac:dyDescent="0.25">
      <c r="A7313" t="s">
        <v>5239</v>
      </c>
      <c r="B7313" t="s">
        <v>5485</v>
      </c>
      <c r="C7313" t="s">
        <v>5494</v>
      </c>
      <c r="D7313">
        <v>164200</v>
      </c>
      <c r="E7313" t="s">
        <v>14</v>
      </c>
      <c r="F7313">
        <v>38.1997</v>
      </c>
      <c r="G7313">
        <v>15.5489</v>
      </c>
      <c r="H7313">
        <v>1</v>
      </c>
      <c r="I7313">
        <v>54.1</v>
      </c>
      <c r="J7313" t="str">
        <f>HYPERLINK("https://climate.onebuilding.org/WMO_Region_6_Europe/ITA_Italy/SC_Sicily/ITA_SC_Messina.164200_TMYx.2007-2021.zip")</f>
        <v>https://climate.onebuilding.org/WMO_Region_6_Europe/ITA_Italy/SC_Sicily/ITA_SC_Messina.164200_TMYx.2007-2021.zip</v>
      </c>
    </row>
    <row r="7314" spans="1:10" x14ac:dyDescent="0.25">
      <c r="A7314" t="s">
        <v>5239</v>
      </c>
      <c r="B7314" t="s">
        <v>5485</v>
      </c>
      <c r="C7314" t="s">
        <v>5494</v>
      </c>
      <c r="D7314">
        <v>164200</v>
      </c>
      <c r="E7314" t="s">
        <v>14</v>
      </c>
      <c r="F7314">
        <v>38.1997</v>
      </c>
      <c r="G7314">
        <v>15.5489</v>
      </c>
      <c r="H7314">
        <v>1</v>
      </c>
      <c r="I7314">
        <v>54.1</v>
      </c>
      <c r="J7314" t="str">
        <f>HYPERLINK("https://climate.onebuilding.org/WMO_Region_6_Europe/ITA_Italy/SC_Sicily/ITA_SC_Messina.164200_TMYx.2009-2023.zip")</f>
        <v>https://climate.onebuilding.org/WMO_Region_6_Europe/ITA_Italy/SC_Sicily/ITA_SC_Messina.164200_TMYx.2009-2023.zip</v>
      </c>
    </row>
    <row r="7315" spans="1:10" x14ac:dyDescent="0.25">
      <c r="A7315" t="s">
        <v>5239</v>
      </c>
      <c r="B7315" t="s">
        <v>5485</v>
      </c>
      <c r="C7315" t="s">
        <v>5494</v>
      </c>
      <c r="D7315">
        <v>164200</v>
      </c>
      <c r="E7315" t="s">
        <v>14</v>
      </c>
      <c r="F7315">
        <v>38.1997</v>
      </c>
      <c r="G7315">
        <v>15.5489</v>
      </c>
      <c r="H7315">
        <v>1</v>
      </c>
      <c r="I7315">
        <v>54.1</v>
      </c>
      <c r="J7315" t="str">
        <f>HYPERLINK("https://climate.onebuilding.org/WMO_Region_6_Europe/ITA_Italy/SC_Sicily/ITA_SC_Messina.164200_TMYx.zip")</f>
        <v>https://climate.onebuilding.org/WMO_Region_6_Europe/ITA_Italy/SC_Sicily/ITA_SC_Messina.164200_TMYx.zip</v>
      </c>
    </row>
    <row r="7316" spans="1:10" x14ac:dyDescent="0.25">
      <c r="A7316" t="s">
        <v>5239</v>
      </c>
      <c r="B7316" t="s">
        <v>5472</v>
      </c>
      <c r="C7316" t="s">
        <v>5496</v>
      </c>
      <c r="D7316">
        <v>164220</v>
      </c>
      <c r="E7316" t="s">
        <v>5497</v>
      </c>
      <c r="F7316">
        <v>38.071899999999999</v>
      </c>
      <c r="G7316">
        <v>15.653600000000001</v>
      </c>
      <c r="H7316">
        <v>1</v>
      </c>
      <c r="I7316">
        <v>21</v>
      </c>
      <c r="J7316" t="str">
        <f>HYPERLINK("https://climate.onebuilding.org/WMO_Region_6_Europe/ITA_Italy/LB_Calabria/ITA_LB_Reggio.di.Calabria-Minniti.AP.164220_TMYx.2004-2018.zip")</f>
        <v>https://climate.onebuilding.org/WMO_Region_6_Europe/ITA_Italy/LB_Calabria/ITA_LB_Reggio.di.Calabria-Minniti.AP.164220_TMYx.2004-2018.zip</v>
      </c>
    </row>
    <row r="7317" spans="1:10" x14ac:dyDescent="0.25">
      <c r="A7317" t="s">
        <v>5239</v>
      </c>
      <c r="B7317" t="s">
        <v>5472</v>
      </c>
      <c r="C7317" t="s">
        <v>5496</v>
      </c>
      <c r="D7317">
        <v>164220</v>
      </c>
      <c r="E7317" t="s">
        <v>14</v>
      </c>
      <c r="F7317">
        <v>38.071899999999999</v>
      </c>
      <c r="G7317">
        <v>15.653600000000001</v>
      </c>
      <c r="H7317">
        <v>1</v>
      </c>
      <c r="I7317">
        <v>21</v>
      </c>
      <c r="J7317" t="str">
        <f>HYPERLINK("https://climate.onebuilding.org/WMO_Region_6_Europe/ITA_Italy/LB_Calabria/ITA_LB_Reggio.di.Calabria-Minniti.AP.164220_TMYx.2007-2021.zip")</f>
        <v>https://climate.onebuilding.org/WMO_Region_6_Europe/ITA_Italy/LB_Calabria/ITA_LB_Reggio.di.Calabria-Minniti.AP.164220_TMYx.2007-2021.zip</v>
      </c>
    </row>
    <row r="7318" spans="1:10" x14ac:dyDescent="0.25">
      <c r="A7318" t="s">
        <v>5239</v>
      </c>
      <c r="B7318" t="s">
        <v>5472</v>
      </c>
      <c r="C7318" t="s">
        <v>5496</v>
      </c>
      <c r="D7318">
        <v>164220</v>
      </c>
      <c r="E7318" t="s">
        <v>14</v>
      </c>
      <c r="F7318">
        <v>38.071899999999999</v>
      </c>
      <c r="G7318">
        <v>15.653600000000001</v>
      </c>
      <c r="H7318">
        <v>1</v>
      </c>
      <c r="I7318">
        <v>21</v>
      </c>
      <c r="J7318" t="str">
        <f>HYPERLINK("https://climate.onebuilding.org/WMO_Region_6_Europe/ITA_Italy/LB_Calabria/ITA_LB_Reggio.di.Calabria-Minniti.AP.164220_TMYx.2009-2023.zip")</f>
        <v>https://climate.onebuilding.org/WMO_Region_6_Europe/ITA_Italy/LB_Calabria/ITA_LB_Reggio.di.Calabria-Minniti.AP.164220_TMYx.2009-2023.zip</v>
      </c>
    </row>
    <row r="7319" spans="1:10" x14ac:dyDescent="0.25">
      <c r="A7319" t="s">
        <v>5239</v>
      </c>
      <c r="B7319" t="s">
        <v>5472</v>
      </c>
      <c r="C7319" t="s">
        <v>5496</v>
      </c>
      <c r="D7319">
        <v>164220</v>
      </c>
      <c r="E7319" t="s">
        <v>14</v>
      </c>
      <c r="F7319">
        <v>38.071899999999999</v>
      </c>
      <c r="G7319">
        <v>15.653600000000001</v>
      </c>
      <c r="H7319">
        <v>1</v>
      </c>
      <c r="I7319">
        <v>21</v>
      </c>
      <c r="J7319" t="str">
        <f>HYPERLINK("https://climate.onebuilding.org/WMO_Region_6_Europe/ITA_Italy/LB_Calabria/ITA_LB_Reggio.di.Calabria-Minniti.AP.164220_TMYx.zip")</f>
        <v>https://climate.onebuilding.org/WMO_Region_6_Europe/ITA_Italy/LB_Calabria/ITA_LB_Reggio.di.Calabria-Minniti.AP.164220_TMYx.zip</v>
      </c>
    </row>
    <row r="7320" spans="1:10" x14ac:dyDescent="0.25">
      <c r="A7320" t="s">
        <v>5239</v>
      </c>
      <c r="B7320" t="s">
        <v>5485</v>
      </c>
      <c r="C7320" t="s">
        <v>5498</v>
      </c>
      <c r="D7320">
        <v>164290</v>
      </c>
      <c r="E7320" t="s">
        <v>5499</v>
      </c>
      <c r="F7320">
        <v>37.914200000000001</v>
      </c>
      <c r="G7320">
        <v>12.491400000000001</v>
      </c>
      <c r="H7320">
        <v>1</v>
      </c>
      <c r="I7320">
        <v>9.3000000000000007</v>
      </c>
      <c r="J7320" t="str">
        <f>HYPERLINK("https://climate.onebuilding.org/WMO_Region_6_Europe/ITA_Italy/SC_Sicily/ITA_SC_Trapani.Birgi.AP.164290_TMYx.2004-2018.zip")</f>
        <v>https://climate.onebuilding.org/WMO_Region_6_Europe/ITA_Italy/SC_Sicily/ITA_SC_Trapani.Birgi.AP.164290_TMYx.2004-2018.zip</v>
      </c>
    </row>
    <row r="7321" spans="1:10" x14ac:dyDescent="0.25">
      <c r="A7321" t="s">
        <v>5239</v>
      </c>
      <c r="B7321" t="s">
        <v>5485</v>
      </c>
      <c r="C7321" t="s">
        <v>5498</v>
      </c>
      <c r="D7321">
        <v>164290</v>
      </c>
      <c r="E7321" t="s">
        <v>14</v>
      </c>
      <c r="F7321">
        <v>37.914200000000001</v>
      </c>
      <c r="G7321">
        <v>12.491400000000001</v>
      </c>
      <c r="H7321">
        <v>1</v>
      </c>
      <c r="I7321">
        <v>9.3000000000000007</v>
      </c>
      <c r="J7321" t="str">
        <f>HYPERLINK("https://climate.onebuilding.org/WMO_Region_6_Europe/ITA_Italy/SC_Sicily/ITA_SC_Trapani.Birgi.AP.164290_TMYx.2007-2021.zip")</f>
        <v>https://climate.onebuilding.org/WMO_Region_6_Europe/ITA_Italy/SC_Sicily/ITA_SC_Trapani.Birgi.AP.164290_TMYx.2007-2021.zip</v>
      </c>
    </row>
    <row r="7322" spans="1:10" x14ac:dyDescent="0.25">
      <c r="A7322" t="s">
        <v>5239</v>
      </c>
      <c r="B7322" t="s">
        <v>5485</v>
      </c>
      <c r="C7322" t="s">
        <v>5498</v>
      </c>
      <c r="D7322">
        <v>164290</v>
      </c>
      <c r="E7322" t="s">
        <v>14</v>
      </c>
      <c r="F7322">
        <v>37.914200000000001</v>
      </c>
      <c r="G7322">
        <v>12.491400000000001</v>
      </c>
      <c r="H7322">
        <v>1</v>
      </c>
      <c r="I7322">
        <v>9.3000000000000007</v>
      </c>
      <c r="J7322" t="str">
        <f>HYPERLINK("https://climate.onebuilding.org/WMO_Region_6_Europe/ITA_Italy/SC_Sicily/ITA_SC_Trapani.Birgi.AP.164290_TMYx.2009-2023.zip")</f>
        <v>https://climate.onebuilding.org/WMO_Region_6_Europe/ITA_Italy/SC_Sicily/ITA_SC_Trapani.Birgi.AP.164290_TMYx.2009-2023.zip</v>
      </c>
    </row>
    <row r="7323" spans="1:10" x14ac:dyDescent="0.25">
      <c r="A7323" t="s">
        <v>5239</v>
      </c>
      <c r="B7323" t="s">
        <v>5485</v>
      </c>
      <c r="C7323" t="s">
        <v>5498</v>
      </c>
      <c r="D7323">
        <v>164290</v>
      </c>
      <c r="E7323" t="s">
        <v>14</v>
      </c>
      <c r="F7323">
        <v>37.914200000000001</v>
      </c>
      <c r="G7323">
        <v>12.491400000000001</v>
      </c>
      <c r="H7323">
        <v>1</v>
      </c>
      <c r="I7323">
        <v>9.3000000000000007</v>
      </c>
      <c r="J7323" t="str">
        <f>HYPERLINK("https://climate.onebuilding.org/WMO_Region_6_Europe/ITA_Italy/SC_Sicily/ITA_SC_Trapani.Birgi.AP.164290_TMYx.zip")</f>
        <v>https://climate.onebuilding.org/WMO_Region_6_Europe/ITA_Italy/SC_Sicily/ITA_SC_Trapani.Birgi.AP.164290_TMYx.zip</v>
      </c>
    </row>
    <row r="7324" spans="1:10" x14ac:dyDescent="0.25">
      <c r="A7324" t="s">
        <v>5239</v>
      </c>
      <c r="B7324" t="s">
        <v>5485</v>
      </c>
      <c r="C7324" t="s">
        <v>5500</v>
      </c>
      <c r="D7324">
        <v>164340</v>
      </c>
      <c r="E7324" t="s">
        <v>5501</v>
      </c>
      <c r="F7324">
        <v>37.722799999999999</v>
      </c>
      <c r="G7324">
        <v>13.428100000000001</v>
      </c>
      <c r="H7324">
        <v>1</v>
      </c>
      <c r="I7324">
        <v>1035</v>
      </c>
      <c r="J7324" t="str">
        <f>HYPERLINK("https://climate.onebuilding.org/WMO_Region_6_Europe/ITA_Italy/SC_Sicily/ITA_SC_Prizzi.164340_TMYx.2004-2018.zip")</f>
        <v>https://climate.onebuilding.org/WMO_Region_6_Europe/ITA_Italy/SC_Sicily/ITA_SC_Prizzi.164340_TMYx.2004-2018.zip</v>
      </c>
    </row>
    <row r="7325" spans="1:10" x14ac:dyDescent="0.25">
      <c r="A7325" t="s">
        <v>5239</v>
      </c>
      <c r="B7325" t="s">
        <v>5485</v>
      </c>
      <c r="C7325" t="s">
        <v>5500</v>
      </c>
      <c r="D7325">
        <v>164340</v>
      </c>
      <c r="E7325" t="s">
        <v>14</v>
      </c>
      <c r="F7325">
        <v>37.722799999999999</v>
      </c>
      <c r="G7325">
        <v>13.428100000000001</v>
      </c>
      <c r="H7325">
        <v>1</v>
      </c>
      <c r="I7325">
        <v>1035</v>
      </c>
      <c r="J7325" t="str">
        <f>HYPERLINK("https://climate.onebuilding.org/WMO_Region_6_Europe/ITA_Italy/SC_Sicily/ITA_SC_Prizzi.164340_TMYx.2007-2021.zip")</f>
        <v>https://climate.onebuilding.org/WMO_Region_6_Europe/ITA_Italy/SC_Sicily/ITA_SC_Prizzi.164340_TMYx.2007-2021.zip</v>
      </c>
    </row>
    <row r="7326" spans="1:10" x14ac:dyDescent="0.25">
      <c r="A7326" t="s">
        <v>5239</v>
      </c>
      <c r="B7326" t="s">
        <v>5485</v>
      </c>
      <c r="C7326" t="s">
        <v>5500</v>
      </c>
      <c r="D7326">
        <v>164340</v>
      </c>
      <c r="E7326" t="s">
        <v>14</v>
      </c>
      <c r="F7326">
        <v>37.722799999999999</v>
      </c>
      <c r="G7326">
        <v>13.428100000000001</v>
      </c>
      <c r="H7326">
        <v>1</v>
      </c>
      <c r="I7326">
        <v>1035</v>
      </c>
      <c r="J7326" t="str">
        <f>HYPERLINK("https://climate.onebuilding.org/WMO_Region_6_Europe/ITA_Italy/SC_Sicily/ITA_SC_Prizzi.164340_TMYx.2009-2023.zip")</f>
        <v>https://climate.onebuilding.org/WMO_Region_6_Europe/ITA_Italy/SC_Sicily/ITA_SC_Prizzi.164340_TMYx.2009-2023.zip</v>
      </c>
    </row>
    <row r="7327" spans="1:10" x14ac:dyDescent="0.25">
      <c r="A7327" t="s">
        <v>5239</v>
      </c>
      <c r="B7327" t="s">
        <v>5485</v>
      </c>
      <c r="C7327" t="s">
        <v>5500</v>
      </c>
      <c r="D7327">
        <v>164340</v>
      </c>
      <c r="E7327" t="s">
        <v>14</v>
      </c>
      <c r="F7327">
        <v>37.722799999999999</v>
      </c>
      <c r="G7327">
        <v>13.428100000000001</v>
      </c>
      <c r="H7327">
        <v>1</v>
      </c>
      <c r="I7327">
        <v>1035</v>
      </c>
      <c r="J7327" t="str">
        <f>HYPERLINK("https://climate.onebuilding.org/WMO_Region_6_Europe/ITA_Italy/SC_Sicily/ITA_SC_Prizzi.164340_TMYx.zip")</f>
        <v>https://climate.onebuilding.org/WMO_Region_6_Europe/ITA_Italy/SC_Sicily/ITA_SC_Prizzi.164340_TMYx.zip</v>
      </c>
    </row>
    <row r="7328" spans="1:10" x14ac:dyDescent="0.25">
      <c r="A7328" t="s">
        <v>5239</v>
      </c>
      <c r="B7328" t="s">
        <v>5485</v>
      </c>
      <c r="C7328" t="s">
        <v>5502</v>
      </c>
      <c r="D7328">
        <v>164360</v>
      </c>
      <c r="E7328" t="s">
        <v>14</v>
      </c>
      <c r="F7328">
        <v>37.513599999999997</v>
      </c>
      <c r="G7328">
        <v>13.1267</v>
      </c>
      <c r="H7328">
        <v>1</v>
      </c>
      <c r="I7328">
        <v>126</v>
      </c>
      <c r="J7328" t="str">
        <f>HYPERLINK("https://climate.onebuilding.org/WMO_Region_6_Europe/ITA_Italy/SC_Sicily/ITA_SC_Sciacca.164360_TMYx.2007-2021.zip")</f>
        <v>https://climate.onebuilding.org/WMO_Region_6_Europe/ITA_Italy/SC_Sicily/ITA_SC_Sciacca.164360_TMYx.2007-2021.zip</v>
      </c>
    </row>
    <row r="7329" spans="1:10" x14ac:dyDescent="0.25">
      <c r="A7329" t="s">
        <v>5239</v>
      </c>
      <c r="B7329" t="s">
        <v>5485</v>
      </c>
      <c r="C7329" t="s">
        <v>5502</v>
      </c>
      <c r="D7329">
        <v>164360</v>
      </c>
      <c r="E7329" t="s">
        <v>14</v>
      </c>
      <c r="F7329">
        <v>37.513599999999997</v>
      </c>
      <c r="G7329">
        <v>13.1267</v>
      </c>
      <c r="H7329">
        <v>1</v>
      </c>
      <c r="I7329">
        <v>126</v>
      </c>
      <c r="J7329" t="str">
        <f>HYPERLINK("https://climate.onebuilding.org/WMO_Region_6_Europe/ITA_Italy/SC_Sicily/ITA_SC_Sciacca.164360_TMYx.2009-2023.zip")</f>
        <v>https://climate.onebuilding.org/WMO_Region_6_Europe/ITA_Italy/SC_Sicily/ITA_SC_Sciacca.164360_TMYx.2009-2023.zip</v>
      </c>
    </row>
    <row r="7330" spans="1:10" x14ac:dyDescent="0.25">
      <c r="A7330" t="s">
        <v>5239</v>
      </c>
      <c r="B7330" t="s">
        <v>5485</v>
      </c>
      <c r="C7330" t="s">
        <v>5502</v>
      </c>
      <c r="D7330">
        <v>164360</v>
      </c>
      <c r="E7330" t="s">
        <v>14</v>
      </c>
      <c r="F7330">
        <v>37.513599999999997</v>
      </c>
      <c r="G7330">
        <v>13.1267</v>
      </c>
      <c r="H7330">
        <v>1</v>
      </c>
      <c r="I7330">
        <v>126</v>
      </c>
      <c r="J7330" t="str">
        <f>HYPERLINK("https://climate.onebuilding.org/WMO_Region_6_Europe/ITA_Italy/SC_Sicily/ITA_SC_Sciacca.164360_TMYx.zip")</f>
        <v>https://climate.onebuilding.org/WMO_Region_6_Europe/ITA_Italy/SC_Sicily/ITA_SC_Sciacca.164360_TMYx.zip</v>
      </c>
    </row>
    <row r="7331" spans="1:10" x14ac:dyDescent="0.25">
      <c r="A7331" t="s">
        <v>5239</v>
      </c>
      <c r="B7331" t="s">
        <v>5485</v>
      </c>
      <c r="C7331" t="s">
        <v>5503</v>
      </c>
      <c r="D7331">
        <v>164420</v>
      </c>
      <c r="E7331" t="s">
        <v>14</v>
      </c>
      <c r="F7331">
        <v>37.9908</v>
      </c>
      <c r="G7331">
        <v>14.026899999999999</v>
      </c>
      <c r="H7331">
        <v>1</v>
      </c>
      <c r="I7331">
        <v>999</v>
      </c>
      <c r="J7331" t="str">
        <f>HYPERLINK("https://climate.onebuilding.org/WMO_Region_6_Europe/ITA_Italy/SC_Sicily/ITA_SC_Gibilmanna.164420_TMYx.2007-2021.zip")</f>
        <v>https://climate.onebuilding.org/WMO_Region_6_Europe/ITA_Italy/SC_Sicily/ITA_SC_Gibilmanna.164420_TMYx.2007-2021.zip</v>
      </c>
    </row>
    <row r="7332" spans="1:10" x14ac:dyDescent="0.25">
      <c r="A7332" t="s">
        <v>5239</v>
      </c>
      <c r="B7332" t="s">
        <v>5485</v>
      </c>
      <c r="C7332" t="s">
        <v>5503</v>
      </c>
      <c r="D7332">
        <v>164420</v>
      </c>
      <c r="E7332" t="s">
        <v>14</v>
      </c>
      <c r="F7332">
        <v>37.9908</v>
      </c>
      <c r="G7332">
        <v>14.026899999999999</v>
      </c>
      <c r="H7332">
        <v>1</v>
      </c>
      <c r="I7332">
        <v>999</v>
      </c>
      <c r="J7332" t="str">
        <f>HYPERLINK("https://climate.onebuilding.org/WMO_Region_6_Europe/ITA_Italy/SC_Sicily/ITA_SC_Gibilmanna.164420_TMYx.2009-2023.zip")</f>
        <v>https://climate.onebuilding.org/WMO_Region_6_Europe/ITA_Italy/SC_Sicily/ITA_SC_Gibilmanna.164420_TMYx.2009-2023.zip</v>
      </c>
    </row>
    <row r="7333" spans="1:10" x14ac:dyDescent="0.25">
      <c r="A7333" t="s">
        <v>5239</v>
      </c>
      <c r="B7333" t="s">
        <v>5485</v>
      </c>
      <c r="C7333" t="s">
        <v>5503</v>
      </c>
      <c r="D7333">
        <v>164420</v>
      </c>
      <c r="E7333" t="s">
        <v>14</v>
      </c>
      <c r="F7333">
        <v>37.9908</v>
      </c>
      <c r="G7333">
        <v>14.026899999999999</v>
      </c>
      <c r="H7333">
        <v>1</v>
      </c>
      <c r="I7333">
        <v>999</v>
      </c>
      <c r="J7333" t="str">
        <f>HYPERLINK("https://climate.onebuilding.org/WMO_Region_6_Europe/ITA_Italy/SC_Sicily/ITA_SC_Gibilmanna.164420_TMYx.zip")</f>
        <v>https://climate.onebuilding.org/WMO_Region_6_Europe/ITA_Italy/SC_Sicily/ITA_SC_Gibilmanna.164420_TMYx.zip</v>
      </c>
    </row>
    <row r="7334" spans="1:10" x14ac:dyDescent="0.25">
      <c r="A7334" t="s">
        <v>5239</v>
      </c>
      <c r="B7334" t="s">
        <v>5485</v>
      </c>
      <c r="C7334" t="s">
        <v>5504</v>
      </c>
      <c r="D7334">
        <v>164500</v>
      </c>
      <c r="E7334" t="s">
        <v>5505</v>
      </c>
      <c r="F7334">
        <v>37.568100000000001</v>
      </c>
      <c r="G7334">
        <v>14.2797</v>
      </c>
      <c r="H7334">
        <v>1</v>
      </c>
      <c r="I7334">
        <v>1003</v>
      </c>
      <c r="J7334" t="str">
        <f>HYPERLINK("https://climate.onebuilding.org/WMO_Region_6_Europe/ITA_Italy/SC_Sicily/ITA_SC_Enna.164500_TMYx.2004-2018.zip")</f>
        <v>https://climate.onebuilding.org/WMO_Region_6_Europe/ITA_Italy/SC_Sicily/ITA_SC_Enna.164500_TMYx.2004-2018.zip</v>
      </c>
    </row>
    <row r="7335" spans="1:10" x14ac:dyDescent="0.25">
      <c r="A7335" t="s">
        <v>5239</v>
      </c>
      <c r="B7335" t="s">
        <v>5485</v>
      </c>
      <c r="C7335" t="s">
        <v>5504</v>
      </c>
      <c r="D7335">
        <v>164500</v>
      </c>
      <c r="E7335" t="s">
        <v>14</v>
      </c>
      <c r="F7335">
        <v>37.568100000000001</v>
      </c>
      <c r="G7335">
        <v>14.2797</v>
      </c>
      <c r="H7335">
        <v>1</v>
      </c>
      <c r="I7335">
        <v>1003</v>
      </c>
      <c r="J7335" t="str">
        <f>HYPERLINK("https://climate.onebuilding.org/WMO_Region_6_Europe/ITA_Italy/SC_Sicily/ITA_SC_Enna.164500_TMYx.2007-2021.zip")</f>
        <v>https://climate.onebuilding.org/WMO_Region_6_Europe/ITA_Italy/SC_Sicily/ITA_SC_Enna.164500_TMYx.2007-2021.zip</v>
      </c>
    </row>
    <row r="7336" spans="1:10" x14ac:dyDescent="0.25">
      <c r="A7336" t="s">
        <v>5239</v>
      </c>
      <c r="B7336" t="s">
        <v>5485</v>
      </c>
      <c r="C7336" t="s">
        <v>5504</v>
      </c>
      <c r="D7336">
        <v>164500</v>
      </c>
      <c r="E7336" t="s">
        <v>14</v>
      </c>
      <c r="F7336">
        <v>37.568100000000001</v>
      </c>
      <c r="G7336">
        <v>14.2797</v>
      </c>
      <c r="H7336">
        <v>1</v>
      </c>
      <c r="I7336">
        <v>1003</v>
      </c>
      <c r="J7336" t="str">
        <f>HYPERLINK("https://climate.onebuilding.org/WMO_Region_6_Europe/ITA_Italy/SC_Sicily/ITA_SC_Enna.164500_TMYx.2009-2023.zip")</f>
        <v>https://climate.onebuilding.org/WMO_Region_6_Europe/ITA_Italy/SC_Sicily/ITA_SC_Enna.164500_TMYx.2009-2023.zip</v>
      </c>
    </row>
    <row r="7337" spans="1:10" x14ac:dyDescent="0.25">
      <c r="A7337" t="s">
        <v>5239</v>
      </c>
      <c r="B7337" t="s">
        <v>5485</v>
      </c>
      <c r="C7337" t="s">
        <v>5504</v>
      </c>
      <c r="D7337">
        <v>164500</v>
      </c>
      <c r="E7337" t="s">
        <v>14</v>
      </c>
      <c r="F7337">
        <v>37.568100000000001</v>
      </c>
      <c r="G7337">
        <v>14.2797</v>
      </c>
      <c r="H7337">
        <v>1</v>
      </c>
      <c r="I7337">
        <v>1003</v>
      </c>
      <c r="J7337" t="str">
        <f>HYPERLINK("https://climate.onebuilding.org/WMO_Region_6_Europe/ITA_Italy/SC_Sicily/ITA_SC_Enna.164500_TMYx.zip")</f>
        <v>https://climate.onebuilding.org/WMO_Region_6_Europe/ITA_Italy/SC_Sicily/ITA_SC_Enna.164500_TMYx.zip</v>
      </c>
    </row>
    <row r="7338" spans="1:10" x14ac:dyDescent="0.25">
      <c r="A7338" t="s">
        <v>5239</v>
      </c>
      <c r="B7338" t="s">
        <v>5485</v>
      </c>
      <c r="C7338" t="s">
        <v>5506</v>
      </c>
      <c r="D7338">
        <v>164530</v>
      </c>
      <c r="E7338" t="s">
        <v>5507</v>
      </c>
      <c r="F7338">
        <v>37.0764</v>
      </c>
      <c r="G7338">
        <v>14.225</v>
      </c>
      <c r="H7338">
        <v>1</v>
      </c>
      <c r="I7338">
        <v>69</v>
      </c>
      <c r="J7338" t="str">
        <f>HYPERLINK("https://climate.onebuilding.org/WMO_Region_6_Europe/ITA_Italy/SC_Sicily/ITA_SC_Gela.164530_TMYx.2004-2018.zip")</f>
        <v>https://climate.onebuilding.org/WMO_Region_6_Europe/ITA_Italy/SC_Sicily/ITA_SC_Gela.164530_TMYx.2004-2018.zip</v>
      </c>
    </row>
    <row r="7339" spans="1:10" x14ac:dyDescent="0.25">
      <c r="A7339" t="s">
        <v>5239</v>
      </c>
      <c r="B7339" t="s">
        <v>5485</v>
      </c>
      <c r="C7339" t="s">
        <v>5506</v>
      </c>
      <c r="D7339">
        <v>164530</v>
      </c>
      <c r="E7339" t="s">
        <v>14</v>
      </c>
      <c r="F7339">
        <v>37.0764</v>
      </c>
      <c r="G7339">
        <v>14.225</v>
      </c>
      <c r="H7339">
        <v>1</v>
      </c>
      <c r="I7339">
        <v>69</v>
      </c>
      <c r="J7339" t="str">
        <f>HYPERLINK("https://climate.onebuilding.org/WMO_Region_6_Europe/ITA_Italy/SC_Sicily/ITA_SC_Gela.164530_TMYx.2007-2021.zip")</f>
        <v>https://climate.onebuilding.org/WMO_Region_6_Europe/ITA_Italy/SC_Sicily/ITA_SC_Gela.164530_TMYx.2007-2021.zip</v>
      </c>
    </row>
    <row r="7340" spans="1:10" x14ac:dyDescent="0.25">
      <c r="A7340" t="s">
        <v>5239</v>
      </c>
      <c r="B7340" t="s">
        <v>5485</v>
      </c>
      <c r="C7340" t="s">
        <v>5506</v>
      </c>
      <c r="D7340">
        <v>164530</v>
      </c>
      <c r="E7340" t="s">
        <v>14</v>
      </c>
      <c r="F7340">
        <v>37.0764</v>
      </c>
      <c r="G7340">
        <v>14.225</v>
      </c>
      <c r="H7340">
        <v>1</v>
      </c>
      <c r="I7340">
        <v>69</v>
      </c>
      <c r="J7340" t="str">
        <f>HYPERLINK("https://climate.onebuilding.org/WMO_Region_6_Europe/ITA_Italy/SC_Sicily/ITA_SC_Gela.164530_TMYx.2009-2023.zip")</f>
        <v>https://climate.onebuilding.org/WMO_Region_6_Europe/ITA_Italy/SC_Sicily/ITA_SC_Gela.164530_TMYx.2009-2023.zip</v>
      </c>
    </row>
    <row r="7341" spans="1:10" x14ac:dyDescent="0.25">
      <c r="A7341" t="s">
        <v>5239</v>
      </c>
      <c r="B7341" t="s">
        <v>5485</v>
      </c>
      <c r="C7341" t="s">
        <v>5506</v>
      </c>
      <c r="D7341">
        <v>164530</v>
      </c>
      <c r="E7341" t="s">
        <v>14</v>
      </c>
      <c r="F7341">
        <v>37.0764</v>
      </c>
      <c r="G7341">
        <v>14.225</v>
      </c>
      <c r="H7341">
        <v>1</v>
      </c>
      <c r="I7341">
        <v>69</v>
      </c>
      <c r="J7341" t="str">
        <f>HYPERLINK("https://climate.onebuilding.org/WMO_Region_6_Europe/ITA_Italy/SC_Sicily/ITA_SC_Gela.164530_TMYx.zip")</f>
        <v>https://climate.onebuilding.org/WMO_Region_6_Europe/ITA_Italy/SC_Sicily/ITA_SC_Gela.164530_TMYx.zip</v>
      </c>
    </row>
    <row r="7342" spans="1:10" x14ac:dyDescent="0.25">
      <c r="A7342" t="s">
        <v>5239</v>
      </c>
      <c r="B7342" t="s">
        <v>5485</v>
      </c>
      <c r="C7342" t="s">
        <v>5508</v>
      </c>
      <c r="D7342">
        <v>164590</v>
      </c>
      <c r="E7342" t="s">
        <v>5509</v>
      </c>
      <c r="F7342">
        <v>37.4056</v>
      </c>
      <c r="G7342">
        <v>14.9186</v>
      </c>
      <c r="H7342">
        <v>1</v>
      </c>
      <c r="I7342">
        <v>29.3</v>
      </c>
      <c r="J7342" t="str">
        <f>HYPERLINK("https://climate.onebuilding.org/WMO_Region_6_Europe/ITA_Italy/SC_Sicily/ITA_SC_NAS.Signoella.164590_TMYx.2004-2018.zip")</f>
        <v>https://climate.onebuilding.org/WMO_Region_6_Europe/ITA_Italy/SC_Sicily/ITA_SC_NAS.Signoella.164590_TMYx.2004-2018.zip</v>
      </c>
    </row>
    <row r="7343" spans="1:10" x14ac:dyDescent="0.25">
      <c r="A7343" t="s">
        <v>5239</v>
      </c>
      <c r="B7343" t="s">
        <v>5485</v>
      </c>
      <c r="C7343" t="s">
        <v>5508</v>
      </c>
      <c r="D7343">
        <v>164590</v>
      </c>
      <c r="E7343" t="s">
        <v>14</v>
      </c>
      <c r="F7343">
        <v>37.4056</v>
      </c>
      <c r="G7343">
        <v>14.9186</v>
      </c>
      <c r="H7343">
        <v>1</v>
      </c>
      <c r="I7343">
        <v>29.3</v>
      </c>
      <c r="J7343" t="str">
        <f>HYPERLINK("https://climate.onebuilding.org/WMO_Region_6_Europe/ITA_Italy/SC_Sicily/ITA_SC_NAS.Signoella.164590_TMYx.2007-2021.zip")</f>
        <v>https://climate.onebuilding.org/WMO_Region_6_Europe/ITA_Italy/SC_Sicily/ITA_SC_NAS.Signoella.164590_TMYx.2007-2021.zip</v>
      </c>
    </row>
    <row r="7344" spans="1:10" x14ac:dyDescent="0.25">
      <c r="A7344" t="s">
        <v>5239</v>
      </c>
      <c r="B7344" t="s">
        <v>5485</v>
      </c>
      <c r="C7344" t="s">
        <v>5508</v>
      </c>
      <c r="D7344">
        <v>164590</v>
      </c>
      <c r="E7344" t="s">
        <v>14</v>
      </c>
      <c r="F7344">
        <v>37.4056</v>
      </c>
      <c r="G7344">
        <v>14.9186</v>
      </c>
      <c r="H7344">
        <v>1</v>
      </c>
      <c r="I7344">
        <v>29.3</v>
      </c>
      <c r="J7344" t="str">
        <f>HYPERLINK("https://climate.onebuilding.org/WMO_Region_6_Europe/ITA_Italy/SC_Sicily/ITA_SC_NAS.Signoella.164590_TMYx.2009-2023.zip")</f>
        <v>https://climate.onebuilding.org/WMO_Region_6_Europe/ITA_Italy/SC_Sicily/ITA_SC_NAS.Signoella.164590_TMYx.2009-2023.zip</v>
      </c>
    </row>
    <row r="7345" spans="1:10" x14ac:dyDescent="0.25">
      <c r="A7345" t="s">
        <v>5239</v>
      </c>
      <c r="B7345" t="s">
        <v>5485</v>
      </c>
      <c r="C7345" t="s">
        <v>5508</v>
      </c>
      <c r="D7345">
        <v>164590</v>
      </c>
      <c r="E7345" t="s">
        <v>14</v>
      </c>
      <c r="F7345">
        <v>37.4056</v>
      </c>
      <c r="G7345">
        <v>14.9186</v>
      </c>
      <c r="H7345">
        <v>1</v>
      </c>
      <c r="I7345">
        <v>29.3</v>
      </c>
      <c r="J7345" t="str">
        <f>HYPERLINK("https://climate.onebuilding.org/WMO_Region_6_Europe/ITA_Italy/SC_Sicily/ITA_SC_NAS.Signoella.164590_TMYx.zip")</f>
        <v>https://climate.onebuilding.org/WMO_Region_6_Europe/ITA_Italy/SC_Sicily/ITA_SC_NAS.Signoella.164590_TMYx.zip</v>
      </c>
    </row>
    <row r="7346" spans="1:10" x14ac:dyDescent="0.25">
      <c r="A7346" t="s">
        <v>5239</v>
      </c>
      <c r="B7346" t="s">
        <v>5485</v>
      </c>
      <c r="C7346" t="s">
        <v>5510</v>
      </c>
      <c r="D7346">
        <v>164600</v>
      </c>
      <c r="E7346" t="s">
        <v>5511</v>
      </c>
      <c r="F7346">
        <v>37.466700000000003</v>
      </c>
      <c r="G7346">
        <v>15.0639</v>
      </c>
      <c r="H7346">
        <v>1</v>
      </c>
      <c r="I7346">
        <v>17</v>
      </c>
      <c r="J7346" t="str">
        <f>HYPERLINK("https://climate.onebuilding.org/WMO_Region_6_Europe/ITA_Italy/SC_Sicily/ITA_SC_Catania.Fontanarossa.AP.164600_TMYx.2004-2018.zip")</f>
        <v>https://climate.onebuilding.org/WMO_Region_6_Europe/ITA_Italy/SC_Sicily/ITA_SC_Catania.Fontanarossa.AP.164600_TMYx.2004-2018.zip</v>
      </c>
    </row>
    <row r="7347" spans="1:10" x14ac:dyDescent="0.25">
      <c r="A7347" t="s">
        <v>5239</v>
      </c>
      <c r="B7347" t="s">
        <v>5485</v>
      </c>
      <c r="C7347" t="s">
        <v>5510</v>
      </c>
      <c r="D7347">
        <v>164600</v>
      </c>
      <c r="E7347" t="s">
        <v>14</v>
      </c>
      <c r="F7347">
        <v>37.466700000000003</v>
      </c>
      <c r="G7347">
        <v>15.0639</v>
      </c>
      <c r="H7347">
        <v>1</v>
      </c>
      <c r="I7347">
        <v>17</v>
      </c>
      <c r="J7347" t="str">
        <f>HYPERLINK("https://climate.onebuilding.org/WMO_Region_6_Europe/ITA_Italy/SC_Sicily/ITA_SC_Catania.Fontanarossa.AP.164600_TMYx.2007-2021.zip")</f>
        <v>https://climate.onebuilding.org/WMO_Region_6_Europe/ITA_Italy/SC_Sicily/ITA_SC_Catania.Fontanarossa.AP.164600_TMYx.2007-2021.zip</v>
      </c>
    </row>
    <row r="7348" spans="1:10" x14ac:dyDescent="0.25">
      <c r="A7348" t="s">
        <v>5239</v>
      </c>
      <c r="B7348" t="s">
        <v>5485</v>
      </c>
      <c r="C7348" t="s">
        <v>5510</v>
      </c>
      <c r="D7348">
        <v>164600</v>
      </c>
      <c r="E7348" t="s">
        <v>14</v>
      </c>
      <c r="F7348">
        <v>37.466700000000003</v>
      </c>
      <c r="G7348">
        <v>15.0639</v>
      </c>
      <c r="H7348">
        <v>1</v>
      </c>
      <c r="I7348">
        <v>17</v>
      </c>
      <c r="J7348" t="str">
        <f>HYPERLINK("https://climate.onebuilding.org/WMO_Region_6_Europe/ITA_Italy/SC_Sicily/ITA_SC_Catania.Fontanarossa.AP.164600_TMYx.2009-2023.zip")</f>
        <v>https://climate.onebuilding.org/WMO_Region_6_Europe/ITA_Italy/SC_Sicily/ITA_SC_Catania.Fontanarossa.AP.164600_TMYx.2009-2023.zip</v>
      </c>
    </row>
    <row r="7349" spans="1:10" x14ac:dyDescent="0.25">
      <c r="A7349" t="s">
        <v>5239</v>
      </c>
      <c r="B7349" t="s">
        <v>5485</v>
      </c>
      <c r="C7349" t="s">
        <v>5510</v>
      </c>
      <c r="D7349">
        <v>164600</v>
      </c>
      <c r="E7349" t="s">
        <v>14</v>
      </c>
      <c r="F7349">
        <v>37.466700000000003</v>
      </c>
      <c r="G7349">
        <v>15.0639</v>
      </c>
      <c r="H7349">
        <v>1</v>
      </c>
      <c r="I7349">
        <v>17</v>
      </c>
      <c r="J7349" t="str">
        <f>HYPERLINK("https://climate.onebuilding.org/WMO_Region_6_Europe/ITA_Italy/SC_Sicily/ITA_SC_Catania.Fontanarossa.AP.164600_TMYx.zip")</f>
        <v>https://climate.onebuilding.org/WMO_Region_6_Europe/ITA_Italy/SC_Sicily/ITA_SC_Catania.Fontanarossa.AP.164600_TMYx.zip</v>
      </c>
    </row>
    <row r="7350" spans="1:10" x14ac:dyDescent="0.25">
      <c r="A7350" t="s">
        <v>5239</v>
      </c>
      <c r="B7350" t="s">
        <v>5485</v>
      </c>
      <c r="C7350" t="s">
        <v>5512</v>
      </c>
      <c r="D7350">
        <v>164640</v>
      </c>
      <c r="E7350" t="s">
        <v>14</v>
      </c>
      <c r="F7350">
        <v>37.066099999999999</v>
      </c>
      <c r="G7350">
        <v>15.279400000000001</v>
      </c>
      <c r="H7350">
        <v>1</v>
      </c>
      <c r="I7350">
        <v>3</v>
      </c>
      <c r="J7350" t="str">
        <f>HYPERLINK("https://climate.onebuilding.org/WMO_Region_6_Europe/ITA_Italy/SC_Sicily/ITA_SC_Siracusa.164640_TMYx.2007-2021.zip")</f>
        <v>https://climate.onebuilding.org/WMO_Region_6_Europe/ITA_Italy/SC_Sicily/ITA_SC_Siracusa.164640_TMYx.2007-2021.zip</v>
      </c>
    </row>
    <row r="7351" spans="1:10" x14ac:dyDescent="0.25">
      <c r="A7351" t="s">
        <v>5239</v>
      </c>
      <c r="B7351" t="s">
        <v>5485</v>
      </c>
      <c r="C7351" t="s">
        <v>5512</v>
      </c>
      <c r="D7351">
        <v>164640</v>
      </c>
      <c r="E7351" t="s">
        <v>14</v>
      </c>
      <c r="F7351">
        <v>37.066099999999999</v>
      </c>
      <c r="G7351">
        <v>15.279400000000001</v>
      </c>
      <c r="H7351">
        <v>1</v>
      </c>
      <c r="I7351">
        <v>3</v>
      </c>
      <c r="J7351" t="str">
        <f>HYPERLINK("https://climate.onebuilding.org/WMO_Region_6_Europe/ITA_Italy/SC_Sicily/ITA_SC_Siracusa.164640_TMYx.2009-2023.zip")</f>
        <v>https://climate.onebuilding.org/WMO_Region_6_Europe/ITA_Italy/SC_Sicily/ITA_SC_Siracusa.164640_TMYx.2009-2023.zip</v>
      </c>
    </row>
    <row r="7352" spans="1:10" x14ac:dyDescent="0.25">
      <c r="A7352" t="s">
        <v>5239</v>
      </c>
      <c r="B7352" t="s">
        <v>5485</v>
      </c>
      <c r="C7352" t="s">
        <v>5512</v>
      </c>
      <c r="D7352">
        <v>164640</v>
      </c>
      <c r="E7352" t="s">
        <v>14</v>
      </c>
      <c r="F7352">
        <v>37.066099999999999</v>
      </c>
      <c r="G7352">
        <v>15.279400000000001</v>
      </c>
      <c r="H7352">
        <v>1</v>
      </c>
      <c r="I7352">
        <v>3</v>
      </c>
      <c r="J7352" t="str">
        <f>HYPERLINK("https://climate.onebuilding.org/WMO_Region_6_Europe/ITA_Italy/SC_Sicily/ITA_SC_Siracusa.164640_TMYx.zip")</f>
        <v>https://climate.onebuilding.org/WMO_Region_6_Europe/ITA_Italy/SC_Sicily/ITA_SC_Siracusa.164640_TMYx.zip</v>
      </c>
    </row>
    <row r="7353" spans="1:10" x14ac:dyDescent="0.25">
      <c r="A7353" t="s">
        <v>5239</v>
      </c>
      <c r="B7353" t="s">
        <v>5485</v>
      </c>
      <c r="C7353" t="s">
        <v>5513</v>
      </c>
      <c r="D7353">
        <v>164650</v>
      </c>
      <c r="E7353" t="s">
        <v>14</v>
      </c>
      <c r="F7353">
        <v>36.965800000000002</v>
      </c>
      <c r="G7353">
        <v>14.957800000000001</v>
      </c>
      <c r="H7353">
        <v>1</v>
      </c>
      <c r="I7353">
        <v>640</v>
      </c>
      <c r="J7353" t="str">
        <f>HYPERLINK("https://climate.onebuilding.org/WMO_Region_6_Europe/ITA_Italy/SC_Sicily/ITA_SC_Mezzo.Gregorio.164650_TMYx.2007-2021.zip")</f>
        <v>https://climate.onebuilding.org/WMO_Region_6_Europe/ITA_Italy/SC_Sicily/ITA_SC_Mezzo.Gregorio.164650_TMYx.2007-2021.zip</v>
      </c>
    </row>
    <row r="7354" spans="1:10" x14ac:dyDescent="0.25">
      <c r="A7354" t="s">
        <v>5239</v>
      </c>
      <c r="B7354" t="s">
        <v>5485</v>
      </c>
      <c r="C7354" t="s">
        <v>5513</v>
      </c>
      <c r="D7354">
        <v>164650</v>
      </c>
      <c r="E7354" t="s">
        <v>14</v>
      </c>
      <c r="F7354">
        <v>36.965800000000002</v>
      </c>
      <c r="G7354">
        <v>14.957800000000001</v>
      </c>
      <c r="H7354">
        <v>1</v>
      </c>
      <c r="I7354">
        <v>640</v>
      </c>
      <c r="J7354" t="str">
        <f>HYPERLINK("https://climate.onebuilding.org/WMO_Region_6_Europe/ITA_Italy/SC_Sicily/ITA_SC_Mezzo.Gregorio.164650_TMYx.2009-2023.zip")</f>
        <v>https://climate.onebuilding.org/WMO_Region_6_Europe/ITA_Italy/SC_Sicily/ITA_SC_Mezzo.Gregorio.164650_TMYx.2009-2023.zip</v>
      </c>
    </row>
    <row r="7355" spans="1:10" x14ac:dyDescent="0.25">
      <c r="A7355" t="s">
        <v>5239</v>
      </c>
      <c r="B7355" t="s">
        <v>5485</v>
      </c>
      <c r="C7355" t="s">
        <v>5513</v>
      </c>
      <c r="D7355">
        <v>164650</v>
      </c>
      <c r="E7355" t="s">
        <v>14</v>
      </c>
      <c r="F7355">
        <v>36.965800000000002</v>
      </c>
      <c r="G7355">
        <v>14.957800000000001</v>
      </c>
      <c r="H7355">
        <v>1</v>
      </c>
      <c r="I7355">
        <v>640</v>
      </c>
      <c r="J7355" t="str">
        <f>HYPERLINK("https://climate.onebuilding.org/WMO_Region_6_Europe/ITA_Italy/SC_Sicily/ITA_SC_Mezzo.Gregorio.164650_TMYx.zip")</f>
        <v>https://climate.onebuilding.org/WMO_Region_6_Europe/ITA_Italy/SC_Sicily/ITA_SC_Mezzo.Gregorio.164650_TMYx.zip</v>
      </c>
    </row>
    <row r="7356" spans="1:10" x14ac:dyDescent="0.25">
      <c r="A7356" t="s">
        <v>5239</v>
      </c>
      <c r="B7356" t="s">
        <v>5472</v>
      </c>
      <c r="C7356" t="s">
        <v>5514</v>
      </c>
      <c r="D7356">
        <v>164690</v>
      </c>
      <c r="E7356" t="s">
        <v>14</v>
      </c>
      <c r="F7356">
        <v>37.925800000000002</v>
      </c>
      <c r="G7356">
        <v>16.060600000000001</v>
      </c>
      <c r="H7356">
        <v>1</v>
      </c>
      <c r="I7356">
        <v>119</v>
      </c>
      <c r="J7356" t="str">
        <f>HYPERLINK("https://climate.onebuilding.org/WMO_Region_6_Europe/ITA_Italy/LB_Calabria/ITA_LB_Cape.Spartivento.164690_TMYx.2007-2021.zip")</f>
        <v>https://climate.onebuilding.org/WMO_Region_6_Europe/ITA_Italy/LB_Calabria/ITA_LB_Cape.Spartivento.164690_TMYx.2007-2021.zip</v>
      </c>
    </row>
    <row r="7357" spans="1:10" x14ac:dyDescent="0.25">
      <c r="A7357" t="s">
        <v>5239</v>
      </c>
      <c r="B7357" t="s">
        <v>5472</v>
      </c>
      <c r="C7357" t="s">
        <v>5514</v>
      </c>
      <c r="D7357">
        <v>164690</v>
      </c>
      <c r="E7357" t="s">
        <v>14</v>
      </c>
      <c r="F7357">
        <v>37.925800000000002</v>
      </c>
      <c r="G7357">
        <v>16.060600000000001</v>
      </c>
      <c r="H7357">
        <v>1</v>
      </c>
      <c r="I7357">
        <v>119</v>
      </c>
      <c r="J7357" t="str">
        <f>HYPERLINK("https://climate.onebuilding.org/WMO_Region_6_Europe/ITA_Italy/LB_Calabria/ITA_LB_Cape.Spartivento.164690_TMYx.2009-2023.zip")</f>
        <v>https://climate.onebuilding.org/WMO_Region_6_Europe/ITA_Italy/LB_Calabria/ITA_LB_Cape.Spartivento.164690_TMYx.2009-2023.zip</v>
      </c>
    </row>
    <row r="7358" spans="1:10" x14ac:dyDescent="0.25">
      <c r="A7358" t="s">
        <v>5239</v>
      </c>
      <c r="B7358" t="s">
        <v>5472</v>
      </c>
      <c r="C7358" t="s">
        <v>5514</v>
      </c>
      <c r="D7358">
        <v>164690</v>
      </c>
      <c r="E7358" t="s">
        <v>14</v>
      </c>
      <c r="F7358">
        <v>37.925800000000002</v>
      </c>
      <c r="G7358">
        <v>16.060600000000001</v>
      </c>
      <c r="H7358">
        <v>1</v>
      </c>
      <c r="I7358">
        <v>119</v>
      </c>
      <c r="J7358" t="str">
        <f>HYPERLINK("https://climate.onebuilding.org/WMO_Region_6_Europe/ITA_Italy/LB_Calabria/ITA_LB_Cape.Spartivento.164690_TMYx.zip")</f>
        <v>https://climate.onebuilding.org/WMO_Region_6_Europe/ITA_Italy/LB_Calabria/ITA_LB_Cape.Spartivento.164690_TMYx.zip</v>
      </c>
    </row>
    <row r="7359" spans="1:10" x14ac:dyDescent="0.25">
      <c r="A7359" t="s">
        <v>5239</v>
      </c>
      <c r="B7359" t="s">
        <v>5485</v>
      </c>
      <c r="C7359" t="s">
        <v>5515</v>
      </c>
      <c r="D7359">
        <v>164700</v>
      </c>
      <c r="E7359" t="s">
        <v>5516</v>
      </c>
      <c r="F7359">
        <v>36.813899999999997</v>
      </c>
      <c r="G7359">
        <v>11.9711</v>
      </c>
      <c r="H7359">
        <v>1</v>
      </c>
      <c r="I7359">
        <v>198</v>
      </c>
      <c r="J7359" t="str">
        <f>HYPERLINK("https://climate.onebuilding.org/WMO_Region_6_Europe/ITA_Italy/SC_Sicily/ITA_SC_Pantelleria.AP.164700_TMYx.2004-2018.zip")</f>
        <v>https://climate.onebuilding.org/WMO_Region_6_Europe/ITA_Italy/SC_Sicily/ITA_SC_Pantelleria.AP.164700_TMYx.2004-2018.zip</v>
      </c>
    </row>
    <row r="7360" spans="1:10" x14ac:dyDescent="0.25">
      <c r="A7360" t="s">
        <v>5239</v>
      </c>
      <c r="B7360" t="s">
        <v>5485</v>
      </c>
      <c r="C7360" t="s">
        <v>5515</v>
      </c>
      <c r="D7360">
        <v>164700</v>
      </c>
      <c r="E7360" t="s">
        <v>14</v>
      </c>
      <c r="F7360">
        <v>36.813899999999997</v>
      </c>
      <c r="G7360">
        <v>11.9711</v>
      </c>
      <c r="H7360">
        <v>1</v>
      </c>
      <c r="I7360">
        <v>198</v>
      </c>
      <c r="J7360" t="str">
        <f>HYPERLINK("https://climate.onebuilding.org/WMO_Region_6_Europe/ITA_Italy/SC_Sicily/ITA_SC_Pantelleria.AP.164700_TMYx.2007-2021.zip")</f>
        <v>https://climate.onebuilding.org/WMO_Region_6_Europe/ITA_Italy/SC_Sicily/ITA_SC_Pantelleria.AP.164700_TMYx.2007-2021.zip</v>
      </c>
    </row>
    <row r="7361" spans="1:10" x14ac:dyDescent="0.25">
      <c r="A7361" t="s">
        <v>5239</v>
      </c>
      <c r="B7361" t="s">
        <v>5485</v>
      </c>
      <c r="C7361" t="s">
        <v>5515</v>
      </c>
      <c r="D7361">
        <v>164700</v>
      </c>
      <c r="E7361" t="s">
        <v>14</v>
      </c>
      <c r="F7361">
        <v>36.813899999999997</v>
      </c>
      <c r="G7361">
        <v>11.9711</v>
      </c>
      <c r="H7361">
        <v>1</v>
      </c>
      <c r="I7361">
        <v>198</v>
      </c>
      <c r="J7361" t="str">
        <f>HYPERLINK("https://climate.onebuilding.org/WMO_Region_6_Europe/ITA_Italy/SC_Sicily/ITA_SC_Pantelleria.AP.164700_TMYx.2009-2023.zip")</f>
        <v>https://climate.onebuilding.org/WMO_Region_6_Europe/ITA_Italy/SC_Sicily/ITA_SC_Pantelleria.AP.164700_TMYx.2009-2023.zip</v>
      </c>
    </row>
    <row r="7362" spans="1:10" x14ac:dyDescent="0.25">
      <c r="A7362" t="s">
        <v>5239</v>
      </c>
      <c r="B7362" t="s">
        <v>5485</v>
      </c>
      <c r="C7362" t="s">
        <v>5515</v>
      </c>
      <c r="D7362">
        <v>164700</v>
      </c>
      <c r="E7362" t="s">
        <v>14</v>
      </c>
      <c r="F7362">
        <v>36.813899999999997</v>
      </c>
      <c r="G7362">
        <v>11.9711</v>
      </c>
      <c r="H7362">
        <v>1</v>
      </c>
      <c r="I7362">
        <v>198</v>
      </c>
      <c r="J7362" t="str">
        <f>HYPERLINK("https://climate.onebuilding.org/WMO_Region_6_Europe/ITA_Italy/SC_Sicily/ITA_SC_Pantelleria.AP.164700_TMYx.zip")</f>
        <v>https://climate.onebuilding.org/WMO_Region_6_Europe/ITA_Italy/SC_Sicily/ITA_SC_Pantelleria.AP.164700_TMYx.zip</v>
      </c>
    </row>
    <row r="7363" spans="1:10" x14ac:dyDescent="0.25">
      <c r="A7363" t="s">
        <v>5239</v>
      </c>
      <c r="B7363" t="s">
        <v>5485</v>
      </c>
      <c r="C7363" t="s">
        <v>5517</v>
      </c>
      <c r="D7363">
        <v>164750</v>
      </c>
      <c r="E7363" t="s">
        <v>14</v>
      </c>
      <c r="F7363">
        <v>36.982999999999997</v>
      </c>
      <c r="G7363">
        <v>14.617000000000001</v>
      </c>
      <c r="H7363">
        <v>1</v>
      </c>
      <c r="I7363">
        <v>210</v>
      </c>
      <c r="J7363" t="str">
        <f>HYPERLINK("https://climate.onebuilding.org/WMO_Region_6_Europe/ITA_Italy/SC_Sicily/ITA_SC_Comiso.164750_TMYx.2007-2021.zip")</f>
        <v>https://climate.onebuilding.org/WMO_Region_6_Europe/ITA_Italy/SC_Sicily/ITA_SC_Comiso.164750_TMYx.2007-2021.zip</v>
      </c>
    </row>
    <row r="7364" spans="1:10" x14ac:dyDescent="0.25">
      <c r="A7364" t="s">
        <v>5239</v>
      </c>
      <c r="B7364" t="s">
        <v>5485</v>
      </c>
      <c r="C7364" t="s">
        <v>5517</v>
      </c>
      <c r="D7364">
        <v>164750</v>
      </c>
      <c r="E7364" t="s">
        <v>14</v>
      </c>
      <c r="F7364">
        <v>36.982999999999997</v>
      </c>
      <c r="G7364">
        <v>14.617000000000001</v>
      </c>
      <c r="H7364">
        <v>1</v>
      </c>
      <c r="I7364">
        <v>210</v>
      </c>
      <c r="J7364" t="str">
        <f>HYPERLINK("https://climate.onebuilding.org/WMO_Region_6_Europe/ITA_Italy/SC_Sicily/ITA_SC_Comiso.164750_TMYx.2009-2023.zip")</f>
        <v>https://climate.onebuilding.org/WMO_Region_6_Europe/ITA_Italy/SC_Sicily/ITA_SC_Comiso.164750_TMYx.2009-2023.zip</v>
      </c>
    </row>
    <row r="7365" spans="1:10" x14ac:dyDescent="0.25">
      <c r="A7365" t="s">
        <v>5239</v>
      </c>
      <c r="B7365" t="s">
        <v>5485</v>
      </c>
      <c r="C7365" t="s">
        <v>5517</v>
      </c>
      <c r="D7365">
        <v>164750</v>
      </c>
      <c r="E7365" t="s">
        <v>14</v>
      </c>
      <c r="F7365">
        <v>36.982999999999997</v>
      </c>
      <c r="G7365">
        <v>14.617000000000001</v>
      </c>
      <c r="H7365">
        <v>1</v>
      </c>
      <c r="I7365">
        <v>210</v>
      </c>
      <c r="J7365" t="str">
        <f>HYPERLINK("https://climate.onebuilding.org/WMO_Region_6_Europe/ITA_Italy/SC_Sicily/ITA_SC_Comiso.164750_TMYx.zip")</f>
        <v>https://climate.onebuilding.org/WMO_Region_6_Europe/ITA_Italy/SC_Sicily/ITA_SC_Comiso.164750_TMYx.zip</v>
      </c>
    </row>
    <row r="7366" spans="1:10" x14ac:dyDescent="0.25">
      <c r="A7366" t="s">
        <v>5239</v>
      </c>
      <c r="B7366" t="s">
        <v>5485</v>
      </c>
      <c r="C7366" t="s">
        <v>5518</v>
      </c>
      <c r="D7366">
        <v>164800</v>
      </c>
      <c r="E7366" t="s">
        <v>5519</v>
      </c>
      <c r="F7366">
        <v>36.686100000000003</v>
      </c>
      <c r="G7366">
        <v>15.131399999999999</v>
      </c>
      <c r="H7366">
        <v>1</v>
      </c>
      <c r="I7366">
        <v>51</v>
      </c>
      <c r="J7366" t="str">
        <f>HYPERLINK("https://climate.onebuilding.org/WMO_Region_6_Europe/ITA_Italy/SC_Sicily/ITA_SC_Cozzo.Spadaro.164800_TMYx.2004-2018.zip")</f>
        <v>https://climate.onebuilding.org/WMO_Region_6_Europe/ITA_Italy/SC_Sicily/ITA_SC_Cozzo.Spadaro.164800_TMYx.2004-2018.zip</v>
      </c>
    </row>
    <row r="7367" spans="1:10" x14ac:dyDescent="0.25">
      <c r="A7367" t="s">
        <v>5239</v>
      </c>
      <c r="B7367" t="s">
        <v>5485</v>
      </c>
      <c r="C7367" t="s">
        <v>5518</v>
      </c>
      <c r="D7367">
        <v>164800</v>
      </c>
      <c r="E7367" t="s">
        <v>14</v>
      </c>
      <c r="F7367">
        <v>36.686100000000003</v>
      </c>
      <c r="G7367">
        <v>15.131399999999999</v>
      </c>
      <c r="H7367">
        <v>1</v>
      </c>
      <c r="I7367">
        <v>51</v>
      </c>
      <c r="J7367" t="str">
        <f>HYPERLINK("https://climate.onebuilding.org/WMO_Region_6_Europe/ITA_Italy/SC_Sicily/ITA_SC_Cozzo.Spadaro.164800_TMYx.2007-2021.zip")</f>
        <v>https://climate.onebuilding.org/WMO_Region_6_Europe/ITA_Italy/SC_Sicily/ITA_SC_Cozzo.Spadaro.164800_TMYx.2007-2021.zip</v>
      </c>
    </row>
    <row r="7368" spans="1:10" x14ac:dyDescent="0.25">
      <c r="A7368" t="s">
        <v>5239</v>
      </c>
      <c r="B7368" t="s">
        <v>5485</v>
      </c>
      <c r="C7368" t="s">
        <v>5518</v>
      </c>
      <c r="D7368">
        <v>164800</v>
      </c>
      <c r="E7368" t="s">
        <v>14</v>
      </c>
      <c r="F7368">
        <v>36.686100000000003</v>
      </c>
      <c r="G7368">
        <v>15.131399999999999</v>
      </c>
      <c r="H7368">
        <v>1</v>
      </c>
      <c r="I7368">
        <v>51</v>
      </c>
      <c r="J7368" t="str">
        <f>HYPERLINK("https://climate.onebuilding.org/WMO_Region_6_Europe/ITA_Italy/SC_Sicily/ITA_SC_Cozzo.Spadaro.164800_TMYx.2009-2023.zip")</f>
        <v>https://climate.onebuilding.org/WMO_Region_6_Europe/ITA_Italy/SC_Sicily/ITA_SC_Cozzo.Spadaro.164800_TMYx.2009-2023.zip</v>
      </c>
    </row>
    <row r="7369" spans="1:10" x14ac:dyDescent="0.25">
      <c r="A7369" t="s">
        <v>5239</v>
      </c>
      <c r="B7369" t="s">
        <v>5485</v>
      </c>
      <c r="C7369" t="s">
        <v>5518</v>
      </c>
      <c r="D7369">
        <v>164800</v>
      </c>
      <c r="E7369" t="s">
        <v>14</v>
      </c>
      <c r="F7369">
        <v>36.686100000000003</v>
      </c>
      <c r="G7369">
        <v>15.131399999999999</v>
      </c>
      <c r="H7369">
        <v>1</v>
      </c>
      <c r="I7369">
        <v>51</v>
      </c>
      <c r="J7369" t="str">
        <f>HYPERLINK("https://climate.onebuilding.org/WMO_Region_6_Europe/ITA_Italy/SC_Sicily/ITA_SC_Cozzo.Spadaro.164800_TMYx.zip")</f>
        <v>https://climate.onebuilding.org/WMO_Region_6_Europe/ITA_Italy/SC_Sicily/ITA_SC_Cozzo.Spadaro.164800_TMYx.zip</v>
      </c>
    </row>
    <row r="7370" spans="1:10" x14ac:dyDescent="0.25">
      <c r="A7370" t="s">
        <v>5239</v>
      </c>
      <c r="B7370" t="s">
        <v>5485</v>
      </c>
      <c r="C7370" t="s">
        <v>5520</v>
      </c>
      <c r="D7370">
        <v>164900</v>
      </c>
      <c r="E7370" t="s">
        <v>5521</v>
      </c>
      <c r="F7370">
        <v>35.498100000000001</v>
      </c>
      <c r="G7370">
        <v>12.6183</v>
      </c>
      <c r="H7370">
        <v>1</v>
      </c>
      <c r="I7370">
        <v>20</v>
      </c>
      <c r="J7370" t="str">
        <f>HYPERLINK("https://climate.onebuilding.org/WMO_Region_6_Europe/ITA_Italy/SC_Sicily/ITA_SC_Lampedusa.AP.164900_TMYx.2004-2018.zip")</f>
        <v>https://climate.onebuilding.org/WMO_Region_6_Europe/ITA_Italy/SC_Sicily/ITA_SC_Lampedusa.AP.164900_TMYx.2004-2018.zip</v>
      </c>
    </row>
    <row r="7371" spans="1:10" x14ac:dyDescent="0.25">
      <c r="A7371" t="s">
        <v>5239</v>
      </c>
      <c r="B7371" t="s">
        <v>5485</v>
      </c>
      <c r="C7371" t="s">
        <v>5520</v>
      </c>
      <c r="D7371">
        <v>164900</v>
      </c>
      <c r="E7371" t="s">
        <v>14</v>
      </c>
      <c r="F7371">
        <v>35.498100000000001</v>
      </c>
      <c r="G7371">
        <v>12.6183</v>
      </c>
      <c r="H7371">
        <v>1</v>
      </c>
      <c r="I7371">
        <v>20</v>
      </c>
      <c r="J7371" t="str">
        <f>HYPERLINK("https://climate.onebuilding.org/WMO_Region_6_Europe/ITA_Italy/SC_Sicily/ITA_SC_Lampedusa.AP.164900_TMYx.2007-2021.zip")</f>
        <v>https://climate.onebuilding.org/WMO_Region_6_Europe/ITA_Italy/SC_Sicily/ITA_SC_Lampedusa.AP.164900_TMYx.2007-2021.zip</v>
      </c>
    </row>
    <row r="7372" spans="1:10" x14ac:dyDescent="0.25">
      <c r="A7372" t="s">
        <v>5239</v>
      </c>
      <c r="B7372" t="s">
        <v>5485</v>
      </c>
      <c r="C7372" t="s">
        <v>5520</v>
      </c>
      <c r="D7372">
        <v>164900</v>
      </c>
      <c r="E7372" t="s">
        <v>14</v>
      </c>
      <c r="F7372">
        <v>35.498100000000001</v>
      </c>
      <c r="G7372">
        <v>12.6183</v>
      </c>
      <c r="H7372">
        <v>1</v>
      </c>
      <c r="I7372">
        <v>20</v>
      </c>
      <c r="J7372" t="str">
        <f>HYPERLINK("https://climate.onebuilding.org/WMO_Region_6_Europe/ITA_Italy/SC_Sicily/ITA_SC_Lampedusa.AP.164900_TMYx.2009-2023.zip")</f>
        <v>https://climate.onebuilding.org/WMO_Region_6_Europe/ITA_Italy/SC_Sicily/ITA_SC_Lampedusa.AP.164900_TMYx.2009-2023.zip</v>
      </c>
    </row>
    <row r="7373" spans="1:10" x14ac:dyDescent="0.25">
      <c r="A7373" t="s">
        <v>5239</v>
      </c>
      <c r="B7373" t="s">
        <v>5485</v>
      </c>
      <c r="C7373" t="s">
        <v>5520</v>
      </c>
      <c r="D7373">
        <v>164900</v>
      </c>
      <c r="E7373" t="s">
        <v>14</v>
      </c>
      <c r="F7373">
        <v>35.498100000000001</v>
      </c>
      <c r="G7373">
        <v>12.6183</v>
      </c>
      <c r="H7373">
        <v>1</v>
      </c>
      <c r="I7373">
        <v>20</v>
      </c>
      <c r="J7373" t="str">
        <f>HYPERLINK("https://climate.onebuilding.org/WMO_Region_6_Europe/ITA_Italy/SC_Sicily/ITA_SC_Lampedusa.AP.164900_TMYx.zip")</f>
        <v>https://climate.onebuilding.org/WMO_Region_6_Europe/ITA_Italy/SC_Sicily/ITA_SC_Lampedusa.AP.164900_TMYx.zip</v>
      </c>
    </row>
    <row r="7374" spans="1:10" x14ac:dyDescent="0.25">
      <c r="A7374" t="s">
        <v>5239</v>
      </c>
      <c r="B7374" t="s">
        <v>44</v>
      </c>
      <c r="C7374" t="s">
        <v>5522</v>
      </c>
      <c r="D7374">
        <v>165060</v>
      </c>
      <c r="E7374" t="s">
        <v>14</v>
      </c>
      <c r="F7374">
        <v>41.216999999999999</v>
      </c>
      <c r="G7374">
        <v>9.4</v>
      </c>
      <c r="H7374">
        <v>1</v>
      </c>
      <c r="I7374">
        <v>170</v>
      </c>
      <c r="J7374" t="str">
        <f>HYPERLINK("https://climate.onebuilding.org/WMO_Region_6_Europe/ITA_Italy/SD_Sardinia/ITA_SD_Guardiavecchia.165060_TMYx.zip")</f>
        <v>https://climate.onebuilding.org/WMO_Region_6_Europe/ITA_Italy/SD_Sardinia/ITA_SD_Guardiavecchia.165060_TMYx.zip</v>
      </c>
    </row>
    <row r="7375" spans="1:10" x14ac:dyDescent="0.25">
      <c r="A7375" t="s">
        <v>5239</v>
      </c>
      <c r="B7375" t="s">
        <v>44</v>
      </c>
      <c r="C7375" t="s">
        <v>5523</v>
      </c>
      <c r="D7375">
        <v>165200</v>
      </c>
      <c r="E7375" t="s">
        <v>5524</v>
      </c>
      <c r="F7375">
        <v>40.631100000000004</v>
      </c>
      <c r="G7375">
        <v>8.2886000000000006</v>
      </c>
      <c r="H7375">
        <v>1</v>
      </c>
      <c r="I7375">
        <v>40</v>
      </c>
      <c r="J7375" t="str">
        <f>HYPERLINK("https://climate.onebuilding.org/WMO_Region_6_Europe/ITA_Italy/SD_Sardinia/ITA_SD_Alghero-Fertilia.AB.165200_TMYx.2004-2018.zip")</f>
        <v>https://climate.onebuilding.org/WMO_Region_6_Europe/ITA_Italy/SD_Sardinia/ITA_SD_Alghero-Fertilia.AB.165200_TMYx.2004-2018.zip</v>
      </c>
    </row>
    <row r="7376" spans="1:10" x14ac:dyDescent="0.25">
      <c r="A7376" t="s">
        <v>5239</v>
      </c>
      <c r="B7376" t="s">
        <v>44</v>
      </c>
      <c r="C7376" t="s">
        <v>5523</v>
      </c>
      <c r="D7376">
        <v>165200</v>
      </c>
      <c r="E7376" t="s">
        <v>14</v>
      </c>
      <c r="F7376">
        <v>40.631100000000004</v>
      </c>
      <c r="G7376">
        <v>8.2886000000000006</v>
      </c>
      <c r="H7376">
        <v>1</v>
      </c>
      <c r="I7376">
        <v>40</v>
      </c>
      <c r="J7376" t="str">
        <f>HYPERLINK("https://climate.onebuilding.org/WMO_Region_6_Europe/ITA_Italy/SD_Sardinia/ITA_SD_Alghero-Fertilia.AB.165200_TMYx.2007-2021.zip")</f>
        <v>https://climate.onebuilding.org/WMO_Region_6_Europe/ITA_Italy/SD_Sardinia/ITA_SD_Alghero-Fertilia.AB.165200_TMYx.2007-2021.zip</v>
      </c>
    </row>
    <row r="7377" spans="1:10" x14ac:dyDescent="0.25">
      <c r="A7377" t="s">
        <v>5239</v>
      </c>
      <c r="B7377" t="s">
        <v>44</v>
      </c>
      <c r="C7377" t="s">
        <v>5523</v>
      </c>
      <c r="D7377">
        <v>165200</v>
      </c>
      <c r="E7377" t="s">
        <v>14</v>
      </c>
      <c r="F7377">
        <v>40.631100000000004</v>
      </c>
      <c r="G7377">
        <v>8.2886000000000006</v>
      </c>
      <c r="H7377">
        <v>1</v>
      </c>
      <c r="I7377">
        <v>40</v>
      </c>
      <c r="J7377" t="str">
        <f>HYPERLINK("https://climate.onebuilding.org/WMO_Region_6_Europe/ITA_Italy/SD_Sardinia/ITA_SD_Alghero-Fertilia.AB.165200_TMYx.2009-2023.zip")</f>
        <v>https://climate.onebuilding.org/WMO_Region_6_Europe/ITA_Italy/SD_Sardinia/ITA_SD_Alghero-Fertilia.AB.165200_TMYx.2009-2023.zip</v>
      </c>
    </row>
    <row r="7378" spans="1:10" x14ac:dyDescent="0.25">
      <c r="A7378" t="s">
        <v>5239</v>
      </c>
      <c r="B7378" t="s">
        <v>44</v>
      </c>
      <c r="C7378" t="s">
        <v>5523</v>
      </c>
      <c r="D7378">
        <v>165200</v>
      </c>
      <c r="E7378" t="s">
        <v>14</v>
      </c>
      <c r="F7378">
        <v>40.631100000000004</v>
      </c>
      <c r="G7378">
        <v>8.2886000000000006</v>
      </c>
      <c r="H7378">
        <v>1</v>
      </c>
      <c r="I7378">
        <v>40</v>
      </c>
      <c r="J7378" t="str">
        <f>HYPERLINK("https://climate.onebuilding.org/WMO_Region_6_Europe/ITA_Italy/SD_Sardinia/ITA_SD_Alghero-Fertilia.AB.165200_TMYx.zip")</f>
        <v>https://climate.onebuilding.org/WMO_Region_6_Europe/ITA_Italy/SD_Sardinia/ITA_SD_Alghero-Fertilia.AB.165200_TMYx.zip</v>
      </c>
    </row>
    <row r="7379" spans="1:10" x14ac:dyDescent="0.25">
      <c r="A7379" t="s">
        <v>5239</v>
      </c>
      <c r="B7379" t="s">
        <v>44</v>
      </c>
      <c r="C7379" t="s">
        <v>5525</v>
      </c>
      <c r="D7379">
        <v>165220</v>
      </c>
      <c r="E7379" t="s">
        <v>5526</v>
      </c>
      <c r="F7379">
        <v>40.561100000000003</v>
      </c>
      <c r="G7379">
        <v>8.1631</v>
      </c>
      <c r="H7379">
        <v>1</v>
      </c>
      <c r="I7379">
        <v>204</v>
      </c>
      <c r="J7379" t="str">
        <f>HYPERLINK("https://climate.onebuilding.org/WMO_Region_6_Europe/ITA_Italy/SD_Sardinia/ITA_SD_Cape.Caccia.165220_TMYx.2004-2018.zip")</f>
        <v>https://climate.onebuilding.org/WMO_Region_6_Europe/ITA_Italy/SD_Sardinia/ITA_SD_Cape.Caccia.165220_TMYx.2004-2018.zip</v>
      </c>
    </row>
    <row r="7380" spans="1:10" x14ac:dyDescent="0.25">
      <c r="A7380" t="s">
        <v>5239</v>
      </c>
      <c r="B7380" t="s">
        <v>44</v>
      </c>
      <c r="C7380" t="s">
        <v>5525</v>
      </c>
      <c r="D7380">
        <v>165220</v>
      </c>
      <c r="E7380" t="s">
        <v>14</v>
      </c>
      <c r="F7380">
        <v>40.561100000000003</v>
      </c>
      <c r="G7380">
        <v>8.1631</v>
      </c>
      <c r="H7380">
        <v>1</v>
      </c>
      <c r="I7380">
        <v>204</v>
      </c>
      <c r="J7380" t="str">
        <f>HYPERLINK("https://climate.onebuilding.org/WMO_Region_6_Europe/ITA_Italy/SD_Sardinia/ITA_SD_Cape.Caccia.165220_TMYx.2007-2021.zip")</f>
        <v>https://climate.onebuilding.org/WMO_Region_6_Europe/ITA_Italy/SD_Sardinia/ITA_SD_Cape.Caccia.165220_TMYx.2007-2021.zip</v>
      </c>
    </row>
    <row r="7381" spans="1:10" x14ac:dyDescent="0.25">
      <c r="A7381" t="s">
        <v>5239</v>
      </c>
      <c r="B7381" t="s">
        <v>44</v>
      </c>
      <c r="C7381" t="s">
        <v>5525</v>
      </c>
      <c r="D7381">
        <v>165220</v>
      </c>
      <c r="E7381" t="s">
        <v>14</v>
      </c>
      <c r="F7381">
        <v>40.561100000000003</v>
      </c>
      <c r="G7381">
        <v>8.1631</v>
      </c>
      <c r="H7381">
        <v>1</v>
      </c>
      <c r="I7381">
        <v>204</v>
      </c>
      <c r="J7381" t="str">
        <f>HYPERLINK("https://climate.onebuilding.org/WMO_Region_6_Europe/ITA_Italy/SD_Sardinia/ITA_SD_Cape.Caccia.165220_TMYx.2009-2023.zip")</f>
        <v>https://climate.onebuilding.org/WMO_Region_6_Europe/ITA_Italy/SD_Sardinia/ITA_SD_Cape.Caccia.165220_TMYx.2009-2023.zip</v>
      </c>
    </row>
    <row r="7382" spans="1:10" x14ac:dyDescent="0.25">
      <c r="A7382" t="s">
        <v>5239</v>
      </c>
      <c r="B7382" t="s">
        <v>44</v>
      </c>
      <c r="C7382" t="s">
        <v>5525</v>
      </c>
      <c r="D7382">
        <v>165220</v>
      </c>
      <c r="E7382" t="s">
        <v>14</v>
      </c>
      <c r="F7382">
        <v>40.561100000000003</v>
      </c>
      <c r="G7382">
        <v>8.1631</v>
      </c>
      <c r="H7382">
        <v>1</v>
      </c>
      <c r="I7382">
        <v>204</v>
      </c>
      <c r="J7382" t="str">
        <f>HYPERLINK("https://climate.onebuilding.org/WMO_Region_6_Europe/ITA_Italy/SD_Sardinia/ITA_SD_Cape.Caccia.165220_TMYx.zip")</f>
        <v>https://climate.onebuilding.org/WMO_Region_6_Europe/ITA_Italy/SD_Sardinia/ITA_SD_Cape.Caccia.165220_TMYx.zip</v>
      </c>
    </row>
    <row r="7383" spans="1:10" x14ac:dyDescent="0.25">
      <c r="A7383" t="s">
        <v>5239</v>
      </c>
      <c r="B7383" t="s">
        <v>44</v>
      </c>
      <c r="C7383" t="s">
        <v>5527</v>
      </c>
      <c r="D7383">
        <v>165240</v>
      </c>
      <c r="E7383" t="s">
        <v>14</v>
      </c>
      <c r="F7383">
        <v>40.255600000000001</v>
      </c>
      <c r="G7383">
        <v>8.7357999999999993</v>
      </c>
      <c r="H7383">
        <v>1</v>
      </c>
      <c r="I7383">
        <v>587</v>
      </c>
      <c r="J7383" t="str">
        <f>HYPERLINK("https://climate.onebuilding.org/WMO_Region_6_Europe/ITA_Italy/SD_Sardinia/ITA_SD_Macomer.Sa-Crabarza.165240_TMYx.zip")</f>
        <v>https://climate.onebuilding.org/WMO_Region_6_Europe/ITA_Italy/SD_Sardinia/ITA_SD_Macomer.Sa-Crabarza.165240_TMYx.zip</v>
      </c>
    </row>
    <row r="7384" spans="1:10" x14ac:dyDescent="0.25">
      <c r="A7384" t="s">
        <v>5239</v>
      </c>
      <c r="B7384" t="s">
        <v>44</v>
      </c>
      <c r="C7384" t="s">
        <v>5528</v>
      </c>
      <c r="D7384">
        <v>165300</v>
      </c>
      <c r="E7384" t="s">
        <v>14</v>
      </c>
      <c r="F7384">
        <v>40.933</v>
      </c>
      <c r="G7384">
        <v>9.5</v>
      </c>
      <c r="H7384">
        <v>1</v>
      </c>
      <c r="I7384">
        <v>2.1</v>
      </c>
      <c r="J7384" t="str">
        <f>HYPERLINK("https://climate.onebuilding.org/WMO_Region_6_Europe/ITA_Italy/SD_Sardinia/ITA_SD_Olsia.165300_TMYx.zip")</f>
        <v>https://climate.onebuilding.org/WMO_Region_6_Europe/ITA_Italy/SD_Sardinia/ITA_SD_Olsia.165300_TMYx.zip</v>
      </c>
    </row>
    <row r="7385" spans="1:10" x14ac:dyDescent="0.25">
      <c r="A7385" t="s">
        <v>5239</v>
      </c>
      <c r="B7385" t="s">
        <v>44</v>
      </c>
      <c r="C7385" t="s">
        <v>5529</v>
      </c>
      <c r="D7385">
        <v>165310</v>
      </c>
      <c r="E7385" t="s">
        <v>5530</v>
      </c>
      <c r="F7385">
        <v>40.898600000000002</v>
      </c>
      <c r="G7385">
        <v>9.5177999999999994</v>
      </c>
      <c r="H7385">
        <v>1</v>
      </c>
      <c r="I7385">
        <v>13</v>
      </c>
      <c r="J7385" t="str">
        <f>HYPERLINK("https://climate.onebuilding.org/WMO_Region_6_Europe/ITA_Italy/SD_Sardinia/ITA_SD_Olbia-Costa.Smeralda.AP.165310_TMYx.2004-2018.zip")</f>
        <v>https://climate.onebuilding.org/WMO_Region_6_Europe/ITA_Italy/SD_Sardinia/ITA_SD_Olbia-Costa.Smeralda.AP.165310_TMYx.2004-2018.zip</v>
      </c>
    </row>
    <row r="7386" spans="1:10" x14ac:dyDescent="0.25">
      <c r="A7386" t="s">
        <v>5239</v>
      </c>
      <c r="B7386" t="s">
        <v>44</v>
      </c>
      <c r="C7386" t="s">
        <v>5529</v>
      </c>
      <c r="D7386">
        <v>165310</v>
      </c>
      <c r="E7386" t="s">
        <v>14</v>
      </c>
      <c r="F7386">
        <v>40.898600000000002</v>
      </c>
      <c r="G7386">
        <v>9.5177999999999994</v>
      </c>
      <c r="H7386">
        <v>1</v>
      </c>
      <c r="I7386">
        <v>13</v>
      </c>
      <c r="J7386" t="str">
        <f>HYPERLINK("https://climate.onebuilding.org/WMO_Region_6_Europe/ITA_Italy/SD_Sardinia/ITA_SD_Olbia-Costa.Smeralda.AP.165310_TMYx.2007-2021.zip")</f>
        <v>https://climate.onebuilding.org/WMO_Region_6_Europe/ITA_Italy/SD_Sardinia/ITA_SD_Olbia-Costa.Smeralda.AP.165310_TMYx.2007-2021.zip</v>
      </c>
    </row>
    <row r="7387" spans="1:10" x14ac:dyDescent="0.25">
      <c r="A7387" t="s">
        <v>5239</v>
      </c>
      <c r="B7387" t="s">
        <v>44</v>
      </c>
      <c r="C7387" t="s">
        <v>5529</v>
      </c>
      <c r="D7387">
        <v>165310</v>
      </c>
      <c r="E7387" t="s">
        <v>14</v>
      </c>
      <c r="F7387">
        <v>40.898600000000002</v>
      </c>
      <c r="G7387">
        <v>9.5177999999999994</v>
      </c>
      <c r="H7387">
        <v>1</v>
      </c>
      <c r="I7387">
        <v>13</v>
      </c>
      <c r="J7387" t="str">
        <f>HYPERLINK("https://climate.onebuilding.org/WMO_Region_6_Europe/ITA_Italy/SD_Sardinia/ITA_SD_Olbia-Costa.Smeralda.AP.165310_TMYx.2009-2023.zip")</f>
        <v>https://climate.onebuilding.org/WMO_Region_6_Europe/ITA_Italy/SD_Sardinia/ITA_SD_Olbia-Costa.Smeralda.AP.165310_TMYx.2009-2023.zip</v>
      </c>
    </row>
    <row r="7388" spans="1:10" x14ac:dyDescent="0.25">
      <c r="A7388" t="s">
        <v>5239</v>
      </c>
      <c r="B7388" t="s">
        <v>44</v>
      </c>
      <c r="C7388" t="s">
        <v>5529</v>
      </c>
      <c r="D7388">
        <v>165310</v>
      </c>
      <c r="E7388" t="s">
        <v>14</v>
      </c>
      <c r="F7388">
        <v>40.898600000000002</v>
      </c>
      <c r="G7388">
        <v>9.5177999999999994</v>
      </c>
      <c r="H7388">
        <v>1</v>
      </c>
      <c r="I7388">
        <v>13</v>
      </c>
      <c r="J7388" t="str">
        <f>HYPERLINK("https://climate.onebuilding.org/WMO_Region_6_Europe/ITA_Italy/SD_Sardinia/ITA_SD_Olbia-Costa.Smeralda.AP.165310_TMYx.zip")</f>
        <v>https://climate.onebuilding.org/WMO_Region_6_Europe/ITA_Italy/SD_Sardinia/ITA_SD_Olbia-Costa.Smeralda.AP.165310_TMYx.zip</v>
      </c>
    </row>
    <row r="7389" spans="1:10" x14ac:dyDescent="0.25">
      <c r="A7389" t="s">
        <v>5239</v>
      </c>
      <c r="B7389" t="s">
        <v>44</v>
      </c>
      <c r="C7389" t="s">
        <v>5531</v>
      </c>
      <c r="D7389">
        <v>165320</v>
      </c>
      <c r="E7389" t="s">
        <v>14</v>
      </c>
      <c r="F7389">
        <v>40.85</v>
      </c>
      <c r="G7389">
        <v>9.1669999999999998</v>
      </c>
      <c r="H7389">
        <v>1</v>
      </c>
      <c r="I7389">
        <v>1363</v>
      </c>
      <c r="J7389" t="str">
        <f>HYPERLINK("https://climate.onebuilding.org/WMO_Region_6_Europe/ITA_Italy/SD_Sardinia/ITA_SD_Limbara.Mtn.165320_TMYx.2007-2021.zip")</f>
        <v>https://climate.onebuilding.org/WMO_Region_6_Europe/ITA_Italy/SD_Sardinia/ITA_SD_Limbara.Mtn.165320_TMYx.2007-2021.zip</v>
      </c>
    </row>
    <row r="7390" spans="1:10" x14ac:dyDescent="0.25">
      <c r="A7390" t="s">
        <v>5239</v>
      </c>
      <c r="B7390" t="s">
        <v>44</v>
      </c>
      <c r="C7390" t="s">
        <v>5531</v>
      </c>
      <c r="D7390">
        <v>165320</v>
      </c>
      <c r="E7390" t="s">
        <v>14</v>
      </c>
      <c r="F7390">
        <v>40.85</v>
      </c>
      <c r="G7390">
        <v>9.1669999999999998</v>
      </c>
      <c r="H7390">
        <v>1</v>
      </c>
      <c r="I7390">
        <v>1363</v>
      </c>
      <c r="J7390" t="str">
        <f>HYPERLINK("https://climate.onebuilding.org/WMO_Region_6_Europe/ITA_Italy/SD_Sardinia/ITA_SD_Limbara.Mtn.165320_TMYx.2009-2023.zip")</f>
        <v>https://climate.onebuilding.org/WMO_Region_6_Europe/ITA_Italy/SD_Sardinia/ITA_SD_Limbara.Mtn.165320_TMYx.2009-2023.zip</v>
      </c>
    </row>
    <row r="7391" spans="1:10" x14ac:dyDescent="0.25">
      <c r="A7391" t="s">
        <v>5239</v>
      </c>
      <c r="B7391" t="s">
        <v>44</v>
      </c>
      <c r="C7391" t="s">
        <v>5531</v>
      </c>
      <c r="D7391">
        <v>165320</v>
      </c>
      <c r="E7391" t="s">
        <v>14</v>
      </c>
      <c r="F7391">
        <v>40.85</v>
      </c>
      <c r="G7391">
        <v>9.1669999999999998</v>
      </c>
      <c r="H7391">
        <v>1</v>
      </c>
      <c r="I7391">
        <v>1363</v>
      </c>
      <c r="J7391" t="str">
        <f>HYPERLINK("https://climate.onebuilding.org/WMO_Region_6_Europe/ITA_Italy/SD_Sardinia/ITA_SD_Limbara.Mtn.165320_TMYx.zip")</f>
        <v>https://climate.onebuilding.org/WMO_Region_6_Europe/ITA_Italy/SD_Sardinia/ITA_SD_Limbara.Mtn.165320_TMYx.zip</v>
      </c>
    </row>
    <row r="7392" spans="1:10" x14ac:dyDescent="0.25">
      <c r="A7392" t="s">
        <v>5239</v>
      </c>
      <c r="B7392" t="s">
        <v>44</v>
      </c>
      <c r="C7392" t="s">
        <v>5532</v>
      </c>
      <c r="D7392">
        <v>165380</v>
      </c>
      <c r="E7392" t="s">
        <v>14</v>
      </c>
      <c r="F7392">
        <v>40.116999999999997</v>
      </c>
      <c r="G7392">
        <v>9.25</v>
      </c>
      <c r="H7392">
        <v>1</v>
      </c>
      <c r="I7392">
        <v>1029</v>
      </c>
      <c r="J7392" t="str">
        <f>HYPERLINK("https://climate.onebuilding.org/WMO_Region_6_Europe/ITA_Italy/SD_Sardinia/ITA_SD_Fonni.165380_TMYx.zip")</f>
        <v>https://climate.onebuilding.org/WMO_Region_6_Europe/ITA_Italy/SD_Sardinia/ITA_SD_Fonni.165380_TMYx.zip</v>
      </c>
    </row>
    <row r="7393" spans="1:10" x14ac:dyDescent="0.25">
      <c r="A7393" t="s">
        <v>5239</v>
      </c>
      <c r="B7393" t="s">
        <v>44</v>
      </c>
      <c r="C7393" t="s">
        <v>5533</v>
      </c>
      <c r="D7393">
        <v>165390</v>
      </c>
      <c r="E7393" t="s">
        <v>5534</v>
      </c>
      <c r="F7393">
        <v>39.741100000000003</v>
      </c>
      <c r="G7393">
        <v>8.4594000000000005</v>
      </c>
      <c r="H7393">
        <v>1</v>
      </c>
      <c r="I7393">
        <v>95</v>
      </c>
      <c r="J7393" t="str">
        <f>HYPERLINK("https://climate.onebuilding.org/WMO_Region_6_Europe/ITA_Italy/SD_Sardinia/ITA_SD_Cape.Frasca.165390_TMYx.2004-2018.zip")</f>
        <v>https://climate.onebuilding.org/WMO_Region_6_Europe/ITA_Italy/SD_Sardinia/ITA_SD_Cape.Frasca.165390_TMYx.2004-2018.zip</v>
      </c>
    </row>
    <row r="7394" spans="1:10" x14ac:dyDescent="0.25">
      <c r="A7394" t="s">
        <v>5239</v>
      </c>
      <c r="B7394" t="s">
        <v>44</v>
      </c>
      <c r="C7394" t="s">
        <v>5533</v>
      </c>
      <c r="D7394">
        <v>165390</v>
      </c>
      <c r="E7394" t="s">
        <v>14</v>
      </c>
      <c r="F7394">
        <v>39.741100000000003</v>
      </c>
      <c r="G7394">
        <v>8.4594000000000005</v>
      </c>
      <c r="H7394">
        <v>1</v>
      </c>
      <c r="I7394">
        <v>95</v>
      </c>
      <c r="J7394" t="str">
        <f>HYPERLINK("https://climate.onebuilding.org/WMO_Region_6_Europe/ITA_Italy/SD_Sardinia/ITA_SD_Cape.Frasca.165390_TMYx.2007-2021.zip")</f>
        <v>https://climate.onebuilding.org/WMO_Region_6_Europe/ITA_Italy/SD_Sardinia/ITA_SD_Cape.Frasca.165390_TMYx.2007-2021.zip</v>
      </c>
    </row>
    <row r="7395" spans="1:10" x14ac:dyDescent="0.25">
      <c r="A7395" t="s">
        <v>5239</v>
      </c>
      <c r="B7395" t="s">
        <v>44</v>
      </c>
      <c r="C7395" t="s">
        <v>5533</v>
      </c>
      <c r="D7395">
        <v>165390</v>
      </c>
      <c r="E7395" t="s">
        <v>14</v>
      </c>
      <c r="F7395">
        <v>39.741100000000003</v>
      </c>
      <c r="G7395">
        <v>8.4594000000000005</v>
      </c>
      <c r="H7395">
        <v>1</v>
      </c>
      <c r="I7395">
        <v>95</v>
      </c>
      <c r="J7395" t="str">
        <f>HYPERLINK("https://climate.onebuilding.org/WMO_Region_6_Europe/ITA_Italy/SD_Sardinia/ITA_SD_Cape.Frasca.165390_TMYx.2009-2023.zip")</f>
        <v>https://climate.onebuilding.org/WMO_Region_6_Europe/ITA_Italy/SD_Sardinia/ITA_SD_Cape.Frasca.165390_TMYx.2009-2023.zip</v>
      </c>
    </row>
    <row r="7396" spans="1:10" x14ac:dyDescent="0.25">
      <c r="A7396" t="s">
        <v>5239</v>
      </c>
      <c r="B7396" t="s">
        <v>44</v>
      </c>
      <c r="C7396" t="s">
        <v>5533</v>
      </c>
      <c r="D7396">
        <v>165390</v>
      </c>
      <c r="E7396" t="s">
        <v>14</v>
      </c>
      <c r="F7396">
        <v>39.741100000000003</v>
      </c>
      <c r="G7396">
        <v>8.4594000000000005</v>
      </c>
      <c r="H7396">
        <v>1</v>
      </c>
      <c r="I7396">
        <v>95</v>
      </c>
      <c r="J7396" t="str">
        <f>HYPERLINK("https://climate.onebuilding.org/WMO_Region_6_Europe/ITA_Italy/SD_Sardinia/ITA_SD_Cape.Frasca.165390_TMYx.zip")</f>
        <v>https://climate.onebuilding.org/WMO_Region_6_Europe/ITA_Italy/SD_Sardinia/ITA_SD_Cape.Frasca.165390_TMYx.zip</v>
      </c>
    </row>
    <row r="7397" spans="1:10" x14ac:dyDescent="0.25">
      <c r="A7397" t="s">
        <v>5239</v>
      </c>
      <c r="B7397" t="s">
        <v>44</v>
      </c>
      <c r="C7397" t="s">
        <v>5535</v>
      </c>
      <c r="D7397">
        <v>165410</v>
      </c>
      <c r="E7397" t="s">
        <v>14</v>
      </c>
      <c r="F7397">
        <v>39.674700000000001</v>
      </c>
      <c r="G7397">
        <v>9.4430999999999994</v>
      </c>
      <c r="H7397">
        <v>1</v>
      </c>
      <c r="I7397">
        <v>645</v>
      </c>
      <c r="J7397" t="str">
        <f>HYPERLINK("https://climate.onebuilding.org/WMO_Region_6_Europe/ITA_Italy/SD_Sardinia/ITA_SD_Perdasdefogu.165410_TMYx.2007-2021.zip")</f>
        <v>https://climate.onebuilding.org/WMO_Region_6_Europe/ITA_Italy/SD_Sardinia/ITA_SD_Perdasdefogu.165410_TMYx.2007-2021.zip</v>
      </c>
    </row>
    <row r="7398" spans="1:10" x14ac:dyDescent="0.25">
      <c r="A7398" t="s">
        <v>5239</v>
      </c>
      <c r="B7398" t="s">
        <v>44</v>
      </c>
      <c r="C7398" t="s">
        <v>5535</v>
      </c>
      <c r="D7398">
        <v>165410</v>
      </c>
      <c r="E7398" t="s">
        <v>14</v>
      </c>
      <c r="F7398">
        <v>39.674700000000001</v>
      </c>
      <c r="G7398">
        <v>9.4430999999999994</v>
      </c>
      <c r="H7398">
        <v>1</v>
      </c>
      <c r="I7398">
        <v>645</v>
      </c>
      <c r="J7398" t="str">
        <f>HYPERLINK("https://climate.onebuilding.org/WMO_Region_6_Europe/ITA_Italy/SD_Sardinia/ITA_SD_Perdasdefogu.165410_TMYx.2009-2023.zip")</f>
        <v>https://climate.onebuilding.org/WMO_Region_6_Europe/ITA_Italy/SD_Sardinia/ITA_SD_Perdasdefogu.165410_TMYx.2009-2023.zip</v>
      </c>
    </row>
    <row r="7399" spans="1:10" x14ac:dyDescent="0.25">
      <c r="A7399" t="s">
        <v>5239</v>
      </c>
      <c r="B7399" t="s">
        <v>44</v>
      </c>
      <c r="C7399" t="s">
        <v>5535</v>
      </c>
      <c r="D7399">
        <v>165410</v>
      </c>
      <c r="E7399" t="s">
        <v>14</v>
      </c>
      <c r="F7399">
        <v>39.674700000000001</v>
      </c>
      <c r="G7399">
        <v>9.4430999999999994</v>
      </c>
      <c r="H7399">
        <v>1</v>
      </c>
      <c r="I7399">
        <v>645</v>
      </c>
      <c r="J7399" t="str">
        <f>HYPERLINK("https://climate.onebuilding.org/WMO_Region_6_Europe/ITA_Italy/SD_Sardinia/ITA_SD_Perdasdefogu.165410_TMYx.zip")</f>
        <v>https://climate.onebuilding.org/WMO_Region_6_Europe/ITA_Italy/SD_Sardinia/ITA_SD_Perdasdefogu.165410_TMYx.zip</v>
      </c>
    </row>
    <row r="7400" spans="1:10" x14ac:dyDescent="0.25">
      <c r="A7400" t="s">
        <v>5239</v>
      </c>
      <c r="B7400" t="s">
        <v>44</v>
      </c>
      <c r="C7400" t="s">
        <v>5536</v>
      </c>
      <c r="D7400">
        <v>165420</v>
      </c>
      <c r="E7400" t="s">
        <v>14</v>
      </c>
      <c r="F7400">
        <v>39.498100000000001</v>
      </c>
      <c r="G7400">
        <v>9.6294000000000004</v>
      </c>
      <c r="H7400">
        <v>1</v>
      </c>
      <c r="I7400">
        <v>5</v>
      </c>
      <c r="J7400" t="str">
        <f>HYPERLINK("https://climate.onebuilding.org/WMO_Region_6_Europe/ITA_Italy/SD_Sardinia/ITA_SD_Cape.S.Lorenzo.165420_TMYx.2007-2021.zip")</f>
        <v>https://climate.onebuilding.org/WMO_Region_6_Europe/ITA_Italy/SD_Sardinia/ITA_SD_Cape.S.Lorenzo.165420_TMYx.2007-2021.zip</v>
      </c>
    </row>
    <row r="7401" spans="1:10" x14ac:dyDescent="0.25">
      <c r="A7401" t="s">
        <v>5239</v>
      </c>
      <c r="B7401" t="s">
        <v>44</v>
      </c>
      <c r="C7401" t="s">
        <v>5536</v>
      </c>
      <c r="D7401">
        <v>165420</v>
      </c>
      <c r="E7401" t="s">
        <v>14</v>
      </c>
      <c r="F7401">
        <v>39.498100000000001</v>
      </c>
      <c r="G7401">
        <v>9.6294000000000004</v>
      </c>
      <c r="H7401">
        <v>1</v>
      </c>
      <c r="I7401">
        <v>5</v>
      </c>
      <c r="J7401" t="str">
        <f>HYPERLINK("https://climate.onebuilding.org/WMO_Region_6_Europe/ITA_Italy/SD_Sardinia/ITA_SD_Cape.S.Lorenzo.165420_TMYx.2009-2023.zip")</f>
        <v>https://climate.onebuilding.org/WMO_Region_6_Europe/ITA_Italy/SD_Sardinia/ITA_SD_Cape.S.Lorenzo.165420_TMYx.2009-2023.zip</v>
      </c>
    </row>
    <row r="7402" spans="1:10" x14ac:dyDescent="0.25">
      <c r="A7402" t="s">
        <v>5239</v>
      </c>
      <c r="B7402" t="s">
        <v>44</v>
      </c>
      <c r="C7402" t="s">
        <v>5536</v>
      </c>
      <c r="D7402">
        <v>165420</v>
      </c>
      <c r="E7402" t="s">
        <v>14</v>
      </c>
      <c r="F7402">
        <v>39.498100000000001</v>
      </c>
      <c r="G7402">
        <v>9.6294000000000004</v>
      </c>
      <c r="H7402">
        <v>1</v>
      </c>
      <c r="I7402">
        <v>5</v>
      </c>
      <c r="J7402" t="str">
        <f>HYPERLINK("https://climate.onebuilding.org/WMO_Region_6_Europe/ITA_Italy/SD_Sardinia/ITA_SD_Cape.S.Lorenzo.165420_TMYx.zip")</f>
        <v>https://climate.onebuilding.org/WMO_Region_6_Europe/ITA_Italy/SD_Sardinia/ITA_SD_Cape.S.Lorenzo.165420_TMYx.zip</v>
      </c>
    </row>
    <row r="7403" spans="1:10" x14ac:dyDescent="0.25">
      <c r="A7403" t="s">
        <v>5239</v>
      </c>
      <c r="B7403" t="s">
        <v>44</v>
      </c>
      <c r="C7403" t="s">
        <v>5537</v>
      </c>
      <c r="D7403">
        <v>165460</v>
      </c>
      <c r="E7403" t="s">
        <v>5538</v>
      </c>
      <c r="F7403">
        <v>39.3461</v>
      </c>
      <c r="G7403">
        <v>8.9674999999999994</v>
      </c>
      <c r="H7403">
        <v>1</v>
      </c>
      <c r="I7403">
        <v>24</v>
      </c>
      <c r="J7403" t="str">
        <f>HYPERLINK("https://climate.onebuilding.org/WMO_Region_6_Europe/ITA_Italy/SD_Sardinia/ITA_SD_Decimomannu.AB.165460_TMYx.2004-2018.zip")</f>
        <v>https://climate.onebuilding.org/WMO_Region_6_Europe/ITA_Italy/SD_Sardinia/ITA_SD_Decimomannu.AB.165460_TMYx.2004-2018.zip</v>
      </c>
    </row>
    <row r="7404" spans="1:10" x14ac:dyDescent="0.25">
      <c r="A7404" t="s">
        <v>5239</v>
      </c>
      <c r="B7404" t="s">
        <v>44</v>
      </c>
      <c r="C7404" t="s">
        <v>5537</v>
      </c>
      <c r="D7404">
        <v>165460</v>
      </c>
      <c r="E7404" t="s">
        <v>14</v>
      </c>
      <c r="F7404">
        <v>39.3461</v>
      </c>
      <c r="G7404">
        <v>8.9674999999999994</v>
      </c>
      <c r="H7404">
        <v>1</v>
      </c>
      <c r="I7404">
        <v>24</v>
      </c>
      <c r="J7404" t="str">
        <f>HYPERLINK("https://climate.onebuilding.org/WMO_Region_6_Europe/ITA_Italy/SD_Sardinia/ITA_SD_Decimomannu.AB.165460_TMYx.2007-2021.zip")</f>
        <v>https://climate.onebuilding.org/WMO_Region_6_Europe/ITA_Italy/SD_Sardinia/ITA_SD_Decimomannu.AB.165460_TMYx.2007-2021.zip</v>
      </c>
    </row>
    <row r="7405" spans="1:10" x14ac:dyDescent="0.25">
      <c r="A7405" t="s">
        <v>5239</v>
      </c>
      <c r="B7405" t="s">
        <v>44</v>
      </c>
      <c r="C7405" t="s">
        <v>5537</v>
      </c>
      <c r="D7405">
        <v>165460</v>
      </c>
      <c r="E7405" t="s">
        <v>14</v>
      </c>
      <c r="F7405">
        <v>39.3461</v>
      </c>
      <c r="G7405">
        <v>8.9674999999999994</v>
      </c>
      <c r="H7405">
        <v>1</v>
      </c>
      <c r="I7405">
        <v>24</v>
      </c>
      <c r="J7405" t="str">
        <f>HYPERLINK("https://climate.onebuilding.org/WMO_Region_6_Europe/ITA_Italy/SD_Sardinia/ITA_SD_Decimomannu.AB.165460_TMYx.2009-2023.zip")</f>
        <v>https://climate.onebuilding.org/WMO_Region_6_Europe/ITA_Italy/SD_Sardinia/ITA_SD_Decimomannu.AB.165460_TMYx.2009-2023.zip</v>
      </c>
    </row>
    <row r="7406" spans="1:10" x14ac:dyDescent="0.25">
      <c r="A7406" t="s">
        <v>5239</v>
      </c>
      <c r="B7406" t="s">
        <v>44</v>
      </c>
      <c r="C7406" t="s">
        <v>5537</v>
      </c>
      <c r="D7406">
        <v>165460</v>
      </c>
      <c r="E7406" t="s">
        <v>14</v>
      </c>
      <c r="F7406">
        <v>39.3461</v>
      </c>
      <c r="G7406">
        <v>8.9674999999999994</v>
      </c>
      <c r="H7406">
        <v>1</v>
      </c>
      <c r="I7406">
        <v>24</v>
      </c>
      <c r="J7406" t="str">
        <f>HYPERLINK("https://climate.onebuilding.org/WMO_Region_6_Europe/ITA_Italy/SD_Sardinia/ITA_SD_Decimomannu.AB.165460_TMYx.zip")</f>
        <v>https://climate.onebuilding.org/WMO_Region_6_Europe/ITA_Italy/SD_Sardinia/ITA_SD_Decimomannu.AB.165460_TMYx.zip</v>
      </c>
    </row>
    <row r="7407" spans="1:10" x14ac:dyDescent="0.25">
      <c r="A7407" t="s">
        <v>5239</v>
      </c>
      <c r="B7407" t="s">
        <v>44</v>
      </c>
      <c r="C7407" t="s">
        <v>5539</v>
      </c>
      <c r="D7407">
        <v>165490</v>
      </c>
      <c r="E7407" t="s">
        <v>14</v>
      </c>
      <c r="F7407">
        <v>39.137</v>
      </c>
      <c r="G7407">
        <v>8.3114000000000008</v>
      </c>
      <c r="H7407">
        <v>1</v>
      </c>
      <c r="I7407">
        <v>13</v>
      </c>
      <c r="J7407" t="str">
        <f>HYPERLINK("https://climate.onebuilding.org/WMO_Region_6_Europe/ITA_Italy/SD_Sardinia/ITA_SD_Carloforte.165490_TMYx.zip")</f>
        <v>https://climate.onebuilding.org/WMO_Region_6_Europe/ITA_Italy/SD_Sardinia/ITA_SD_Carloforte.165490_TMYx.zip</v>
      </c>
    </row>
    <row r="7408" spans="1:10" x14ac:dyDescent="0.25">
      <c r="A7408" t="s">
        <v>5239</v>
      </c>
      <c r="B7408" t="s">
        <v>44</v>
      </c>
      <c r="C7408" t="s">
        <v>5540</v>
      </c>
      <c r="D7408">
        <v>165500</v>
      </c>
      <c r="E7408" t="s">
        <v>5541</v>
      </c>
      <c r="F7408">
        <v>39.930799999999998</v>
      </c>
      <c r="G7408">
        <v>9.7131000000000007</v>
      </c>
      <c r="H7408">
        <v>1</v>
      </c>
      <c r="I7408">
        <v>150</v>
      </c>
      <c r="J7408" t="str">
        <f>HYPERLINK("https://climate.onebuilding.org/WMO_Region_6_Europe/ITA_Italy/SD_Sardinia/ITA_SD_Cape.Bellavista.165500_TMYx.2004-2018.zip")</f>
        <v>https://climate.onebuilding.org/WMO_Region_6_Europe/ITA_Italy/SD_Sardinia/ITA_SD_Cape.Bellavista.165500_TMYx.2004-2018.zip</v>
      </c>
    </row>
    <row r="7409" spans="1:10" x14ac:dyDescent="0.25">
      <c r="A7409" t="s">
        <v>5239</v>
      </c>
      <c r="B7409" t="s">
        <v>44</v>
      </c>
      <c r="C7409" t="s">
        <v>5540</v>
      </c>
      <c r="D7409">
        <v>165500</v>
      </c>
      <c r="E7409" t="s">
        <v>14</v>
      </c>
      <c r="F7409">
        <v>39.930799999999998</v>
      </c>
      <c r="G7409">
        <v>9.7131000000000007</v>
      </c>
      <c r="H7409">
        <v>1</v>
      </c>
      <c r="I7409">
        <v>150</v>
      </c>
      <c r="J7409" t="str">
        <f>HYPERLINK("https://climate.onebuilding.org/WMO_Region_6_Europe/ITA_Italy/SD_Sardinia/ITA_SD_Cape.Bellavista.165500_TMYx.2007-2021.zip")</f>
        <v>https://climate.onebuilding.org/WMO_Region_6_Europe/ITA_Italy/SD_Sardinia/ITA_SD_Cape.Bellavista.165500_TMYx.2007-2021.zip</v>
      </c>
    </row>
    <row r="7410" spans="1:10" x14ac:dyDescent="0.25">
      <c r="A7410" t="s">
        <v>5239</v>
      </c>
      <c r="B7410" t="s">
        <v>44</v>
      </c>
      <c r="C7410" t="s">
        <v>5540</v>
      </c>
      <c r="D7410">
        <v>165500</v>
      </c>
      <c r="E7410" t="s">
        <v>14</v>
      </c>
      <c r="F7410">
        <v>39.930799999999998</v>
      </c>
      <c r="G7410">
        <v>9.7131000000000007</v>
      </c>
      <c r="H7410">
        <v>1</v>
      </c>
      <c r="I7410">
        <v>150</v>
      </c>
      <c r="J7410" t="str">
        <f>HYPERLINK("https://climate.onebuilding.org/WMO_Region_6_Europe/ITA_Italy/SD_Sardinia/ITA_SD_Cape.Bellavista.165500_TMYx.2009-2023.zip")</f>
        <v>https://climate.onebuilding.org/WMO_Region_6_Europe/ITA_Italy/SD_Sardinia/ITA_SD_Cape.Bellavista.165500_TMYx.2009-2023.zip</v>
      </c>
    </row>
    <row r="7411" spans="1:10" x14ac:dyDescent="0.25">
      <c r="A7411" t="s">
        <v>5239</v>
      </c>
      <c r="B7411" t="s">
        <v>44</v>
      </c>
      <c r="C7411" t="s">
        <v>5540</v>
      </c>
      <c r="D7411">
        <v>165500</v>
      </c>
      <c r="E7411" t="s">
        <v>14</v>
      </c>
      <c r="F7411">
        <v>39.930799999999998</v>
      </c>
      <c r="G7411">
        <v>9.7131000000000007</v>
      </c>
      <c r="H7411">
        <v>1</v>
      </c>
      <c r="I7411">
        <v>150</v>
      </c>
      <c r="J7411" t="str">
        <f>HYPERLINK("https://climate.onebuilding.org/WMO_Region_6_Europe/ITA_Italy/SD_Sardinia/ITA_SD_Cape.Bellavista.165500_TMYx.zip")</f>
        <v>https://climate.onebuilding.org/WMO_Region_6_Europe/ITA_Italy/SD_Sardinia/ITA_SD_Cape.Bellavista.165500_TMYx.zip</v>
      </c>
    </row>
    <row r="7412" spans="1:10" x14ac:dyDescent="0.25">
      <c r="A7412" t="s">
        <v>5239</v>
      </c>
      <c r="B7412" t="s">
        <v>44</v>
      </c>
      <c r="C7412" t="s">
        <v>5542</v>
      </c>
      <c r="D7412">
        <v>165600</v>
      </c>
      <c r="E7412" t="s">
        <v>5543</v>
      </c>
      <c r="F7412">
        <v>39.243600000000001</v>
      </c>
      <c r="G7412">
        <v>9.06</v>
      </c>
      <c r="H7412">
        <v>1</v>
      </c>
      <c r="I7412">
        <v>2.2000000000000002</v>
      </c>
      <c r="J7412" t="str">
        <f>HYPERLINK("https://climate.onebuilding.org/WMO_Region_6_Europe/ITA_Italy/SD_Sardinia/ITA_SD_Cagliari.AP-Elmas.AB.165600_TMYx.2004-2018.zip")</f>
        <v>https://climate.onebuilding.org/WMO_Region_6_Europe/ITA_Italy/SD_Sardinia/ITA_SD_Cagliari.AP-Elmas.AB.165600_TMYx.2004-2018.zip</v>
      </c>
    </row>
    <row r="7413" spans="1:10" x14ac:dyDescent="0.25">
      <c r="A7413" t="s">
        <v>5239</v>
      </c>
      <c r="B7413" t="s">
        <v>44</v>
      </c>
      <c r="C7413" t="s">
        <v>5542</v>
      </c>
      <c r="D7413">
        <v>165600</v>
      </c>
      <c r="E7413" t="s">
        <v>14</v>
      </c>
      <c r="F7413">
        <v>39.243600000000001</v>
      </c>
      <c r="G7413">
        <v>9.06</v>
      </c>
      <c r="H7413">
        <v>1</v>
      </c>
      <c r="I7413">
        <v>2.2000000000000002</v>
      </c>
      <c r="J7413" t="str">
        <f>HYPERLINK("https://climate.onebuilding.org/WMO_Region_6_Europe/ITA_Italy/SD_Sardinia/ITA_SD_Cagliari.AP-Elmas.AB.165600_TMYx.2007-2021.zip")</f>
        <v>https://climate.onebuilding.org/WMO_Region_6_Europe/ITA_Italy/SD_Sardinia/ITA_SD_Cagliari.AP-Elmas.AB.165600_TMYx.2007-2021.zip</v>
      </c>
    </row>
    <row r="7414" spans="1:10" x14ac:dyDescent="0.25">
      <c r="A7414" t="s">
        <v>5239</v>
      </c>
      <c r="B7414" t="s">
        <v>44</v>
      </c>
      <c r="C7414" t="s">
        <v>5542</v>
      </c>
      <c r="D7414">
        <v>165600</v>
      </c>
      <c r="E7414" t="s">
        <v>14</v>
      </c>
      <c r="F7414">
        <v>39.243600000000001</v>
      </c>
      <c r="G7414">
        <v>9.06</v>
      </c>
      <c r="H7414">
        <v>1</v>
      </c>
      <c r="I7414">
        <v>2.2000000000000002</v>
      </c>
      <c r="J7414" t="str">
        <f>HYPERLINK("https://climate.onebuilding.org/WMO_Region_6_Europe/ITA_Italy/SD_Sardinia/ITA_SD_Cagliari.AP-Elmas.AB.165600_TMYx.2009-2023.zip")</f>
        <v>https://climate.onebuilding.org/WMO_Region_6_Europe/ITA_Italy/SD_Sardinia/ITA_SD_Cagliari.AP-Elmas.AB.165600_TMYx.2009-2023.zip</v>
      </c>
    </row>
    <row r="7415" spans="1:10" x14ac:dyDescent="0.25">
      <c r="A7415" t="s">
        <v>5239</v>
      </c>
      <c r="B7415" t="s">
        <v>44</v>
      </c>
      <c r="C7415" t="s">
        <v>5542</v>
      </c>
      <c r="D7415">
        <v>165600</v>
      </c>
      <c r="E7415" t="s">
        <v>14</v>
      </c>
      <c r="F7415">
        <v>39.243600000000001</v>
      </c>
      <c r="G7415">
        <v>9.06</v>
      </c>
      <c r="H7415">
        <v>1</v>
      </c>
      <c r="I7415">
        <v>2.2000000000000002</v>
      </c>
      <c r="J7415" t="str">
        <f>HYPERLINK("https://climate.onebuilding.org/WMO_Region_6_Europe/ITA_Italy/SD_Sardinia/ITA_SD_Cagliari.AP-Elmas.AB.165600_TMYx.zip")</f>
        <v>https://climate.onebuilding.org/WMO_Region_6_Europe/ITA_Italy/SD_Sardinia/ITA_SD_Cagliari.AP-Elmas.AB.165600_TMYx.zip</v>
      </c>
    </row>
    <row r="7416" spans="1:10" x14ac:dyDescent="0.25">
      <c r="A7416" t="s">
        <v>5239</v>
      </c>
      <c r="B7416" t="s">
        <v>44</v>
      </c>
      <c r="C7416" t="s">
        <v>5544</v>
      </c>
      <c r="D7416">
        <v>165640</v>
      </c>
      <c r="E7416" t="s">
        <v>5545</v>
      </c>
      <c r="F7416">
        <v>39.103900000000003</v>
      </c>
      <c r="G7416">
        <v>9.5136000000000003</v>
      </c>
      <c r="H7416">
        <v>1</v>
      </c>
      <c r="I7416">
        <v>118</v>
      </c>
      <c r="J7416" t="str">
        <f>HYPERLINK("https://climate.onebuilding.org/WMO_Region_6_Europe/ITA_Italy/SD_Sardinia/ITA_SD_Cape.Carbonara.165640_TMYx.2004-2018.zip")</f>
        <v>https://climate.onebuilding.org/WMO_Region_6_Europe/ITA_Italy/SD_Sardinia/ITA_SD_Cape.Carbonara.165640_TMYx.2004-2018.zip</v>
      </c>
    </row>
    <row r="7417" spans="1:10" x14ac:dyDescent="0.25">
      <c r="A7417" t="s">
        <v>5239</v>
      </c>
      <c r="B7417" t="s">
        <v>44</v>
      </c>
      <c r="C7417" t="s">
        <v>5544</v>
      </c>
      <c r="D7417">
        <v>165640</v>
      </c>
      <c r="E7417" t="s">
        <v>14</v>
      </c>
      <c r="F7417">
        <v>39.103900000000003</v>
      </c>
      <c r="G7417">
        <v>9.5136000000000003</v>
      </c>
      <c r="H7417">
        <v>1</v>
      </c>
      <c r="I7417">
        <v>118</v>
      </c>
      <c r="J7417" t="str">
        <f>HYPERLINK("https://climate.onebuilding.org/WMO_Region_6_Europe/ITA_Italy/SD_Sardinia/ITA_SD_Cape.Carbonara.165640_TMYx.2007-2021.zip")</f>
        <v>https://climate.onebuilding.org/WMO_Region_6_Europe/ITA_Italy/SD_Sardinia/ITA_SD_Cape.Carbonara.165640_TMYx.2007-2021.zip</v>
      </c>
    </row>
    <row r="7418" spans="1:10" x14ac:dyDescent="0.25">
      <c r="A7418" t="s">
        <v>5239</v>
      </c>
      <c r="B7418" t="s">
        <v>44</v>
      </c>
      <c r="C7418" t="s">
        <v>5544</v>
      </c>
      <c r="D7418">
        <v>165640</v>
      </c>
      <c r="E7418" t="s">
        <v>14</v>
      </c>
      <c r="F7418">
        <v>39.103900000000003</v>
      </c>
      <c r="G7418">
        <v>9.5136000000000003</v>
      </c>
      <c r="H7418">
        <v>1</v>
      </c>
      <c r="I7418">
        <v>118</v>
      </c>
      <c r="J7418" t="str">
        <f>HYPERLINK("https://climate.onebuilding.org/WMO_Region_6_Europe/ITA_Italy/SD_Sardinia/ITA_SD_Cape.Carbonara.165640_TMYx.2009-2023.zip")</f>
        <v>https://climate.onebuilding.org/WMO_Region_6_Europe/ITA_Italy/SD_Sardinia/ITA_SD_Cape.Carbonara.165640_TMYx.2009-2023.zip</v>
      </c>
    </row>
    <row r="7419" spans="1:10" x14ac:dyDescent="0.25">
      <c r="A7419" t="s">
        <v>5239</v>
      </c>
      <c r="B7419" t="s">
        <v>44</v>
      </c>
      <c r="C7419" t="s">
        <v>5544</v>
      </c>
      <c r="D7419">
        <v>165640</v>
      </c>
      <c r="E7419" t="s">
        <v>14</v>
      </c>
      <c r="F7419">
        <v>39.103900000000003</v>
      </c>
      <c r="G7419">
        <v>9.5136000000000003</v>
      </c>
      <c r="H7419">
        <v>1</v>
      </c>
      <c r="I7419">
        <v>118</v>
      </c>
      <c r="J7419" t="str">
        <f>HYPERLINK("https://climate.onebuilding.org/WMO_Region_6_Europe/ITA_Italy/SD_Sardinia/ITA_SD_Cape.Carbonara.165640_TMYx.zip")</f>
        <v>https://climate.onebuilding.org/WMO_Region_6_Europe/ITA_Italy/SD_Sardinia/ITA_SD_Cape.Carbonara.165640_TMYx.zip</v>
      </c>
    </row>
    <row r="7420" spans="1:10" x14ac:dyDescent="0.25">
      <c r="A7420" t="s">
        <v>5546</v>
      </c>
      <c r="B7420" t="s">
        <v>5547</v>
      </c>
      <c r="C7420" t="s">
        <v>5548</v>
      </c>
      <c r="D7420" s="1" t="s">
        <v>5549</v>
      </c>
      <c r="E7420" t="s">
        <v>5550</v>
      </c>
      <c r="F7420">
        <v>49.207999999999998</v>
      </c>
      <c r="G7420">
        <v>-2.1960000000000002</v>
      </c>
      <c r="H7420">
        <v>0</v>
      </c>
      <c r="I7420">
        <v>84.4</v>
      </c>
      <c r="J7420" t="str">
        <f>HYPERLINK("https://climate.onebuilding.org/WMO_Region_6_Europe/JEY_Jersey/JEY_JE_Jersey.AP.038950_TMYx.2004-2018.zip")</f>
        <v>https://climate.onebuilding.org/WMO_Region_6_Europe/JEY_Jersey/JEY_JE_Jersey.AP.038950_TMYx.2004-2018.zip</v>
      </c>
    </row>
    <row r="7421" spans="1:10" x14ac:dyDescent="0.25">
      <c r="A7421" t="s">
        <v>5546</v>
      </c>
      <c r="B7421" t="s">
        <v>5547</v>
      </c>
      <c r="C7421" t="s">
        <v>5548</v>
      </c>
      <c r="D7421" s="1" t="s">
        <v>5549</v>
      </c>
      <c r="E7421" t="s">
        <v>14</v>
      </c>
      <c r="F7421">
        <v>49.21</v>
      </c>
      <c r="G7421">
        <v>-2.194</v>
      </c>
      <c r="H7421">
        <v>0</v>
      </c>
      <c r="I7421">
        <v>84.4</v>
      </c>
      <c r="J7421" t="str">
        <f>HYPERLINK("https://climate.onebuilding.org/WMO_Region_6_Europe/JEY_Jersey/JEY_JE_Jersey.AP.038950_TMYx.2007-2021.zip")</f>
        <v>https://climate.onebuilding.org/WMO_Region_6_Europe/JEY_Jersey/JEY_JE_Jersey.AP.038950_TMYx.2007-2021.zip</v>
      </c>
    </row>
    <row r="7422" spans="1:10" x14ac:dyDescent="0.25">
      <c r="A7422" t="s">
        <v>5546</v>
      </c>
      <c r="B7422" t="s">
        <v>5547</v>
      </c>
      <c r="C7422" t="s">
        <v>5548</v>
      </c>
      <c r="D7422" s="1" t="s">
        <v>5549</v>
      </c>
      <c r="E7422" t="s">
        <v>14</v>
      </c>
      <c r="F7422">
        <v>49.21</v>
      </c>
      <c r="G7422">
        <v>-2.194</v>
      </c>
      <c r="H7422">
        <v>0</v>
      </c>
      <c r="I7422">
        <v>84.4</v>
      </c>
      <c r="J7422" t="str">
        <f>HYPERLINK("https://climate.onebuilding.org/WMO_Region_6_Europe/JEY_Jersey/JEY_JE_Jersey.AP.038950_TMYx.2009-2023.zip")</f>
        <v>https://climate.onebuilding.org/WMO_Region_6_Europe/JEY_Jersey/JEY_JE_Jersey.AP.038950_TMYx.2009-2023.zip</v>
      </c>
    </row>
    <row r="7423" spans="1:10" x14ac:dyDescent="0.25">
      <c r="A7423" t="s">
        <v>5546</v>
      </c>
      <c r="B7423" t="s">
        <v>5547</v>
      </c>
      <c r="C7423" t="s">
        <v>5548</v>
      </c>
      <c r="D7423" s="1" t="s">
        <v>5549</v>
      </c>
      <c r="E7423" t="s">
        <v>14</v>
      </c>
      <c r="F7423">
        <v>49.21</v>
      </c>
      <c r="G7423">
        <v>-2.194</v>
      </c>
      <c r="H7423">
        <v>0</v>
      </c>
      <c r="I7423">
        <v>84.4</v>
      </c>
      <c r="J7423" t="str">
        <f>HYPERLINK("https://climate.onebuilding.org/WMO_Region_6_Europe/JEY_Jersey/JEY_JE_Jersey.AP.038950_TMYx.zip")</f>
        <v>https://climate.onebuilding.org/WMO_Region_6_Europe/JEY_Jersey/JEY_JE_Jersey.AP.038950_TMYx.zip</v>
      </c>
    </row>
    <row r="7424" spans="1:10" x14ac:dyDescent="0.25">
      <c r="A7424" t="s">
        <v>5546</v>
      </c>
      <c r="B7424" t="s">
        <v>5547</v>
      </c>
      <c r="C7424" t="s">
        <v>5551</v>
      </c>
      <c r="D7424" s="1" t="s">
        <v>5552</v>
      </c>
      <c r="E7424" t="s">
        <v>14</v>
      </c>
      <c r="F7424">
        <v>49.2</v>
      </c>
      <c r="G7424">
        <v>-2.1</v>
      </c>
      <c r="H7424">
        <v>0</v>
      </c>
      <c r="I7424">
        <v>54</v>
      </c>
      <c r="J7424" t="str">
        <f>HYPERLINK("https://climate.onebuilding.org/WMO_Region_6_Europe/JEY_Jersey/JEY_JE_St.Helier.038960_TMYx.2007-2021.zip")</f>
        <v>https://climate.onebuilding.org/WMO_Region_6_Europe/JEY_Jersey/JEY_JE_St.Helier.038960_TMYx.2007-2021.zip</v>
      </c>
    </row>
    <row r="7425" spans="1:10" x14ac:dyDescent="0.25">
      <c r="A7425" t="s">
        <v>5546</v>
      </c>
      <c r="B7425" t="s">
        <v>5547</v>
      </c>
      <c r="C7425" t="s">
        <v>5551</v>
      </c>
      <c r="D7425" s="1" t="s">
        <v>5552</v>
      </c>
      <c r="E7425" t="s">
        <v>14</v>
      </c>
      <c r="F7425">
        <v>49.2</v>
      </c>
      <c r="G7425">
        <v>-2.1</v>
      </c>
      <c r="H7425">
        <v>0</v>
      </c>
      <c r="I7425">
        <v>54</v>
      </c>
      <c r="J7425" t="str">
        <f>HYPERLINK("https://climate.onebuilding.org/WMO_Region_6_Europe/JEY_Jersey/JEY_JE_St.Helier.038960_TMYx.2009-2023.zip")</f>
        <v>https://climate.onebuilding.org/WMO_Region_6_Europe/JEY_Jersey/JEY_JE_St.Helier.038960_TMYx.2009-2023.zip</v>
      </c>
    </row>
    <row r="7426" spans="1:10" x14ac:dyDescent="0.25">
      <c r="A7426" t="s">
        <v>5546</v>
      </c>
      <c r="B7426" t="s">
        <v>5547</v>
      </c>
      <c r="C7426" t="s">
        <v>5551</v>
      </c>
      <c r="D7426" s="1" t="s">
        <v>5552</v>
      </c>
      <c r="E7426" t="s">
        <v>14</v>
      </c>
      <c r="F7426">
        <v>49.2</v>
      </c>
      <c r="G7426">
        <v>-2.1</v>
      </c>
      <c r="H7426">
        <v>0</v>
      </c>
      <c r="I7426">
        <v>54</v>
      </c>
      <c r="J7426" t="str">
        <f>HYPERLINK("https://climate.onebuilding.org/WMO_Region_6_Europe/JEY_Jersey/JEY_JE_St.Helier.038960_TMYx.zip")</f>
        <v>https://climate.onebuilding.org/WMO_Region_6_Europe/JEY_Jersey/JEY_JE_St.Helier.038960_TMYx.zip</v>
      </c>
    </row>
    <row r="7427" spans="1:10" x14ac:dyDescent="0.25">
      <c r="A7427" t="s">
        <v>5553</v>
      </c>
      <c r="B7427" t="s">
        <v>646</v>
      </c>
      <c r="C7427" t="s">
        <v>5554</v>
      </c>
      <c r="D7427">
        <v>402500</v>
      </c>
      <c r="E7427" t="s">
        <v>5555</v>
      </c>
      <c r="F7427">
        <v>32.539000000000001</v>
      </c>
      <c r="G7427">
        <v>38.195</v>
      </c>
      <c r="H7427">
        <v>2</v>
      </c>
      <c r="I7427">
        <v>685.8</v>
      </c>
      <c r="J7427" t="str">
        <f>HYPERLINK("https://climate.onebuilding.org/WMO_Region_6_Europe/JOR_Jordan/JOR_MA_Ruwaished-H4.AB.402500_TMYx.2004-2018.zip")</f>
        <v>https://climate.onebuilding.org/WMO_Region_6_Europe/JOR_Jordan/JOR_MA_Ruwaished-H4.AB.402500_TMYx.2004-2018.zip</v>
      </c>
    </row>
    <row r="7428" spans="1:10" x14ac:dyDescent="0.25">
      <c r="A7428" t="s">
        <v>5553</v>
      </c>
      <c r="B7428" t="s">
        <v>646</v>
      </c>
      <c r="C7428" t="s">
        <v>5554</v>
      </c>
      <c r="D7428">
        <v>402500</v>
      </c>
      <c r="E7428" t="s">
        <v>14</v>
      </c>
      <c r="F7428">
        <v>32.539000000000001</v>
      </c>
      <c r="G7428">
        <v>38.195</v>
      </c>
      <c r="H7428">
        <v>2</v>
      </c>
      <c r="I7428">
        <v>685.8</v>
      </c>
      <c r="J7428" t="str">
        <f>HYPERLINK("https://climate.onebuilding.org/WMO_Region_6_Europe/JOR_Jordan/JOR_MA_Ruwaished-H4.AB.402500_TMYx.2007-2021.zip")</f>
        <v>https://climate.onebuilding.org/WMO_Region_6_Europe/JOR_Jordan/JOR_MA_Ruwaished-H4.AB.402500_TMYx.2007-2021.zip</v>
      </c>
    </row>
    <row r="7429" spans="1:10" x14ac:dyDescent="0.25">
      <c r="A7429" t="s">
        <v>5553</v>
      </c>
      <c r="B7429" t="s">
        <v>646</v>
      </c>
      <c r="C7429" t="s">
        <v>5554</v>
      </c>
      <c r="D7429">
        <v>402500</v>
      </c>
      <c r="E7429" t="s">
        <v>14</v>
      </c>
      <c r="F7429">
        <v>32.539000000000001</v>
      </c>
      <c r="G7429">
        <v>38.195</v>
      </c>
      <c r="H7429">
        <v>2</v>
      </c>
      <c r="I7429">
        <v>685.8</v>
      </c>
      <c r="J7429" t="str">
        <f>HYPERLINK("https://climate.onebuilding.org/WMO_Region_6_Europe/JOR_Jordan/JOR_MA_Ruwaished-H4.AB.402500_TMYx.2009-2023.zip")</f>
        <v>https://climate.onebuilding.org/WMO_Region_6_Europe/JOR_Jordan/JOR_MA_Ruwaished-H4.AB.402500_TMYx.2009-2023.zip</v>
      </c>
    </row>
    <row r="7430" spans="1:10" x14ac:dyDescent="0.25">
      <c r="A7430" t="s">
        <v>5553</v>
      </c>
      <c r="B7430" t="s">
        <v>646</v>
      </c>
      <c r="C7430" t="s">
        <v>5554</v>
      </c>
      <c r="D7430">
        <v>402500</v>
      </c>
      <c r="E7430" t="s">
        <v>14</v>
      </c>
      <c r="F7430">
        <v>32.539000000000001</v>
      </c>
      <c r="G7430">
        <v>38.195</v>
      </c>
      <c r="H7430">
        <v>2</v>
      </c>
      <c r="I7430">
        <v>685.8</v>
      </c>
      <c r="J7430" t="str">
        <f>HYPERLINK("https://climate.onebuilding.org/WMO_Region_6_Europe/JOR_Jordan/JOR_MA_Ruwaished-H4.AB.402500_TMYx.zip")</f>
        <v>https://climate.onebuilding.org/WMO_Region_6_Europe/JOR_Jordan/JOR_MA_Ruwaished-H4.AB.402500_TMYx.zip</v>
      </c>
    </row>
    <row r="7431" spans="1:10" x14ac:dyDescent="0.25">
      <c r="A7431" t="s">
        <v>5553</v>
      </c>
      <c r="B7431" t="s">
        <v>5556</v>
      </c>
      <c r="C7431" t="s">
        <v>5557</v>
      </c>
      <c r="D7431">
        <v>402550</v>
      </c>
      <c r="E7431" t="s">
        <v>5558</v>
      </c>
      <c r="F7431">
        <v>32.549999999999997</v>
      </c>
      <c r="G7431">
        <v>35.85</v>
      </c>
      <c r="H7431">
        <v>2</v>
      </c>
      <c r="I7431">
        <v>619</v>
      </c>
      <c r="J7431" t="str">
        <f>HYPERLINK("https://climate.onebuilding.org/WMO_Region_6_Europe/JOR_Jordan/JOR_IR_Irbid.Met.Stn.402550_TMYx.2004-2018.zip")</f>
        <v>https://climate.onebuilding.org/WMO_Region_6_Europe/JOR_Jordan/JOR_IR_Irbid.Met.Stn.402550_TMYx.2004-2018.zip</v>
      </c>
    </row>
    <row r="7432" spans="1:10" x14ac:dyDescent="0.25">
      <c r="A7432" t="s">
        <v>5553</v>
      </c>
      <c r="B7432" t="s">
        <v>5556</v>
      </c>
      <c r="C7432" t="s">
        <v>5557</v>
      </c>
      <c r="D7432">
        <v>402550</v>
      </c>
      <c r="E7432" t="s">
        <v>14</v>
      </c>
      <c r="F7432">
        <v>32.549999999999997</v>
      </c>
      <c r="G7432">
        <v>35.85</v>
      </c>
      <c r="H7432">
        <v>2</v>
      </c>
      <c r="I7432">
        <v>619</v>
      </c>
      <c r="J7432" t="str">
        <f>HYPERLINK("https://climate.onebuilding.org/WMO_Region_6_Europe/JOR_Jordan/JOR_IR_Irbid.Met.Stn.402550_TMYx.2007-2021.zip")</f>
        <v>https://climate.onebuilding.org/WMO_Region_6_Europe/JOR_Jordan/JOR_IR_Irbid.Met.Stn.402550_TMYx.2007-2021.zip</v>
      </c>
    </row>
    <row r="7433" spans="1:10" x14ac:dyDescent="0.25">
      <c r="A7433" t="s">
        <v>5553</v>
      </c>
      <c r="B7433" t="s">
        <v>5556</v>
      </c>
      <c r="C7433" t="s">
        <v>5557</v>
      </c>
      <c r="D7433">
        <v>402550</v>
      </c>
      <c r="E7433" t="s">
        <v>14</v>
      </c>
      <c r="F7433">
        <v>32.549999999999997</v>
      </c>
      <c r="G7433">
        <v>35.85</v>
      </c>
      <c r="H7433">
        <v>2</v>
      </c>
      <c r="I7433">
        <v>619</v>
      </c>
      <c r="J7433" t="str">
        <f>HYPERLINK("https://climate.onebuilding.org/WMO_Region_6_Europe/JOR_Jordan/JOR_IR_Irbid.Met.Stn.402550_TMYx.2009-2023.zip")</f>
        <v>https://climate.onebuilding.org/WMO_Region_6_Europe/JOR_Jordan/JOR_IR_Irbid.Met.Stn.402550_TMYx.2009-2023.zip</v>
      </c>
    </row>
    <row r="7434" spans="1:10" x14ac:dyDescent="0.25">
      <c r="A7434" t="s">
        <v>5553</v>
      </c>
      <c r="B7434" t="s">
        <v>5556</v>
      </c>
      <c r="C7434" t="s">
        <v>5557</v>
      </c>
      <c r="D7434">
        <v>402550</v>
      </c>
      <c r="E7434" t="s">
        <v>14</v>
      </c>
      <c r="F7434">
        <v>32.549999999999997</v>
      </c>
      <c r="G7434">
        <v>35.85</v>
      </c>
      <c r="H7434">
        <v>2</v>
      </c>
      <c r="I7434">
        <v>619</v>
      </c>
      <c r="J7434" t="str">
        <f>HYPERLINK("https://climate.onebuilding.org/WMO_Region_6_Europe/JOR_Jordan/JOR_IR_Irbid.Met.Stn.402550_TMYx.zip")</f>
        <v>https://climate.onebuilding.org/WMO_Region_6_Europe/JOR_Jordan/JOR_IR_Irbid.Met.Stn.402550_TMYx.zip</v>
      </c>
    </row>
    <row r="7435" spans="1:10" x14ac:dyDescent="0.25">
      <c r="A7435" t="s">
        <v>5553</v>
      </c>
      <c r="B7435" t="s">
        <v>5559</v>
      </c>
      <c r="C7435" t="s">
        <v>5560</v>
      </c>
      <c r="D7435">
        <v>402560</v>
      </c>
      <c r="E7435" t="s">
        <v>14</v>
      </c>
      <c r="F7435">
        <v>32.4</v>
      </c>
      <c r="G7435">
        <v>35.582999999999998</v>
      </c>
      <c r="H7435">
        <v>2</v>
      </c>
      <c r="I7435">
        <v>-200</v>
      </c>
      <c r="J7435" t="str">
        <f>HYPERLINK("https://climate.onebuilding.org/WMO_Region_6_Europe/JOR_Jordan/JOR_BA_Wadi.Rayan.402560_TMYx.2007-2021.zip")</f>
        <v>https://climate.onebuilding.org/WMO_Region_6_Europe/JOR_Jordan/JOR_BA_Wadi.Rayan.402560_TMYx.2007-2021.zip</v>
      </c>
    </row>
    <row r="7436" spans="1:10" x14ac:dyDescent="0.25">
      <c r="A7436" t="s">
        <v>5553</v>
      </c>
      <c r="B7436" t="s">
        <v>5559</v>
      </c>
      <c r="C7436" t="s">
        <v>5560</v>
      </c>
      <c r="D7436">
        <v>402560</v>
      </c>
      <c r="E7436" t="s">
        <v>14</v>
      </c>
      <c r="F7436">
        <v>32.4</v>
      </c>
      <c r="G7436">
        <v>35.582999999999998</v>
      </c>
      <c r="H7436">
        <v>2</v>
      </c>
      <c r="I7436">
        <v>-200</v>
      </c>
      <c r="J7436" t="str">
        <f>HYPERLINK("https://climate.onebuilding.org/WMO_Region_6_Europe/JOR_Jordan/JOR_BA_Wadi.Rayan.402560_TMYx.2009-2023.zip")</f>
        <v>https://climate.onebuilding.org/WMO_Region_6_Europe/JOR_Jordan/JOR_BA_Wadi.Rayan.402560_TMYx.2009-2023.zip</v>
      </c>
    </row>
    <row r="7437" spans="1:10" x14ac:dyDescent="0.25">
      <c r="A7437" t="s">
        <v>5553</v>
      </c>
      <c r="B7437" t="s">
        <v>5559</v>
      </c>
      <c r="C7437" t="s">
        <v>5560</v>
      </c>
      <c r="D7437">
        <v>402560</v>
      </c>
      <c r="E7437" t="s">
        <v>14</v>
      </c>
      <c r="F7437">
        <v>32.4</v>
      </c>
      <c r="G7437">
        <v>35.582999999999998</v>
      </c>
      <c r="H7437">
        <v>2</v>
      </c>
      <c r="I7437">
        <v>-200</v>
      </c>
      <c r="J7437" t="str">
        <f>HYPERLINK("https://climate.onebuilding.org/WMO_Region_6_Europe/JOR_Jordan/JOR_BA_Wadi.Rayan.402560_TMYx.zip")</f>
        <v>https://climate.onebuilding.org/WMO_Region_6_Europe/JOR_Jordan/JOR_BA_Wadi.Rayan.402560_TMYx.zip</v>
      </c>
    </row>
    <row r="7438" spans="1:10" x14ac:dyDescent="0.25">
      <c r="A7438" t="s">
        <v>5553</v>
      </c>
      <c r="B7438" t="s">
        <v>5561</v>
      </c>
      <c r="C7438" t="s">
        <v>5562</v>
      </c>
      <c r="D7438">
        <v>402600</v>
      </c>
      <c r="E7438" t="s">
        <v>5563</v>
      </c>
      <c r="F7438">
        <v>32.161000000000001</v>
      </c>
      <c r="G7438">
        <v>37.149000000000001</v>
      </c>
      <c r="H7438">
        <v>2</v>
      </c>
      <c r="I7438">
        <v>676.7</v>
      </c>
      <c r="J7438" t="str">
        <f>HYPERLINK("https://climate.onebuilding.org/WMO_Region_6_Europe/JOR_Jordan/JOR_MN_Hasan.AB.402600_TMYx.2004-2018.zip")</f>
        <v>https://climate.onebuilding.org/WMO_Region_6_Europe/JOR_Jordan/JOR_MN_Hasan.AB.402600_TMYx.2004-2018.zip</v>
      </c>
    </row>
    <row r="7439" spans="1:10" x14ac:dyDescent="0.25">
      <c r="A7439" t="s">
        <v>5553</v>
      </c>
      <c r="B7439" t="s">
        <v>5561</v>
      </c>
      <c r="C7439" t="s">
        <v>5562</v>
      </c>
      <c r="D7439">
        <v>402600</v>
      </c>
      <c r="E7439" t="s">
        <v>14</v>
      </c>
      <c r="F7439">
        <v>32.161000000000001</v>
      </c>
      <c r="G7439">
        <v>37.149000000000001</v>
      </c>
      <c r="H7439">
        <v>2</v>
      </c>
      <c r="I7439">
        <v>676.7</v>
      </c>
      <c r="J7439" t="str">
        <f>HYPERLINK("https://climate.onebuilding.org/WMO_Region_6_Europe/JOR_Jordan/JOR_MN_Hasan.AB.402600_TMYx.2007-2021.zip")</f>
        <v>https://climate.onebuilding.org/WMO_Region_6_Europe/JOR_Jordan/JOR_MN_Hasan.AB.402600_TMYx.2007-2021.zip</v>
      </c>
    </row>
    <row r="7440" spans="1:10" x14ac:dyDescent="0.25">
      <c r="A7440" t="s">
        <v>5553</v>
      </c>
      <c r="B7440" t="s">
        <v>5561</v>
      </c>
      <c r="C7440" t="s">
        <v>5562</v>
      </c>
      <c r="D7440">
        <v>402600</v>
      </c>
      <c r="E7440" t="s">
        <v>14</v>
      </c>
      <c r="F7440">
        <v>32.161000000000001</v>
      </c>
      <c r="G7440">
        <v>37.149000000000001</v>
      </c>
      <c r="H7440">
        <v>2</v>
      </c>
      <c r="I7440">
        <v>676.7</v>
      </c>
      <c r="J7440" t="str">
        <f>HYPERLINK("https://climate.onebuilding.org/WMO_Region_6_Europe/JOR_Jordan/JOR_MN_Hasan.AB.402600_TMYx.2009-2023.zip")</f>
        <v>https://climate.onebuilding.org/WMO_Region_6_Europe/JOR_Jordan/JOR_MN_Hasan.AB.402600_TMYx.2009-2023.zip</v>
      </c>
    </row>
    <row r="7441" spans="1:10" x14ac:dyDescent="0.25">
      <c r="A7441" t="s">
        <v>5553</v>
      </c>
      <c r="B7441" t="s">
        <v>5561</v>
      </c>
      <c r="C7441" t="s">
        <v>5562</v>
      </c>
      <c r="D7441">
        <v>402600</v>
      </c>
      <c r="E7441" t="s">
        <v>14</v>
      </c>
      <c r="F7441">
        <v>32.161000000000001</v>
      </c>
      <c r="G7441">
        <v>37.149000000000001</v>
      </c>
      <c r="H7441">
        <v>2</v>
      </c>
      <c r="I7441">
        <v>676.7</v>
      </c>
      <c r="J7441" t="str">
        <f>HYPERLINK("https://climate.onebuilding.org/WMO_Region_6_Europe/JOR_Jordan/JOR_MN_Hasan.AB.402600_TMYx.zip")</f>
        <v>https://climate.onebuilding.org/WMO_Region_6_Europe/JOR_Jordan/JOR_MN_Hasan.AB.402600_TMYx.zip</v>
      </c>
    </row>
    <row r="7442" spans="1:10" x14ac:dyDescent="0.25">
      <c r="A7442" t="s">
        <v>5553</v>
      </c>
      <c r="B7442" t="s">
        <v>646</v>
      </c>
      <c r="C7442" t="s">
        <v>5564</v>
      </c>
      <c r="D7442">
        <v>402650</v>
      </c>
      <c r="E7442" t="s">
        <v>5565</v>
      </c>
      <c r="F7442">
        <v>32.356000000000002</v>
      </c>
      <c r="G7442">
        <v>36.259</v>
      </c>
      <c r="H7442">
        <v>2</v>
      </c>
      <c r="I7442">
        <v>682.8</v>
      </c>
      <c r="J7442" t="str">
        <f>HYPERLINK("https://climate.onebuilding.org/WMO_Region_6_Europe/JOR_Jordan/JOR_MA_Hussein.AP.402650_TMYx.2004-2018.zip")</f>
        <v>https://climate.onebuilding.org/WMO_Region_6_Europe/JOR_Jordan/JOR_MA_Hussein.AP.402650_TMYx.2004-2018.zip</v>
      </c>
    </row>
    <row r="7443" spans="1:10" x14ac:dyDescent="0.25">
      <c r="A7443" t="s">
        <v>5553</v>
      </c>
      <c r="B7443" t="s">
        <v>646</v>
      </c>
      <c r="C7443" t="s">
        <v>5564</v>
      </c>
      <c r="D7443">
        <v>402650</v>
      </c>
      <c r="E7443" t="s">
        <v>14</v>
      </c>
      <c r="F7443">
        <v>32.356000000000002</v>
      </c>
      <c r="G7443">
        <v>36.259</v>
      </c>
      <c r="H7443">
        <v>2</v>
      </c>
      <c r="I7443">
        <v>682.8</v>
      </c>
      <c r="J7443" t="str">
        <f>HYPERLINK("https://climate.onebuilding.org/WMO_Region_6_Europe/JOR_Jordan/JOR_MA_Hussein.AP.402650_TMYx.2007-2021.zip")</f>
        <v>https://climate.onebuilding.org/WMO_Region_6_Europe/JOR_Jordan/JOR_MA_Hussein.AP.402650_TMYx.2007-2021.zip</v>
      </c>
    </row>
    <row r="7444" spans="1:10" x14ac:dyDescent="0.25">
      <c r="A7444" t="s">
        <v>5553</v>
      </c>
      <c r="B7444" t="s">
        <v>646</v>
      </c>
      <c r="C7444" t="s">
        <v>5564</v>
      </c>
      <c r="D7444">
        <v>402650</v>
      </c>
      <c r="E7444" t="s">
        <v>14</v>
      </c>
      <c r="F7444">
        <v>32.356000000000002</v>
      </c>
      <c r="G7444">
        <v>36.259</v>
      </c>
      <c r="H7444">
        <v>2</v>
      </c>
      <c r="I7444">
        <v>682.8</v>
      </c>
      <c r="J7444" t="str">
        <f>HYPERLINK("https://climate.onebuilding.org/WMO_Region_6_Europe/JOR_Jordan/JOR_MA_Hussein.AP.402650_TMYx.2009-2023.zip")</f>
        <v>https://climate.onebuilding.org/WMO_Region_6_Europe/JOR_Jordan/JOR_MA_Hussein.AP.402650_TMYx.2009-2023.zip</v>
      </c>
    </row>
    <row r="7445" spans="1:10" x14ac:dyDescent="0.25">
      <c r="A7445" t="s">
        <v>5553</v>
      </c>
      <c r="B7445" t="s">
        <v>646</v>
      </c>
      <c r="C7445" t="s">
        <v>5564</v>
      </c>
      <c r="D7445">
        <v>402650</v>
      </c>
      <c r="E7445" t="s">
        <v>14</v>
      </c>
      <c r="F7445">
        <v>32.356000000000002</v>
      </c>
      <c r="G7445">
        <v>36.259</v>
      </c>
      <c r="H7445">
        <v>2</v>
      </c>
      <c r="I7445">
        <v>682.8</v>
      </c>
      <c r="J7445" t="str">
        <f>HYPERLINK("https://climate.onebuilding.org/WMO_Region_6_Europe/JOR_Jordan/JOR_MA_Hussein.AP.402650_TMYx.zip")</f>
        <v>https://climate.onebuilding.org/WMO_Region_6_Europe/JOR_Jordan/JOR_MA_Hussein.AP.402650_TMYx.zip</v>
      </c>
    </row>
    <row r="7446" spans="1:10" x14ac:dyDescent="0.25">
      <c r="A7446" t="s">
        <v>5553</v>
      </c>
      <c r="B7446" t="s">
        <v>5566</v>
      </c>
      <c r="C7446" t="s">
        <v>5567</v>
      </c>
      <c r="D7446">
        <v>402700</v>
      </c>
      <c r="E7446" t="s">
        <v>5568</v>
      </c>
      <c r="F7446">
        <v>31.972999999999999</v>
      </c>
      <c r="G7446">
        <v>35.991999999999997</v>
      </c>
      <c r="H7446">
        <v>2</v>
      </c>
      <c r="I7446">
        <v>778.8</v>
      </c>
      <c r="J7446" t="str">
        <f>HYPERLINK("https://climate.onebuilding.org/WMO_Region_6_Europe/JOR_Jordan/JOR_AM_Amman-Marka.AP.402700_TMYx.2004-2018.zip")</f>
        <v>https://climate.onebuilding.org/WMO_Region_6_Europe/JOR_Jordan/JOR_AM_Amman-Marka.AP.402700_TMYx.2004-2018.zip</v>
      </c>
    </row>
    <row r="7447" spans="1:10" x14ac:dyDescent="0.25">
      <c r="A7447" t="s">
        <v>5553</v>
      </c>
      <c r="B7447" t="s">
        <v>5566</v>
      </c>
      <c r="C7447" t="s">
        <v>5567</v>
      </c>
      <c r="D7447">
        <v>402700</v>
      </c>
      <c r="E7447" t="s">
        <v>14</v>
      </c>
      <c r="F7447">
        <v>31.972999999999999</v>
      </c>
      <c r="G7447">
        <v>35.991999999999997</v>
      </c>
      <c r="H7447">
        <v>2</v>
      </c>
      <c r="I7447">
        <v>778.8</v>
      </c>
      <c r="J7447" t="str">
        <f>HYPERLINK("https://climate.onebuilding.org/WMO_Region_6_Europe/JOR_Jordan/JOR_AM_Amman-Marka.AP.402700_TMYx.2007-2021.zip")</f>
        <v>https://climate.onebuilding.org/WMO_Region_6_Europe/JOR_Jordan/JOR_AM_Amman-Marka.AP.402700_TMYx.2007-2021.zip</v>
      </c>
    </row>
    <row r="7448" spans="1:10" x14ac:dyDescent="0.25">
      <c r="A7448" t="s">
        <v>5553</v>
      </c>
      <c r="B7448" t="s">
        <v>5566</v>
      </c>
      <c r="C7448" t="s">
        <v>5567</v>
      </c>
      <c r="D7448">
        <v>402700</v>
      </c>
      <c r="E7448" t="s">
        <v>14</v>
      </c>
      <c r="F7448">
        <v>31.972999999999999</v>
      </c>
      <c r="G7448">
        <v>35.991999999999997</v>
      </c>
      <c r="H7448">
        <v>2</v>
      </c>
      <c r="I7448">
        <v>778.8</v>
      </c>
      <c r="J7448" t="str">
        <f>HYPERLINK("https://climate.onebuilding.org/WMO_Region_6_Europe/JOR_Jordan/JOR_AM_Amman-Marka.AP.402700_TMYx.2009-2023.zip")</f>
        <v>https://climate.onebuilding.org/WMO_Region_6_Europe/JOR_Jordan/JOR_AM_Amman-Marka.AP.402700_TMYx.2009-2023.zip</v>
      </c>
    </row>
    <row r="7449" spans="1:10" x14ac:dyDescent="0.25">
      <c r="A7449" t="s">
        <v>5553</v>
      </c>
      <c r="B7449" t="s">
        <v>5566</v>
      </c>
      <c r="C7449" t="s">
        <v>5567</v>
      </c>
      <c r="D7449">
        <v>402700</v>
      </c>
      <c r="E7449" t="s">
        <v>14</v>
      </c>
      <c r="F7449">
        <v>31.972999999999999</v>
      </c>
      <c r="G7449">
        <v>35.991999999999997</v>
      </c>
      <c r="H7449">
        <v>2</v>
      </c>
      <c r="I7449">
        <v>778.8</v>
      </c>
      <c r="J7449" t="str">
        <f>HYPERLINK("https://climate.onebuilding.org/WMO_Region_6_Europe/JOR_Jordan/JOR_AM_Amman-Marka.AP.402700_TMYx.zip")</f>
        <v>https://climate.onebuilding.org/WMO_Region_6_Europe/JOR_Jordan/JOR_AM_Amman-Marka.AP.402700_TMYx.zip</v>
      </c>
    </row>
    <row r="7450" spans="1:10" x14ac:dyDescent="0.25">
      <c r="A7450" t="s">
        <v>5553</v>
      </c>
      <c r="B7450" t="s">
        <v>5566</v>
      </c>
      <c r="C7450" t="s">
        <v>5569</v>
      </c>
      <c r="D7450">
        <v>402720</v>
      </c>
      <c r="E7450" t="s">
        <v>5570</v>
      </c>
      <c r="F7450">
        <v>31.722999999999999</v>
      </c>
      <c r="G7450">
        <v>35.993000000000002</v>
      </c>
      <c r="H7450">
        <v>2</v>
      </c>
      <c r="I7450">
        <v>730</v>
      </c>
      <c r="J7450" t="str">
        <f>HYPERLINK("https://climate.onebuilding.org/WMO_Region_6_Europe/JOR_Jordan/JOR_AM_Amman-Alia.Intl.AP.402720_TMYx.2004-2018.zip")</f>
        <v>https://climate.onebuilding.org/WMO_Region_6_Europe/JOR_Jordan/JOR_AM_Amman-Alia.Intl.AP.402720_TMYx.2004-2018.zip</v>
      </c>
    </row>
    <row r="7451" spans="1:10" x14ac:dyDescent="0.25">
      <c r="A7451" t="s">
        <v>5553</v>
      </c>
      <c r="B7451" t="s">
        <v>5566</v>
      </c>
      <c r="C7451" t="s">
        <v>5569</v>
      </c>
      <c r="D7451">
        <v>402720</v>
      </c>
      <c r="E7451" t="s">
        <v>14</v>
      </c>
      <c r="F7451">
        <v>31.722999999999999</v>
      </c>
      <c r="G7451">
        <v>35.993000000000002</v>
      </c>
      <c r="H7451">
        <v>2</v>
      </c>
      <c r="I7451">
        <v>730</v>
      </c>
      <c r="J7451" t="str">
        <f>HYPERLINK("https://climate.onebuilding.org/WMO_Region_6_Europe/JOR_Jordan/JOR_AM_Amman-Alia.Intl.AP.402720_TMYx.2007-2021.zip")</f>
        <v>https://climate.onebuilding.org/WMO_Region_6_Europe/JOR_Jordan/JOR_AM_Amman-Alia.Intl.AP.402720_TMYx.2007-2021.zip</v>
      </c>
    </row>
    <row r="7452" spans="1:10" x14ac:dyDescent="0.25">
      <c r="A7452" t="s">
        <v>5553</v>
      </c>
      <c r="B7452" t="s">
        <v>5566</v>
      </c>
      <c r="C7452" t="s">
        <v>5569</v>
      </c>
      <c r="D7452">
        <v>402720</v>
      </c>
      <c r="E7452" t="s">
        <v>14</v>
      </c>
      <c r="F7452">
        <v>31.722999999999999</v>
      </c>
      <c r="G7452">
        <v>35.993000000000002</v>
      </c>
      <c r="H7452">
        <v>2</v>
      </c>
      <c r="I7452">
        <v>730</v>
      </c>
      <c r="J7452" t="str">
        <f>HYPERLINK("https://climate.onebuilding.org/WMO_Region_6_Europe/JOR_Jordan/JOR_AM_Amman-Alia.Intl.AP.402720_TMYx.2009-2023.zip")</f>
        <v>https://climate.onebuilding.org/WMO_Region_6_Europe/JOR_Jordan/JOR_AM_Amman-Alia.Intl.AP.402720_TMYx.2009-2023.zip</v>
      </c>
    </row>
    <row r="7453" spans="1:10" x14ac:dyDescent="0.25">
      <c r="A7453" t="s">
        <v>5553</v>
      </c>
      <c r="B7453" t="s">
        <v>5566</v>
      </c>
      <c r="C7453" t="s">
        <v>5569</v>
      </c>
      <c r="D7453">
        <v>402720</v>
      </c>
      <c r="E7453" t="s">
        <v>14</v>
      </c>
      <c r="F7453">
        <v>31.722999999999999</v>
      </c>
      <c r="G7453">
        <v>35.993000000000002</v>
      </c>
      <c r="H7453">
        <v>2</v>
      </c>
      <c r="I7453">
        <v>730</v>
      </c>
      <c r="J7453" t="str">
        <f>HYPERLINK("https://climate.onebuilding.org/WMO_Region_6_Europe/JOR_Jordan/JOR_AM_Amman-Alia.Intl.AP.402720_TMYx.zip")</f>
        <v>https://climate.onebuilding.org/WMO_Region_6_Europe/JOR_Jordan/JOR_AM_Amman-Alia.Intl.AP.402720_TMYx.zip</v>
      </c>
    </row>
    <row r="7454" spans="1:10" x14ac:dyDescent="0.25">
      <c r="A7454" t="s">
        <v>5553</v>
      </c>
      <c r="B7454" t="s">
        <v>246</v>
      </c>
      <c r="C7454" t="s">
        <v>5571</v>
      </c>
      <c r="D7454">
        <v>402960</v>
      </c>
      <c r="E7454" t="s">
        <v>5572</v>
      </c>
      <c r="F7454">
        <v>31.033000000000001</v>
      </c>
      <c r="G7454">
        <v>35.466999999999999</v>
      </c>
      <c r="H7454">
        <v>2</v>
      </c>
      <c r="I7454">
        <v>-350</v>
      </c>
      <c r="J7454" t="str">
        <f>HYPERLINK("https://climate.onebuilding.org/WMO_Region_6_Europe/JOR_Jordan/JOR_KA_Ghor.Safi.402960_TMYx.2004-2018.zip")</f>
        <v>https://climate.onebuilding.org/WMO_Region_6_Europe/JOR_Jordan/JOR_KA_Ghor.Safi.402960_TMYx.2004-2018.zip</v>
      </c>
    </row>
    <row r="7455" spans="1:10" x14ac:dyDescent="0.25">
      <c r="A7455" t="s">
        <v>5553</v>
      </c>
      <c r="B7455" t="s">
        <v>246</v>
      </c>
      <c r="C7455" t="s">
        <v>5571</v>
      </c>
      <c r="D7455">
        <v>402960</v>
      </c>
      <c r="E7455" t="s">
        <v>14</v>
      </c>
      <c r="F7455">
        <v>31.033000000000001</v>
      </c>
      <c r="G7455">
        <v>35.466999999999999</v>
      </c>
      <c r="H7455">
        <v>2</v>
      </c>
      <c r="I7455">
        <v>-350</v>
      </c>
      <c r="J7455" t="str">
        <f>HYPERLINK("https://climate.onebuilding.org/WMO_Region_6_Europe/JOR_Jordan/JOR_KA_Ghor.Safi.402960_TMYx.2007-2021.zip")</f>
        <v>https://climate.onebuilding.org/WMO_Region_6_Europe/JOR_Jordan/JOR_KA_Ghor.Safi.402960_TMYx.2007-2021.zip</v>
      </c>
    </row>
    <row r="7456" spans="1:10" x14ac:dyDescent="0.25">
      <c r="A7456" t="s">
        <v>5553</v>
      </c>
      <c r="B7456" t="s">
        <v>246</v>
      </c>
      <c r="C7456" t="s">
        <v>5571</v>
      </c>
      <c r="D7456">
        <v>402960</v>
      </c>
      <c r="E7456" t="s">
        <v>14</v>
      </c>
      <c r="F7456">
        <v>31.033000000000001</v>
      </c>
      <c r="G7456">
        <v>35.466999999999999</v>
      </c>
      <c r="H7456">
        <v>2</v>
      </c>
      <c r="I7456">
        <v>-350</v>
      </c>
      <c r="J7456" t="str">
        <f>HYPERLINK("https://climate.onebuilding.org/WMO_Region_6_Europe/JOR_Jordan/JOR_KA_Ghor.Safi.402960_TMYx.2009-2023.zip")</f>
        <v>https://climate.onebuilding.org/WMO_Region_6_Europe/JOR_Jordan/JOR_KA_Ghor.Safi.402960_TMYx.2009-2023.zip</v>
      </c>
    </row>
    <row r="7457" spans="1:10" x14ac:dyDescent="0.25">
      <c r="A7457" t="s">
        <v>5553</v>
      </c>
      <c r="B7457" t="s">
        <v>246</v>
      </c>
      <c r="C7457" t="s">
        <v>5571</v>
      </c>
      <c r="D7457">
        <v>402960</v>
      </c>
      <c r="E7457" t="s">
        <v>14</v>
      </c>
      <c r="F7457">
        <v>31.033000000000001</v>
      </c>
      <c r="G7457">
        <v>35.466999999999999</v>
      </c>
      <c r="H7457">
        <v>2</v>
      </c>
      <c r="I7457">
        <v>-350</v>
      </c>
      <c r="J7457" t="str">
        <f>HYPERLINK("https://climate.onebuilding.org/WMO_Region_6_Europe/JOR_Jordan/JOR_KA_Ghor.Safi.402960_TMYx.zip")</f>
        <v>https://climate.onebuilding.org/WMO_Region_6_Europe/JOR_Jordan/JOR_KA_Ghor.Safi.402960_TMYx.zip</v>
      </c>
    </row>
    <row r="7458" spans="1:10" x14ac:dyDescent="0.25">
      <c r="A7458" t="s">
        <v>5553</v>
      </c>
      <c r="B7458" t="s">
        <v>5561</v>
      </c>
      <c r="C7458" t="s">
        <v>5573</v>
      </c>
      <c r="D7458">
        <v>403100</v>
      </c>
      <c r="E7458" t="s">
        <v>5574</v>
      </c>
      <c r="F7458">
        <v>30.167000000000002</v>
      </c>
      <c r="G7458">
        <v>35.783000000000001</v>
      </c>
      <c r="H7458">
        <v>2</v>
      </c>
      <c r="I7458">
        <v>1069</v>
      </c>
      <c r="J7458" t="str">
        <f>HYPERLINK("https://climate.onebuilding.org/WMO_Region_6_Europe/JOR_Jordan/JOR_MN_Maan.AP.403100_TMYx.2004-2018.zip")</f>
        <v>https://climate.onebuilding.org/WMO_Region_6_Europe/JOR_Jordan/JOR_MN_Maan.AP.403100_TMYx.2004-2018.zip</v>
      </c>
    </row>
    <row r="7459" spans="1:10" x14ac:dyDescent="0.25">
      <c r="A7459" t="s">
        <v>5553</v>
      </c>
      <c r="B7459" t="s">
        <v>5561</v>
      </c>
      <c r="C7459" t="s">
        <v>5573</v>
      </c>
      <c r="D7459">
        <v>403100</v>
      </c>
      <c r="E7459" t="s">
        <v>14</v>
      </c>
      <c r="F7459">
        <v>30.167000000000002</v>
      </c>
      <c r="G7459">
        <v>35.783000000000001</v>
      </c>
      <c r="H7459">
        <v>2</v>
      </c>
      <c r="I7459">
        <v>1069</v>
      </c>
      <c r="J7459" t="str">
        <f>HYPERLINK("https://climate.onebuilding.org/WMO_Region_6_Europe/JOR_Jordan/JOR_MN_Maan.AP.403100_TMYx.2007-2021.zip")</f>
        <v>https://climate.onebuilding.org/WMO_Region_6_Europe/JOR_Jordan/JOR_MN_Maan.AP.403100_TMYx.2007-2021.zip</v>
      </c>
    </row>
    <row r="7460" spans="1:10" x14ac:dyDescent="0.25">
      <c r="A7460" t="s">
        <v>5553</v>
      </c>
      <c r="B7460" t="s">
        <v>5561</v>
      </c>
      <c r="C7460" t="s">
        <v>5573</v>
      </c>
      <c r="D7460">
        <v>403100</v>
      </c>
      <c r="E7460" t="s">
        <v>14</v>
      </c>
      <c r="F7460">
        <v>30.167000000000002</v>
      </c>
      <c r="G7460">
        <v>35.783000000000001</v>
      </c>
      <c r="H7460">
        <v>2</v>
      </c>
      <c r="I7460">
        <v>1069</v>
      </c>
      <c r="J7460" t="str">
        <f>HYPERLINK("https://climate.onebuilding.org/WMO_Region_6_Europe/JOR_Jordan/JOR_MN_Maan.AP.403100_TMYx.2009-2023.zip")</f>
        <v>https://climate.onebuilding.org/WMO_Region_6_Europe/JOR_Jordan/JOR_MN_Maan.AP.403100_TMYx.2009-2023.zip</v>
      </c>
    </row>
    <row r="7461" spans="1:10" x14ac:dyDescent="0.25">
      <c r="A7461" t="s">
        <v>5553</v>
      </c>
      <c r="B7461" t="s">
        <v>5561</v>
      </c>
      <c r="C7461" t="s">
        <v>5573</v>
      </c>
      <c r="D7461">
        <v>403100</v>
      </c>
      <c r="E7461" t="s">
        <v>14</v>
      </c>
      <c r="F7461">
        <v>30.167000000000002</v>
      </c>
      <c r="G7461">
        <v>35.783000000000001</v>
      </c>
      <c r="H7461">
        <v>2</v>
      </c>
      <c r="I7461">
        <v>1069</v>
      </c>
      <c r="J7461" t="str">
        <f>HYPERLINK("https://climate.onebuilding.org/WMO_Region_6_Europe/JOR_Jordan/JOR_MN_Maan.AP.403100_TMYx.zip")</f>
        <v>https://climate.onebuilding.org/WMO_Region_6_Europe/JOR_Jordan/JOR_MN_Maan.AP.403100_TMYx.zip</v>
      </c>
    </row>
    <row r="7462" spans="1:10" x14ac:dyDescent="0.25">
      <c r="A7462" t="s">
        <v>5553</v>
      </c>
      <c r="B7462" t="s">
        <v>5575</v>
      </c>
      <c r="C7462" t="s">
        <v>5576</v>
      </c>
      <c r="D7462">
        <v>403400</v>
      </c>
      <c r="E7462" t="s">
        <v>5577</v>
      </c>
      <c r="F7462">
        <v>29.611999999999998</v>
      </c>
      <c r="G7462">
        <v>35.018000000000001</v>
      </c>
      <c r="H7462">
        <v>2</v>
      </c>
      <c r="I7462">
        <v>53.3</v>
      </c>
      <c r="J7462" t="str">
        <f>HYPERLINK("https://climate.onebuilding.org/WMO_Region_6_Europe/JOR_Jordan/JOR_AQ_Aqaba-Hussein.Intl.AP.403400_TMYx.2004-2018.zip")</f>
        <v>https://climate.onebuilding.org/WMO_Region_6_Europe/JOR_Jordan/JOR_AQ_Aqaba-Hussein.Intl.AP.403400_TMYx.2004-2018.zip</v>
      </c>
    </row>
    <row r="7463" spans="1:10" x14ac:dyDescent="0.25">
      <c r="A7463" t="s">
        <v>5553</v>
      </c>
      <c r="B7463" t="s">
        <v>5575</v>
      </c>
      <c r="C7463" t="s">
        <v>5576</v>
      </c>
      <c r="D7463">
        <v>403400</v>
      </c>
      <c r="E7463" t="s">
        <v>14</v>
      </c>
      <c r="F7463">
        <v>29.611999999999998</v>
      </c>
      <c r="G7463">
        <v>35.018000000000001</v>
      </c>
      <c r="H7463">
        <v>2</v>
      </c>
      <c r="I7463">
        <v>53.3</v>
      </c>
      <c r="J7463" t="str">
        <f>HYPERLINK("https://climate.onebuilding.org/WMO_Region_6_Europe/JOR_Jordan/JOR_AQ_Aqaba-Hussein.Intl.AP.403400_TMYx.2007-2021.zip")</f>
        <v>https://climate.onebuilding.org/WMO_Region_6_Europe/JOR_Jordan/JOR_AQ_Aqaba-Hussein.Intl.AP.403400_TMYx.2007-2021.zip</v>
      </c>
    </row>
    <row r="7464" spans="1:10" x14ac:dyDescent="0.25">
      <c r="A7464" t="s">
        <v>5553</v>
      </c>
      <c r="B7464" t="s">
        <v>5575</v>
      </c>
      <c r="C7464" t="s">
        <v>5576</v>
      </c>
      <c r="D7464">
        <v>403400</v>
      </c>
      <c r="E7464" t="s">
        <v>14</v>
      </c>
      <c r="F7464">
        <v>29.611999999999998</v>
      </c>
      <c r="G7464">
        <v>35.018000000000001</v>
      </c>
      <c r="H7464">
        <v>2</v>
      </c>
      <c r="I7464">
        <v>53.3</v>
      </c>
      <c r="J7464" t="str">
        <f>HYPERLINK("https://climate.onebuilding.org/WMO_Region_6_Europe/JOR_Jordan/JOR_AQ_Aqaba-Hussein.Intl.AP.403400_TMYx.2009-2023.zip")</f>
        <v>https://climate.onebuilding.org/WMO_Region_6_Europe/JOR_Jordan/JOR_AQ_Aqaba-Hussein.Intl.AP.403400_TMYx.2009-2023.zip</v>
      </c>
    </row>
    <row r="7465" spans="1:10" x14ac:dyDescent="0.25">
      <c r="A7465" t="s">
        <v>5553</v>
      </c>
      <c r="B7465" t="s">
        <v>5575</v>
      </c>
      <c r="C7465" t="s">
        <v>5576</v>
      </c>
      <c r="D7465">
        <v>403400</v>
      </c>
      <c r="E7465" t="s">
        <v>14</v>
      </c>
      <c r="F7465">
        <v>29.611999999999998</v>
      </c>
      <c r="G7465">
        <v>35.018000000000001</v>
      </c>
      <c r="H7465">
        <v>2</v>
      </c>
      <c r="I7465">
        <v>53.3</v>
      </c>
      <c r="J7465" t="str">
        <f>HYPERLINK("https://climate.onebuilding.org/WMO_Region_6_Europe/JOR_Jordan/JOR_AQ_Aqaba-Hussein.Intl.AP.403400_TMYx.zip")</f>
        <v>https://climate.onebuilding.org/WMO_Region_6_Europe/JOR_Jordan/JOR_AQ_Aqaba-Hussein.Intl.AP.403400_TMYx.zip</v>
      </c>
    </row>
    <row r="7466" spans="1:10" x14ac:dyDescent="0.25">
      <c r="A7466" t="s">
        <v>5553</v>
      </c>
      <c r="B7466" t="s">
        <v>5575</v>
      </c>
      <c r="C7466" t="s">
        <v>5578</v>
      </c>
      <c r="D7466">
        <v>403410</v>
      </c>
      <c r="E7466" t="s">
        <v>14</v>
      </c>
      <c r="F7466">
        <v>29.483000000000001</v>
      </c>
      <c r="G7466">
        <v>34.982999999999997</v>
      </c>
      <c r="H7466">
        <v>2</v>
      </c>
      <c r="I7466">
        <v>3</v>
      </c>
      <c r="J7466" t="str">
        <f>HYPERLINK("https://climate.onebuilding.org/WMO_Region_6_Europe/JOR_Jordan/JOR_AQ_Aqaba.Port.403410_TMYx.zip")</f>
        <v>https://climate.onebuilding.org/WMO_Region_6_Europe/JOR_Jordan/JOR_AQ_Aqaba.Port.403410_TMYx.zip</v>
      </c>
    </row>
    <row r="7467" spans="1:10" x14ac:dyDescent="0.25">
      <c r="A7467" t="s">
        <v>5579</v>
      </c>
      <c r="B7467" t="s">
        <v>5559</v>
      </c>
      <c r="C7467" t="s">
        <v>5580</v>
      </c>
      <c r="D7467">
        <v>401000</v>
      </c>
      <c r="E7467" t="s">
        <v>5581</v>
      </c>
      <c r="F7467">
        <v>33.820999999999998</v>
      </c>
      <c r="G7467">
        <v>35.488</v>
      </c>
      <c r="H7467">
        <v>2</v>
      </c>
      <c r="I7467">
        <v>26.5</v>
      </c>
      <c r="J7467" t="str">
        <f>HYPERLINK("https://climate.onebuilding.org/WMO_Region_6_Europe/LBN_Lebanon/LBN_BA_Beirut-Hariri.Intl.AP.401000_TMYx.2004-2018.zip")</f>
        <v>https://climate.onebuilding.org/WMO_Region_6_Europe/LBN_Lebanon/LBN_BA_Beirut-Hariri.Intl.AP.401000_TMYx.2004-2018.zip</v>
      </c>
    </row>
    <row r="7468" spans="1:10" x14ac:dyDescent="0.25">
      <c r="A7468" t="s">
        <v>5579</v>
      </c>
      <c r="B7468" t="s">
        <v>5559</v>
      </c>
      <c r="C7468" t="s">
        <v>5580</v>
      </c>
      <c r="D7468">
        <v>401000</v>
      </c>
      <c r="E7468" t="s">
        <v>14</v>
      </c>
      <c r="F7468">
        <v>33.820999999999998</v>
      </c>
      <c r="G7468">
        <v>35.488</v>
      </c>
      <c r="H7468">
        <v>2</v>
      </c>
      <c r="I7468">
        <v>26.5</v>
      </c>
      <c r="J7468" t="str">
        <f>HYPERLINK("https://climate.onebuilding.org/WMO_Region_6_Europe/LBN_Lebanon/LBN_BA_Beirut-Hariri.Intl.AP.401000_TMYx.2007-2021.zip")</f>
        <v>https://climate.onebuilding.org/WMO_Region_6_Europe/LBN_Lebanon/LBN_BA_Beirut-Hariri.Intl.AP.401000_TMYx.2007-2021.zip</v>
      </c>
    </row>
    <row r="7469" spans="1:10" x14ac:dyDescent="0.25">
      <c r="A7469" t="s">
        <v>5579</v>
      </c>
      <c r="B7469" t="s">
        <v>5559</v>
      </c>
      <c r="C7469" t="s">
        <v>5580</v>
      </c>
      <c r="D7469">
        <v>401000</v>
      </c>
      <c r="E7469" t="s">
        <v>14</v>
      </c>
      <c r="F7469">
        <v>33.820999999999998</v>
      </c>
      <c r="G7469">
        <v>35.488</v>
      </c>
      <c r="H7469">
        <v>2</v>
      </c>
      <c r="I7469">
        <v>26.5</v>
      </c>
      <c r="J7469" t="str">
        <f>HYPERLINK("https://climate.onebuilding.org/WMO_Region_6_Europe/LBN_Lebanon/LBN_BA_Beirut-Hariri.Intl.AP.401000_TMYx.2009-2023.zip")</f>
        <v>https://climate.onebuilding.org/WMO_Region_6_Europe/LBN_Lebanon/LBN_BA_Beirut-Hariri.Intl.AP.401000_TMYx.2009-2023.zip</v>
      </c>
    </row>
    <row r="7470" spans="1:10" x14ac:dyDescent="0.25">
      <c r="A7470" t="s">
        <v>5579</v>
      </c>
      <c r="B7470" t="s">
        <v>5559</v>
      </c>
      <c r="C7470" t="s">
        <v>5580</v>
      </c>
      <c r="D7470">
        <v>401000</v>
      </c>
      <c r="E7470" t="s">
        <v>14</v>
      </c>
      <c r="F7470">
        <v>33.820999999999998</v>
      </c>
      <c r="G7470">
        <v>35.488</v>
      </c>
      <c r="H7470">
        <v>2</v>
      </c>
      <c r="I7470">
        <v>26.5</v>
      </c>
      <c r="J7470" t="str">
        <f>HYPERLINK("https://climate.onebuilding.org/WMO_Region_6_Europe/LBN_Lebanon/LBN_BA_Beirut-Hariri.Intl.AP.401000_TMYx.zip")</f>
        <v>https://climate.onebuilding.org/WMO_Region_6_Europe/LBN_Lebanon/LBN_BA_Beirut-Hariri.Intl.AP.401000_TMYx.zip</v>
      </c>
    </row>
    <row r="7471" spans="1:10" x14ac:dyDescent="0.25">
      <c r="A7471" t="s">
        <v>5579</v>
      </c>
      <c r="B7471" t="s">
        <v>5582</v>
      </c>
      <c r="C7471" t="s">
        <v>5583</v>
      </c>
      <c r="D7471">
        <v>401010</v>
      </c>
      <c r="E7471" t="s">
        <v>5584</v>
      </c>
      <c r="F7471">
        <v>33.817</v>
      </c>
      <c r="G7471">
        <v>35.85</v>
      </c>
      <c r="H7471">
        <v>2</v>
      </c>
      <c r="I7471">
        <v>920</v>
      </c>
      <c r="J7471" t="str">
        <f>HYPERLINK("https://climate.onebuilding.org/WMO_Region_6_Europe/LBN_Lebanon/LBN_BI_Chtaura-Houche.Oumara.401010_TMYx.2004-2018.zip")</f>
        <v>https://climate.onebuilding.org/WMO_Region_6_Europe/LBN_Lebanon/LBN_BI_Chtaura-Houche.Oumara.401010_TMYx.2004-2018.zip</v>
      </c>
    </row>
    <row r="7472" spans="1:10" x14ac:dyDescent="0.25">
      <c r="A7472" t="s">
        <v>5579</v>
      </c>
      <c r="B7472" t="s">
        <v>5582</v>
      </c>
      <c r="C7472" t="s">
        <v>5583</v>
      </c>
      <c r="D7472">
        <v>401010</v>
      </c>
      <c r="E7472" t="s">
        <v>14</v>
      </c>
      <c r="F7472">
        <v>33.817</v>
      </c>
      <c r="G7472">
        <v>35.85</v>
      </c>
      <c r="H7472">
        <v>2</v>
      </c>
      <c r="I7472">
        <v>920</v>
      </c>
      <c r="J7472" t="str">
        <f>HYPERLINK("https://climate.onebuilding.org/WMO_Region_6_Europe/LBN_Lebanon/LBN_BI_Chtaura-Houche.Oumara.401010_TMYx.2007-2021.zip")</f>
        <v>https://climate.onebuilding.org/WMO_Region_6_Europe/LBN_Lebanon/LBN_BI_Chtaura-Houche.Oumara.401010_TMYx.2007-2021.zip</v>
      </c>
    </row>
    <row r="7473" spans="1:10" x14ac:dyDescent="0.25">
      <c r="A7473" t="s">
        <v>5579</v>
      </c>
      <c r="B7473" t="s">
        <v>5582</v>
      </c>
      <c r="C7473" t="s">
        <v>5583</v>
      </c>
      <c r="D7473">
        <v>401010</v>
      </c>
      <c r="E7473" t="s">
        <v>14</v>
      </c>
      <c r="F7473">
        <v>33.817</v>
      </c>
      <c r="G7473">
        <v>35.85</v>
      </c>
      <c r="H7473">
        <v>2</v>
      </c>
      <c r="I7473">
        <v>920</v>
      </c>
      <c r="J7473" t="str">
        <f>HYPERLINK("https://climate.onebuilding.org/WMO_Region_6_Europe/LBN_Lebanon/LBN_BI_Chtaura-Houche.Oumara.401010_TMYx.2009-2023.zip")</f>
        <v>https://climate.onebuilding.org/WMO_Region_6_Europe/LBN_Lebanon/LBN_BI_Chtaura-Houche.Oumara.401010_TMYx.2009-2023.zip</v>
      </c>
    </row>
    <row r="7474" spans="1:10" x14ac:dyDescent="0.25">
      <c r="A7474" t="s">
        <v>5579</v>
      </c>
      <c r="B7474" t="s">
        <v>5582</v>
      </c>
      <c r="C7474" t="s">
        <v>5583</v>
      </c>
      <c r="D7474">
        <v>401010</v>
      </c>
      <c r="E7474" t="s">
        <v>14</v>
      </c>
      <c r="F7474">
        <v>33.817</v>
      </c>
      <c r="G7474">
        <v>35.85</v>
      </c>
      <c r="H7474">
        <v>2</v>
      </c>
      <c r="I7474">
        <v>920</v>
      </c>
      <c r="J7474" t="str">
        <f>HYPERLINK("https://climate.onebuilding.org/WMO_Region_6_Europe/LBN_Lebanon/LBN_BI_Chtaura-Houche.Oumara.401010_TMYx.zip")</f>
        <v>https://climate.onebuilding.org/WMO_Region_6_Europe/LBN_Lebanon/LBN_BI_Chtaura-Houche.Oumara.401010_TMYx.zip</v>
      </c>
    </row>
    <row r="7475" spans="1:10" x14ac:dyDescent="0.25">
      <c r="A7475" t="s">
        <v>5579</v>
      </c>
      <c r="B7475" t="s">
        <v>5582</v>
      </c>
      <c r="C7475" t="s">
        <v>5585</v>
      </c>
      <c r="D7475">
        <v>401020</v>
      </c>
      <c r="E7475" t="s">
        <v>14</v>
      </c>
      <c r="F7475">
        <v>33.866999999999997</v>
      </c>
      <c r="G7475">
        <v>36</v>
      </c>
      <c r="H7475">
        <v>2</v>
      </c>
      <c r="I7475">
        <v>920</v>
      </c>
      <c r="J7475" t="str">
        <f>HYPERLINK("https://climate.onebuilding.org/WMO_Region_6_Europe/LBN_Lebanon/LBN_BI_Rayak.AB.401020_TMYx.zip")</f>
        <v>https://climate.onebuilding.org/WMO_Region_6_Europe/LBN_Lebanon/LBN_BI_Rayak.AB.401020_TMYx.zip</v>
      </c>
    </row>
    <row r="7476" spans="1:10" x14ac:dyDescent="0.25">
      <c r="A7476" t="s">
        <v>5579</v>
      </c>
      <c r="B7476" t="s">
        <v>1963</v>
      </c>
      <c r="C7476" t="s">
        <v>5586</v>
      </c>
      <c r="D7476">
        <v>401030</v>
      </c>
      <c r="E7476" t="s">
        <v>5587</v>
      </c>
      <c r="F7476">
        <v>34.451999999999998</v>
      </c>
      <c r="G7476">
        <v>35.805999999999997</v>
      </c>
      <c r="H7476">
        <v>2</v>
      </c>
      <c r="I7476">
        <v>5</v>
      </c>
      <c r="J7476" t="str">
        <f>HYPERLINK("https://climate.onebuilding.org/WMO_Region_6_Europe/LBN_Lebanon/LBN_AS_Tripoli.401030_TMYx.2004-2018.zip")</f>
        <v>https://climate.onebuilding.org/WMO_Region_6_Europe/LBN_Lebanon/LBN_AS_Tripoli.401030_TMYx.2004-2018.zip</v>
      </c>
    </row>
    <row r="7477" spans="1:10" x14ac:dyDescent="0.25">
      <c r="A7477" t="s">
        <v>5579</v>
      </c>
      <c r="B7477" t="s">
        <v>1963</v>
      </c>
      <c r="C7477" t="s">
        <v>5586</v>
      </c>
      <c r="D7477">
        <v>401030</v>
      </c>
      <c r="E7477" t="s">
        <v>14</v>
      </c>
      <c r="F7477">
        <v>34.450000000000003</v>
      </c>
      <c r="G7477">
        <v>35.799999999999997</v>
      </c>
      <c r="H7477">
        <v>2</v>
      </c>
      <c r="I7477">
        <v>5</v>
      </c>
      <c r="J7477" t="str">
        <f>HYPERLINK("https://climate.onebuilding.org/WMO_Region_6_Europe/LBN_Lebanon/LBN_AS_Tripoli.401030_TMYx.2007-2021.zip")</f>
        <v>https://climate.onebuilding.org/WMO_Region_6_Europe/LBN_Lebanon/LBN_AS_Tripoli.401030_TMYx.2007-2021.zip</v>
      </c>
    </row>
    <row r="7478" spans="1:10" x14ac:dyDescent="0.25">
      <c r="A7478" t="s">
        <v>5579</v>
      </c>
      <c r="B7478" t="s">
        <v>1963</v>
      </c>
      <c r="C7478" t="s">
        <v>5586</v>
      </c>
      <c r="D7478">
        <v>401030</v>
      </c>
      <c r="E7478" t="s">
        <v>14</v>
      </c>
      <c r="F7478">
        <v>34.450000000000003</v>
      </c>
      <c r="G7478">
        <v>35.799999999999997</v>
      </c>
      <c r="H7478">
        <v>2</v>
      </c>
      <c r="I7478">
        <v>5</v>
      </c>
      <c r="J7478" t="str">
        <f>HYPERLINK("https://climate.onebuilding.org/WMO_Region_6_Europe/LBN_Lebanon/LBN_AS_Tripoli.401030_TMYx.2009-2023.zip")</f>
        <v>https://climate.onebuilding.org/WMO_Region_6_Europe/LBN_Lebanon/LBN_AS_Tripoli.401030_TMYx.2009-2023.zip</v>
      </c>
    </row>
    <row r="7479" spans="1:10" x14ac:dyDescent="0.25">
      <c r="A7479" t="s">
        <v>5579</v>
      </c>
      <c r="B7479" t="s">
        <v>1963</v>
      </c>
      <c r="C7479" t="s">
        <v>5586</v>
      </c>
      <c r="D7479">
        <v>401030</v>
      </c>
      <c r="E7479" t="s">
        <v>14</v>
      </c>
      <c r="F7479">
        <v>34.450000000000003</v>
      </c>
      <c r="G7479">
        <v>35.799999999999997</v>
      </c>
      <c r="H7479">
        <v>2</v>
      </c>
      <c r="I7479">
        <v>5</v>
      </c>
      <c r="J7479" t="str">
        <f>HYPERLINK("https://climate.onebuilding.org/WMO_Region_6_Europe/LBN_Lebanon/LBN_AS_Tripoli.401030_TMYx.zip")</f>
        <v>https://climate.onebuilding.org/WMO_Region_6_Europe/LBN_Lebanon/LBN_AS_Tripoli.401030_TMYx.zip</v>
      </c>
    </row>
    <row r="7480" spans="1:10" x14ac:dyDescent="0.25">
      <c r="A7480" t="s">
        <v>5579</v>
      </c>
      <c r="B7480" t="s">
        <v>5588</v>
      </c>
      <c r="C7480" t="s">
        <v>5589</v>
      </c>
      <c r="D7480">
        <v>401040</v>
      </c>
      <c r="E7480" t="s">
        <v>14</v>
      </c>
      <c r="F7480">
        <v>33.366999999999997</v>
      </c>
      <c r="G7480">
        <v>35.582999999999998</v>
      </c>
      <c r="H7480">
        <v>2</v>
      </c>
      <c r="I7480">
        <v>773</v>
      </c>
      <c r="J7480" t="str">
        <f>HYPERLINK("https://climate.onebuilding.org/WMO_Region_6_Europe/LBN_Lebanon/LBN_NA_Merdjaayoun.401040_TMYx.zip")</f>
        <v>https://climate.onebuilding.org/WMO_Region_6_Europe/LBN_Lebanon/LBN_NA_Merdjaayoun.401040_TMYx.zip</v>
      </c>
    </row>
    <row r="7481" spans="1:10" x14ac:dyDescent="0.25">
      <c r="A7481" t="s">
        <v>5579</v>
      </c>
      <c r="B7481" t="s">
        <v>1963</v>
      </c>
      <c r="C7481" t="s">
        <v>5590</v>
      </c>
      <c r="D7481">
        <v>401050</v>
      </c>
      <c r="E7481" t="s">
        <v>14</v>
      </c>
      <c r="F7481">
        <v>34.25</v>
      </c>
      <c r="G7481">
        <v>36.049999999999997</v>
      </c>
      <c r="H7481">
        <v>2</v>
      </c>
      <c r="I7481">
        <v>1916</v>
      </c>
      <c r="J7481" t="str">
        <f>HYPERLINK("https://climate.onebuilding.org/WMO_Region_6_Europe/LBN_Lebanon/LBN_AS_Bcharre-Cedars.of.God-Cedars.Ski.Resort.401050_TMYx.zip")</f>
        <v>https://climate.onebuilding.org/WMO_Region_6_Europe/LBN_Lebanon/LBN_AS_Bcharre-Cedars.of.God-Cedars.Ski.Resort.401050_TMYx.zip</v>
      </c>
    </row>
    <row r="7482" spans="1:10" x14ac:dyDescent="0.25">
      <c r="A7482" t="s">
        <v>5579</v>
      </c>
      <c r="B7482" t="s">
        <v>5582</v>
      </c>
      <c r="C7482" t="s">
        <v>5591</v>
      </c>
      <c r="D7482">
        <v>401060</v>
      </c>
      <c r="E7482" t="s">
        <v>14</v>
      </c>
      <c r="F7482">
        <v>33.832999999999998</v>
      </c>
      <c r="G7482">
        <v>35.883000000000003</v>
      </c>
      <c r="H7482">
        <v>2</v>
      </c>
      <c r="I7482">
        <v>918.1</v>
      </c>
      <c r="J7482" t="str">
        <f>HYPERLINK("https://climate.onebuilding.org/WMO_Region_6_Europe/LBN_Lebanon/LBN_BI_Chateau.Ksara.401060_TMYx.zip")</f>
        <v>https://climate.onebuilding.org/WMO_Region_6_Europe/LBN_Lebanon/LBN_BI_Chateau.Ksara.401060_TMYx.zip</v>
      </c>
    </row>
    <row r="7483" spans="1:10" x14ac:dyDescent="0.25">
      <c r="A7483" t="s">
        <v>5579</v>
      </c>
      <c r="B7483" t="s">
        <v>5592</v>
      </c>
      <c r="C7483" t="s">
        <v>5593</v>
      </c>
      <c r="D7483">
        <v>401100</v>
      </c>
      <c r="E7483" t="s">
        <v>14</v>
      </c>
      <c r="F7483">
        <v>33.817</v>
      </c>
      <c r="G7483">
        <v>35.767000000000003</v>
      </c>
      <c r="H7483">
        <v>2</v>
      </c>
      <c r="I7483">
        <v>1524</v>
      </c>
      <c r="J7483" t="str">
        <f>HYPERLINK("https://climate.onebuilding.org/WMO_Region_6_Europe/LBN_Lebanon/LBN_JL_Hammana-Dahr.Baidar.401100_TMYx.zip")</f>
        <v>https://climate.onebuilding.org/WMO_Region_6_Europe/LBN_Lebanon/LBN_JL_Hammana-Dahr.Baidar.401100_TMYx.zip</v>
      </c>
    </row>
    <row r="7484" spans="1:10" x14ac:dyDescent="0.25">
      <c r="A7484" t="s">
        <v>5594</v>
      </c>
      <c r="B7484" t="s">
        <v>4901</v>
      </c>
      <c r="C7484" t="s">
        <v>5595</v>
      </c>
      <c r="D7484" s="1" t="s">
        <v>5596</v>
      </c>
      <c r="E7484" t="s">
        <v>5597</v>
      </c>
      <c r="F7484">
        <v>47.127499999999998</v>
      </c>
      <c r="G7484">
        <v>9.5175000000000001</v>
      </c>
      <c r="H7484">
        <v>1</v>
      </c>
      <c r="I7484">
        <v>458.5</v>
      </c>
      <c r="J7484" t="str">
        <f>HYPERLINK("https://climate.onebuilding.org/WMO_Region_6_Europe/LIE_Liechtenstein/LIE_VA_Vaduz.069900_TMYx.2004-2018.zip")</f>
        <v>https://climate.onebuilding.org/WMO_Region_6_Europe/LIE_Liechtenstein/LIE_VA_Vaduz.069900_TMYx.2004-2018.zip</v>
      </c>
    </row>
    <row r="7485" spans="1:10" x14ac:dyDescent="0.25">
      <c r="A7485" t="s">
        <v>5594</v>
      </c>
      <c r="B7485" t="s">
        <v>4901</v>
      </c>
      <c r="C7485" t="s">
        <v>5595</v>
      </c>
      <c r="D7485" s="1" t="s">
        <v>5596</v>
      </c>
      <c r="E7485" t="s">
        <v>14</v>
      </c>
      <c r="F7485">
        <v>47.127499999999998</v>
      </c>
      <c r="G7485">
        <v>9.5175000000000001</v>
      </c>
      <c r="H7485">
        <v>1</v>
      </c>
      <c r="I7485">
        <v>458.5</v>
      </c>
      <c r="J7485" t="str">
        <f>HYPERLINK("https://climate.onebuilding.org/WMO_Region_6_Europe/LIE_Liechtenstein/LIE_VA_Vaduz.069900_TMYx.2007-2021.zip")</f>
        <v>https://climate.onebuilding.org/WMO_Region_6_Europe/LIE_Liechtenstein/LIE_VA_Vaduz.069900_TMYx.2007-2021.zip</v>
      </c>
    </row>
    <row r="7486" spans="1:10" x14ac:dyDescent="0.25">
      <c r="A7486" t="s">
        <v>5594</v>
      </c>
      <c r="B7486" t="s">
        <v>4901</v>
      </c>
      <c r="C7486" t="s">
        <v>5595</v>
      </c>
      <c r="D7486" s="1" t="s">
        <v>5596</v>
      </c>
      <c r="E7486" t="s">
        <v>14</v>
      </c>
      <c r="F7486">
        <v>47.127499999999998</v>
      </c>
      <c r="G7486">
        <v>9.5175000000000001</v>
      </c>
      <c r="H7486">
        <v>1</v>
      </c>
      <c r="I7486">
        <v>458.5</v>
      </c>
      <c r="J7486" t="str">
        <f>HYPERLINK("https://climate.onebuilding.org/WMO_Region_6_Europe/LIE_Liechtenstein/LIE_VA_Vaduz.069900_TMYx.2009-2023.zip")</f>
        <v>https://climate.onebuilding.org/WMO_Region_6_Europe/LIE_Liechtenstein/LIE_VA_Vaduz.069900_TMYx.2009-2023.zip</v>
      </c>
    </row>
    <row r="7487" spans="1:10" x14ac:dyDescent="0.25">
      <c r="A7487" t="s">
        <v>5594</v>
      </c>
      <c r="B7487" t="s">
        <v>4901</v>
      </c>
      <c r="C7487" t="s">
        <v>5595</v>
      </c>
      <c r="D7487" s="1" t="s">
        <v>5596</v>
      </c>
      <c r="E7487" t="s">
        <v>14</v>
      </c>
      <c r="F7487">
        <v>47.127499999999998</v>
      </c>
      <c r="G7487">
        <v>9.5175000000000001</v>
      </c>
      <c r="H7487">
        <v>1</v>
      </c>
      <c r="I7487">
        <v>458.5</v>
      </c>
      <c r="J7487" t="str">
        <f>HYPERLINK("https://climate.onebuilding.org/WMO_Region_6_Europe/LIE_Liechtenstein/LIE_VA_Vaduz.069900_TMYx.zip")</f>
        <v>https://climate.onebuilding.org/WMO_Region_6_Europe/LIE_Liechtenstein/LIE_VA_Vaduz.069900_TMYx.zip</v>
      </c>
    </row>
    <row r="7488" spans="1:10" x14ac:dyDescent="0.25">
      <c r="A7488" t="s">
        <v>5598</v>
      </c>
      <c r="B7488" t="s">
        <v>5599</v>
      </c>
      <c r="C7488" t="s">
        <v>5600</v>
      </c>
      <c r="D7488">
        <v>265020</v>
      </c>
      <c r="E7488" t="s">
        <v>5601</v>
      </c>
      <c r="F7488">
        <v>55.973100000000002</v>
      </c>
      <c r="G7488">
        <v>21.091699999999999</v>
      </c>
      <c r="H7488">
        <v>2</v>
      </c>
      <c r="I7488">
        <v>15.1</v>
      </c>
      <c r="J7488" t="str">
        <f>HYPERLINK("https://climate.onebuilding.org/WMO_Region_6_Europe/LTU_Lithuania/KL_Klaipeda/LTU_KL_Palanga.Intl.AP.265020_TMYx.2004-2018.zip")</f>
        <v>https://climate.onebuilding.org/WMO_Region_6_Europe/LTU_Lithuania/KL_Klaipeda/LTU_KL_Palanga.Intl.AP.265020_TMYx.2004-2018.zip</v>
      </c>
    </row>
    <row r="7489" spans="1:10" x14ac:dyDescent="0.25">
      <c r="A7489" t="s">
        <v>5598</v>
      </c>
      <c r="B7489" t="s">
        <v>5599</v>
      </c>
      <c r="C7489" t="s">
        <v>5600</v>
      </c>
      <c r="D7489">
        <v>265020</v>
      </c>
      <c r="E7489" t="s">
        <v>14</v>
      </c>
      <c r="F7489">
        <v>55.973100000000002</v>
      </c>
      <c r="G7489">
        <v>21.091699999999999</v>
      </c>
      <c r="H7489">
        <v>2</v>
      </c>
      <c r="I7489">
        <v>15.1</v>
      </c>
      <c r="J7489" t="str">
        <f>HYPERLINK("https://climate.onebuilding.org/WMO_Region_6_Europe/LTU_Lithuania/KL_Klaipeda/LTU_KL_Palanga.Intl.AP.265020_TMYx.2007-2021.zip")</f>
        <v>https://climate.onebuilding.org/WMO_Region_6_Europe/LTU_Lithuania/KL_Klaipeda/LTU_KL_Palanga.Intl.AP.265020_TMYx.2007-2021.zip</v>
      </c>
    </row>
    <row r="7490" spans="1:10" x14ac:dyDescent="0.25">
      <c r="A7490" t="s">
        <v>5598</v>
      </c>
      <c r="B7490" t="s">
        <v>5599</v>
      </c>
      <c r="C7490" t="s">
        <v>5600</v>
      </c>
      <c r="D7490">
        <v>265020</v>
      </c>
      <c r="E7490" t="s">
        <v>14</v>
      </c>
      <c r="F7490">
        <v>55.973100000000002</v>
      </c>
      <c r="G7490">
        <v>21.091699999999999</v>
      </c>
      <c r="H7490">
        <v>2</v>
      </c>
      <c r="I7490">
        <v>15.1</v>
      </c>
      <c r="J7490" t="str">
        <f>HYPERLINK("https://climate.onebuilding.org/WMO_Region_6_Europe/LTU_Lithuania/KL_Klaipeda/LTU_KL_Palanga.Intl.AP.265020_TMYx.2009-2023.zip")</f>
        <v>https://climate.onebuilding.org/WMO_Region_6_Europe/LTU_Lithuania/KL_Klaipeda/LTU_KL_Palanga.Intl.AP.265020_TMYx.2009-2023.zip</v>
      </c>
    </row>
    <row r="7491" spans="1:10" x14ac:dyDescent="0.25">
      <c r="A7491" t="s">
        <v>5598</v>
      </c>
      <c r="B7491" t="s">
        <v>5599</v>
      </c>
      <c r="C7491" t="s">
        <v>5600</v>
      </c>
      <c r="D7491">
        <v>265020</v>
      </c>
      <c r="E7491" t="s">
        <v>14</v>
      </c>
      <c r="F7491">
        <v>55.973100000000002</v>
      </c>
      <c r="G7491">
        <v>21.091699999999999</v>
      </c>
      <c r="H7491">
        <v>2</v>
      </c>
      <c r="I7491">
        <v>15.1</v>
      </c>
      <c r="J7491" t="str">
        <f>HYPERLINK("https://climate.onebuilding.org/WMO_Region_6_Europe/LTU_Lithuania/KL_Klaipeda/LTU_KL_Palanga.Intl.AP.265020_TMYx.zip")</f>
        <v>https://climate.onebuilding.org/WMO_Region_6_Europe/LTU_Lithuania/KL_Klaipeda/LTU_KL_Palanga.Intl.AP.265020_TMYx.zip</v>
      </c>
    </row>
    <row r="7492" spans="1:10" x14ac:dyDescent="0.25">
      <c r="A7492" t="s">
        <v>5598</v>
      </c>
      <c r="B7492" t="s">
        <v>2286</v>
      </c>
      <c r="C7492" t="s">
        <v>5602</v>
      </c>
      <c r="D7492">
        <v>265021</v>
      </c>
      <c r="E7492" t="s">
        <v>5603</v>
      </c>
      <c r="F7492">
        <v>55.889699999999998</v>
      </c>
      <c r="G7492">
        <v>23.391500000000001</v>
      </c>
      <c r="H7492">
        <v>2</v>
      </c>
      <c r="I7492">
        <v>138</v>
      </c>
      <c r="J7492" t="str">
        <f>HYPERLINK("https://climate.onebuilding.org/WMO_Region_6_Europe/LTU_Lithuania/SA_Siauliai/LTU_SA_Siauliai.Intl.AP.265021_TMYx.2004-2018.zip")</f>
        <v>https://climate.onebuilding.org/WMO_Region_6_Europe/LTU_Lithuania/SA_Siauliai/LTU_SA_Siauliai.Intl.AP.265021_TMYx.2004-2018.zip</v>
      </c>
    </row>
    <row r="7493" spans="1:10" x14ac:dyDescent="0.25">
      <c r="A7493" t="s">
        <v>5598</v>
      </c>
      <c r="B7493" t="s">
        <v>2286</v>
      </c>
      <c r="C7493" t="s">
        <v>5602</v>
      </c>
      <c r="D7493">
        <v>265021</v>
      </c>
      <c r="E7493" t="s">
        <v>14</v>
      </c>
      <c r="F7493">
        <v>55.892000000000003</v>
      </c>
      <c r="G7493">
        <v>23.396999999999998</v>
      </c>
      <c r="H7493">
        <v>2</v>
      </c>
      <c r="I7493">
        <v>138</v>
      </c>
      <c r="J7493" t="str">
        <f>HYPERLINK("https://climate.onebuilding.org/WMO_Region_6_Europe/LTU_Lithuania/SA_Siauliai/LTU_SA_Siauliai.Intl.AP.265021_TMYx.2007-2021.zip")</f>
        <v>https://climate.onebuilding.org/WMO_Region_6_Europe/LTU_Lithuania/SA_Siauliai/LTU_SA_Siauliai.Intl.AP.265021_TMYx.2007-2021.zip</v>
      </c>
    </row>
    <row r="7494" spans="1:10" x14ac:dyDescent="0.25">
      <c r="A7494" t="s">
        <v>5598</v>
      </c>
      <c r="B7494" t="s">
        <v>2286</v>
      </c>
      <c r="C7494" t="s">
        <v>5602</v>
      </c>
      <c r="D7494">
        <v>265021</v>
      </c>
      <c r="E7494" t="s">
        <v>14</v>
      </c>
      <c r="F7494">
        <v>55.892000000000003</v>
      </c>
      <c r="G7494">
        <v>23.396999999999998</v>
      </c>
      <c r="H7494">
        <v>2</v>
      </c>
      <c r="I7494">
        <v>138</v>
      </c>
      <c r="J7494" t="str">
        <f>HYPERLINK("https://climate.onebuilding.org/WMO_Region_6_Europe/LTU_Lithuania/SA_Siauliai/LTU_SA_Siauliai.Intl.AP.265021_TMYx.2009-2023.zip")</f>
        <v>https://climate.onebuilding.org/WMO_Region_6_Europe/LTU_Lithuania/SA_Siauliai/LTU_SA_Siauliai.Intl.AP.265021_TMYx.2009-2023.zip</v>
      </c>
    </row>
    <row r="7495" spans="1:10" x14ac:dyDescent="0.25">
      <c r="A7495" t="s">
        <v>5598</v>
      </c>
      <c r="B7495" t="s">
        <v>2286</v>
      </c>
      <c r="C7495" t="s">
        <v>5602</v>
      </c>
      <c r="D7495">
        <v>265021</v>
      </c>
      <c r="E7495" t="s">
        <v>14</v>
      </c>
      <c r="F7495">
        <v>55.892000000000003</v>
      </c>
      <c r="G7495">
        <v>23.396999999999998</v>
      </c>
      <c r="H7495">
        <v>2</v>
      </c>
      <c r="I7495">
        <v>138</v>
      </c>
      <c r="J7495" t="str">
        <f>HYPERLINK("https://climate.onebuilding.org/WMO_Region_6_Europe/LTU_Lithuania/SA_Siauliai/LTU_SA_Siauliai.Intl.AP.265021_TMYx.zip")</f>
        <v>https://climate.onebuilding.org/WMO_Region_6_Europe/LTU_Lithuania/SA_Siauliai/LTU_SA_Siauliai.Intl.AP.265021_TMYx.zip</v>
      </c>
    </row>
    <row r="7496" spans="1:10" x14ac:dyDescent="0.25">
      <c r="A7496" t="s">
        <v>5598</v>
      </c>
      <c r="B7496" t="s">
        <v>5599</v>
      </c>
      <c r="C7496" t="s">
        <v>5604</v>
      </c>
      <c r="D7496">
        <v>265090</v>
      </c>
      <c r="E7496" t="s">
        <v>5605</v>
      </c>
      <c r="F7496">
        <v>55.731400000000001</v>
      </c>
      <c r="G7496">
        <v>21.091699999999999</v>
      </c>
      <c r="H7496">
        <v>2</v>
      </c>
      <c r="I7496">
        <v>7.3</v>
      </c>
      <c r="J7496" t="str">
        <f>HYPERLINK("https://climate.onebuilding.org/WMO_Region_6_Europe/LTU_Lithuania/KL_Klaipeda/LTU_KL_Klaipeda.265090_TMYx.2004-2018.zip")</f>
        <v>https://climate.onebuilding.org/WMO_Region_6_Europe/LTU_Lithuania/KL_Klaipeda/LTU_KL_Klaipeda.265090_TMYx.2004-2018.zip</v>
      </c>
    </row>
    <row r="7497" spans="1:10" x14ac:dyDescent="0.25">
      <c r="A7497" t="s">
        <v>5598</v>
      </c>
      <c r="B7497" t="s">
        <v>5599</v>
      </c>
      <c r="C7497" t="s">
        <v>5604</v>
      </c>
      <c r="D7497">
        <v>265090</v>
      </c>
      <c r="E7497" t="s">
        <v>14</v>
      </c>
      <c r="F7497">
        <v>55.731400000000001</v>
      </c>
      <c r="G7497">
        <v>21.091699999999999</v>
      </c>
      <c r="H7497">
        <v>2</v>
      </c>
      <c r="I7497">
        <v>7.3</v>
      </c>
      <c r="J7497" t="str">
        <f>HYPERLINK("https://climate.onebuilding.org/WMO_Region_6_Europe/LTU_Lithuania/KL_Klaipeda/LTU_KL_Klaipeda.265090_TMYx.2007-2021.zip")</f>
        <v>https://climate.onebuilding.org/WMO_Region_6_Europe/LTU_Lithuania/KL_Klaipeda/LTU_KL_Klaipeda.265090_TMYx.2007-2021.zip</v>
      </c>
    </row>
    <row r="7498" spans="1:10" x14ac:dyDescent="0.25">
      <c r="A7498" t="s">
        <v>5598</v>
      </c>
      <c r="B7498" t="s">
        <v>5599</v>
      </c>
      <c r="C7498" t="s">
        <v>5604</v>
      </c>
      <c r="D7498">
        <v>265090</v>
      </c>
      <c r="E7498" t="s">
        <v>14</v>
      </c>
      <c r="F7498">
        <v>55.731400000000001</v>
      </c>
      <c r="G7498">
        <v>21.091699999999999</v>
      </c>
      <c r="H7498">
        <v>2</v>
      </c>
      <c r="I7498">
        <v>7.3</v>
      </c>
      <c r="J7498" t="str">
        <f>HYPERLINK("https://climate.onebuilding.org/WMO_Region_6_Europe/LTU_Lithuania/KL_Klaipeda/LTU_KL_Klaipeda.265090_TMYx.2009-2023.zip")</f>
        <v>https://climate.onebuilding.org/WMO_Region_6_Europe/LTU_Lithuania/KL_Klaipeda/LTU_KL_Klaipeda.265090_TMYx.2009-2023.zip</v>
      </c>
    </row>
    <row r="7499" spans="1:10" x14ac:dyDescent="0.25">
      <c r="A7499" t="s">
        <v>5598</v>
      </c>
      <c r="B7499" t="s">
        <v>5599</v>
      </c>
      <c r="C7499" t="s">
        <v>5604</v>
      </c>
      <c r="D7499">
        <v>265090</v>
      </c>
      <c r="E7499" t="s">
        <v>14</v>
      </c>
      <c r="F7499">
        <v>55.731400000000001</v>
      </c>
      <c r="G7499">
        <v>21.091699999999999</v>
      </c>
      <c r="H7499">
        <v>2</v>
      </c>
      <c r="I7499">
        <v>7.3</v>
      </c>
      <c r="J7499" t="str">
        <f>HYPERLINK("https://climate.onebuilding.org/WMO_Region_6_Europe/LTU_Lithuania/KL_Klaipeda/LTU_KL_Klaipeda.265090_TMYx.zip")</f>
        <v>https://climate.onebuilding.org/WMO_Region_6_Europe/LTU_Lithuania/KL_Klaipeda/LTU_KL_Klaipeda.265090_TMYx.zip</v>
      </c>
    </row>
    <row r="7500" spans="1:10" x14ac:dyDescent="0.25">
      <c r="A7500" t="s">
        <v>5598</v>
      </c>
      <c r="B7500" t="s">
        <v>5606</v>
      </c>
      <c r="C7500" t="s">
        <v>5607</v>
      </c>
      <c r="D7500">
        <v>265150</v>
      </c>
      <c r="E7500" t="s">
        <v>14</v>
      </c>
      <c r="F7500">
        <v>55.991100000000003</v>
      </c>
      <c r="G7500">
        <v>22.256699999999999</v>
      </c>
      <c r="H7500">
        <v>2</v>
      </c>
      <c r="I7500">
        <v>152</v>
      </c>
      <c r="J7500" t="str">
        <f>HYPERLINK("https://climate.onebuilding.org/WMO_Region_6_Europe/LTU_Lithuania/TE_Telsiai/LTU_TE_Telsiai.265150_TMYx.zip")</f>
        <v>https://climate.onebuilding.org/WMO_Region_6_Europe/LTU_Lithuania/TE_Telsiai/LTU_TE_Telsiai.265150_TMYx.zip</v>
      </c>
    </row>
    <row r="7501" spans="1:10" x14ac:dyDescent="0.25">
      <c r="A7501" t="s">
        <v>5598</v>
      </c>
      <c r="B7501" t="s">
        <v>2302</v>
      </c>
      <c r="C7501" t="s">
        <v>5608</v>
      </c>
      <c r="D7501">
        <v>265180</v>
      </c>
      <c r="E7501" t="s">
        <v>5609</v>
      </c>
      <c r="F7501">
        <v>55.608899999999998</v>
      </c>
      <c r="G7501">
        <v>22.2394</v>
      </c>
      <c r="H7501">
        <v>2</v>
      </c>
      <c r="I7501">
        <v>165.8</v>
      </c>
      <c r="J7501" t="str">
        <f>HYPERLINK("https://climate.onebuilding.org/WMO_Region_6_Europe/LTU_Lithuania/TA_Taurage/LTU_TA_Laukuva.265180_TMYx.2004-2018.zip")</f>
        <v>https://climate.onebuilding.org/WMO_Region_6_Europe/LTU_Lithuania/TA_Taurage/LTU_TA_Laukuva.265180_TMYx.2004-2018.zip</v>
      </c>
    </row>
    <row r="7502" spans="1:10" x14ac:dyDescent="0.25">
      <c r="A7502" t="s">
        <v>5598</v>
      </c>
      <c r="B7502" t="s">
        <v>2302</v>
      </c>
      <c r="C7502" t="s">
        <v>5608</v>
      </c>
      <c r="D7502">
        <v>265180</v>
      </c>
      <c r="E7502" t="s">
        <v>14</v>
      </c>
      <c r="F7502">
        <v>55.608899999999998</v>
      </c>
      <c r="G7502">
        <v>22.2394</v>
      </c>
      <c r="H7502">
        <v>2</v>
      </c>
      <c r="I7502">
        <v>165.8</v>
      </c>
      <c r="J7502" t="str">
        <f>HYPERLINK("https://climate.onebuilding.org/WMO_Region_6_Europe/LTU_Lithuania/TA_Taurage/LTU_TA_Laukuva.265180_TMYx.2007-2021.zip")</f>
        <v>https://climate.onebuilding.org/WMO_Region_6_Europe/LTU_Lithuania/TA_Taurage/LTU_TA_Laukuva.265180_TMYx.2007-2021.zip</v>
      </c>
    </row>
    <row r="7503" spans="1:10" x14ac:dyDescent="0.25">
      <c r="A7503" t="s">
        <v>5598</v>
      </c>
      <c r="B7503" t="s">
        <v>2302</v>
      </c>
      <c r="C7503" t="s">
        <v>5608</v>
      </c>
      <c r="D7503">
        <v>265180</v>
      </c>
      <c r="E7503" t="s">
        <v>14</v>
      </c>
      <c r="F7503">
        <v>55.608899999999998</v>
      </c>
      <c r="G7503">
        <v>22.2394</v>
      </c>
      <c r="H7503">
        <v>2</v>
      </c>
      <c r="I7503">
        <v>165.8</v>
      </c>
      <c r="J7503" t="str">
        <f>HYPERLINK("https://climate.onebuilding.org/WMO_Region_6_Europe/LTU_Lithuania/TA_Taurage/LTU_TA_Laukuva.265180_TMYx.2009-2023.zip")</f>
        <v>https://climate.onebuilding.org/WMO_Region_6_Europe/LTU_Lithuania/TA_Taurage/LTU_TA_Laukuva.265180_TMYx.2009-2023.zip</v>
      </c>
    </row>
    <row r="7504" spans="1:10" x14ac:dyDescent="0.25">
      <c r="A7504" t="s">
        <v>5598</v>
      </c>
      <c r="B7504" t="s">
        <v>2302</v>
      </c>
      <c r="C7504" t="s">
        <v>5608</v>
      </c>
      <c r="D7504">
        <v>265180</v>
      </c>
      <c r="E7504" t="s">
        <v>14</v>
      </c>
      <c r="F7504">
        <v>55.608899999999998</v>
      </c>
      <c r="G7504">
        <v>22.2394</v>
      </c>
      <c r="H7504">
        <v>2</v>
      </c>
      <c r="I7504">
        <v>165.8</v>
      </c>
      <c r="J7504" t="str">
        <f>HYPERLINK("https://climate.onebuilding.org/WMO_Region_6_Europe/LTU_Lithuania/TA_Taurage/LTU_TA_Laukuva.265180_TMYx.zip")</f>
        <v>https://climate.onebuilding.org/WMO_Region_6_Europe/LTU_Lithuania/TA_Taurage/LTU_TA_Laukuva.265180_TMYx.zip</v>
      </c>
    </row>
    <row r="7505" spans="1:10" x14ac:dyDescent="0.25">
      <c r="A7505" t="s">
        <v>5598</v>
      </c>
      <c r="B7505" t="s">
        <v>2286</v>
      </c>
      <c r="C7505" t="s">
        <v>5610</v>
      </c>
      <c r="D7505">
        <v>265240</v>
      </c>
      <c r="E7505" t="s">
        <v>5611</v>
      </c>
      <c r="F7505">
        <v>55.9422</v>
      </c>
      <c r="G7505">
        <v>23.331099999999999</v>
      </c>
      <c r="H7505">
        <v>2</v>
      </c>
      <c r="I7505">
        <v>107</v>
      </c>
      <c r="J7505" t="str">
        <f>HYPERLINK("https://climate.onebuilding.org/WMO_Region_6_Europe/LTU_Lithuania/SA_Siauliai/LTU_SA_Siauliai.265240_TMYx.2004-2018.zip")</f>
        <v>https://climate.onebuilding.org/WMO_Region_6_Europe/LTU_Lithuania/SA_Siauliai/LTU_SA_Siauliai.265240_TMYx.2004-2018.zip</v>
      </c>
    </row>
    <row r="7506" spans="1:10" x14ac:dyDescent="0.25">
      <c r="A7506" t="s">
        <v>5598</v>
      </c>
      <c r="B7506" t="s">
        <v>2286</v>
      </c>
      <c r="C7506" t="s">
        <v>5610</v>
      </c>
      <c r="D7506">
        <v>265240</v>
      </c>
      <c r="E7506" t="s">
        <v>14</v>
      </c>
      <c r="F7506">
        <v>55.9422</v>
      </c>
      <c r="G7506">
        <v>23.331099999999999</v>
      </c>
      <c r="H7506">
        <v>2</v>
      </c>
      <c r="I7506">
        <v>107</v>
      </c>
      <c r="J7506" t="str">
        <f>HYPERLINK("https://climate.onebuilding.org/WMO_Region_6_Europe/LTU_Lithuania/SA_Siauliai/LTU_SA_Siauliai.265240_TMYx.2007-2021.zip")</f>
        <v>https://climate.onebuilding.org/WMO_Region_6_Europe/LTU_Lithuania/SA_Siauliai/LTU_SA_Siauliai.265240_TMYx.2007-2021.zip</v>
      </c>
    </row>
    <row r="7507" spans="1:10" x14ac:dyDescent="0.25">
      <c r="A7507" t="s">
        <v>5598</v>
      </c>
      <c r="B7507" t="s">
        <v>2286</v>
      </c>
      <c r="C7507" t="s">
        <v>5610</v>
      </c>
      <c r="D7507">
        <v>265240</v>
      </c>
      <c r="E7507" t="s">
        <v>14</v>
      </c>
      <c r="F7507">
        <v>55.9422</v>
      </c>
      <c r="G7507">
        <v>23.331099999999999</v>
      </c>
      <c r="H7507">
        <v>2</v>
      </c>
      <c r="I7507">
        <v>107</v>
      </c>
      <c r="J7507" t="str">
        <f>HYPERLINK("https://climate.onebuilding.org/WMO_Region_6_Europe/LTU_Lithuania/SA_Siauliai/LTU_SA_Siauliai.265240_TMYx.2009-2023.zip")</f>
        <v>https://climate.onebuilding.org/WMO_Region_6_Europe/LTU_Lithuania/SA_Siauliai/LTU_SA_Siauliai.265240_TMYx.2009-2023.zip</v>
      </c>
    </row>
    <row r="7508" spans="1:10" x14ac:dyDescent="0.25">
      <c r="A7508" t="s">
        <v>5598</v>
      </c>
      <c r="B7508" t="s">
        <v>2286</v>
      </c>
      <c r="C7508" t="s">
        <v>5610</v>
      </c>
      <c r="D7508">
        <v>265240</v>
      </c>
      <c r="E7508" t="s">
        <v>14</v>
      </c>
      <c r="F7508">
        <v>55.9422</v>
      </c>
      <c r="G7508">
        <v>23.331099999999999</v>
      </c>
      <c r="H7508">
        <v>2</v>
      </c>
      <c r="I7508">
        <v>107</v>
      </c>
      <c r="J7508" t="str">
        <f>HYPERLINK("https://climate.onebuilding.org/WMO_Region_6_Europe/LTU_Lithuania/SA_Siauliai/LTU_SA_Siauliai.265240_TMYx.zip")</f>
        <v>https://climate.onebuilding.org/WMO_Region_6_Europe/LTU_Lithuania/SA_Siauliai/LTU_SA_Siauliai.265240_TMYx.zip</v>
      </c>
    </row>
    <row r="7509" spans="1:10" x14ac:dyDescent="0.25">
      <c r="A7509" t="s">
        <v>5598</v>
      </c>
      <c r="B7509" t="s">
        <v>5612</v>
      </c>
      <c r="C7509" t="s">
        <v>5613</v>
      </c>
      <c r="D7509">
        <v>265290</v>
      </c>
      <c r="E7509" t="s">
        <v>14</v>
      </c>
      <c r="F7509">
        <v>55.735300000000002</v>
      </c>
      <c r="G7509">
        <v>24.417200000000001</v>
      </c>
      <c r="H7509">
        <v>2</v>
      </c>
      <c r="I7509">
        <v>58.3</v>
      </c>
      <c r="J7509" t="str">
        <f>HYPERLINK("https://climate.onebuilding.org/WMO_Region_6_Europe/LTU_Lithuania/PN_Panevezys/LTU_PN_Panevezys.265290_TMYx.zip")</f>
        <v>https://climate.onebuilding.org/WMO_Region_6_Europe/LTU_Lithuania/PN_Panevezys/LTU_PN_Panevezys.265290_TMYx.zip</v>
      </c>
    </row>
    <row r="7510" spans="1:10" x14ac:dyDescent="0.25">
      <c r="A7510" t="s">
        <v>5598</v>
      </c>
      <c r="B7510" t="s">
        <v>5612</v>
      </c>
      <c r="C7510" t="s">
        <v>5614</v>
      </c>
      <c r="D7510">
        <v>265310</v>
      </c>
      <c r="E7510" t="s">
        <v>5615</v>
      </c>
      <c r="F7510">
        <v>56.193100000000001</v>
      </c>
      <c r="G7510">
        <v>24.7742</v>
      </c>
      <c r="H7510">
        <v>2</v>
      </c>
      <c r="I7510">
        <v>61.5</v>
      </c>
      <c r="J7510" t="str">
        <f>HYPERLINK("https://climate.onebuilding.org/WMO_Region_6_Europe/LTU_Lithuania/PN_Panevezys/LTU_PN_Birzai.265310_TMYx.2004-2018.zip")</f>
        <v>https://climate.onebuilding.org/WMO_Region_6_Europe/LTU_Lithuania/PN_Panevezys/LTU_PN_Birzai.265310_TMYx.2004-2018.zip</v>
      </c>
    </row>
    <row r="7511" spans="1:10" x14ac:dyDescent="0.25">
      <c r="A7511" t="s">
        <v>5598</v>
      </c>
      <c r="B7511" t="s">
        <v>5612</v>
      </c>
      <c r="C7511" t="s">
        <v>5614</v>
      </c>
      <c r="D7511">
        <v>265310</v>
      </c>
      <c r="E7511" t="s">
        <v>14</v>
      </c>
      <c r="F7511">
        <v>56.193100000000001</v>
      </c>
      <c r="G7511">
        <v>24.7742</v>
      </c>
      <c r="H7511">
        <v>2</v>
      </c>
      <c r="I7511">
        <v>61.5</v>
      </c>
      <c r="J7511" t="str">
        <f>HYPERLINK("https://climate.onebuilding.org/WMO_Region_6_Europe/LTU_Lithuania/PN_Panevezys/LTU_PN_Birzai.265310_TMYx.2007-2021.zip")</f>
        <v>https://climate.onebuilding.org/WMO_Region_6_Europe/LTU_Lithuania/PN_Panevezys/LTU_PN_Birzai.265310_TMYx.2007-2021.zip</v>
      </c>
    </row>
    <row r="7512" spans="1:10" x14ac:dyDescent="0.25">
      <c r="A7512" t="s">
        <v>5598</v>
      </c>
      <c r="B7512" t="s">
        <v>5612</v>
      </c>
      <c r="C7512" t="s">
        <v>5614</v>
      </c>
      <c r="D7512">
        <v>265310</v>
      </c>
      <c r="E7512" t="s">
        <v>14</v>
      </c>
      <c r="F7512">
        <v>56.193100000000001</v>
      </c>
      <c r="G7512">
        <v>24.7742</v>
      </c>
      <c r="H7512">
        <v>2</v>
      </c>
      <c r="I7512">
        <v>61.5</v>
      </c>
      <c r="J7512" t="str">
        <f>HYPERLINK("https://climate.onebuilding.org/WMO_Region_6_Europe/LTU_Lithuania/PN_Panevezys/LTU_PN_Birzai.265310_TMYx.2009-2023.zip")</f>
        <v>https://climate.onebuilding.org/WMO_Region_6_Europe/LTU_Lithuania/PN_Panevezys/LTU_PN_Birzai.265310_TMYx.2009-2023.zip</v>
      </c>
    </row>
    <row r="7513" spans="1:10" x14ac:dyDescent="0.25">
      <c r="A7513" t="s">
        <v>5598</v>
      </c>
      <c r="B7513" t="s">
        <v>5612</v>
      </c>
      <c r="C7513" t="s">
        <v>5614</v>
      </c>
      <c r="D7513">
        <v>265310</v>
      </c>
      <c r="E7513" t="s">
        <v>14</v>
      </c>
      <c r="F7513">
        <v>56.193100000000001</v>
      </c>
      <c r="G7513">
        <v>24.7742</v>
      </c>
      <c r="H7513">
        <v>2</v>
      </c>
      <c r="I7513">
        <v>61.5</v>
      </c>
      <c r="J7513" t="str">
        <f>HYPERLINK("https://climate.onebuilding.org/WMO_Region_6_Europe/LTU_Lithuania/PN_Panevezys/LTU_PN_Birzai.265310_TMYx.zip")</f>
        <v>https://climate.onebuilding.org/WMO_Region_6_Europe/LTU_Lithuania/PN_Panevezys/LTU_PN_Birzai.265310_TMYx.zip</v>
      </c>
    </row>
    <row r="7514" spans="1:10" x14ac:dyDescent="0.25">
      <c r="A7514" t="s">
        <v>5598</v>
      </c>
      <c r="B7514" t="s">
        <v>5599</v>
      </c>
      <c r="C7514" t="s">
        <v>5616</v>
      </c>
      <c r="D7514">
        <v>266000</v>
      </c>
      <c r="E7514" t="s">
        <v>14</v>
      </c>
      <c r="F7514">
        <v>55.352200000000003</v>
      </c>
      <c r="G7514">
        <v>21.446899999999999</v>
      </c>
      <c r="H7514">
        <v>2</v>
      </c>
      <c r="I7514">
        <v>5.0999999999999996</v>
      </c>
      <c r="J7514" t="str">
        <f>HYPERLINK("https://climate.onebuilding.org/WMO_Region_6_Europe/LTU_Lithuania/KL_Klaipeda/LTU_KL_Silute.266000_TMYx.zip")</f>
        <v>https://climate.onebuilding.org/WMO_Region_6_Europe/LTU_Lithuania/KL_Klaipeda/LTU_KL_Silute.266000_TMYx.zip</v>
      </c>
    </row>
    <row r="7515" spans="1:10" x14ac:dyDescent="0.25">
      <c r="A7515" t="s">
        <v>5598</v>
      </c>
      <c r="B7515" t="s">
        <v>5599</v>
      </c>
      <c r="C7515" t="s">
        <v>5617</v>
      </c>
      <c r="D7515">
        <v>266030</v>
      </c>
      <c r="E7515" t="s">
        <v>14</v>
      </c>
      <c r="F7515">
        <v>55.302199999999999</v>
      </c>
      <c r="G7515">
        <v>21.007200000000001</v>
      </c>
      <c r="H7515">
        <v>2</v>
      </c>
      <c r="I7515">
        <v>2.6</v>
      </c>
      <c r="J7515" t="str">
        <f>HYPERLINK("https://climate.onebuilding.org/WMO_Region_6_Europe/LTU_Lithuania/KL_Klaipeda/LTU_KL_Nida.266030_TMYx.zip")</f>
        <v>https://climate.onebuilding.org/WMO_Region_6_Europe/LTU_Lithuania/KL_Klaipeda/LTU_KL_Nida.266030_TMYx.zip</v>
      </c>
    </row>
    <row r="7516" spans="1:10" x14ac:dyDescent="0.25">
      <c r="A7516" t="s">
        <v>5598</v>
      </c>
      <c r="B7516" t="s">
        <v>2302</v>
      </c>
      <c r="C7516" t="s">
        <v>5618</v>
      </c>
      <c r="D7516">
        <v>266150</v>
      </c>
      <c r="E7516" t="s">
        <v>14</v>
      </c>
      <c r="F7516">
        <v>55.256700000000002</v>
      </c>
      <c r="G7516">
        <v>22.278099999999998</v>
      </c>
      <c r="H7516">
        <v>2</v>
      </c>
      <c r="I7516">
        <v>34.5</v>
      </c>
      <c r="J7516" t="str">
        <f>HYPERLINK("https://climate.onebuilding.org/WMO_Region_6_Europe/LTU_Lithuania/TA_Taurage/LTU_TA_Taurage.266150_TMYx.zip")</f>
        <v>https://climate.onebuilding.org/WMO_Region_6_Europe/LTU_Lithuania/TA_Taurage/LTU_TA_Taurage.266150_TMYx.zip</v>
      </c>
    </row>
    <row r="7517" spans="1:10" x14ac:dyDescent="0.25">
      <c r="A7517" t="s">
        <v>5598</v>
      </c>
      <c r="B7517" t="s">
        <v>4827</v>
      </c>
      <c r="C7517" t="s">
        <v>5619</v>
      </c>
      <c r="D7517">
        <v>266200</v>
      </c>
      <c r="E7517" t="s">
        <v>14</v>
      </c>
      <c r="F7517">
        <v>55.396099999999997</v>
      </c>
      <c r="G7517">
        <v>23.866099999999999</v>
      </c>
      <c r="H7517">
        <v>2</v>
      </c>
      <c r="I7517">
        <v>77.099999999999994</v>
      </c>
      <c r="J7517" t="str">
        <f>HYPERLINK("https://climate.onebuilding.org/WMO_Region_6_Europe/LTU_Lithuania/KU_Kaunas/LTU_KU_Dotnuva.266200_TMYx.zip")</f>
        <v>https://climate.onebuilding.org/WMO_Region_6_Europe/LTU_Lithuania/KU_Kaunas/LTU_KU_Dotnuva.266200_TMYx.zip</v>
      </c>
    </row>
    <row r="7518" spans="1:10" x14ac:dyDescent="0.25">
      <c r="A7518" t="s">
        <v>5598</v>
      </c>
      <c r="B7518" t="s">
        <v>4827</v>
      </c>
      <c r="C7518" t="s">
        <v>5620</v>
      </c>
      <c r="D7518">
        <v>266210</v>
      </c>
      <c r="E7518" t="s">
        <v>14</v>
      </c>
      <c r="F7518">
        <v>55.394500000000001</v>
      </c>
      <c r="G7518">
        <v>23.149699999999999</v>
      </c>
      <c r="H7518">
        <v>2</v>
      </c>
      <c r="I7518">
        <v>110.5</v>
      </c>
      <c r="J7518" t="str">
        <f>HYPERLINK("https://climate.onebuilding.org/WMO_Region_6_Europe/LTU_Lithuania/KU_Kaunas/LTU_KU_Raseiniai.266210_TMYx.zip")</f>
        <v>https://climate.onebuilding.org/WMO_Region_6_Europe/LTU_Lithuania/KU_Kaunas/LTU_KU_Raseiniai.266210_TMYx.zip</v>
      </c>
    </row>
    <row r="7519" spans="1:10" x14ac:dyDescent="0.25">
      <c r="A7519" t="s">
        <v>5598</v>
      </c>
      <c r="B7519" t="s">
        <v>4827</v>
      </c>
      <c r="C7519" t="s">
        <v>5621</v>
      </c>
      <c r="D7519">
        <v>266290</v>
      </c>
      <c r="E7519" t="s">
        <v>5622</v>
      </c>
      <c r="F7519">
        <v>54.883899999999997</v>
      </c>
      <c r="G7519">
        <v>23.835799999999999</v>
      </c>
      <c r="H7519">
        <v>2</v>
      </c>
      <c r="I7519">
        <v>77</v>
      </c>
      <c r="J7519" t="str">
        <f>HYPERLINK("https://climate.onebuilding.org/WMO_Region_6_Europe/LTU_Lithuania/KU_Kaunas/LTU_KU_Kaunas.266290_TMYx.2004-2018.zip")</f>
        <v>https://climate.onebuilding.org/WMO_Region_6_Europe/LTU_Lithuania/KU_Kaunas/LTU_KU_Kaunas.266290_TMYx.2004-2018.zip</v>
      </c>
    </row>
    <row r="7520" spans="1:10" x14ac:dyDescent="0.25">
      <c r="A7520" t="s">
        <v>5598</v>
      </c>
      <c r="B7520" t="s">
        <v>4827</v>
      </c>
      <c r="C7520" t="s">
        <v>5621</v>
      </c>
      <c r="D7520">
        <v>266290</v>
      </c>
      <c r="E7520" t="s">
        <v>14</v>
      </c>
      <c r="F7520">
        <v>54.883899999999997</v>
      </c>
      <c r="G7520">
        <v>23.835799999999999</v>
      </c>
      <c r="H7520">
        <v>2</v>
      </c>
      <c r="I7520">
        <v>77</v>
      </c>
      <c r="J7520" t="str">
        <f>HYPERLINK("https://climate.onebuilding.org/WMO_Region_6_Europe/LTU_Lithuania/KU_Kaunas/LTU_KU_Kaunas.266290_TMYx.2007-2021.zip")</f>
        <v>https://climate.onebuilding.org/WMO_Region_6_Europe/LTU_Lithuania/KU_Kaunas/LTU_KU_Kaunas.266290_TMYx.2007-2021.zip</v>
      </c>
    </row>
    <row r="7521" spans="1:10" x14ac:dyDescent="0.25">
      <c r="A7521" t="s">
        <v>5598</v>
      </c>
      <c r="B7521" t="s">
        <v>4827</v>
      </c>
      <c r="C7521" t="s">
        <v>5621</v>
      </c>
      <c r="D7521">
        <v>266290</v>
      </c>
      <c r="E7521" t="s">
        <v>14</v>
      </c>
      <c r="F7521">
        <v>54.883899999999997</v>
      </c>
      <c r="G7521">
        <v>23.835799999999999</v>
      </c>
      <c r="H7521">
        <v>2</v>
      </c>
      <c r="I7521">
        <v>77</v>
      </c>
      <c r="J7521" t="str">
        <f>HYPERLINK("https://climate.onebuilding.org/WMO_Region_6_Europe/LTU_Lithuania/KU_Kaunas/LTU_KU_Kaunas.266290_TMYx.2009-2023.zip")</f>
        <v>https://climate.onebuilding.org/WMO_Region_6_Europe/LTU_Lithuania/KU_Kaunas/LTU_KU_Kaunas.266290_TMYx.2009-2023.zip</v>
      </c>
    </row>
    <row r="7522" spans="1:10" x14ac:dyDescent="0.25">
      <c r="A7522" t="s">
        <v>5598</v>
      </c>
      <c r="B7522" t="s">
        <v>4827</v>
      </c>
      <c r="C7522" t="s">
        <v>5621</v>
      </c>
      <c r="D7522">
        <v>266290</v>
      </c>
      <c r="E7522" t="s">
        <v>14</v>
      </c>
      <c r="F7522">
        <v>54.883899999999997</v>
      </c>
      <c r="G7522">
        <v>23.835799999999999</v>
      </c>
      <c r="H7522">
        <v>2</v>
      </c>
      <c r="I7522">
        <v>77</v>
      </c>
      <c r="J7522" t="str">
        <f>HYPERLINK("https://climate.onebuilding.org/WMO_Region_6_Europe/LTU_Lithuania/KU_Kaunas/LTU_KU_Kaunas.266290_TMYx.zip")</f>
        <v>https://climate.onebuilding.org/WMO_Region_6_Europe/LTU_Lithuania/KU_Kaunas/LTU_KU_Kaunas.266290_TMYx.zip</v>
      </c>
    </row>
    <row r="7523" spans="1:10" x14ac:dyDescent="0.25">
      <c r="A7523" t="s">
        <v>5598</v>
      </c>
      <c r="B7523" t="s">
        <v>4827</v>
      </c>
      <c r="C7523" t="s">
        <v>5623</v>
      </c>
      <c r="D7523">
        <v>266295</v>
      </c>
      <c r="E7523" t="s">
        <v>5624</v>
      </c>
      <c r="F7523">
        <v>54.963999999999999</v>
      </c>
      <c r="G7523">
        <v>24.085000000000001</v>
      </c>
      <c r="H7523">
        <v>2</v>
      </c>
      <c r="I7523">
        <v>78</v>
      </c>
      <c r="J7523" t="str">
        <f>HYPERLINK("https://climate.onebuilding.org/WMO_Region_6_Europe/LTU_Lithuania/KU_Kaunas/LTU_KU_Kaunas.Intl.AP.266295_TMYx.2004-2018.zip")</f>
        <v>https://climate.onebuilding.org/WMO_Region_6_Europe/LTU_Lithuania/KU_Kaunas/LTU_KU_Kaunas.Intl.AP.266295_TMYx.2004-2018.zip</v>
      </c>
    </row>
    <row r="7524" spans="1:10" x14ac:dyDescent="0.25">
      <c r="A7524" t="s">
        <v>5598</v>
      </c>
      <c r="B7524" t="s">
        <v>4827</v>
      </c>
      <c r="C7524" t="s">
        <v>5623</v>
      </c>
      <c r="D7524">
        <v>266295</v>
      </c>
      <c r="E7524" t="s">
        <v>14</v>
      </c>
      <c r="F7524">
        <v>54.963999999999999</v>
      </c>
      <c r="G7524">
        <v>24.085000000000001</v>
      </c>
      <c r="H7524">
        <v>2</v>
      </c>
      <c r="I7524">
        <v>78</v>
      </c>
      <c r="J7524" t="str">
        <f>HYPERLINK("https://climate.onebuilding.org/WMO_Region_6_Europe/LTU_Lithuania/KU_Kaunas/LTU_KU_Kaunas.Intl.AP.266295_TMYx.2007-2021.zip")</f>
        <v>https://climate.onebuilding.org/WMO_Region_6_Europe/LTU_Lithuania/KU_Kaunas/LTU_KU_Kaunas.Intl.AP.266295_TMYx.2007-2021.zip</v>
      </c>
    </row>
    <row r="7525" spans="1:10" x14ac:dyDescent="0.25">
      <c r="A7525" t="s">
        <v>5598</v>
      </c>
      <c r="B7525" t="s">
        <v>4827</v>
      </c>
      <c r="C7525" t="s">
        <v>5623</v>
      </c>
      <c r="D7525">
        <v>266295</v>
      </c>
      <c r="E7525" t="s">
        <v>14</v>
      </c>
      <c r="F7525">
        <v>54.963999999999999</v>
      </c>
      <c r="G7525">
        <v>24.085000000000001</v>
      </c>
      <c r="H7525">
        <v>2</v>
      </c>
      <c r="I7525">
        <v>78</v>
      </c>
      <c r="J7525" t="str">
        <f>HYPERLINK("https://climate.onebuilding.org/WMO_Region_6_Europe/LTU_Lithuania/KU_Kaunas/LTU_KU_Kaunas.Intl.AP.266295_TMYx.2009-2023.zip")</f>
        <v>https://climate.onebuilding.org/WMO_Region_6_Europe/LTU_Lithuania/KU_Kaunas/LTU_KU_Kaunas.Intl.AP.266295_TMYx.2009-2023.zip</v>
      </c>
    </row>
    <row r="7526" spans="1:10" x14ac:dyDescent="0.25">
      <c r="A7526" t="s">
        <v>5598</v>
      </c>
      <c r="B7526" t="s">
        <v>4827</v>
      </c>
      <c r="C7526" t="s">
        <v>5623</v>
      </c>
      <c r="D7526">
        <v>266295</v>
      </c>
      <c r="E7526" t="s">
        <v>14</v>
      </c>
      <c r="F7526">
        <v>54.963999999999999</v>
      </c>
      <c r="G7526">
        <v>24.085000000000001</v>
      </c>
      <c r="H7526">
        <v>2</v>
      </c>
      <c r="I7526">
        <v>78</v>
      </c>
      <c r="J7526" t="str">
        <f>HYPERLINK("https://climate.onebuilding.org/WMO_Region_6_Europe/LTU_Lithuania/KU_Kaunas/LTU_KU_Kaunas.Intl.AP.266295_TMYx.zip")</f>
        <v>https://climate.onebuilding.org/WMO_Region_6_Europe/LTU_Lithuania/KU_Kaunas/LTU_KU_Kaunas.Intl.AP.266295_TMYx.zip</v>
      </c>
    </row>
    <row r="7527" spans="1:10" x14ac:dyDescent="0.25">
      <c r="A7527" t="s">
        <v>5598</v>
      </c>
      <c r="B7527" t="s">
        <v>5625</v>
      </c>
      <c r="C7527" t="s">
        <v>5626</v>
      </c>
      <c r="D7527">
        <v>266330</v>
      </c>
      <c r="E7527" t="s">
        <v>5627</v>
      </c>
      <c r="F7527">
        <v>55.515300000000003</v>
      </c>
      <c r="G7527">
        <v>25.589700000000001</v>
      </c>
      <c r="H7527">
        <v>2</v>
      </c>
      <c r="I7527">
        <v>105.7</v>
      </c>
      <c r="J7527" t="str">
        <f>HYPERLINK("https://climate.onebuilding.org/WMO_Region_6_Europe/LTU_Lithuania/UT_Utena/LTU_UT_Utena.266330_TMYx.2004-2018.zip")</f>
        <v>https://climate.onebuilding.org/WMO_Region_6_Europe/LTU_Lithuania/UT_Utena/LTU_UT_Utena.266330_TMYx.2004-2018.zip</v>
      </c>
    </row>
    <row r="7528" spans="1:10" x14ac:dyDescent="0.25">
      <c r="A7528" t="s">
        <v>5598</v>
      </c>
      <c r="B7528" t="s">
        <v>5625</v>
      </c>
      <c r="C7528" t="s">
        <v>5626</v>
      </c>
      <c r="D7528">
        <v>266330</v>
      </c>
      <c r="E7528" t="s">
        <v>14</v>
      </c>
      <c r="F7528">
        <v>55.515300000000003</v>
      </c>
      <c r="G7528">
        <v>25.589700000000001</v>
      </c>
      <c r="H7528">
        <v>2</v>
      </c>
      <c r="I7528">
        <v>105.7</v>
      </c>
      <c r="J7528" t="str">
        <f>HYPERLINK("https://climate.onebuilding.org/WMO_Region_6_Europe/LTU_Lithuania/UT_Utena/LTU_UT_Utena.266330_TMYx.2007-2021.zip")</f>
        <v>https://climate.onebuilding.org/WMO_Region_6_Europe/LTU_Lithuania/UT_Utena/LTU_UT_Utena.266330_TMYx.2007-2021.zip</v>
      </c>
    </row>
    <row r="7529" spans="1:10" x14ac:dyDescent="0.25">
      <c r="A7529" t="s">
        <v>5598</v>
      </c>
      <c r="B7529" t="s">
        <v>5625</v>
      </c>
      <c r="C7529" t="s">
        <v>5626</v>
      </c>
      <c r="D7529">
        <v>266330</v>
      </c>
      <c r="E7529" t="s">
        <v>14</v>
      </c>
      <c r="F7529">
        <v>55.515300000000003</v>
      </c>
      <c r="G7529">
        <v>25.589700000000001</v>
      </c>
      <c r="H7529">
        <v>2</v>
      </c>
      <c r="I7529">
        <v>105.7</v>
      </c>
      <c r="J7529" t="str">
        <f>HYPERLINK("https://climate.onebuilding.org/WMO_Region_6_Europe/LTU_Lithuania/UT_Utena/LTU_UT_Utena.266330_TMYx.2009-2023.zip")</f>
        <v>https://climate.onebuilding.org/WMO_Region_6_Europe/LTU_Lithuania/UT_Utena/LTU_UT_Utena.266330_TMYx.2009-2023.zip</v>
      </c>
    </row>
    <row r="7530" spans="1:10" x14ac:dyDescent="0.25">
      <c r="A7530" t="s">
        <v>5598</v>
      </c>
      <c r="B7530" t="s">
        <v>5625</v>
      </c>
      <c r="C7530" t="s">
        <v>5626</v>
      </c>
      <c r="D7530">
        <v>266330</v>
      </c>
      <c r="E7530" t="s">
        <v>14</v>
      </c>
      <c r="F7530">
        <v>55.515300000000003</v>
      </c>
      <c r="G7530">
        <v>25.589700000000001</v>
      </c>
      <c r="H7530">
        <v>2</v>
      </c>
      <c r="I7530">
        <v>105.7</v>
      </c>
      <c r="J7530" t="str">
        <f>HYPERLINK("https://climate.onebuilding.org/WMO_Region_6_Europe/LTU_Lithuania/UT_Utena/LTU_UT_Utena.266330_TMYx.zip")</f>
        <v>https://climate.onebuilding.org/WMO_Region_6_Europe/LTU_Lithuania/UT_Utena/LTU_UT_Utena.266330_TMYx.zip</v>
      </c>
    </row>
    <row r="7531" spans="1:10" x14ac:dyDescent="0.25">
      <c r="A7531" t="s">
        <v>5598</v>
      </c>
      <c r="B7531" t="s">
        <v>5134</v>
      </c>
      <c r="C7531" t="s">
        <v>5628</v>
      </c>
      <c r="D7531">
        <v>266340</v>
      </c>
      <c r="E7531" t="s">
        <v>14</v>
      </c>
      <c r="F7531">
        <v>55.264200000000002</v>
      </c>
      <c r="G7531">
        <v>24.760300000000001</v>
      </c>
      <c r="H7531">
        <v>2</v>
      </c>
      <c r="I7531">
        <v>73.2</v>
      </c>
      <c r="J7531" t="str">
        <f>HYPERLINK("https://climate.onebuilding.org/WMO_Region_6_Europe/LTU_Lithuania/VL_Vilnius/LTU_VL_Ukmerge.266340_TMYx.zip")</f>
        <v>https://climate.onebuilding.org/WMO_Region_6_Europe/LTU_Lithuania/VL_Vilnius/LTU_VL_Ukmerge.266340_TMYx.zip</v>
      </c>
    </row>
    <row r="7532" spans="1:10" x14ac:dyDescent="0.25">
      <c r="A7532" t="s">
        <v>5598</v>
      </c>
      <c r="B7532" t="s">
        <v>5629</v>
      </c>
      <c r="C7532" t="s">
        <v>5630</v>
      </c>
      <c r="D7532">
        <v>267130</v>
      </c>
      <c r="E7532" t="s">
        <v>14</v>
      </c>
      <c r="F7532">
        <v>54.649700000000003</v>
      </c>
      <c r="G7532">
        <v>22.799700000000001</v>
      </c>
      <c r="H7532">
        <v>2</v>
      </c>
      <c r="I7532">
        <v>59.4</v>
      </c>
      <c r="J7532" t="str">
        <f>HYPERLINK("https://climate.onebuilding.org/WMO_Region_6_Europe/LTU_Lithuania/MR_Marijampole/LTU_MR_Kybartai.267130_TMYx.zip")</f>
        <v>https://climate.onebuilding.org/WMO_Region_6_Europe/LTU_Lithuania/MR_Marijampole/LTU_MR_Kybartai.267130_TMYx.zip</v>
      </c>
    </row>
    <row r="7533" spans="1:10" x14ac:dyDescent="0.25">
      <c r="A7533" t="s">
        <v>5598</v>
      </c>
      <c r="B7533" t="s">
        <v>5165</v>
      </c>
      <c r="C7533" t="s">
        <v>5631</v>
      </c>
      <c r="D7533">
        <v>267280</v>
      </c>
      <c r="E7533" t="s">
        <v>14</v>
      </c>
      <c r="F7533">
        <v>54.232199999999999</v>
      </c>
      <c r="G7533">
        <v>23.5106</v>
      </c>
      <c r="H7533">
        <v>2</v>
      </c>
      <c r="I7533">
        <v>133.6</v>
      </c>
      <c r="J7533" t="str">
        <f>HYPERLINK("https://climate.onebuilding.org/WMO_Region_6_Europe/LTU_Lithuania/AL_Alytus/LTU_AL_Lazdijai.267280_TMYx.zip")</f>
        <v>https://climate.onebuilding.org/WMO_Region_6_Europe/LTU_Lithuania/AL_Alytus/LTU_AL_Lazdijai.267280_TMYx.zip</v>
      </c>
    </row>
    <row r="7534" spans="1:10" x14ac:dyDescent="0.25">
      <c r="A7534" t="s">
        <v>5598</v>
      </c>
      <c r="B7534" t="s">
        <v>5134</v>
      </c>
      <c r="C7534" t="s">
        <v>5632</v>
      </c>
      <c r="D7534">
        <v>267300</v>
      </c>
      <c r="E7534" t="s">
        <v>5633</v>
      </c>
      <c r="F7534">
        <v>54.636400000000002</v>
      </c>
      <c r="G7534">
        <v>25.290800000000001</v>
      </c>
      <c r="H7534">
        <v>2</v>
      </c>
      <c r="I7534">
        <v>196.9</v>
      </c>
      <c r="J7534" t="str">
        <f>HYPERLINK("https://climate.onebuilding.org/WMO_Region_6_Europe/LTU_Lithuania/VL_Vilnius/LTU_VL_Vilnius.Intl.AP.267300_TMYx.2004-2018.zip")</f>
        <v>https://climate.onebuilding.org/WMO_Region_6_Europe/LTU_Lithuania/VL_Vilnius/LTU_VL_Vilnius.Intl.AP.267300_TMYx.2004-2018.zip</v>
      </c>
    </row>
    <row r="7535" spans="1:10" x14ac:dyDescent="0.25">
      <c r="A7535" t="s">
        <v>5598</v>
      </c>
      <c r="B7535" t="s">
        <v>5134</v>
      </c>
      <c r="C7535" t="s">
        <v>5632</v>
      </c>
      <c r="D7535">
        <v>267300</v>
      </c>
      <c r="E7535" t="s">
        <v>14</v>
      </c>
      <c r="F7535">
        <v>54.636400000000002</v>
      </c>
      <c r="G7535">
        <v>25.290800000000001</v>
      </c>
      <c r="H7535">
        <v>2</v>
      </c>
      <c r="I7535">
        <v>196.9</v>
      </c>
      <c r="J7535" t="str">
        <f>HYPERLINK("https://climate.onebuilding.org/WMO_Region_6_Europe/LTU_Lithuania/VL_Vilnius/LTU_VL_Vilnius.Intl.AP.267300_TMYx.2007-2021.zip")</f>
        <v>https://climate.onebuilding.org/WMO_Region_6_Europe/LTU_Lithuania/VL_Vilnius/LTU_VL_Vilnius.Intl.AP.267300_TMYx.2007-2021.zip</v>
      </c>
    </row>
    <row r="7536" spans="1:10" x14ac:dyDescent="0.25">
      <c r="A7536" t="s">
        <v>5598</v>
      </c>
      <c r="B7536" t="s">
        <v>5134</v>
      </c>
      <c r="C7536" t="s">
        <v>5632</v>
      </c>
      <c r="D7536">
        <v>267300</v>
      </c>
      <c r="E7536" t="s">
        <v>14</v>
      </c>
      <c r="F7536">
        <v>54.636400000000002</v>
      </c>
      <c r="G7536">
        <v>25.290800000000001</v>
      </c>
      <c r="H7536">
        <v>2</v>
      </c>
      <c r="I7536">
        <v>196.9</v>
      </c>
      <c r="J7536" t="str">
        <f>HYPERLINK("https://climate.onebuilding.org/WMO_Region_6_Europe/LTU_Lithuania/VL_Vilnius/LTU_VL_Vilnius.Intl.AP.267300_TMYx.2009-2023.zip")</f>
        <v>https://climate.onebuilding.org/WMO_Region_6_Europe/LTU_Lithuania/VL_Vilnius/LTU_VL_Vilnius.Intl.AP.267300_TMYx.2009-2023.zip</v>
      </c>
    </row>
    <row r="7537" spans="1:10" x14ac:dyDescent="0.25">
      <c r="A7537" t="s">
        <v>5598</v>
      </c>
      <c r="B7537" t="s">
        <v>5134</v>
      </c>
      <c r="C7537" t="s">
        <v>5632</v>
      </c>
      <c r="D7537">
        <v>267300</v>
      </c>
      <c r="E7537" t="s">
        <v>14</v>
      </c>
      <c r="F7537">
        <v>54.636400000000002</v>
      </c>
      <c r="G7537">
        <v>25.290800000000001</v>
      </c>
      <c r="H7537">
        <v>2</v>
      </c>
      <c r="I7537">
        <v>196.9</v>
      </c>
      <c r="J7537" t="str">
        <f>HYPERLINK("https://climate.onebuilding.org/WMO_Region_6_Europe/LTU_Lithuania/VL_Vilnius/LTU_VL_Vilnius.Intl.AP.267300_TMYx.zip")</f>
        <v>https://climate.onebuilding.org/WMO_Region_6_Europe/LTU_Lithuania/VL_Vilnius/LTU_VL_Vilnius.Intl.AP.267300_TMYx.zip</v>
      </c>
    </row>
    <row r="7538" spans="1:10" x14ac:dyDescent="0.25">
      <c r="A7538" t="s">
        <v>5598</v>
      </c>
      <c r="B7538" t="s">
        <v>5165</v>
      </c>
      <c r="C7538" t="s">
        <v>5634</v>
      </c>
      <c r="D7538">
        <v>267370</v>
      </c>
      <c r="E7538" t="s">
        <v>14</v>
      </c>
      <c r="F7538">
        <v>54.2483</v>
      </c>
      <c r="G7538">
        <v>24.5517</v>
      </c>
      <c r="H7538">
        <v>2</v>
      </c>
      <c r="I7538">
        <v>110.7</v>
      </c>
      <c r="J7538" t="str">
        <f>HYPERLINK("https://climate.onebuilding.org/WMO_Region_6_Europe/LTU_Lithuania/AL_Alytus/LTU_AL_Senoji.Varena.267370_TMYx.zip")</f>
        <v>https://climate.onebuilding.org/WMO_Region_6_Europe/LTU_Lithuania/AL_Alytus/LTU_AL_Senoji.Varena.267370_TMYx.zip</v>
      </c>
    </row>
    <row r="7539" spans="1:10" x14ac:dyDescent="0.25">
      <c r="A7539" t="s">
        <v>5635</v>
      </c>
      <c r="B7539" t="s">
        <v>5636</v>
      </c>
      <c r="C7539" t="s">
        <v>5637</v>
      </c>
      <c r="D7539" s="1" t="s">
        <v>5638</v>
      </c>
      <c r="E7539" t="s">
        <v>78</v>
      </c>
      <c r="F7539">
        <v>50.055</v>
      </c>
      <c r="G7539">
        <v>6.0286999999999997</v>
      </c>
      <c r="H7539">
        <v>1</v>
      </c>
      <c r="I7539">
        <v>356</v>
      </c>
      <c r="J7539" t="str">
        <f>HYPERLINK("https://climate.onebuilding.org/WMO_Region_6_Europe/LUX_Luxembourg/LUX_DI_Clervaux.065850_TMYx.2007-2021.zip")</f>
        <v>https://climate.onebuilding.org/WMO_Region_6_Europe/LUX_Luxembourg/LUX_DI_Clervaux.065850_TMYx.2007-2021.zip</v>
      </c>
    </row>
    <row r="7540" spans="1:10" x14ac:dyDescent="0.25">
      <c r="A7540" t="s">
        <v>5635</v>
      </c>
      <c r="B7540" t="s">
        <v>5636</v>
      </c>
      <c r="C7540" t="s">
        <v>5637</v>
      </c>
      <c r="D7540" s="1" t="s">
        <v>5638</v>
      </c>
      <c r="E7540" t="s">
        <v>78</v>
      </c>
      <c r="F7540">
        <v>50.055</v>
      </c>
      <c r="G7540">
        <v>6.0286999999999997</v>
      </c>
      <c r="H7540">
        <v>1</v>
      </c>
      <c r="I7540">
        <v>356</v>
      </c>
      <c r="J7540" t="str">
        <f>HYPERLINK("https://climate.onebuilding.org/WMO_Region_6_Europe/LUX_Luxembourg/LUX_DI_Clervaux.065850_TMYx.2009-2023.zip")</f>
        <v>https://climate.onebuilding.org/WMO_Region_6_Europe/LUX_Luxembourg/LUX_DI_Clervaux.065850_TMYx.2009-2023.zip</v>
      </c>
    </row>
    <row r="7541" spans="1:10" x14ac:dyDescent="0.25">
      <c r="A7541" t="s">
        <v>5635</v>
      </c>
      <c r="B7541" t="s">
        <v>5636</v>
      </c>
      <c r="C7541" t="s">
        <v>5637</v>
      </c>
      <c r="D7541" s="1" t="s">
        <v>5638</v>
      </c>
      <c r="E7541" t="s">
        <v>78</v>
      </c>
      <c r="F7541">
        <v>50.055</v>
      </c>
      <c r="G7541">
        <v>6.0286999999999997</v>
      </c>
      <c r="H7541">
        <v>1</v>
      </c>
      <c r="I7541">
        <v>356</v>
      </c>
      <c r="J7541" t="str">
        <f>HYPERLINK("https://climate.onebuilding.org/WMO_Region_6_Europe/LUX_Luxembourg/LUX_DI_Clervaux.065850_TMYx.zip")</f>
        <v>https://climate.onebuilding.org/WMO_Region_6_Europe/LUX_Luxembourg/LUX_DI_Clervaux.065850_TMYx.zip</v>
      </c>
    </row>
    <row r="7542" spans="1:10" x14ac:dyDescent="0.25">
      <c r="A7542" t="s">
        <v>5635</v>
      </c>
      <c r="B7542" t="s">
        <v>11</v>
      </c>
      <c r="C7542" t="s">
        <v>5639</v>
      </c>
      <c r="D7542" s="1" t="s">
        <v>5640</v>
      </c>
      <c r="E7542" t="s">
        <v>78</v>
      </c>
      <c r="F7542">
        <v>49.65</v>
      </c>
      <c r="G7542">
        <v>6.133</v>
      </c>
      <c r="H7542">
        <v>1</v>
      </c>
      <c r="I7542">
        <v>235</v>
      </c>
      <c r="J7542" t="str">
        <f>HYPERLINK("https://climate.onebuilding.org/WMO_Region_6_Europe/LUX_Luxembourg/LUX_LU_Luxembourg.Univ.065890_TMYx.2007-2021.zip")</f>
        <v>https://climate.onebuilding.org/WMO_Region_6_Europe/LUX_Luxembourg/LUX_LU_Luxembourg.Univ.065890_TMYx.2007-2021.zip</v>
      </c>
    </row>
    <row r="7543" spans="1:10" x14ac:dyDescent="0.25">
      <c r="A7543" t="s">
        <v>5635</v>
      </c>
      <c r="B7543" t="s">
        <v>11</v>
      </c>
      <c r="C7543" t="s">
        <v>5639</v>
      </c>
      <c r="D7543" s="1" t="s">
        <v>5640</v>
      </c>
      <c r="E7543" t="s">
        <v>78</v>
      </c>
      <c r="F7543">
        <v>49.65</v>
      </c>
      <c r="G7543">
        <v>6.133</v>
      </c>
      <c r="H7543">
        <v>1</v>
      </c>
      <c r="I7543">
        <v>235</v>
      </c>
      <c r="J7543" t="str">
        <f>HYPERLINK("https://climate.onebuilding.org/WMO_Region_6_Europe/LUX_Luxembourg/LUX_LU_Luxembourg.Univ.065890_TMYx.2009-2023.zip")</f>
        <v>https://climate.onebuilding.org/WMO_Region_6_Europe/LUX_Luxembourg/LUX_LU_Luxembourg.Univ.065890_TMYx.2009-2023.zip</v>
      </c>
    </row>
    <row r="7544" spans="1:10" x14ac:dyDescent="0.25">
      <c r="A7544" t="s">
        <v>5635</v>
      </c>
      <c r="B7544" t="s">
        <v>11</v>
      </c>
      <c r="C7544" t="s">
        <v>5639</v>
      </c>
      <c r="D7544" s="1" t="s">
        <v>5640</v>
      </c>
      <c r="E7544" t="s">
        <v>78</v>
      </c>
      <c r="F7544">
        <v>49.65</v>
      </c>
      <c r="G7544">
        <v>6.133</v>
      </c>
      <c r="H7544">
        <v>1</v>
      </c>
      <c r="I7544">
        <v>235</v>
      </c>
      <c r="J7544" t="str">
        <f>HYPERLINK("https://climate.onebuilding.org/WMO_Region_6_Europe/LUX_Luxembourg/LUX_LU_Luxembourg.Univ.065890_TMYx.zip")</f>
        <v>https://climate.onebuilding.org/WMO_Region_6_Europe/LUX_Luxembourg/LUX_LU_Luxembourg.Univ.065890_TMYx.zip</v>
      </c>
    </row>
    <row r="7545" spans="1:10" x14ac:dyDescent="0.25">
      <c r="A7545" t="s">
        <v>5635</v>
      </c>
      <c r="B7545" t="s">
        <v>11</v>
      </c>
      <c r="C7545" t="s">
        <v>5641</v>
      </c>
      <c r="D7545" s="1" t="s">
        <v>5642</v>
      </c>
      <c r="E7545" t="s">
        <v>5643</v>
      </c>
      <c r="F7545">
        <v>49.616700000000002</v>
      </c>
      <c r="G7545">
        <v>6.2167000000000003</v>
      </c>
      <c r="H7545">
        <v>0</v>
      </c>
      <c r="I7545">
        <v>376</v>
      </c>
      <c r="J7545" t="str">
        <f>HYPERLINK("https://climate.onebuilding.org/WMO_Region_6_Europe/LUX_Luxembourg/LUX_LU_Luxembourg.Intl.AP.065900_TMYx.2004-2018.zip")</f>
        <v>https://climate.onebuilding.org/WMO_Region_6_Europe/LUX_Luxembourg/LUX_LU_Luxembourg.Intl.AP.065900_TMYx.2004-2018.zip</v>
      </c>
    </row>
    <row r="7546" spans="1:10" x14ac:dyDescent="0.25">
      <c r="A7546" t="s">
        <v>5635</v>
      </c>
      <c r="B7546" t="s">
        <v>11</v>
      </c>
      <c r="C7546" t="s">
        <v>5641</v>
      </c>
      <c r="D7546" s="1" t="s">
        <v>5642</v>
      </c>
      <c r="E7546" t="s">
        <v>14</v>
      </c>
      <c r="F7546">
        <v>49.627000000000002</v>
      </c>
      <c r="G7546">
        <v>6.2119999999999997</v>
      </c>
      <c r="H7546">
        <v>1</v>
      </c>
      <c r="I7546">
        <v>376</v>
      </c>
      <c r="J7546" t="str">
        <f>HYPERLINK("https://climate.onebuilding.org/WMO_Region_6_Europe/LUX_Luxembourg/LUX_LU_Luxembourg.Intl.AP.065900_TMYx.2007-2021.zip")</f>
        <v>https://climate.onebuilding.org/WMO_Region_6_Europe/LUX_Luxembourg/LUX_LU_Luxembourg.Intl.AP.065900_TMYx.2007-2021.zip</v>
      </c>
    </row>
    <row r="7547" spans="1:10" x14ac:dyDescent="0.25">
      <c r="A7547" t="s">
        <v>5635</v>
      </c>
      <c r="B7547" t="s">
        <v>11</v>
      </c>
      <c r="C7547" t="s">
        <v>5641</v>
      </c>
      <c r="D7547" s="1" t="s">
        <v>5642</v>
      </c>
      <c r="E7547" t="s">
        <v>14</v>
      </c>
      <c r="F7547">
        <v>49.627000000000002</v>
      </c>
      <c r="G7547">
        <v>6.2119999999999997</v>
      </c>
      <c r="H7547">
        <v>1</v>
      </c>
      <c r="I7547">
        <v>376</v>
      </c>
      <c r="J7547" t="str">
        <f>HYPERLINK("https://climate.onebuilding.org/WMO_Region_6_Europe/LUX_Luxembourg/LUX_LU_Luxembourg.Intl.AP.065900_TMYx.2009-2023.zip")</f>
        <v>https://climate.onebuilding.org/WMO_Region_6_Europe/LUX_Luxembourg/LUX_LU_Luxembourg.Intl.AP.065900_TMYx.2009-2023.zip</v>
      </c>
    </row>
    <row r="7548" spans="1:10" x14ac:dyDescent="0.25">
      <c r="A7548" t="s">
        <v>5635</v>
      </c>
      <c r="B7548" t="s">
        <v>11</v>
      </c>
      <c r="C7548" t="s">
        <v>5641</v>
      </c>
      <c r="D7548" s="1" t="s">
        <v>5642</v>
      </c>
      <c r="E7548" t="s">
        <v>14</v>
      </c>
      <c r="F7548">
        <v>49.627000000000002</v>
      </c>
      <c r="G7548">
        <v>6.2119999999999997</v>
      </c>
      <c r="H7548">
        <v>1</v>
      </c>
      <c r="I7548">
        <v>376</v>
      </c>
      <c r="J7548" t="str">
        <f>HYPERLINK("https://climate.onebuilding.org/WMO_Region_6_Europe/LUX_Luxembourg/LUX_LU_Luxembourg.Intl.AP.065900_TMYx.zip")</f>
        <v>https://climate.onebuilding.org/WMO_Region_6_Europe/LUX_Luxembourg/LUX_LU_Luxembourg.Intl.AP.065900_TMYx.zip</v>
      </c>
    </row>
    <row r="7549" spans="1:10" x14ac:dyDescent="0.25">
      <c r="A7549" t="s">
        <v>5635</v>
      </c>
      <c r="B7549" t="s">
        <v>1057</v>
      </c>
      <c r="C7549" t="s">
        <v>5644</v>
      </c>
      <c r="D7549" s="1" t="s">
        <v>5645</v>
      </c>
      <c r="E7549" t="s">
        <v>78</v>
      </c>
      <c r="F7549">
        <v>49.809699999999999</v>
      </c>
      <c r="G7549">
        <v>6.4168000000000003</v>
      </c>
      <c r="H7549">
        <v>1</v>
      </c>
      <c r="I7549">
        <v>170</v>
      </c>
      <c r="J7549" t="str">
        <f>HYPERLINK("https://climate.onebuilding.org/WMO_Region_6_Europe/LUX_Luxembourg/LUX_GR_Echternach.065970_TMYx.2007-2021.zip")</f>
        <v>https://climate.onebuilding.org/WMO_Region_6_Europe/LUX_Luxembourg/LUX_GR_Echternach.065970_TMYx.2007-2021.zip</v>
      </c>
    </row>
    <row r="7550" spans="1:10" x14ac:dyDescent="0.25">
      <c r="A7550" t="s">
        <v>5635</v>
      </c>
      <c r="B7550" t="s">
        <v>1057</v>
      </c>
      <c r="C7550" t="s">
        <v>5644</v>
      </c>
      <c r="D7550" s="1" t="s">
        <v>5645</v>
      </c>
      <c r="E7550" t="s">
        <v>78</v>
      </c>
      <c r="F7550">
        <v>49.809699999999999</v>
      </c>
      <c r="G7550">
        <v>6.4168000000000003</v>
      </c>
      <c r="H7550">
        <v>1</v>
      </c>
      <c r="I7550">
        <v>170</v>
      </c>
      <c r="J7550" t="str">
        <f>HYPERLINK("https://climate.onebuilding.org/WMO_Region_6_Europe/LUX_Luxembourg/LUX_GR_Echternach.065970_TMYx.2009-2023.zip")</f>
        <v>https://climate.onebuilding.org/WMO_Region_6_Europe/LUX_Luxembourg/LUX_GR_Echternach.065970_TMYx.2009-2023.zip</v>
      </c>
    </row>
    <row r="7551" spans="1:10" x14ac:dyDescent="0.25">
      <c r="A7551" t="s">
        <v>5635</v>
      </c>
      <c r="B7551" t="s">
        <v>1057</v>
      </c>
      <c r="C7551" t="s">
        <v>5644</v>
      </c>
      <c r="D7551" s="1" t="s">
        <v>5645</v>
      </c>
      <c r="E7551" t="s">
        <v>78</v>
      </c>
      <c r="F7551">
        <v>49.809699999999999</v>
      </c>
      <c r="G7551">
        <v>6.4168000000000003</v>
      </c>
      <c r="H7551">
        <v>1</v>
      </c>
      <c r="I7551">
        <v>170</v>
      </c>
      <c r="J7551" t="str">
        <f>HYPERLINK("https://climate.onebuilding.org/WMO_Region_6_Europe/LUX_Luxembourg/LUX_GR_Echternach.065970_TMYx.zip")</f>
        <v>https://climate.onebuilding.org/WMO_Region_6_Europe/LUX_Luxembourg/LUX_GR_Echternach.065970_TMYx.zip</v>
      </c>
    </row>
    <row r="7552" spans="1:10" x14ac:dyDescent="0.25">
      <c r="A7552" t="s">
        <v>5646</v>
      </c>
      <c r="B7552" t="s">
        <v>2293</v>
      </c>
      <c r="C7552" t="s">
        <v>5647</v>
      </c>
      <c r="D7552">
        <v>262290</v>
      </c>
      <c r="E7552" t="s">
        <v>5648</v>
      </c>
      <c r="F7552">
        <v>57.867800000000003</v>
      </c>
      <c r="G7552">
        <v>24.3658</v>
      </c>
      <c r="H7552">
        <v>2</v>
      </c>
      <c r="I7552">
        <v>7.5</v>
      </c>
      <c r="J7552" t="str">
        <f>HYPERLINK("https://climate.onebuilding.org/WMO_Region_6_Europe/LVA_Latvia/PR_Pieriga/LVA_PR_Ainazi.262290_TMYx.2004-2018.zip")</f>
        <v>https://climate.onebuilding.org/WMO_Region_6_Europe/LVA_Latvia/PR_Pieriga/LVA_PR_Ainazi.262290_TMYx.2004-2018.zip</v>
      </c>
    </row>
    <row r="7553" spans="1:10" x14ac:dyDescent="0.25">
      <c r="A7553" t="s">
        <v>5646</v>
      </c>
      <c r="B7553" t="s">
        <v>2293</v>
      </c>
      <c r="C7553" t="s">
        <v>5647</v>
      </c>
      <c r="D7553">
        <v>262290</v>
      </c>
      <c r="E7553" t="s">
        <v>14</v>
      </c>
      <c r="F7553">
        <v>57.867800000000003</v>
      </c>
      <c r="G7553">
        <v>24.3658</v>
      </c>
      <c r="H7553">
        <v>2</v>
      </c>
      <c r="I7553">
        <v>7.5</v>
      </c>
      <c r="J7553" t="str">
        <f>HYPERLINK("https://climate.onebuilding.org/WMO_Region_6_Europe/LVA_Latvia/PR_Pieriga/LVA_PR_Ainazi.262290_TMYx.2007-2021.zip")</f>
        <v>https://climate.onebuilding.org/WMO_Region_6_Europe/LVA_Latvia/PR_Pieriga/LVA_PR_Ainazi.262290_TMYx.2007-2021.zip</v>
      </c>
    </row>
    <row r="7554" spans="1:10" x14ac:dyDescent="0.25">
      <c r="A7554" t="s">
        <v>5646</v>
      </c>
      <c r="B7554" t="s">
        <v>2293</v>
      </c>
      <c r="C7554" t="s">
        <v>5647</v>
      </c>
      <c r="D7554">
        <v>262290</v>
      </c>
      <c r="E7554" t="s">
        <v>14</v>
      </c>
      <c r="F7554">
        <v>57.867800000000003</v>
      </c>
      <c r="G7554">
        <v>24.3658</v>
      </c>
      <c r="H7554">
        <v>2</v>
      </c>
      <c r="I7554">
        <v>7.5</v>
      </c>
      <c r="J7554" t="str">
        <f>HYPERLINK("https://climate.onebuilding.org/WMO_Region_6_Europe/LVA_Latvia/PR_Pieriga/LVA_PR_Ainazi.262290_TMYx.2009-2023.zip")</f>
        <v>https://climate.onebuilding.org/WMO_Region_6_Europe/LVA_Latvia/PR_Pieriga/LVA_PR_Ainazi.262290_TMYx.2009-2023.zip</v>
      </c>
    </row>
    <row r="7555" spans="1:10" x14ac:dyDescent="0.25">
      <c r="A7555" t="s">
        <v>5646</v>
      </c>
      <c r="B7555" t="s">
        <v>2293</v>
      </c>
      <c r="C7555" t="s">
        <v>5647</v>
      </c>
      <c r="D7555">
        <v>262290</v>
      </c>
      <c r="E7555" t="s">
        <v>14</v>
      </c>
      <c r="F7555">
        <v>57.867800000000003</v>
      </c>
      <c r="G7555">
        <v>24.3658</v>
      </c>
      <c r="H7555">
        <v>2</v>
      </c>
      <c r="I7555">
        <v>7.5</v>
      </c>
      <c r="J7555" t="str">
        <f>HYPERLINK("https://climate.onebuilding.org/WMO_Region_6_Europe/LVA_Latvia/PR_Pieriga/LVA_PR_Ainazi.262290_TMYx.zip")</f>
        <v>https://climate.onebuilding.org/WMO_Region_6_Europe/LVA_Latvia/PR_Pieriga/LVA_PR_Ainazi.262290_TMYx.zip</v>
      </c>
    </row>
    <row r="7556" spans="1:10" x14ac:dyDescent="0.25">
      <c r="A7556" t="s">
        <v>5646</v>
      </c>
      <c r="B7556" t="s">
        <v>478</v>
      </c>
      <c r="C7556" t="s">
        <v>5649</v>
      </c>
      <c r="D7556">
        <v>262380</v>
      </c>
      <c r="E7556" t="s">
        <v>5650</v>
      </c>
      <c r="F7556">
        <v>57.892600000000002</v>
      </c>
      <c r="G7556">
        <v>25.347799999999999</v>
      </c>
      <c r="H7556">
        <v>2</v>
      </c>
      <c r="I7556">
        <v>12</v>
      </c>
      <c r="J7556" t="str">
        <f>HYPERLINK("https://climate.onebuilding.org/WMO_Region_6_Europe/LVA_Latvia/VD_Vidzeme/LVA_VD_Rujiena.262380_TMYx.2004-2018.zip")</f>
        <v>https://climate.onebuilding.org/WMO_Region_6_Europe/LVA_Latvia/VD_Vidzeme/LVA_VD_Rujiena.262380_TMYx.2004-2018.zip</v>
      </c>
    </row>
    <row r="7557" spans="1:10" x14ac:dyDescent="0.25">
      <c r="A7557" t="s">
        <v>5646</v>
      </c>
      <c r="B7557" t="s">
        <v>478</v>
      </c>
      <c r="C7557" t="s">
        <v>5649</v>
      </c>
      <c r="D7557">
        <v>262380</v>
      </c>
      <c r="E7557" t="s">
        <v>14</v>
      </c>
      <c r="F7557">
        <v>57.886499999999998</v>
      </c>
      <c r="G7557">
        <v>25.3718</v>
      </c>
      <c r="H7557">
        <v>2</v>
      </c>
      <c r="I7557">
        <v>69</v>
      </c>
      <c r="J7557" t="str">
        <f>HYPERLINK("https://climate.onebuilding.org/WMO_Region_6_Europe/LVA_Latvia/VD_Vidzeme/LVA_VD_Rujiena.262380_TMYx.2007-2021.zip")</f>
        <v>https://climate.onebuilding.org/WMO_Region_6_Europe/LVA_Latvia/VD_Vidzeme/LVA_VD_Rujiena.262380_TMYx.2007-2021.zip</v>
      </c>
    </row>
    <row r="7558" spans="1:10" x14ac:dyDescent="0.25">
      <c r="A7558" t="s">
        <v>5646</v>
      </c>
      <c r="B7558" t="s">
        <v>478</v>
      </c>
      <c r="C7558" t="s">
        <v>5649</v>
      </c>
      <c r="D7558">
        <v>262380</v>
      </c>
      <c r="E7558" t="s">
        <v>14</v>
      </c>
      <c r="F7558">
        <v>57.886499999999998</v>
      </c>
      <c r="G7558">
        <v>25.3718</v>
      </c>
      <c r="H7558">
        <v>2</v>
      </c>
      <c r="I7558">
        <v>69</v>
      </c>
      <c r="J7558" t="str">
        <f>HYPERLINK("https://climate.onebuilding.org/WMO_Region_6_Europe/LVA_Latvia/VD_Vidzeme/LVA_VD_Rujiena.262380_TMYx.2009-2023.zip")</f>
        <v>https://climate.onebuilding.org/WMO_Region_6_Europe/LVA_Latvia/VD_Vidzeme/LVA_VD_Rujiena.262380_TMYx.2009-2023.zip</v>
      </c>
    </row>
    <row r="7559" spans="1:10" x14ac:dyDescent="0.25">
      <c r="A7559" t="s">
        <v>5646</v>
      </c>
      <c r="B7559" t="s">
        <v>478</v>
      </c>
      <c r="C7559" t="s">
        <v>5649</v>
      </c>
      <c r="D7559">
        <v>262380</v>
      </c>
      <c r="E7559" t="s">
        <v>14</v>
      </c>
      <c r="F7559">
        <v>57.886499999999998</v>
      </c>
      <c r="G7559">
        <v>25.3718</v>
      </c>
      <c r="H7559">
        <v>2</v>
      </c>
      <c r="I7559">
        <v>69</v>
      </c>
      <c r="J7559" t="str">
        <f>HYPERLINK("https://climate.onebuilding.org/WMO_Region_6_Europe/LVA_Latvia/VD_Vidzeme/LVA_VD_Rujiena.262380_TMYx.zip")</f>
        <v>https://climate.onebuilding.org/WMO_Region_6_Europe/LVA_Latvia/VD_Vidzeme/LVA_VD_Rujiena.262380_TMYx.zip</v>
      </c>
    </row>
    <row r="7560" spans="1:10" x14ac:dyDescent="0.25">
      <c r="A7560" t="s">
        <v>5646</v>
      </c>
      <c r="B7560" t="s">
        <v>5651</v>
      </c>
      <c r="C7560" t="s">
        <v>5652</v>
      </c>
      <c r="D7560">
        <v>263130</v>
      </c>
      <c r="E7560" t="s">
        <v>5653</v>
      </c>
      <c r="F7560">
        <v>57.746899999999997</v>
      </c>
      <c r="G7560">
        <v>22.589700000000001</v>
      </c>
      <c r="H7560">
        <v>2</v>
      </c>
      <c r="I7560">
        <v>5.5</v>
      </c>
      <c r="J7560" t="str">
        <f>HYPERLINK("https://climate.onebuilding.org/WMO_Region_6_Europe/LVA_Latvia/KR_Kurzeme/LVA_KR_Kolka.263130_TMYx.2004-2018.zip")</f>
        <v>https://climate.onebuilding.org/WMO_Region_6_Europe/LVA_Latvia/KR_Kurzeme/LVA_KR_Kolka.263130_TMYx.2004-2018.zip</v>
      </c>
    </row>
    <row r="7561" spans="1:10" x14ac:dyDescent="0.25">
      <c r="A7561" t="s">
        <v>5646</v>
      </c>
      <c r="B7561" t="s">
        <v>5651</v>
      </c>
      <c r="C7561" t="s">
        <v>5652</v>
      </c>
      <c r="D7561">
        <v>263130</v>
      </c>
      <c r="E7561" t="s">
        <v>14</v>
      </c>
      <c r="F7561">
        <v>57.746899999999997</v>
      </c>
      <c r="G7561">
        <v>22.589700000000001</v>
      </c>
      <c r="H7561">
        <v>2</v>
      </c>
      <c r="I7561">
        <v>5.5</v>
      </c>
      <c r="J7561" t="str">
        <f>HYPERLINK("https://climate.onebuilding.org/WMO_Region_6_Europe/LVA_Latvia/KR_Kurzeme/LVA_KR_Kolka.263130_TMYx.2007-2021.zip")</f>
        <v>https://climate.onebuilding.org/WMO_Region_6_Europe/LVA_Latvia/KR_Kurzeme/LVA_KR_Kolka.263130_TMYx.2007-2021.zip</v>
      </c>
    </row>
    <row r="7562" spans="1:10" x14ac:dyDescent="0.25">
      <c r="A7562" t="s">
        <v>5646</v>
      </c>
      <c r="B7562" t="s">
        <v>5651</v>
      </c>
      <c r="C7562" t="s">
        <v>5652</v>
      </c>
      <c r="D7562">
        <v>263130</v>
      </c>
      <c r="E7562" t="s">
        <v>14</v>
      </c>
      <c r="F7562">
        <v>57.746899999999997</v>
      </c>
      <c r="G7562">
        <v>22.589700000000001</v>
      </c>
      <c r="H7562">
        <v>2</v>
      </c>
      <c r="I7562">
        <v>5.5</v>
      </c>
      <c r="J7562" t="str">
        <f>HYPERLINK("https://climate.onebuilding.org/WMO_Region_6_Europe/LVA_Latvia/KR_Kurzeme/LVA_KR_Kolka.263130_TMYx.2009-2023.zip")</f>
        <v>https://climate.onebuilding.org/WMO_Region_6_Europe/LVA_Latvia/KR_Kurzeme/LVA_KR_Kolka.263130_TMYx.2009-2023.zip</v>
      </c>
    </row>
    <row r="7563" spans="1:10" x14ac:dyDescent="0.25">
      <c r="A7563" t="s">
        <v>5646</v>
      </c>
      <c r="B7563" t="s">
        <v>5651</v>
      </c>
      <c r="C7563" t="s">
        <v>5652</v>
      </c>
      <c r="D7563">
        <v>263130</v>
      </c>
      <c r="E7563" t="s">
        <v>14</v>
      </c>
      <c r="F7563">
        <v>57.746899999999997</v>
      </c>
      <c r="G7563">
        <v>22.589700000000001</v>
      </c>
      <c r="H7563">
        <v>2</v>
      </c>
      <c r="I7563">
        <v>5.5</v>
      </c>
      <c r="J7563" t="str">
        <f>HYPERLINK("https://climate.onebuilding.org/WMO_Region_6_Europe/LVA_Latvia/KR_Kurzeme/LVA_KR_Kolka.263130_TMYx.zip")</f>
        <v>https://climate.onebuilding.org/WMO_Region_6_Europe/LVA_Latvia/KR_Kurzeme/LVA_KR_Kolka.263130_TMYx.zip</v>
      </c>
    </row>
    <row r="7564" spans="1:10" x14ac:dyDescent="0.25">
      <c r="A7564" t="s">
        <v>5646</v>
      </c>
      <c r="B7564" t="s">
        <v>5651</v>
      </c>
      <c r="C7564" t="s">
        <v>5654</v>
      </c>
      <c r="D7564">
        <v>263140</v>
      </c>
      <c r="E7564" t="s">
        <v>5655</v>
      </c>
      <c r="F7564">
        <v>57.395600000000002</v>
      </c>
      <c r="G7564">
        <v>21.537199999999999</v>
      </c>
      <c r="H7564">
        <v>2</v>
      </c>
      <c r="I7564">
        <v>3.1</v>
      </c>
      <c r="J7564" t="str">
        <f>HYPERLINK("https://climate.onebuilding.org/WMO_Region_6_Europe/LVA_Latvia/KR_Kurzeme/LVA_KR_Ventspils.263140_TMYx.2004-2018.zip")</f>
        <v>https://climate.onebuilding.org/WMO_Region_6_Europe/LVA_Latvia/KR_Kurzeme/LVA_KR_Ventspils.263140_TMYx.2004-2018.zip</v>
      </c>
    </row>
    <row r="7565" spans="1:10" x14ac:dyDescent="0.25">
      <c r="A7565" t="s">
        <v>5646</v>
      </c>
      <c r="B7565" t="s">
        <v>5651</v>
      </c>
      <c r="C7565" t="s">
        <v>5654</v>
      </c>
      <c r="D7565">
        <v>263140</v>
      </c>
      <c r="E7565" t="s">
        <v>14</v>
      </c>
      <c r="F7565">
        <v>57.395600000000002</v>
      </c>
      <c r="G7565">
        <v>21.537199999999999</v>
      </c>
      <c r="H7565">
        <v>2</v>
      </c>
      <c r="I7565">
        <v>3.1</v>
      </c>
      <c r="J7565" t="str">
        <f>HYPERLINK("https://climate.onebuilding.org/WMO_Region_6_Europe/LVA_Latvia/KR_Kurzeme/LVA_KR_Ventspils.263140_TMYx.2007-2021.zip")</f>
        <v>https://climate.onebuilding.org/WMO_Region_6_Europe/LVA_Latvia/KR_Kurzeme/LVA_KR_Ventspils.263140_TMYx.2007-2021.zip</v>
      </c>
    </row>
    <row r="7566" spans="1:10" x14ac:dyDescent="0.25">
      <c r="A7566" t="s">
        <v>5646</v>
      </c>
      <c r="B7566" t="s">
        <v>5651</v>
      </c>
      <c r="C7566" t="s">
        <v>5654</v>
      </c>
      <c r="D7566">
        <v>263140</v>
      </c>
      <c r="E7566" t="s">
        <v>14</v>
      </c>
      <c r="F7566">
        <v>57.395600000000002</v>
      </c>
      <c r="G7566">
        <v>21.537199999999999</v>
      </c>
      <c r="H7566">
        <v>2</v>
      </c>
      <c r="I7566">
        <v>3.1</v>
      </c>
      <c r="J7566" t="str">
        <f>HYPERLINK("https://climate.onebuilding.org/WMO_Region_6_Europe/LVA_Latvia/KR_Kurzeme/LVA_KR_Ventspils.263140_TMYx.2009-2023.zip")</f>
        <v>https://climate.onebuilding.org/WMO_Region_6_Europe/LVA_Latvia/KR_Kurzeme/LVA_KR_Ventspils.263140_TMYx.2009-2023.zip</v>
      </c>
    </row>
    <row r="7567" spans="1:10" x14ac:dyDescent="0.25">
      <c r="A7567" t="s">
        <v>5646</v>
      </c>
      <c r="B7567" t="s">
        <v>5651</v>
      </c>
      <c r="C7567" t="s">
        <v>5654</v>
      </c>
      <c r="D7567">
        <v>263140</v>
      </c>
      <c r="E7567" t="s">
        <v>14</v>
      </c>
      <c r="F7567">
        <v>57.395600000000002</v>
      </c>
      <c r="G7567">
        <v>21.537199999999999</v>
      </c>
      <c r="H7567">
        <v>2</v>
      </c>
      <c r="I7567">
        <v>3.1</v>
      </c>
      <c r="J7567" t="str">
        <f>HYPERLINK("https://climate.onebuilding.org/WMO_Region_6_Europe/LVA_Latvia/KR_Kurzeme/LVA_KR_Ventspils.263140_TMYx.zip")</f>
        <v>https://climate.onebuilding.org/WMO_Region_6_Europe/LVA_Latvia/KR_Kurzeme/LVA_KR_Ventspils.263140_TMYx.zip</v>
      </c>
    </row>
    <row r="7568" spans="1:10" x14ac:dyDescent="0.25">
      <c r="A7568" t="s">
        <v>5646</v>
      </c>
      <c r="B7568" t="s">
        <v>5651</v>
      </c>
      <c r="C7568" t="s">
        <v>5656</v>
      </c>
      <c r="D7568">
        <v>263180</v>
      </c>
      <c r="E7568" t="s">
        <v>5657</v>
      </c>
      <c r="F7568">
        <v>57.183300000000003</v>
      </c>
      <c r="G7568">
        <v>22.550799999999999</v>
      </c>
      <c r="H7568">
        <v>2</v>
      </c>
      <c r="I7568">
        <v>81.099999999999994</v>
      </c>
      <c r="J7568" t="str">
        <f>HYPERLINK("https://climate.onebuilding.org/WMO_Region_6_Europe/LVA_Latvia/KR_Kurzeme/LVA_KR_Dizstende.263180_TMYx.2004-2018.zip")</f>
        <v>https://climate.onebuilding.org/WMO_Region_6_Europe/LVA_Latvia/KR_Kurzeme/LVA_KR_Dizstende.263180_TMYx.2004-2018.zip</v>
      </c>
    </row>
    <row r="7569" spans="1:10" x14ac:dyDescent="0.25">
      <c r="A7569" t="s">
        <v>5646</v>
      </c>
      <c r="B7569" t="s">
        <v>5651</v>
      </c>
      <c r="C7569" t="s">
        <v>5656</v>
      </c>
      <c r="D7569">
        <v>263180</v>
      </c>
      <c r="E7569" t="s">
        <v>14</v>
      </c>
      <c r="F7569">
        <v>57.183300000000003</v>
      </c>
      <c r="G7569">
        <v>22.550799999999999</v>
      </c>
      <c r="H7569">
        <v>2</v>
      </c>
      <c r="I7569">
        <v>81.099999999999994</v>
      </c>
      <c r="J7569" t="str">
        <f>HYPERLINK("https://climate.onebuilding.org/WMO_Region_6_Europe/LVA_Latvia/KR_Kurzeme/LVA_KR_Dizstende.263180_TMYx.2007-2021.zip")</f>
        <v>https://climate.onebuilding.org/WMO_Region_6_Europe/LVA_Latvia/KR_Kurzeme/LVA_KR_Dizstende.263180_TMYx.2007-2021.zip</v>
      </c>
    </row>
    <row r="7570" spans="1:10" x14ac:dyDescent="0.25">
      <c r="A7570" t="s">
        <v>5646</v>
      </c>
      <c r="B7570" t="s">
        <v>5651</v>
      </c>
      <c r="C7570" t="s">
        <v>5656</v>
      </c>
      <c r="D7570">
        <v>263180</v>
      </c>
      <c r="E7570" t="s">
        <v>14</v>
      </c>
      <c r="F7570">
        <v>57.183300000000003</v>
      </c>
      <c r="G7570">
        <v>22.550799999999999</v>
      </c>
      <c r="H7570">
        <v>2</v>
      </c>
      <c r="I7570">
        <v>81.099999999999994</v>
      </c>
      <c r="J7570" t="str">
        <f>HYPERLINK("https://climate.onebuilding.org/WMO_Region_6_Europe/LVA_Latvia/KR_Kurzeme/LVA_KR_Dizstende.263180_TMYx.2009-2023.zip")</f>
        <v>https://climate.onebuilding.org/WMO_Region_6_Europe/LVA_Latvia/KR_Kurzeme/LVA_KR_Dizstende.263180_TMYx.2009-2023.zip</v>
      </c>
    </row>
    <row r="7571" spans="1:10" x14ac:dyDescent="0.25">
      <c r="A7571" t="s">
        <v>5646</v>
      </c>
      <c r="B7571" t="s">
        <v>5651</v>
      </c>
      <c r="C7571" t="s">
        <v>5656</v>
      </c>
      <c r="D7571">
        <v>263180</v>
      </c>
      <c r="E7571" t="s">
        <v>14</v>
      </c>
      <c r="F7571">
        <v>57.183300000000003</v>
      </c>
      <c r="G7571">
        <v>22.550799999999999</v>
      </c>
      <c r="H7571">
        <v>2</v>
      </c>
      <c r="I7571">
        <v>81.099999999999994</v>
      </c>
      <c r="J7571" t="str">
        <f>HYPERLINK("https://climate.onebuilding.org/WMO_Region_6_Europe/LVA_Latvia/KR_Kurzeme/LVA_KR_Dizstende.263180_TMYx.zip")</f>
        <v>https://climate.onebuilding.org/WMO_Region_6_Europe/LVA_Latvia/KR_Kurzeme/LVA_KR_Dizstende.263180_TMYx.zip</v>
      </c>
    </row>
    <row r="7572" spans="1:10" x14ac:dyDescent="0.25">
      <c r="A7572" t="s">
        <v>5646</v>
      </c>
      <c r="B7572" t="s">
        <v>5651</v>
      </c>
      <c r="C7572" t="s">
        <v>5658</v>
      </c>
      <c r="D7572">
        <v>263240</v>
      </c>
      <c r="E7572" t="s">
        <v>5659</v>
      </c>
      <c r="F7572">
        <v>57.333300000000001</v>
      </c>
      <c r="G7572">
        <v>23.113099999999999</v>
      </c>
      <c r="H7572">
        <v>2</v>
      </c>
      <c r="I7572">
        <v>6</v>
      </c>
      <c r="J7572" t="str">
        <f>HYPERLINK("https://climate.onebuilding.org/WMO_Region_6_Europe/LVA_Latvia/KR_Kurzeme/LVA_KR_Mersrags.263240_TMYx.2004-2018.zip")</f>
        <v>https://climate.onebuilding.org/WMO_Region_6_Europe/LVA_Latvia/KR_Kurzeme/LVA_KR_Mersrags.263240_TMYx.2004-2018.zip</v>
      </c>
    </row>
    <row r="7573" spans="1:10" x14ac:dyDescent="0.25">
      <c r="A7573" t="s">
        <v>5646</v>
      </c>
      <c r="B7573" t="s">
        <v>5651</v>
      </c>
      <c r="C7573" t="s">
        <v>5658</v>
      </c>
      <c r="D7573">
        <v>263240</v>
      </c>
      <c r="E7573" t="s">
        <v>14</v>
      </c>
      <c r="F7573">
        <v>57.333300000000001</v>
      </c>
      <c r="G7573">
        <v>23.113099999999999</v>
      </c>
      <c r="H7573">
        <v>2</v>
      </c>
      <c r="I7573">
        <v>6</v>
      </c>
      <c r="J7573" t="str">
        <f>HYPERLINK("https://climate.onebuilding.org/WMO_Region_6_Europe/LVA_Latvia/KR_Kurzeme/LVA_KR_Mersrags.263240_TMYx.2007-2021.zip")</f>
        <v>https://climate.onebuilding.org/WMO_Region_6_Europe/LVA_Latvia/KR_Kurzeme/LVA_KR_Mersrags.263240_TMYx.2007-2021.zip</v>
      </c>
    </row>
    <row r="7574" spans="1:10" x14ac:dyDescent="0.25">
      <c r="A7574" t="s">
        <v>5646</v>
      </c>
      <c r="B7574" t="s">
        <v>5651</v>
      </c>
      <c r="C7574" t="s">
        <v>5658</v>
      </c>
      <c r="D7574">
        <v>263240</v>
      </c>
      <c r="E7574" t="s">
        <v>14</v>
      </c>
      <c r="F7574">
        <v>57.333300000000001</v>
      </c>
      <c r="G7574">
        <v>23.113099999999999</v>
      </c>
      <c r="H7574">
        <v>2</v>
      </c>
      <c r="I7574">
        <v>6</v>
      </c>
      <c r="J7574" t="str">
        <f>HYPERLINK("https://climate.onebuilding.org/WMO_Region_6_Europe/LVA_Latvia/KR_Kurzeme/LVA_KR_Mersrags.263240_TMYx.2009-2023.zip")</f>
        <v>https://climate.onebuilding.org/WMO_Region_6_Europe/LVA_Latvia/KR_Kurzeme/LVA_KR_Mersrags.263240_TMYx.2009-2023.zip</v>
      </c>
    </row>
    <row r="7575" spans="1:10" x14ac:dyDescent="0.25">
      <c r="A7575" t="s">
        <v>5646</v>
      </c>
      <c r="B7575" t="s">
        <v>5651</v>
      </c>
      <c r="C7575" t="s">
        <v>5658</v>
      </c>
      <c r="D7575">
        <v>263240</v>
      </c>
      <c r="E7575" t="s">
        <v>14</v>
      </c>
      <c r="F7575">
        <v>57.333300000000001</v>
      </c>
      <c r="G7575">
        <v>23.113099999999999</v>
      </c>
      <c r="H7575">
        <v>2</v>
      </c>
      <c r="I7575">
        <v>6</v>
      </c>
      <c r="J7575" t="str">
        <f>HYPERLINK("https://climate.onebuilding.org/WMO_Region_6_Europe/LVA_Latvia/KR_Kurzeme/LVA_KR_Mersrags.263240_TMYx.zip")</f>
        <v>https://climate.onebuilding.org/WMO_Region_6_Europe/LVA_Latvia/KR_Kurzeme/LVA_KR_Mersrags.263240_TMYx.zip</v>
      </c>
    </row>
    <row r="7576" spans="1:10" x14ac:dyDescent="0.25">
      <c r="A7576" t="s">
        <v>5646</v>
      </c>
      <c r="B7576" t="s">
        <v>2293</v>
      </c>
      <c r="C7576" t="s">
        <v>5660</v>
      </c>
      <c r="D7576">
        <v>263260</v>
      </c>
      <c r="E7576" t="s">
        <v>5661</v>
      </c>
      <c r="F7576">
        <v>57.300600000000003</v>
      </c>
      <c r="G7576">
        <v>24.412199999999999</v>
      </c>
      <c r="H7576">
        <v>2</v>
      </c>
      <c r="I7576">
        <v>10</v>
      </c>
      <c r="J7576" t="str">
        <f>HYPERLINK("https://climate.onebuilding.org/WMO_Region_6_Europe/LVA_Latvia/PR_Pieriga/LVA_PR_Skulte.263260_TMYx.2004-2018.zip")</f>
        <v>https://climate.onebuilding.org/WMO_Region_6_Europe/LVA_Latvia/PR_Pieriga/LVA_PR_Skulte.263260_TMYx.2004-2018.zip</v>
      </c>
    </row>
    <row r="7577" spans="1:10" x14ac:dyDescent="0.25">
      <c r="A7577" t="s">
        <v>5646</v>
      </c>
      <c r="B7577" t="s">
        <v>2293</v>
      </c>
      <c r="C7577" t="s">
        <v>5660</v>
      </c>
      <c r="D7577">
        <v>263260</v>
      </c>
      <c r="E7577" t="s">
        <v>14</v>
      </c>
      <c r="F7577">
        <v>57.300600000000003</v>
      </c>
      <c r="G7577">
        <v>24.412199999999999</v>
      </c>
      <c r="H7577">
        <v>2</v>
      </c>
      <c r="I7577">
        <v>10</v>
      </c>
      <c r="J7577" t="str">
        <f>HYPERLINK("https://climate.onebuilding.org/WMO_Region_6_Europe/LVA_Latvia/PR_Pieriga/LVA_PR_Skulte.263260_TMYx.2007-2021.zip")</f>
        <v>https://climate.onebuilding.org/WMO_Region_6_Europe/LVA_Latvia/PR_Pieriga/LVA_PR_Skulte.263260_TMYx.2007-2021.zip</v>
      </c>
    </row>
    <row r="7578" spans="1:10" x14ac:dyDescent="0.25">
      <c r="A7578" t="s">
        <v>5646</v>
      </c>
      <c r="B7578" t="s">
        <v>2293</v>
      </c>
      <c r="C7578" t="s">
        <v>5660</v>
      </c>
      <c r="D7578">
        <v>263260</v>
      </c>
      <c r="E7578" t="s">
        <v>14</v>
      </c>
      <c r="F7578">
        <v>57.300600000000003</v>
      </c>
      <c r="G7578">
        <v>24.412199999999999</v>
      </c>
      <c r="H7578">
        <v>2</v>
      </c>
      <c r="I7578">
        <v>10</v>
      </c>
      <c r="J7578" t="str">
        <f>HYPERLINK("https://climate.onebuilding.org/WMO_Region_6_Europe/LVA_Latvia/PR_Pieriga/LVA_PR_Skulte.263260_TMYx.2009-2023.zip")</f>
        <v>https://climate.onebuilding.org/WMO_Region_6_Europe/LVA_Latvia/PR_Pieriga/LVA_PR_Skulte.263260_TMYx.2009-2023.zip</v>
      </c>
    </row>
    <row r="7579" spans="1:10" x14ac:dyDescent="0.25">
      <c r="A7579" t="s">
        <v>5646</v>
      </c>
      <c r="B7579" t="s">
        <v>2293</v>
      </c>
      <c r="C7579" t="s">
        <v>5660</v>
      </c>
      <c r="D7579">
        <v>263260</v>
      </c>
      <c r="E7579" t="s">
        <v>14</v>
      </c>
      <c r="F7579">
        <v>57.300600000000003</v>
      </c>
      <c r="G7579">
        <v>24.412199999999999</v>
      </c>
      <c r="H7579">
        <v>2</v>
      </c>
      <c r="I7579">
        <v>10</v>
      </c>
      <c r="J7579" t="str">
        <f>HYPERLINK("https://climate.onebuilding.org/WMO_Region_6_Europe/LVA_Latvia/PR_Pieriga/LVA_PR_Skulte.263260_TMYx.zip")</f>
        <v>https://climate.onebuilding.org/WMO_Region_6_Europe/LVA_Latvia/PR_Pieriga/LVA_PR_Skulte.263260_TMYx.zip</v>
      </c>
    </row>
    <row r="7580" spans="1:10" x14ac:dyDescent="0.25">
      <c r="A7580" t="s">
        <v>5646</v>
      </c>
      <c r="B7580" t="s">
        <v>478</v>
      </c>
      <c r="C7580" t="s">
        <v>5662</v>
      </c>
      <c r="D7580">
        <v>263350</v>
      </c>
      <c r="E7580" t="s">
        <v>5663</v>
      </c>
      <c r="F7580">
        <v>57.315800000000003</v>
      </c>
      <c r="G7580">
        <v>25.3386</v>
      </c>
      <c r="H7580">
        <v>2</v>
      </c>
      <c r="I7580">
        <v>123.1</v>
      </c>
      <c r="J7580" t="str">
        <f>HYPERLINK("https://climate.onebuilding.org/WMO_Region_6_Europe/LVA_Latvia/VD_Vidzeme/LVA_VD_Priekuli.263350_TMYx.2004-2018.zip")</f>
        <v>https://climate.onebuilding.org/WMO_Region_6_Europe/LVA_Latvia/VD_Vidzeme/LVA_VD_Priekuli.263350_TMYx.2004-2018.zip</v>
      </c>
    </row>
    <row r="7581" spans="1:10" x14ac:dyDescent="0.25">
      <c r="A7581" t="s">
        <v>5646</v>
      </c>
      <c r="B7581" t="s">
        <v>478</v>
      </c>
      <c r="C7581" t="s">
        <v>5662</v>
      </c>
      <c r="D7581">
        <v>263350</v>
      </c>
      <c r="E7581" t="s">
        <v>14</v>
      </c>
      <c r="F7581">
        <v>57.315800000000003</v>
      </c>
      <c r="G7581">
        <v>25.3386</v>
      </c>
      <c r="H7581">
        <v>2</v>
      </c>
      <c r="I7581">
        <v>123.1</v>
      </c>
      <c r="J7581" t="str">
        <f>HYPERLINK("https://climate.onebuilding.org/WMO_Region_6_Europe/LVA_Latvia/VD_Vidzeme/LVA_VD_Priekuli.263350_TMYx.2007-2021.zip")</f>
        <v>https://climate.onebuilding.org/WMO_Region_6_Europe/LVA_Latvia/VD_Vidzeme/LVA_VD_Priekuli.263350_TMYx.2007-2021.zip</v>
      </c>
    </row>
    <row r="7582" spans="1:10" x14ac:dyDescent="0.25">
      <c r="A7582" t="s">
        <v>5646</v>
      </c>
      <c r="B7582" t="s">
        <v>478</v>
      </c>
      <c r="C7582" t="s">
        <v>5662</v>
      </c>
      <c r="D7582">
        <v>263350</v>
      </c>
      <c r="E7582" t="s">
        <v>14</v>
      </c>
      <c r="F7582">
        <v>57.315800000000003</v>
      </c>
      <c r="G7582">
        <v>25.3386</v>
      </c>
      <c r="H7582">
        <v>2</v>
      </c>
      <c r="I7582">
        <v>123.1</v>
      </c>
      <c r="J7582" t="str">
        <f>HYPERLINK("https://climate.onebuilding.org/WMO_Region_6_Europe/LVA_Latvia/VD_Vidzeme/LVA_VD_Priekuli.263350_TMYx.2009-2023.zip")</f>
        <v>https://climate.onebuilding.org/WMO_Region_6_Europe/LVA_Latvia/VD_Vidzeme/LVA_VD_Priekuli.263350_TMYx.2009-2023.zip</v>
      </c>
    </row>
    <row r="7583" spans="1:10" x14ac:dyDescent="0.25">
      <c r="A7583" t="s">
        <v>5646</v>
      </c>
      <c r="B7583" t="s">
        <v>478</v>
      </c>
      <c r="C7583" t="s">
        <v>5662</v>
      </c>
      <c r="D7583">
        <v>263350</v>
      </c>
      <c r="E7583" t="s">
        <v>14</v>
      </c>
      <c r="F7583">
        <v>57.315800000000003</v>
      </c>
      <c r="G7583">
        <v>25.3386</v>
      </c>
      <c r="H7583">
        <v>2</v>
      </c>
      <c r="I7583">
        <v>123.1</v>
      </c>
      <c r="J7583" t="str">
        <f>HYPERLINK("https://climate.onebuilding.org/WMO_Region_6_Europe/LVA_Latvia/VD_Vidzeme/LVA_VD_Priekuli.263350_TMYx.zip")</f>
        <v>https://climate.onebuilding.org/WMO_Region_6_Europe/LVA_Latvia/VD_Vidzeme/LVA_VD_Priekuli.263350_TMYx.zip</v>
      </c>
    </row>
    <row r="7584" spans="1:10" x14ac:dyDescent="0.25">
      <c r="A7584" t="s">
        <v>5646</v>
      </c>
      <c r="B7584" t="s">
        <v>478</v>
      </c>
      <c r="C7584" t="s">
        <v>5664</v>
      </c>
      <c r="D7584">
        <v>263390</v>
      </c>
      <c r="E7584" t="s">
        <v>5665</v>
      </c>
      <c r="F7584">
        <v>57.134999999999998</v>
      </c>
      <c r="G7584">
        <v>25.9056</v>
      </c>
      <c r="H7584">
        <v>2</v>
      </c>
      <c r="I7584">
        <v>188.8</v>
      </c>
      <c r="J7584" t="str">
        <f>HYPERLINK("https://climate.onebuilding.org/WMO_Region_6_Europe/LVA_Latvia/VD_Vidzeme/LVA_VD_Zoseni.263390_TMYx.2004-2018.zip")</f>
        <v>https://climate.onebuilding.org/WMO_Region_6_Europe/LVA_Latvia/VD_Vidzeme/LVA_VD_Zoseni.263390_TMYx.2004-2018.zip</v>
      </c>
    </row>
    <row r="7585" spans="1:10" x14ac:dyDescent="0.25">
      <c r="A7585" t="s">
        <v>5646</v>
      </c>
      <c r="B7585" t="s">
        <v>478</v>
      </c>
      <c r="C7585" t="s">
        <v>5664</v>
      </c>
      <c r="D7585">
        <v>263390</v>
      </c>
      <c r="E7585" t="s">
        <v>14</v>
      </c>
      <c r="F7585">
        <v>57.134999999999998</v>
      </c>
      <c r="G7585">
        <v>25.9056</v>
      </c>
      <c r="H7585">
        <v>2</v>
      </c>
      <c r="I7585">
        <v>188.8</v>
      </c>
      <c r="J7585" t="str">
        <f>HYPERLINK("https://climate.onebuilding.org/WMO_Region_6_Europe/LVA_Latvia/VD_Vidzeme/LVA_VD_Zoseni.263390_TMYx.2007-2021.zip")</f>
        <v>https://climate.onebuilding.org/WMO_Region_6_Europe/LVA_Latvia/VD_Vidzeme/LVA_VD_Zoseni.263390_TMYx.2007-2021.zip</v>
      </c>
    </row>
    <row r="7586" spans="1:10" x14ac:dyDescent="0.25">
      <c r="A7586" t="s">
        <v>5646</v>
      </c>
      <c r="B7586" t="s">
        <v>478</v>
      </c>
      <c r="C7586" t="s">
        <v>5664</v>
      </c>
      <c r="D7586">
        <v>263390</v>
      </c>
      <c r="E7586" t="s">
        <v>14</v>
      </c>
      <c r="F7586">
        <v>57.134999999999998</v>
      </c>
      <c r="G7586">
        <v>25.9056</v>
      </c>
      <c r="H7586">
        <v>2</v>
      </c>
      <c r="I7586">
        <v>188.8</v>
      </c>
      <c r="J7586" t="str">
        <f>HYPERLINK("https://climate.onebuilding.org/WMO_Region_6_Europe/LVA_Latvia/VD_Vidzeme/LVA_VD_Zoseni.263390_TMYx.2009-2023.zip")</f>
        <v>https://climate.onebuilding.org/WMO_Region_6_Europe/LVA_Latvia/VD_Vidzeme/LVA_VD_Zoseni.263390_TMYx.2009-2023.zip</v>
      </c>
    </row>
    <row r="7587" spans="1:10" x14ac:dyDescent="0.25">
      <c r="A7587" t="s">
        <v>5646</v>
      </c>
      <c r="B7587" t="s">
        <v>478</v>
      </c>
      <c r="C7587" t="s">
        <v>5664</v>
      </c>
      <c r="D7587">
        <v>263390</v>
      </c>
      <c r="E7587" t="s">
        <v>14</v>
      </c>
      <c r="F7587">
        <v>57.134999999999998</v>
      </c>
      <c r="G7587">
        <v>25.9056</v>
      </c>
      <c r="H7587">
        <v>2</v>
      </c>
      <c r="I7587">
        <v>188.8</v>
      </c>
      <c r="J7587" t="str">
        <f>HYPERLINK("https://climate.onebuilding.org/WMO_Region_6_Europe/LVA_Latvia/VD_Vidzeme/LVA_VD_Zoseni.263390_TMYx.zip")</f>
        <v>https://climate.onebuilding.org/WMO_Region_6_Europe/LVA_Latvia/VD_Vidzeme/LVA_VD_Zoseni.263390_TMYx.zip</v>
      </c>
    </row>
    <row r="7588" spans="1:10" x14ac:dyDescent="0.25">
      <c r="A7588" t="s">
        <v>5646</v>
      </c>
      <c r="B7588" t="s">
        <v>478</v>
      </c>
      <c r="C7588" t="s">
        <v>5666</v>
      </c>
      <c r="D7588">
        <v>263460</v>
      </c>
      <c r="E7588" t="s">
        <v>5667</v>
      </c>
      <c r="F7588">
        <v>57.439399999999999</v>
      </c>
      <c r="G7588">
        <v>27.035299999999999</v>
      </c>
      <c r="H7588">
        <v>2</v>
      </c>
      <c r="I7588">
        <v>197.9</v>
      </c>
      <c r="J7588" t="str">
        <f>HYPERLINK("https://climate.onebuilding.org/WMO_Region_6_Europe/LVA_Latvia/VD_Vidzeme/LVA_VD_Aluksne.263460_TMYx.2004-2018.zip")</f>
        <v>https://climate.onebuilding.org/WMO_Region_6_Europe/LVA_Latvia/VD_Vidzeme/LVA_VD_Aluksne.263460_TMYx.2004-2018.zip</v>
      </c>
    </row>
    <row r="7589" spans="1:10" x14ac:dyDescent="0.25">
      <c r="A7589" t="s">
        <v>5646</v>
      </c>
      <c r="B7589" t="s">
        <v>478</v>
      </c>
      <c r="C7589" t="s">
        <v>5666</v>
      </c>
      <c r="D7589">
        <v>263460</v>
      </c>
      <c r="E7589" t="s">
        <v>14</v>
      </c>
      <c r="F7589">
        <v>57.439399999999999</v>
      </c>
      <c r="G7589">
        <v>27.035299999999999</v>
      </c>
      <c r="H7589">
        <v>2</v>
      </c>
      <c r="I7589">
        <v>197.9</v>
      </c>
      <c r="J7589" t="str">
        <f>HYPERLINK("https://climate.onebuilding.org/WMO_Region_6_Europe/LVA_Latvia/VD_Vidzeme/LVA_VD_Aluksne.263460_TMYx.2007-2021.zip")</f>
        <v>https://climate.onebuilding.org/WMO_Region_6_Europe/LVA_Latvia/VD_Vidzeme/LVA_VD_Aluksne.263460_TMYx.2007-2021.zip</v>
      </c>
    </row>
    <row r="7590" spans="1:10" x14ac:dyDescent="0.25">
      <c r="A7590" t="s">
        <v>5646</v>
      </c>
      <c r="B7590" t="s">
        <v>478</v>
      </c>
      <c r="C7590" t="s">
        <v>5666</v>
      </c>
      <c r="D7590">
        <v>263460</v>
      </c>
      <c r="E7590" t="s">
        <v>14</v>
      </c>
      <c r="F7590">
        <v>57.439399999999999</v>
      </c>
      <c r="G7590">
        <v>27.035299999999999</v>
      </c>
      <c r="H7590">
        <v>2</v>
      </c>
      <c r="I7590">
        <v>197.9</v>
      </c>
      <c r="J7590" t="str">
        <f>HYPERLINK("https://climate.onebuilding.org/WMO_Region_6_Europe/LVA_Latvia/VD_Vidzeme/LVA_VD_Aluksne.263460_TMYx.2009-2023.zip")</f>
        <v>https://climate.onebuilding.org/WMO_Region_6_Europe/LVA_Latvia/VD_Vidzeme/LVA_VD_Aluksne.263460_TMYx.2009-2023.zip</v>
      </c>
    </row>
    <row r="7591" spans="1:10" x14ac:dyDescent="0.25">
      <c r="A7591" t="s">
        <v>5646</v>
      </c>
      <c r="B7591" t="s">
        <v>478</v>
      </c>
      <c r="C7591" t="s">
        <v>5666</v>
      </c>
      <c r="D7591">
        <v>263460</v>
      </c>
      <c r="E7591" t="s">
        <v>14</v>
      </c>
      <c r="F7591">
        <v>57.439399999999999</v>
      </c>
      <c r="G7591">
        <v>27.035299999999999</v>
      </c>
      <c r="H7591">
        <v>2</v>
      </c>
      <c r="I7591">
        <v>197.9</v>
      </c>
      <c r="J7591" t="str">
        <f>HYPERLINK("https://climate.onebuilding.org/WMO_Region_6_Europe/LVA_Latvia/VD_Vidzeme/LVA_VD_Aluksne.263460_TMYx.zip")</f>
        <v>https://climate.onebuilding.org/WMO_Region_6_Europe/LVA_Latvia/VD_Vidzeme/LVA_VD_Aluksne.263460_TMYx.zip</v>
      </c>
    </row>
    <row r="7592" spans="1:10" x14ac:dyDescent="0.25">
      <c r="A7592" t="s">
        <v>5646</v>
      </c>
      <c r="B7592" t="s">
        <v>478</v>
      </c>
      <c r="C7592" t="s">
        <v>5668</v>
      </c>
      <c r="D7592">
        <v>263480</v>
      </c>
      <c r="E7592" t="s">
        <v>5669</v>
      </c>
      <c r="F7592">
        <v>57.132199999999997</v>
      </c>
      <c r="G7592">
        <v>26.718900000000001</v>
      </c>
      <c r="H7592">
        <v>2</v>
      </c>
      <c r="I7592">
        <v>142.19999999999999</v>
      </c>
      <c r="J7592" t="str">
        <f>HYPERLINK("https://climate.onebuilding.org/WMO_Region_6_Europe/LVA_Latvia/VD_Vidzeme/LVA_VD_Gulbene.263480_TMYx.2004-2018.zip")</f>
        <v>https://climate.onebuilding.org/WMO_Region_6_Europe/LVA_Latvia/VD_Vidzeme/LVA_VD_Gulbene.263480_TMYx.2004-2018.zip</v>
      </c>
    </row>
    <row r="7593" spans="1:10" x14ac:dyDescent="0.25">
      <c r="A7593" t="s">
        <v>5646</v>
      </c>
      <c r="B7593" t="s">
        <v>478</v>
      </c>
      <c r="C7593" t="s">
        <v>5668</v>
      </c>
      <c r="D7593">
        <v>263480</v>
      </c>
      <c r="E7593" t="s">
        <v>14</v>
      </c>
      <c r="F7593">
        <v>57.132199999999997</v>
      </c>
      <c r="G7593">
        <v>26.718900000000001</v>
      </c>
      <c r="H7593">
        <v>2</v>
      </c>
      <c r="I7593">
        <v>142.19999999999999</v>
      </c>
      <c r="J7593" t="str">
        <f>HYPERLINK("https://climate.onebuilding.org/WMO_Region_6_Europe/LVA_Latvia/VD_Vidzeme/LVA_VD_Gulbene.263480_TMYx.2007-2021.zip")</f>
        <v>https://climate.onebuilding.org/WMO_Region_6_Europe/LVA_Latvia/VD_Vidzeme/LVA_VD_Gulbene.263480_TMYx.2007-2021.zip</v>
      </c>
    </row>
    <row r="7594" spans="1:10" x14ac:dyDescent="0.25">
      <c r="A7594" t="s">
        <v>5646</v>
      </c>
      <c r="B7594" t="s">
        <v>478</v>
      </c>
      <c r="C7594" t="s">
        <v>5668</v>
      </c>
      <c r="D7594">
        <v>263480</v>
      </c>
      <c r="E7594" t="s">
        <v>14</v>
      </c>
      <c r="F7594">
        <v>57.132199999999997</v>
      </c>
      <c r="G7594">
        <v>26.718900000000001</v>
      </c>
      <c r="H7594">
        <v>2</v>
      </c>
      <c r="I7594">
        <v>142.19999999999999</v>
      </c>
      <c r="J7594" t="str">
        <f>HYPERLINK("https://climate.onebuilding.org/WMO_Region_6_Europe/LVA_Latvia/VD_Vidzeme/LVA_VD_Gulbene.263480_TMYx.2009-2023.zip")</f>
        <v>https://climate.onebuilding.org/WMO_Region_6_Europe/LVA_Latvia/VD_Vidzeme/LVA_VD_Gulbene.263480_TMYx.2009-2023.zip</v>
      </c>
    </row>
    <row r="7595" spans="1:10" x14ac:dyDescent="0.25">
      <c r="A7595" t="s">
        <v>5646</v>
      </c>
      <c r="B7595" t="s">
        <v>478</v>
      </c>
      <c r="C7595" t="s">
        <v>5668</v>
      </c>
      <c r="D7595">
        <v>263480</v>
      </c>
      <c r="E7595" t="s">
        <v>14</v>
      </c>
      <c r="F7595">
        <v>57.132199999999997</v>
      </c>
      <c r="G7595">
        <v>26.718900000000001</v>
      </c>
      <c r="H7595">
        <v>2</v>
      </c>
      <c r="I7595">
        <v>142.19999999999999</v>
      </c>
      <c r="J7595" t="str">
        <f>HYPERLINK("https://climate.onebuilding.org/WMO_Region_6_Europe/LVA_Latvia/VD_Vidzeme/LVA_VD_Gulbene.263480_TMYx.zip")</f>
        <v>https://climate.onebuilding.org/WMO_Region_6_Europe/LVA_Latvia/VD_Vidzeme/LVA_VD_Gulbene.263480_TMYx.zip</v>
      </c>
    </row>
    <row r="7596" spans="1:10" x14ac:dyDescent="0.25">
      <c r="A7596" t="s">
        <v>5646</v>
      </c>
      <c r="B7596" t="s">
        <v>5670</v>
      </c>
      <c r="C7596" t="s">
        <v>5671</v>
      </c>
      <c r="D7596">
        <v>263570</v>
      </c>
      <c r="E7596" t="s">
        <v>14</v>
      </c>
      <c r="F7596">
        <v>57.183</v>
      </c>
      <c r="G7596">
        <v>27.667000000000002</v>
      </c>
      <c r="H7596">
        <v>2</v>
      </c>
      <c r="I7596">
        <v>93</v>
      </c>
      <c r="J7596" t="str">
        <f>HYPERLINK("https://climate.onebuilding.org/WMO_Region_6_Europe/LVA_Latvia/LT_Latgale/LVA_LT_Vilaka.263570_TMYx.zip")</f>
        <v>https://climate.onebuilding.org/WMO_Region_6_Europe/LVA_Latvia/LT_Latgale/LVA_LT_Vilaka.263570_TMYx.zip</v>
      </c>
    </row>
    <row r="7597" spans="1:10" x14ac:dyDescent="0.25">
      <c r="A7597" t="s">
        <v>5646</v>
      </c>
      <c r="B7597" t="s">
        <v>5651</v>
      </c>
      <c r="C7597" t="s">
        <v>5672</v>
      </c>
      <c r="D7597">
        <v>264030</v>
      </c>
      <c r="E7597" t="s">
        <v>5673</v>
      </c>
      <c r="F7597">
        <v>56.888300000000001</v>
      </c>
      <c r="G7597">
        <v>21.189399999999999</v>
      </c>
      <c r="H7597">
        <v>2</v>
      </c>
      <c r="I7597">
        <v>9.3000000000000007</v>
      </c>
      <c r="J7597" t="str">
        <f>HYPERLINK("https://climate.onebuilding.org/WMO_Region_6_Europe/LVA_Latvia/KR_Kurzeme/LVA_KR_Pavilosta.264030_TMYx.2004-2018.zip")</f>
        <v>https://climate.onebuilding.org/WMO_Region_6_Europe/LVA_Latvia/KR_Kurzeme/LVA_KR_Pavilosta.264030_TMYx.2004-2018.zip</v>
      </c>
    </row>
    <row r="7598" spans="1:10" x14ac:dyDescent="0.25">
      <c r="A7598" t="s">
        <v>5646</v>
      </c>
      <c r="B7598" t="s">
        <v>5651</v>
      </c>
      <c r="C7598" t="s">
        <v>5672</v>
      </c>
      <c r="D7598">
        <v>264030</v>
      </c>
      <c r="E7598" t="s">
        <v>14</v>
      </c>
      <c r="F7598">
        <v>56.888300000000001</v>
      </c>
      <c r="G7598">
        <v>21.189399999999999</v>
      </c>
      <c r="H7598">
        <v>2</v>
      </c>
      <c r="I7598">
        <v>9.3000000000000007</v>
      </c>
      <c r="J7598" t="str">
        <f>HYPERLINK("https://climate.onebuilding.org/WMO_Region_6_Europe/LVA_Latvia/KR_Kurzeme/LVA_KR_Pavilosta.264030_TMYx.2007-2021.zip")</f>
        <v>https://climate.onebuilding.org/WMO_Region_6_Europe/LVA_Latvia/KR_Kurzeme/LVA_KR_Pavilosta.264030_TMYx.2007-2021.zip</v>
      </c>
    </row>
    <row r="7599" spans="1:10" x14ac:dyDescent="0.25">
      <c r="A7599" t="s">
        <v>5646</v>
      </c>
      <c r="B7599" t="s">
        <v>5651</v>
      </c>
      <c r="C7599" t="s">
        <v>5672</v>
      </c>
      <c r="D7599">
        <v>264030</v>
      </c>
      <c r="E7599" t="s">
        <v>14</v>
      </c>
      <c r="F7599">
        <v>56.888300000000001</v>
      </c>
      <c r="G7599">
        <v>21.189399999999999</v>
      </c>
      <c r="H7599">
        <v>2</v>
      </c>
      <c r="I7599">
        <v>9.3000000000000007</v>
      </c>
      <c r="J7599" t="str">
        <f>HYPERLINK("https://climate.onebuilding.org/WMO_Region_6_Europe/LVA_Latvia/KR_Kurzeme/LVA_KR_Pavilosta.264030_TMYx.2009-2023.zip")</f>
        <v>https://climate.onebuilding.org/WMO_Region_6_Europe/LVA_Latvia/KR_Kurzeme/LVA_KR_Pavilosta.264030_TMYx.2009-2023.zip</v>
      </c>
    </row>
    <row r="7600" spans="1:10" x14ac:dyDescent="0.25">
      <c r="A7600" t="s">
        <v>5646</v>
      </c>
      <c r="B7600" t="s">
        <v>5651</v>
      </c>
      <c r="C7600" t="s">
        <v>5672</v>
      </c>
      <c r="D7600">
        <v>264030</v>
      </c>
      <c r="E7600" t="s">
        <v>14</v>
      </c>
      <c r="F7600">
        <v>56.888300000000001</v>
      </c>
      <c r="G7600">
        <v>21.189399999999999</v>
      </c>
      <c r="H7600">
        <v>2</v>
      </c>
      <c r="I7600">
        <v>9.3000000000000007</v>
      </c>
      <c r="J7600" t="str">
        <f>HYPERLINK("https://climate.onebuilding.org/WMO_Region_6_Europe/LVA_Latvia/KR_Kurzeme/LVA_KR_Pavilosta.264030_TMYx.zip")</f>
        <v>https://climate.onebuilding.org/WMO_Region_6_Europe/LVA_Latvia/KR_Kurzeme/LVA_KR_Pavilosta.264030_TMYx.zip</v>
      </c>
    </row>
    <row r="7601" spans="1:10" x14ac:dyDescent="0.25">
      <c r="A7601" t="s">
        <v>5646</v>
      </c>
      <c r="B7601" t="s">
        <v>5651</v>
      </c>
      <c r="C7601" t="s">
        <v>5674</v>
      </c>
      <c r="D7601">
        <v>264060</v>
      </c>
      <c r="E7601" t="s">
        <v>5675</v>
      </c>
      <c r="F7601">
        <v>56.518000000000001</v>
      </c>
      <c r="G7601">
        <v>21.097000000000001</v>
      </c>
      <c r="H7601">
        <v>2</v>
      </c>
      <c r="I7601">
        <v>4.9000000000000004</v>
      </c>
      <c r="J7601" t="str">
        <f>HYPERLINK("https://climate.onebuilding.org/WMO_Region_6_Europe/LVA_Latvia/KR_Kurzeme/LVA_KR_Liepaja.264060_TMYx.2004-2018.zip")</f>
        <v>https://climate.onebuilding.org/WMO_Region_6_Europe/LVA_Latvia/KR_Kurzeme/LVA_KR_Liepaja.264060_TMYx.2004-2018.zip</v>
      </c>
    </row>
    <row r="7602" spans="1:10" x14ac:dyDescent="0.25">
      <c r="A7602" t="s">
        <v>5646</v>
      </c>
      <c r="B7602" t="s">
        <v>5651</v>
      </c>
      <c r="C7602" t="s">
        <v>5674</v>
      </c>
      <c r="D7602">
        <v>264060</v>
      </c>
      <c r="E7602" t="s">
        <v>14</v>
      </c>
      <c r="F7602">
        <v>56.475499999999997</v>
      </c>
      <c r="G7602">
        <v>21.020600000000002</v>
      </c>
      <c r="H7602">
        <v>2</v>
      </c>
      <c r="I7602">
        <v>4.9000000000000004</v>
      </c>
      <c r="J7602" t="str">
        <f>HYPERLINK("https://climate.onebuilding.org/WMO_Region_6_Europe/LVA_Latvia/KR_Kurzeme/LVA_KR_Liepaja.264060_TMYx.2007-2021.zip")</f>
        <v>https://climate.onebuilding.org/WMO_Region_6_Europe/LVA_Latvia/KR_Kurzeme/LVA_KR_Liepaja.264060_TMYx.2007-2021.zip</v>
      </c>
    </row>
    <row r="7603" spans="1:10" x14ac:dyDescent="0.25">
      <c r="A7603" t="s">
        <v>5646</v>
      </c>
      <c r="B7603" t="s">
        <v>5651</v>
      </c>
      <c r="C7603" t="s">
        <v>5674</v>
      </c>
      <c r="D7603">
        <v>264060</v>
      </c>
      <c r="E7603" t="s">
        <v>14</v>
      </c>
      <c r="F7603">
        <v>56.475499999999997</v>
      </c>
      <c r="G7603">
        <v>21.020600000000002</v>
      </c>
      <c r="H7603">
        <v>2</v>
      </c>
      <c r="I7603">
        <v>4.9000000000000004</v>
      </c>
      <c r="J7603" t="str">
        <f>HYPERLINK("https://climate.onebuilding.org/WMO_Region_6_Europe/LVA_Latvia/KR_Kurzeme/LVA_KR_Liepaja.264060_TMYx.2009-2023.zip")</f>
        <v>https://climate.onebuilding.org/WMO_Region_6_Europe/LVA_Latvia/KR_Kurzeme/LVA_KR_Liepaja.264060_TMYx.2009-2023.zip</v>
      </c>
    </row>
    <row r="7604" spans="1:10" x14ac:dyDescent="0.25">
      <c r="A7604" t="s">
        <v>5646</v>
      </c>
      <c r="B7604" t="s">
        <v>5651</v>
      </c>
      <c r="C7604" t="s">
        <v>5674</v>
      </c>
      <c r="D7604">
        <v>264060</v>
      </c>
      <c r="E7604" t="s">
        <v>14</v>
      </c>
      <c r="F7604">
        <v>56.475499999999997</v>
      </c>
      <c r="G7604">
        <v>21.020600000000002</v>
      </c>
      <c r="H7604">
        <v>2</v>
      </c>
      <c r="I7604">
        <v>4.9000000000000004</v>
      </c>
      <c r="J7604" t="str">
        <f>HYPERLINK("https://climate.onebuilding.org/WMO_Region_6_Europe/LVA_Latvia/KR_Kurzeme/LVA_KR_Liepaja.264060_TMYx.zip")</f>
        <v>https://climate.onebuilding.org/WMO_Region_6_Europe/LVA_Latvia/KR_Kurzeme/LVA_KR_Liepaja.264060_TMYx.zip</v>
      </c>
    </row>
    <row r="7605" spans="1:10" x14ac:dyDescent="0.25">
      <c r="A7605" t="s">
        <v>5646</v>
      </c>
      <c r="B7605" t="s">
        <v>5651</v>
      </c>
      <c r="C7605" t="s">
        <v>5676</v>
      </c>
      <c r="D7605">
        <v>264140</v>
      </c>
      <c r="E7605" t="s">
        <v>14</v>
      </c>
      <c r="F7605">
        <v>56.732999999999997</v>
      </c>
      <c r="G7605">
        <v>21.733000000000001</v>
      </c>
      <c r="H7605">
        <v>2</v>
      </c>
      <c r="I7605">
        <v>95</v>
      </c>
      <c r="J7605" t="str">
        <f>HYPERLINK("https://climate.onebuilding.org/WMO_Region_6_Europe/LVA_Latvia/KR_Kurzeme/LVA_KR_Kazdanga.264140_TMYx.zip")</f>
        <v>https://climate.onebuilding.org/WMO_Region_6_Europe/LVA_Latvia/KR_Kurzeme/LVA_KR_Kazdanga.264140_TMYx.zip</v>
      </c>
    </row>
    <row r="7606" spans="1:10" x14ac:dyDescent="0.25">
      <c r="A7606" t="s">
        <v>5646</v>
      </c>
      <c r="B7606" t="s">
        <v>5651</v>
      </c>
      <c r="C7606" t="s">
        <v>5677</v>
      </c>
      <c r="D7606">
        <v>264160</v>
      </c>
      <c r="E7606" t="s">
        <v>5678</v>
      </c>
      <c r="F7606">
        <v>56.6753</v>
      </c>
      <c r="G7606">
        <v>22.503599999999999</v>
      </c>
      <c r="H7606">
        <v>2</v>
      </c>
      <c r="I7606">
        <v>113.5</v>
      </c>
      <c r="J7606" t="str">
        <f>HYPERLINK("https://climate.onebuilding.org/WMO_Region_6_Europe/LVA_Latvia/KR_Kurzeme/LVA_KR_Saldus.264160_TMYx.2004-2018.zip")</f>
        <v>https://climate.onebuilding.org/WMO_Region_6_Europe/LVA_Latvia/KR_Kurzeme/LVA_KR_Saldus.264160_TMYx.2004-2018.zip</v>
      </c>
    </row>
    <row r="7607" spans="1:10" x14ac:dyDescent="0.25">
      <c r="A7607" t="s">
        <v>5646</v>
      </c>
      <c r="B7607" t="s">
        <v>5651</v>
      </c>
      <c r="C7607" t="s">
        <v>5677</v>
      </c>
      <c r="D7607">
        <v>264160</v>
      </c>
      <c r="E7607" t="s">
        <v>14</v>
      </c>
      <c r="F7607">
        <v>56.6753</v>
      </c>
      <c r="G7607">
        <v>22.503599999999999</v>
      </c>
      <c r="H7607">
        <v>2</v>
      </c>
      <c r="I7607">
        <v>113.5</v>
      </c>
      <c r="J7607" t="str">
        <f>HYPERLINK("https://climate.onebuilding.org/WMO_Region_6_Europe/LVA_Latvia/KR_Kurzeme/LVA_KR_Saldus.264160_TMYx.2007-2021.zip")</f>
        <v>https://climate.onebuilding.org/WMO_Region_6_Europe/LVA_Latvia/KR_Kurzeme/LVA_KR_Saldus.264160_TMYx.2007-2021.zip</v>
      </c>
    </row>
    <row r="7608" spans="1:10" x14ac:dyDescent="0.25">
      <c r="A7608" t="s">
        <v>5646</v>
      </c>
      <c r="B7608" t="s">
        <v>5651</v>
      </c>
      <c r="C7608" t="s">
        <v>5677</v>
      </c>
      <c r="D7608">
        <v>264160</v>
      </c>
      <c r="E7608" t="s">
        <v>14</v>
      </c>
      <c r="F7608">
        <v>56.6753</v>
      </c>
      <c r="G7608">
        <v>22.503599999999999</v>
      </c>
      <c r="H7608">
        <v>2</v>
      </c>
      <c r="I7608">
        <v>113.5</v>
      </c>
      <c r="J7608" t="str">
        <f>HYPERLINK("https://climate.onebuilding.org/WMO_Region_6_Europe/LVA_Latvia/KR_Kurzeme/LVA_KR_Saldus.264160_TMYx.2009-2023.zip")</f>
        <v>https://climate.onebuilding.org/WMO_Region_6_Europe/LVA_Latvia/KR_Kurzeme/LVA_KR_Saldus.264160_TMYx.2009-2023.zip</v>
      </c>
    </row>
    <row r="7609" spans="1:10" x14ac:dyDescent="0.25">
      <c r="A7609" t="s">
        <v>5646</v>
      </c>
      <c r="B7609" t="s">
        <v>5651</v>
      </c>
      <c r="C7609" t="s">
        <v>5677</v>
      </c>
      <c r="D7609">
        <v>264160</v>
      </c>
      <c r="E7609" t="s">
        <v>14</v>
      </c>
      <c r="F7609">
        <v>56.6753</v>
      </c>
      <c r="G7609">
        <v>22.503599999999999</v>
      </c>
      <c r="H7609">
        <v>2</v>
      </c>
      <c r="I7609">
        <v>113.5</v>
      </c>
      <c r="J7609" t="str">
        <f>HYPERLINK("https://climate.onebuilding.org/WMO_Region_6_Europe/LVA_Latvia/KR_Kurzeme/LVA_KR_Saldus.264160_TMYx.zip")</f>
        <v>https://climate.onebuilding.org/WMO_Region_6_Europe/LVA_Latvia/KR_Kurzeme/LVA_KR_Saldus.264160_TMYx.zip</v>
      </c>
    </row>
    <row r="7610" spans="1:10" x14ac:dyDescent="0.25">
      <c r="A7610" t="s">
        <v>5646</v>
      </c>
      <c r="B7610" t="s">
        <v>5679</v>
      </c>
      <c r="C7610" t="s">
        <v>5680</v>
      </c>
      <c r="D7610">
        <v>264190</v>
      </c>
      <c r="E7610" t="s">
        <v>14</v>
      </c>
      <c r="F7610">
        <v>56.466999999999999</v>
      </c>
      <c r="G7610">
        <v>22.832999999999998</v>
      </c>
      <c r="H7610">
        <v>2</v>
      </c>
      <c r="I7610">
        <v>104</v>
      </c>
      <c r="J7610" t="str">
        <f>HYPERLINK("https://climate.onebuilding.org/WMO_Region_6_Europe/LVA_Latvia/ZM_Zemgale/LVA_ZM_Auce.264190_TMYx.zip")</f>
        <v>https://climate.onebuilding.org/WMO_Region_6_Europe/LVA_Latvia/ZM_Zemgale/LVA_ZM_Auce.264190_TMYx.zip</v>
      </c>
    </row>
    <row r="7611" spans="1:10" x14ac:dyDescent="0.25">
      <c r="A7611" t="s">
        <v>5646</v>
      </c>
      <c r="B7611" t="s">
        <v>2293</v>
      </c>
      <c r="C7611" t="s">
        <v>5681</v>
      </c>
      <c r="D7611">
        <v>264220</v>
      </c>
      <c r="E7611" t="s">
        <v>5682</v>
      </c>
      <c r="F7611">
        <v>56.917000000000002</v>
      </c>
      <c r="G7611">
        <v>23.966999999999999</v>
      </c>
      <c r="H7611">
        <v>2</v>
      </c>
      <c r="I7611">
        <v>26</v>
      </c>
      <c r="J7611" t="str">
        <f>HYPERLINK("https://climate.onebuilding.org/WMO_Region_6_Europe/LVA_Latvia/PR_Pieriga/LVA_PR_Riga.264220_TMYx.2004-2018.zip")</f>
        <v>https://climate.onebuilding.org/WMO_Region_6_Europe/LVA_Latvia/PR_Pieriga/LVA_PR_Riga.264220_TMYx.2004-2018.zip</v>
      </c>
    </row>
    <row r="7612" spans="1:10" x14ac:dyDescent="0.25">
      <c r="A7612" t="s">
        <v>5646</v>
      </c>
      <c r="B7612" t="s">
        <v>2293</v>
      </c>
      <c r="C7612" t="s">
        <v>5681</v>
      </c>
      <c r="D7612">
        <v>264220</v>
      </c>
      <c r="E7612" t="s">
        <v>14</v>
      </c>
      <c r="F7612">
        <v>56.954799999999999</v>
      </c>
      <c r="G7612">
        <v>24.104700000000001</v>
      </c>
      <c r="H7612">
        <v>2</v>
      </c>
      <c r="I7612">
        <v>26</v>
      </c>
      <c r="J7612" t="str">
        <f>HYPERLINK("https://climate.onebuilding.org/WMO_Region_6_Europe/LVA_Latvia/PR_Pieriga/LVA_PR_Riga.264220_TMYx.2007-2021.zip")</f>
        <v>https://climate.onebuilding.org/WMO_Region_6_Europe/LVA_Latvia/PR_Pieriga/LVA_PR_Riga.264220_TMYx.2007-2021.zip</v>
      </c>
    </row>
    <row r="7613" spans="1:10" x14ac:dyDescent="0.25">
      <c r="A7613" t="s">
        <v>5646</v>
      </c>
      <c r="B7613" t="s">
        <v>2293</v>
      </c>
      <c r="C7613" t="s">
        <v>5681</v>
      </c>
      <c r="D7613">
        <v>264220</v>
      </c>
      <c r="E7613" t="s">
        <v>14</v>
      </c>
      <c r="F7613">
        <v>56.954799999999999</v>
      </c>
      <c r="G7613">
        <v>24.104700000000001</v>
      </c>
      <c r="H7613">
        <v>2</v>
      </c>
      <c r="I7613">
        <v>26</v>
      </c>
      <c r="J7613" t="str">
        <f>HYPERLINK("https://climate.onebuilding.org/WMO_Region_6_Europe/LVA_Latvia/PR_Pieriga/LVA_PR_Riga.264220_TMYx.2009-2023.zip")</f>
        <v>https://climate.onebuilding.org/WMO_Region_6_Europe/LVA_Latvia/PR_Pieriga/LVA_PR_Riga.264220_TMYx.2009-2023.zip</v>
      </c>
    </row>
    <row r="7614" spans="1:10" x14ac:dyDescent="0.25">
      <c r="A7614" t="s">
        <v>5646</v>
      </c>
      <c r="B7614" t="s">
        <v>2293</v>
      </c>
      <c r="C7614" t="s">
        <v>5681</v>
      </c>
      <c r="D7614">
        <v>264220</v>
      </c>
      <c r="E7614" t="s">
        <v>14</v>
      </c>
      <c r="F7614">
        <v>56.954799999999999</v>
      </c>
      <c r="G7614">
        <v>24.104700000000001</v>
      </c>
      <c r="H7614">
        <v>2</v>
      </c>
      <c r="I7614">
        <v>26</v>
      </c>
      <c r="J7614" t="str">
        <f>HYPERLINK("https://climate.onebuilding.org/WMO_Region_6_Europe/LVA_Latvia/PR_Pieriga/LVA_PR_Riga.264220_TMYx.zip")</f>
        <v>https://climate.onebuilding.org/WMO_Region_6_Europe/LVA_Latvia/PR_Pieriga/LVA_PR_Riga.264220_TMYx.zip</v>
      </c>
    </row>
    <row r="7615" spans="1:10" x14ac:dyDescent="0.25">
      <c r="A7615" t="s">
        <v>5646</v>
      </c>
      <c r="B7615" t="s">
        <v>5679</v>
      </c>
      <c r="C7615" t="s">
        <v>5683</v>
      </c>
      <c r="D7615">
        <v>264240</v>
      </c>
      <c r="E7615" t="s">
        <v>5684</v>
      </c>
      <c r="F7615">
        <v>56.62</v>
      </c>
      <c r="G7615">
        <v>23.319700000000001</v>
      </c>
      <c r="H7615">
        <v>2</v>
      </c>
      <c r="I7615">
        <v>43.1</v>
      </c>
      <c r="J7615" t="str">
        <f>HYPERLINK("https://climate.onebuilding.org/WMO_Region_6_Europe/LVA_Latvia/ZM_Zemgale/LVA_ZM_Dobele.264240_TMYx.2004-2018.zip")</f>
        <v>https://climate.onebuilding.org/WMO_Region_6_Europe/LVA_Latvia/ZM_Zemgale/LVA_ZM_Dobele.264240_TMYx.2004-2018.zip</v>
      </c>
    </row>
    <row r="7616" spans="1:10" x14ac:dyDescent="0.25">
      <c r="A7616" t="s">
        <v>5646</v>
      </c>
      <c r="B7616" t="s">
        <v>5679</v>
      </c>
      <c r="C7616" t="s">
        <v>5683</v>
      </c>
      <c r="D7616">
        <v>264240</v>
      </c>
      <c r="E7616" t="s">
        <v>14</v>
      </c>
      <c r="F7616">
        <v>56.62</v>
      </c>
      <c r="G7616">
        <v>23.319700000000001</v>
      </c>
      <c r="H7616">
        <v>2</v>
      </c>
      <c r="I7616">
        <v>43.1</v>
      </c>
      <c r="J7616" t="str">
        <f>HYPERLINK("https://climate.onebuilding.org/WMO_Region_6_Europe/LVA_Latvia/ZM_Zemgale/LVA_ZM_Dobele.264240_TMYx.2007-2021.zip")</f>
        <v>https://climate.onebuilding.org/WMO_Region_6_Europe/LVA_Latvia/ZM_Zemgale/LVA_ZM_Dobele.264240_TMYx.2007-2021.zip</v>
      </c>
    </row>
    <row r="7617" spans="1:10" x14ac:dyDescent="0.25">
      <c r="A7617" t="s">
        <v>5646</v>
      </c>
      <c r="B7617" t="s">
        <v>5679</v>
      </c>
      <c r="C7617" t="s">
        <v>5683</v>
      </c>
      <c r="D7617">
        <v>264240</v>
      </c>
      <c r="E7617" t="s">
        <v>14</v>
      </c>
      <c r="F7617">
        <v>56.62</v>
      </c>
      <c r="G7617">
        <v>23.319700000000001</v>
      </c>
      <c r="H7617">
        <v>2</v>
      </c>
      <c r="I7617">
        <v>43.1</v>
      </c>
      <c r="J7617" t="str">
        <f>HYPERLINK("https://climate.onebuilding.org/WMO_Region_6_Europe/LVA_Latvia/ZM_Zemgale/LVA_ZM_Dobele.264240_TMYx.2009-2023.zip")</f>
        <v>https://climate.onebuilding.org/WMO_Region_6_Europe/LVA_Latvia/ZM_Zemgale/LVA_ZM_Dobele.264240_TMYx.2009-2023.zip</v>
      </c>
    </row>
    <row r="7618" spans="1:10" x14ac:dyDescent="0.25">
      <c r="A7618" t="s">
        <v>5646</v>
      </c>
      <c r="B7618" t="s">
        <v>5679</v>
      </c>
      <c r="C7618" t="s">
        <v>5683</v>
      </c>
      <c r="D7618">
        <v>264240</v>
      </c>
      <c r="E7618" t="s">
        <v>14</v>
      </c>
      <c r="F7618">
        <v>56.62</v>
      </c>
      <c r="G7618">
        <v>23.319700000000001</v>
      </c>
      <c r="H7618">
        <v>2</v>
      </c>
      <c r="I7618">
        <v>43.1</v>
      </c>
      <c r="J7618" t="str">
        <f>HYPERLINK("https://climate.onebuilding.org/WMO_Region_6_Europe/LVA_Latvia/ZM_Zemgale/LVA_ZM_Dobele.264240_TMYx.zip")</f>
        <v>https://climate.onebuilding.org/WMO_Region_6_Europe/LVA_Latvia/ZM_Zemgale/LVA_ZM_Dobele.264240_TMYx.zip</v>
      </c>
    </row>
    <row r="7619" spans="1:10" x14ac:dyDescent="0.25">
      <c r="A7619" t="s">
        <v>5646</v>
      </c>
      <c r="B7619" t="s">
        <v>5679</v>
      </c>
      <c r="C7619" t="s">
        <v>5685</v>
      </c>
      <c r="D7619">
        <v>264250</v>
      </c>
      <c r="E7619" t="s">
        <v>5686</v>
      </c>
      <c r="F7619">
        <v>56.677500000000002</v>
      </c>
      <c r="G7619">
        <v>23.737500000000001</v>
      </c>
      <c r="H7619">
        <v>2</v>
      </c>
      <c r="I7619">
        <v>5.8</v>
      </c>
      <c r="J7619" t="str">
        <f>HYPERLINK("https://climate.onebuilding.org/WMO_Region_6_Europe/LVA_Latvia/ZM_Zemgale/LVA_ZM_Jelgava.264250_TMYx.2004-2018.zip")</f>
        <v>https://climate.onebuilding.org/WMO_Region_6_Europe/LVA_Latvia/ZM_Zemgale/LVA_ZM_Jelgava.264250_TMYx.2004-2018.zip</v>
      </c>
    </row>
    <row r="7620" spans="1:10" x14ac:dyDescent="0.25">
      <c r="A7620" t="s">
        <v>5646</v>
      </c>
      <c r="B7620" t="s">
        <v>5679</v>
      </c>
      <c r="C7620" t="s">
        <v>5685</v>
      </c>
      <c r="D7620">
        <v>264250</v>
      </c>
      <c r="E7620" t="s">
        <v>14</v>
      </c>
      <c r="F7620">
        <v>56.556899999999999</v>
      </c>
      <c r="G7620">
        <v>23.964200000000002</v>
      </c>
      <c r="H7620">
        <v>2</v>
      </c>
      <c r="I7620">
        <v>5.8</v>
      </c>
      <c r="J7620" t="str">
        <f>HYPERLINK("https://climate.onebuilding.org/WMO_Region_6_Europe/LVA_Latvia/ZM_Zemgale/LVA_ZM_Jelgava.264250_TMYx.2007-2021.zip")</f>
        <v>https://climate.onebuilding.org/WMO_Region_6_Europe/LVA_Latvia/ZM_Zemgale/LVA_ZM_Jelgava.264250_TMYx.2007-2021.zip</v>
      </c>
    </row>
    <row r="7621" spans="1:10" x14ac:dyDescent="0.25">
      <c r="A7621" t="s">
        <v>5646</v>
      </c>
      <c r="B7621" t="s">
        <v>5679</v>
      </c>
      <c r="C7621" t="s">
        <v>5685</v>
      </c>
      <c r="D7621">
        <v>264250</v>
      </c>
      <c r="E7621" t="s">
        <v>14</v>
      </c>
      <c r="F7621">
        <v>56.556899999999999</v>
      </c>
      <c r="G7621">
        <v>23.964200000000002</v>
      </c>
      <c r="H7621">
        <v>2</v>
      </c>
      <c r="I7621">
        <v>5.8</v>
      </c>
      <c r="J7621" t="str">
        <f>HYPERLINK("https://climate.onebuilding.org/WMO_Region_6_Europe/LVA_Latvia/ZM_Zemgale/LVA_ZM_Jelgava.264250_TMYx.2009-2023.zip")</f>
        <v>https://climate.onebuilding.org/WMO_Region_6_Europe/LVA_Latvia/ZM_Zemgale/LVA_ZM_Jelgava.264250_TMYx.2009-2023.zip</v>
      </c>
    </row>
    <row r="7622" spans="1:10" x14ac:dyDescent="0.25">
      <c r="A7622" t="s">
        <v>5646</v>
      </c>
      <c r="B7622" t="s">
        <v>5679</v>
      </c>
      <c r="C7622" t="s">
        <v>5685</v>
      </c>
      <c r="D7622">
        <v>264250</v>
      </c>
      <c r="E7622" t="s">
        <v>14</v>
      </c>
      <c r="F7622">
        <v>56.556899999999999</v>
      </c>
      <c r="G7622">
        <v>23.964200000000002</v>
      </c>
      <c r="H7622">
        <v>2</v>
      </c>
      <c r="I7622">
        <v>5.8</v>
      </c>
      <c r="J7622" t="str">
        <f>HYPERLINK("https://climate.onebuilding.org/WMO_Region_6_Europe/LVA_Latvia/ZM_Zemgale/LVA_ZM_Jelgava.264250_TMYx.zip")</f>
        <v>https://climate.onebuilding.org/WMO_Region_6_Europe/LVA_Latvia/ZM_Zemgale/LVA_ZM_Jelgava.264250_TMYx.zip</v>
      </c>
    </row>
    <row r="7623" spans="1:10" x14ac:dyDescent="0.25">
      <c r="A7623" t="s">
        <v>5646</v>
      </c>
      <c r="B7623" t="s">
        <v>5679</v>
      </c>
      <c r="C7623" t="s">
        <v>5687</v>
      </c>
      <c r="D7623">
        <v>264290</v>
      </c>
      <c r="E7623" t="s">
        <v>5688</v>
      </c>
      <c r="F7623">
        <v>56.415799999999997</v>
      </c>
      <c r="G7623">
        <v>24.1828</v>
      </c>
      <c r="H7623">
        <v>2</v>
      </c>
      <c r="I7623">
        <v>33</v>
      </c>
      <c r="J7623" t="str">
        <f>HYPERLINK("https://climate.onebuilding.org/WMO_Region_6_Europe/LVA_Latvia/ZM_Zemgale/LVA_ZM_Bauska.264290_TMYx.2004-2018.zip")</f>
        <v>https://climate.onebuilding.org/WMO_Region_6_Europe/LVA_Latvia/ZM_Zemgale/LVA_ZM_Bauska.264290_TMYx.2004-2018.zip</v>
      </c>
    </row>
    <row r="7624" spans="1:10" x14ac:dyDescent="0.25">
      <c r="A7624" t="s">
        <v>5646</v>
      </c>
      <c r="B7624" t="s">
        <v>5679</v>
      </c>
      <c r="C7624" t="s">
        <v>5687</v>
      </c>
      <c r="D7624">
        <v>264290</v>
      </c>
      <c r="E7624" t="s">
        <v>14</v>
      </c>
      <c r="F7624">
        <v>56.379199999999997</v>
      </c>
      <c r="G7624">
        <v>24.221800000000002</v>
      </c>
      <c r="H7624">
        <v>2</v>
      </c>
      <c r="I7624">
        <v>33</v>
      </c>
      <c r="J7624" t="str">
        <f>HYPERLINK("https://climate.onebuilding.org/WMO_Region_6_Europe/LVA_Latvia/ZM_Zemgale/LVA_ZM_Bauska.264290_TMYx.2007-2021.zip")</f>
        <v>https://climate.onebuilding.org/WMO_Region_6_Europe/LVA_Latvia/ZM_Zemgale/LVA_ZM_Bauska.264290_TMYx.2007-2021.zip</v>
      </c>
    </row>
    <row r="7625" spans="1:10" x14ac:dyDescent="0.25">
      <c r="A7625" t="s">
        <v>5646</v>
      </c>
      <c r="B7625" t="s">
        <v>5679</v>
      </c>
      <c r="C7625" t="s">
        <v>5687</v>
      </c>
      <c r="D7625">
        <v>264290</v>
      </c>
      <c r="E7625" t="s">
        <v>14</v>
      </c>
      <c r="F7625">
        <v>56.379199999999997</v>
      </c>
      <c r="G7625">
        <v>24.221800000000002</v>
      </c>
      <c r="H7625">
        <v>2</v>
      </c>
      <c r="I7625">
        <v>33</v>
      </c>
      <c r="J7625" t="str">
        <f>HYPERLINK("https://climate.onebuilding.org/WMO_Region_6_Europe/LVA_Latvia/ZM_Zemgale/LVA_ZM_Bauska.264290_TMYx.2009-2023.zip")</f>
        <v>https://climate.onebuilding.org/WMO_Region_6_Europe/LVA_Latvia/ZM_Zemgale/LVA_ZM_Bauska.264290_TMYx.2009-2023.zip</v>
      </c>
    </row>
    <row r="7626" spans="1:10" x14ac:dyDescent="0.25">
      <c r="A7626" t="s">
        <v>5646</v>
      </c>
      <c r="B7626" t="s">
        <v>5679</v>
      </c>
      <c r="C7626" t="s">
        <v>5687</v>
      </c>
      <c r="D7626">
        <v>264290</v>
      </c>
      <c r="E7626" t="s">
        <v>14</v>
      </c>
      <c r="F7626">
        <v>56.379199999999997</v>
      </c>
      <c r="G7626">
        <v>24.221800000000002</v>
      </c>
      <c r="H7626">
        <v>2</v>
      </c>
      <c r="I7626">
        <v>33</v>
      </c>
      <c r="J7626" t="str">
        <f>HYPERLINK("https://climate.onebuilding.org/WMO_Region_6_Europe/LVA_Latvia/ZM_Zemgale/LVA_ZM_Bauska.264290_TMYx.zip")</f>
        <v>https://climate.onebuilding.org/WMO_Region_6_Europe/LVA_Latvia/ZM_Zemgale/LVA_ZM_Bauska.264290_TMYx.zip</v>
      </c>
    </row>
    <row r="7627" spans="1:10" x14ac:dyDescent="0.25">
      <c r="A7627" t="s">
        <v>5646</v>
      </c>
      <c r="B7627" t="s">
        <v>5679</v>
      </c>
      <c r="C7627" t="s">
        <v>5689</v>
      </c>
      <c r="D7627">
        <v>264350</v>
      </c>
      <c r="E7627" t="s">
        <v>5690</v>
      </c>
      <c r="F7627">
        <v>56.642499999999998</v>
      </c>
      <c r="G7627">
        <v>25.128299999999999</v>
      </c>
      <c r="H7627">
        <v>2</v>
      </c>
      <c r="I7627">
        <v>80.8</v>
      </c>
      <c r="J7627" t="str">
        <f>HYPERLINK("https://climate.onebuilding.org/WMO_Region_6_Europe/LVA_Latvia/ZM_Zemgale/LVA_ZM_Skriveri.264350_TMYx.2004-2018.zip")</f>
        <v>https://climate.onebuilding.org/WMO_Region_6_Europe/LVA_Latvia/ZM_Zemgale/LVA_ZM_Skriveri.264350_TMYx.2004-2018.zip</v>
      </c>
    </row>
    <row r="7628" spans="1:10" x14ac:dyDescent="0.25">
      <c r="A7628" t="s">
        <v>5646</v>
      </c>
      <c r="B7628" t="s">
        <v>5679</v>
      </c>
      <c r="C7628" t="s">
        <v>5689</v>
      </c>
      <c r="D7628">
        <v>264350</v>
      </c>
      <c r="E7628" t="s">
        <v>14</v>
      </c>
      <c r="F7628">
        <v>56.642499999999998</v>
      </c>
      <c r="G7628">
        <v>25.128299999999999</v>
      </c>
      <c r="H7628">
        <v>2</v>
      </c>
      <c r="I7628">
        <v>80.8</v>
      </c>
      <c r="J7628" t="str">
        <f>HYPERLINK("https://climate.onebuilding.org/WMO_Region_6_Europe/LVA_Latvia/ZM_Zemgale/LVA_ZM_Skriveri.264350_TMYx.2007-2021.zip")</f>
        <v>https://climate.onebuilding.org/WMO_Region_6_Europe/LVA_Latvia/ZM_Zemgale/LVA_ZM_Skriveri.264350_TMYx.2007-2021.zip</v>
      </c>
    </row>
    <row r="7629" spans="1:10" x14ac:dyDescent="0.25">
      <c r="A7629" t="s">
        <v>5646</v>
      </c>
      <c r="B7629" t="s">
        <v>5679</v>
      </c>
      <c r="C7629" t="s">
        <v>5689</v>
      </c>
      <c r="D7629">
        <v>264350</v>
      </c>
      <c r="E7629" t="s">
        <v>14</v>
      </c>
      <c r="F7629">
        <v>56.642499999999998</v>
      </c>
      <c r="G7629">
        <v>25.128299999999999</v>
      </c>
      <c r="H7629">
        <v>2</v>
      </c>
      <c r="I7629">
        <v>80.8</v>
      </c>
      <c r="J7629" t="str">
        <f>HYPERLINK("https://climate.onebuilding.org/WMO_Region_6_Europe/LVA_Latvia/ZM_Zemgale/LVA_ZM_Skriveri.264350_TMYx.2009-2023.zip")</f>
        <v>https://climate.onebuilding.org/WMO_Region_6_Europe/LVA_Latvia/ZM_Zemgale/LVA_ZM_Skriveri.264350_TMYx.2009-2023.zip</v>
      </c>
    </row>
    <row r="7630" spans="1:10" x14ac:dyDescent="0.25">
      <c r="A7630" t="s">
        <v>5646</v>
      </c>
      <c r="B7630" t="s">
        <v>5679</v>
      </c>
      <c r="C7630" t="s">
        <v>5689</v>
      </c>
      <c r="D7630">
        <v>264350</v>
      </c>
      <c r="E7630" t="s">
        <v>14</v>
      </c>
      <c r="F7630">
        <v>56.642499999999998</v>
      </c>
      <c r="G7630">
        <v>25.128299999999999</v>
      </c>
      <c r="H7630">
        <v>2</v>
      </c>
      <c r="I7630">
        <v>80.8</v>
      </c>
      <c r="J7630" t="str">
        <f>HYPERLINK("https://climate.onebuilding.org/WMO_Region_6_Europe/LVA_Latvia/ZM_Zemgale/LVA_ZM_Skriveri.264350_TMYx.zip")</f>
        <v>https://climate.onebuilding.org/WMO_Region_6_Europe/LVA_Latvia/ZM_Zemgale/LVA_ZM_Skriveri.264350_TMYx.zip</v>
      </c>
    </row>
    <row r="7631" spans="1:10" x14ac:dyDescent="0.25">
      <c r="A7631" t="s">
        <v>5646</v>
      </c>
      <c r="B7631" t="s">
        <v>5679</v>
      </c>
      <c r="C7631" t="s">
        <v>5691</v>
      </c>
      <c r="D7631">
        <v>264360</v>
      </c>
      <c r="E7631" t="s">
        <v>5692</v>
      </c>
      <c r="F7631">
        <v>56.52</v>
      </c>
      <c r="G7631">
        <v>25.918299999999999</v>
      </c>
      <c r="H7631">
        <v>2</v>
      </c>
      <c r="I7631">
        <v>108</v>
      </c>
      <c r="J7631" t="str">
        <f>HYPERLINK("https://climate.onebuilding.org/WMO_Region_6_Europe/LVA_Latvia/ZM_Zemgale/LVA_ZM_Zilani.264360_TMYx.2004-2018.zip")</f>
        <v>https://climate.onebuilding.org/WMO_Region_6_Europe/LVA_Latvia/ZM_Zemgale/LVA_ZM_Zilani.264360_TMYx.2004-2018.zip</v>
      </c>
    </row>
    <row r="7632" spans="1:10" x14ac:dyDescent="0.25">
      <c r="A7632" t="s">
        <v>5646</v>
      </c>
      <c r="B7632" t="s">
        <v>5679</v>
      </c>
      <c r="C7632" t="s">
        <v>5691</v>
      </c>
      <c r="D7632">
        <v>264360</v>
      </c>
      <c r="E7632" t="s">
        <v>14</v>
      </c>
      <c r="F7632">
        <v>56.52</v>
      </c>
      <c r="G7632">
        <v>25.918299999999999</v>
      </c>
      <c r="H7632">
        <v>2</v>
      </c>
      <c r="I7632">
        <v>108</v>
      </c>
      <c r="J7632" t="str">
        <f>HYPERLINK("https://climate.onebuilding.org/WMO_Region_6_Europe/LVA_Latvia/ZM_Zemgale/LVA_ZM_Zilani.264360_TMYx.2007-2021.zip")</f>
        <v>https://climate.onebuilding.org/WMO_Region_6_Europe/LVA_Latvia/ZM_Zemgale/LVA_ZM_Zilani.264360_TMYx.2007-2021.zip</v>
      </c>
    </row>
    <row r="7633" spans="1:10" x14ac:dyDescent="0.25">
      <c r="A7633" t="s">
        <v>5646</v>
      </c>
      <c r="B7633" t="s">
        <v>5679</v>
      </c>
      <c r="C7633" t="s">
        <v>5691</v>
      </c>
      <c r="D7633">
        <v>264360</v>
      </c>
      <c r="E7633" t="s">
        <v>14</v>
      </c>
      <c r="F7633">
        <v>56.52</v>
      </c>
      <c r="G7633">
        <v>25.918299999999999</v>
      </c>
      <c r="H7633">
        <v>2</v>
      </c>
      <c r="I7633">
        <v>108</v>
      </c>
      <c r="J7633" t="str">
        <f>HYPERLINK("https://climate.onebuilding.org/WMO_Region_6_Europe/LVA_Latvia/ZM_Zemgale/LVA_ZM_Zilani.264360_TMYx.2009-2023.zip")</f>
        <v>https://climate.onebuilding.org/WMO_Region_6_Europe/LVA_Latvia/ZM_Zemgale/LVA_ZM_Zilani.264360_TMYx.2009-2023.zip</v>
      </c>
    </row>
    <row r="7634" spans="1:10" x14ac:dyDescent="0.25">
      <c r="A7634" t="s">
        <v>5646</v>
      </c>
      <c r="B7634" t="s">
        <v>5679</v>
      </c>
      <c r="C7634" t="s">
        <v>5691</v>
      </c>
      <c r="D7634">
        <v>264360</v>
      </c>
      <c r="E7634" t="s">
        <v>14</v>
      </c>
      <c r="F7634">
        <v>56.52</v>
      </c>
      <c r="G7634">
        <v>25.918299999999999</v>
      </c>
      <c r="H7634">
        <v>2</v>
      </c>
      <c r="I7634">
        <v>108</v>
      </c>
      <c r="J7634" t="str">
        <f>HYPERLINK("https://climate.onebuilding.org/WMO_Region_6_Europe/LVA_Latvia/ZM_Zemgale/LVA_ZM_Zilani.264360_TMYx.zip")</f>
        <v>https://climate.onebuilding.org/WMO_Region_6_Europe/LVA_Latvia/ZM_Zemgale/LVA_ZM_Zilani.264360_TMYx.zip</v>
      </c>
    </row>
    <row r="7635" spans="1:10" x14ac:dyDescent="0.25">
      <c r="A7635" t="s">
        <v>5646</v>
      </c>
      <c r="B7635" t="s">
        <v>5670</v>
      </c>
      <c r="C7635" t="s">
        <v>5693</v>
      </c>
      <c r="D7635">
        <v>264460</v>
      </c>
      <c r="E7635" t="s">
        <v>5694</v>
      </c>
      <c r="F7635">
        <v>56.544699999999999</v>
      </c>
      <c r="G7635">
        <v>27.2806</v>
      </c>
      <c r="H7635">
        <v>2</v>
      </c>
      <c r="I7635">
        <v>158.1</v>
      </c>
      <c r="J7635" t="str">
        <f>HYPERLINK("https://climate.onebuilding.org/WMO_Region_6_Europe/LVA_Latvia/LT_Latgale/LVA_LT_Rezekne.264460_TMYx.2004-2018.zip")</f>
        <v>https://climate.onebuilding.org/WMO_Region_6_Europe/LVA_Latvia/LT_Latgale/LVA_LT_Rezekne.264460_TMYx.2004-2018.zip</v>
      </c>
    </row>
    <row r="7636" spans="1:10" x14ac:dyDescent="0.25">
      <c r="A7636" t="s">
        <v>5646</v>
      </c>
      <c r="B7636" t="s">
        <v>5670</v>
      </c>
      <c r="C7636" t="s">
        <v>5693</v>
      </c>
      <c r="D7636">
        <v>264460</v>
      </c>
      <c r="E7636" t="s">
        <v>14</v>
      </c>
      <c r="F7636">
        <v>56.544699999999999</v>
      </c>
      <c r="G7636">
        <v>27.2806</v>
      </c>
      <c r="H7636">
        <v>2</v>
      </c>
      <c r="I7636">
        <v>158.1</v>
      </c>
      <c r="J7636" t="str">
        <f>HYPERLINK("https://climate.onebuilding.org/WMO_Region_6_Europe/LVA_Latvia/LT_Latgale/LVA_LT_Rezekne.264460_TMYx.2007-2021.zip")</f>
        <v>https://climate.onebuilding.org/WMO_Region_6_Europe/LVA_Latvia/LT_Latgale/LVA_LT_Rezekne.264460_TMYx.2007-2021.zip</v>
      </c>
    </row>
    <row r="7637" spans="1:10" x14ac:dyDescent="0.25">
      <c r="A7637" t="s">
        <v>5646</v>
      </c>
      <c r="B7637" t="s">
        <v>5670</v>
      </c>
      <c r="C7637" t="s">
        <v>5693</v>
      </c>
      <c r="D7637">
        <v>264460</v>
      </c>
      <c r="E7637" t="s">
        <v>14</v>
      </c>
      <c r="F7637">
        <v>56.544699999999999</v>
      </c>
      <c r="G7637">
        <v>27.2806</v>
      </c>
      <c r="H7637">
        <v>2</v>
      </c>
      <c r="I7637">
        <v>158.1</v>
      </c>
      <c r="J7637" t="str">
        <f>HYPERLINK("https://climate.onebuilding.org/WMO_Region_6_Europe/LVA_Latvia/LT_Latgale/LVA_LT_Rezekne.264460_TMYx.2009-2023.zip")</f>
        <v>https://climate.onebuilding.org/WMO_Region_6_Europe/LVA_Latvia/LT_Latgale/LVA_LT_Rezekne.264460_TMYx.2009-2023.zip</v>
      </c>
    </row>
    <row r="7638" spans="1:10" x14ac:dyDescent="0.25">
      <c r="A7638" t="s">
        <v>5646</v>
      </c>
      <c r="B7638" t="s">
        <v>5670</v>
      </c>
      <c r="C7638" t="s">
        <v>5693</v>
      </c>
      <c r="D7638">
        <v>264460</v>
      </c>
      <c r="E7638" t="s">
        <v>14</v>
      </c>
      <c r="F7638">
        <v>56.544699999999999</v>
      </c>
      <c r="G7638">
        <v>27.2806</v>
      </c>
      <c r="H7638">
        <v>2</v>
      </c>
      <c r="I7638">
        <v>158.1</v>
      </c>
      <c r="J7638" t="str">
        <f>HYPERLINK("https://climate.onebuilding.org/WMO_Region_6_Europe/LVA_Latvia/LT_Latgale/LVA_LT_Rezekne.264460_TMYx.zip")</f>
        <v>https://climate.onebuilding.org/WMO_Region_6_Europe/LVA_Latvia/LT_Latgale/LVA_LT_Rezekne.264460_TMYx.zip</v>
      </c>
    </row>
    <row r="7639" spans="1:10" x14ac:dyDescent="0.25">
      <c r="A7639" t="s">
        <v>5646</v>
      </c>
      <c r="B7639" t="s">
        <v>478</v>
      </c>
      <c r="C7639" t="s">
        <v>5695</v>
      </c>
      <c r="D7639">
        <v>264470</v>
      </c>
      <c r="E7639" t="s">
        <v>5696</v>
      </c>
      <c r="F7639">
        <v>56.847999999999999</v>
      </c>
      <c r="G7639">
        <v>26.237500000000001</v>
      </c>
      <c r="H7639">
        <v>2</v>
      </c>
      <c r="I7639">
        <v>132.5</v>
      </c>
      <c r="J7639" t="str">
        <f>HYPERLINK("https://climate.onebuilding.org/WMO_Region_6_Europe/LVA_Latvia/VD_Vidzeme/LVA_VD_Madona.264470_TMYx.2004-2018.zip")</f>
        <v>https://climate.onebuilding.org/WMO_Region_6_Europe/LVA_Latvia/VD_Vidzeme/LVA_VD_Madona.264470_TMYx.2004-2018.zip</v>
      </c>
    </row>
    <row r="7640" spans="1:10" x14ac:dyDescent="0.25">
      <c r="A7640" t="s">
        <v>5646</v>
      </c>
      <c r="B7640" t="s">
        <v>478</v>
      </c>
      <c r="C7640" t="s">
        <v>5695</v>
      </c>
      <c r="D7640">
        <v>264470</v>
      </c>
      <c r="E7640" t="s">
        <v>14</v>
      </c>
      <c r="F7640">
        <v>56.847999999999999</v>
      </c>
      <c r="G7640">
        <v>26.237500000000001</v>
      </c>
      <c r="H7640">
        <v>2</v>
      </c>
      <c r="I7640">
        <v>132.5</v>
      </c>
      <c r="J7640" t="str">
        <f>HYPERLINK("https://climate.onebuilding.org/WMO_Region_6_Europe/LVA_Latvia/VD_Vidzeme/LVA_VD_Madona.264470_TMYx.2007-2021.zip")</f>
        <v>https://climate.onebuilding.org/WMO_Region_6_Europe/LVA_Latvia/VD_Vidzeme/LVA_VD_Madona.264470_TMYx.2007-2021.zip</v>
      </c>
    </row>
    <row r="7641" spans="1:10" x14ac:dyDescent="0.25">
      <c r="A7641" t="s">
        <v>5646</v>
      </c>
      <c r="B7641" t="s">
        <v>478</v>
      </c>
      <c r="C7641" t="s">
        <v>5695</v>
      </c>
      <c r="D7641">
        <v>264470</v>
      </c>
      <c r="E7641" t="s">
        <v>14</v>
      </c>
      <c r="F7641">
        <v>56.847999999999999</v>
      </c>
      <c r="G7641">
        <v>26.237500000000001</v>
      </c>
      <c r="H7641">
        <v>2</v>
      </c>
      <c r="I7641">
        <v>132.5</v>
      </c>
      <c r="J7641" t="str">
        <f>HYPERLINK("https://climate.onebuilding.org/WMO_Region_6_Europe/LVA_Latvia/VD_Vidzeme/LVA_VD_Madona.264470_TMYx.2009-2023.zip")</f>
        <v>https://climate.onebuilding.org/WMO_Region_6_Europe/LVA_Latvia/VD_Vidzeme/LVA_VD_Madona.264470_TMYx.2009-2023.zip</v>
      </c>
    </row>
    <row r="7642" spans="1:10" x14ac:dyDescent="0.25">
      <c r="A7642" t="s">
        <v>5646</v>
      </c>
      <c r="B7642" t="s">
        <v>478</v>
      </c>
      <c r="C7642" t="s">
        <v>5695</v>
      </c>
      <c r="D7642">
        <v>264470</v>
      </c>
      <c r="E7642" t="s">
        <v>14</v>
      </c>
      <c r="F7642">
        <v>56.847999999999999</v>
      </c>
      <c r="G7642">
        <v>26.237500000000001</v>
      </c>
      <c r="H7642">
        <v>2</v>
      </c>
      <c r="I7642">
        <v>132.5</v>
      </c>
      <c r="J7642" t="str">
        <f>HYPERLINK("https://climate.onebuilding.org/WMO_Region_6_Europe/LVA_Latvia/VD_Vidzeme/LVA_VD_Madona.264470_TMYx.zip")</f>
        <v>https://climate.onebuilding.org/WMO_Region_6_Europe/LVA_Latvia/VD_Vidzeme/LVA_VD_Madona.264470_TMYx.zip</v>
      </c>
    </row>
    <row r="7643" spans="1:10" x14ac:dyDescent="0.25">
      <c r="A7643" t="s">
        <v>5646</v>
      </c>
      <c r="B7643" t="s">
        <v>5651</v>
      </c>
      <c r="C7643" t="s">
        <v>5697</v>
      </c>
      <c r="D7643">
        <v>265030</v>
      </c>
      <c r="E7643" t="s">
        <v>14</v>
      </c>
      <c r="F7643">
        <v>56.161900000000003</v>
      </c>
      <c r="G7643">
        <v>21.173300000000001</v>
      </c>
      <c r="H7643">
        <v>2</v>
      </c>
      <c r="I7643">
        <v>19</v>
      </c>
      <c r="J7643" t="str">
        <f>HYPERLINK("https://climate.onebuilding.org/WMO_Region_6_Europe/LVA_Latvia/KR_Kurzeme/LVA_KR_Rucava.265030_TMYx.zip")</f>
        <v>https://climate.onebuilding.org/WMO_Region_6_Europe/LVA_Latvia/KR_Kurzeme/LVA_KR_Rucava.265030_TMYx.zip</v>
      </c>
    </row>
    <row r="7644" spans="1:10" x14ac:dyDescent="0.25">
      <c r="A7644" t="s">
        <v>5646</v>
      </c>
      <c r="B7644" t="s">
        <v>5670</v>
      </c>
      <c r="C7644" t="s">
        <v>5698</v>
      </c>
      <c r="D7644">
        <v>265440</v>
      </c>
      <c r="E7644" t="s">
        <v>5699</v>
      </c>
      <c r="F7644">
        <v>55.869700000000002</v>
      </c>
      <c r="G7644">
        <v>26.6175</v>
      </c>
      <c r="H7644">
        <v>2</v>
      </c>
      <c r="I7644">
        <v>99.2</v>
      </c>
      <c r="J7644" t="str">
        <f>HYPERLINK("https://climate.onebuilding.org/WMO_Region_6_Europe/LVA_Latvia/LT_Latgale/LVA_LT_Daugavpils.265440_TMYx.2004-2018.zip")</f>
        <v>https://climate.onebuilding.org/WMO_Region_6_Europe/LVA_Latvia/LT_Latgale/LVA_LT_Daugavpils.265440_TMYx.2004-2018.zip</v>
      </c>
    </row>
    <row r="7645" spans="1:10" x14ac:dyDescent="0.25">
      <c r="A7645" t="s">
        <v>5646</v>
      </c>
      <c r="B7645" t="s">
        <v>5670</v>
      </c>
      <c r="C7645" t="s">
        <v>5698</v>
      </c>
      <c r="D7645">
        <v>265440</v>
      </c>
      <c r="E7645" t="s">
        <v>14</v>
      </c>
      <c r="F7645">
        <v>55.869700000000002</v>
      </c>
      <c r="G7645">
        <v>26.6175</v>
      </c>
      <c r="H7645">
        <v>2</v>
      </c>
      <c r="I7645">
        <v>99.2</v>
      </c>
      <c r="J7645" t="str">
        <f>HYPERLINK("https://climate.onebuilding.org/WMO_Region_6_Europe/LVA_Latvia/LT_Latgale/LVA_LT_Daugavpils.265440_TMYx.2007-2021.zip")</f>
        <v>https://climate.onebuilding.org/WMO_Region_6_Europe/LVA_Latvia/LT_Latgale/LVA_LT_Daugavpils.265440_TMYx.2007-2021.zip</v>
      </c>
    </row>
    <row r="7646" spans="1:10" x14ac:dyDescent="0.25">
      <c r="A7646" t="s">
        <v>5646</v>
      </c>
      <c r="B7646" t="s">
        <v>5670</v>
      </c>
      <c r="C7646" t="s">
        <v>5698</v>
      </c>
      <c r="D7646">
        <v>265440</v>
      </c>
      <c r="E7646" t="s">
        <v>14</v>
      </c>
      <c r="F7646">
        <v>55.869700000000002</v>
      </c>
      <c r="G7646">
        <v>26.6175</v>
      </c>
      <c r="H7646">
        <v>2</v>
      </c>
      <c r="I7646">
        <v>99.2</v>
      </c>
      <c r="J7646" t="str">
        <f>HYPERLINK("https://climate.onebuilding.org/WMO_Region_6_Europe/LVA_Latvia/LT_Latgale/LVA_LT_Daugavpils.265440_TMYx.2009-2023.zip")</f>
        <v>https://climate.onebuilding.org/WMO_Region_6_Europe/LVA_Latvia/LT_Latgale/LVA_LT_Daugavpils.265440_TMYx.2009-2023.zip</v>
      </c>
    </row>
    <row r="7647" spans="1:10" x14ac:dyDescent="0.25">
      <c r="A7647" t="s">
        <v>5646</v>
      </c>
      <c r="B7647" t="s">
        <v>5670</v>
      </c>
      <c r="C7647" t="s">
        <v>5698</v>
      </c>
      <c r="D7647">
        <v>265440</v>
      </c>
      <c r="E7647" t="s">
        <v>14</v>
      </c>
      <c r="F7647">
        <v>55.869700000000002</v>
      </c>
      <c r="G7647">
        <v>26.6175</v>
      </c>
      <c r="H7647">
        <v>2</v>
      </c>
      <c r="I7647">
        <v>99.2</v>
      </c>
      <c r="J7647" t="str">
        <f>HYPERLINK("https://climate.onebuilding.org/WMO_Region_6_Europe/LVA_Latvia/LT_Latgale/LVA_LT_Daugavpils.265440_TMYx.zip")</f>
        <v>https://climate.onebuilding.org/WMO_Region_6_Europe/LVA_Latvia/LT_Latgale/LVA_LT_Daugavpils.265440_TMYx.zip</v>
      </c>
    </row>
    <row r="7648" spans="1:10" x14ac:dyDescent="0.25">
      <c r="A7648" t="s">
        <v>5646</v>
      </c>
      <c r="B7648" t="s">
        <v>5670</v>
      </c>
      <c r="C7648" t="s">
        <v>5700</v>
      </c>
      <c r="D7648">
        <v>265510</v>
      </c>
      <c r="E7648" t="s">
        <v>14</v>
      </c>
      <c r="F7648">
        <v>56.1</v>
      </c>
      <c r="G7648">
        <v>27.55</v>
      </c>
      <c r="H7648">
        <v>2</v>
      </c>
      <c r="I7648">
        <v>181</v>
      </c>
      <c r="J7648" t="str">
        <f>HYPERLINK("https://climate.onebuilding.org/WMO_Region_6_Europe/LVA_Latvia/LT_Latgale/LVA_LT_Dagda.265510_TMYx.zip")</f>
        <v>https://climate.onebuilding.org/WMO_Region_6_Europe/LVA_Latvia/LT_Latgale/LVA_LT_Dagda.265510_TMYx.zip</v>
      </c>
    </row>
    <row r="7649" spans="1:10" x14ac:dyDescent="0.25">
      <c r="A7649" t="s">
        <v>5701</v>
      </c>
      <c r="B7649" t="s">
        <v>2174</v>
      </c>
      <c r="C7649" t="s">
        <v>5702</v>
      </c>
      <c r="D7649" t="s">
        <v>5703</v>
      </c>
      <c r="E7649" t="s">
        <v>78</v>
      </c>
      <c r="F7649">
        <v>43.746670000000002</v>
      </c>
      <c r="G7649">
        <v>7.4333299999999998</v>
      </c>
      <c r="H7649">
        <v>2</v>
      </c>
      <c r="I7649">
        <v>5</v>
      </c>
      <c r="J7649" t="str">
        <f>HYPERLINK("https://climate.onebuilding.org/WMO_Region_6_Europe/MCO_Monaco/MCO_MC_Larvotto.MCO001_TMYx.2007-2021.zip")</f>
        <v>https://climate.onebuilding.org/WMO_Region_6_Europe/MCO_Monaco/MCO_MC_Larvotto.MCO001_TMYx.2007-2021.zip</v>
      </c>
    </row>
    <row r="7650" spans="1:10" x14ac:dyDescent="0.25">
      <c r="A7650" t="s">
        <v>5701</v>
      </c>
      <c r="B7650" t="s">
        <v>2174</v>
      </c>
      <c r="C7650" t="s">
        <v>5702</v>
      </c>
      <c r="D7650" t="s">
        <v>5703</v>
      </c>
      <c r="E7650" t="s">
        <v>78</v>
      </c>
      <c r="F7650">
        <v>43.746670000000002</v>
      </c>
      <c r="G7650">
        <v>7.4333299999999998</v>
      </c>
      <c r="H7650">
        <v>2</v>
      </c>
      <c r="I7650">
        <v>5</v>
      </c>
      <c r="J7650" t="str">
        <f>HYPERLINK("https://climate.onebuilding.org/WMO_Region_6_Europe/MCO_Monaco/MCO_MC_Larvotto.MCO001_TMYx.2009-2023.zip")</f>
        <v>https://climate.onebuilding.org/WMO_Region_6_Europe/MCO_Monaco/MCO_MC_Larvotto.MCO001_TMYx.2009-2023.zip</v>
      </c>
    </row>
    <row r="7651" spans="1:10" x14ac:dyDescent="0.25">
      <c r="A7651" t="s">
        <v>5701</v>
      </c>
      <c r="B7651" t="s">
        <v>2174</v>
      </c>
      <c r="C7651" t="s">
        <v>5702</v>
      </c>
      <c r="D7651" t="s">
        <v>5703</v>
      </c>
      <c r="E7651" t="s">
        <v>78</v>
      </c>
      <c r="F7651">
        <v>43.746670000000002</v>
      </c>
      <c r="G7651">
        <v>7.4333299999999998</v>
      </c>
      <c r="H7651">
        <v>2</v>
      </c>
      <c r="I7651">
        <v>5</v>
      </c>
      <c r="J7651" t="str">
        <f>HYPERLINK("https://climate.onebuilding.org/WMO_Region_6_Europe/MCO_Monaco/MCO_MC_Larvotto.MCO001_TMYx.zip")</f>
        <v>https://climate.onebuilding.org/WMO_Region_6_Europe/MCO_Monaco/MCO_MC_Larvotto.MCO001_TMYx.zip</v>
      </c>
    </row>
    <row r="7652" spans="1:10" x14ac:dyDescent="0.25">
      <c r="A7652" t="s">
        <v>5701</v>
      </c>
      <c r="B7652" t="s">
        <v>2174</v>
      </c>
      <c r="C7652" t="s">
        <v>5704</v>
      </c>
      <c r="D7652" t="s">
        <v>5705</v>
      </c>
      <c r="E7652" t="s">
        <v>78</v>
      </c>
      <c r="F7652">
        <v>43.739719999999998</v>
      </c>
      <c r="G7652">
        <v>7.4272200000000002</v>
      </c>
      <c r="H7652">
        <v>2</v>
      </c>
      <c r="I7652">
        <v>48</v>
      </c>
      <c r="J7652" t="str">
        <f>HYPERLINK("https://climate.onebuilding.org/WMO_Region_6_Europe/MCO_Monaco/MCO_MC_Monte.Carlo.MCO002_TMYx.2007-2021.zip")</f>
        <v>https://climate.onebuilding.org/WMO_Region_6_Europe/MCO_Monaco/MCO_MC_Monte.Carlo.MCO002_TMYx.2007-2021.zip</v>
      </c>
    </row>
    <row r="7653" spans="1:10" x14ac:dyDescent="0.25">
      <c r="A7653" t="s">
        <v>5701</v>
      </c>
      <c r="B7653" t="s">
        <v>2174</v>
      </c>
      <c r="C7653" t="s">
        <v>5704</v>
      </c>
      <c r="D7653" t="s">
        <v>5705</v>
      </c>
      <c r="E7653" t="s">
        <v>78</v>
      </c>
      <c r="F7653">
        <v>43.739719999999998</v>
      </c>
      <c r="G7653">
        <v>7.4272200000000002</v>
      </c>
      <c r="H7653">
        <v>2</v>
      </c>
      <c r="I7653">
        <v>48</v>
      </c>
      <c r="J7653" t="str">
        <f>HYPERLINK("https://climate.onebuilding.org/WMO_Region_6_Europe/MCO_Monaco/MCO_MC_Monte.Carlo.MCO002_TMYx.2009-2023.zip")</f>
        <v>https://climate.onebuilding.org/WMO_Region_6_Europe/MCO_Monaco/MCO_MC_Monte.Carlo.MCO002_TMYx.2009-2023.zip</v>
      </c>
    </row>
    <row r="7654" spans="1:10" x14ac:dyDescent="0.25">
      <c r="A7654" t="s">
        <v>5701</v>
      </c>
      <c r="B7654" t="s">
        <v>2174</v>
      </c>
      <c r="C7654" t="s">
        <v>5704</v>
      </c>
      <c r="D7654" t="s">
        <v>5705</v>
      </c>
      <c r="E7654" t="s">
        <v>78</v>
      </c>
      <c r="F7654">
        <v>43.739719999999998</v>
      </c>
      <c r="G7654">
        <v>7.4272200000000002</v>
      </c>
      <c r="H7654">
        <v>2</v>
      </c>
      <c r="I7654">
        <v>48</v>
      </c>
      <c r="J7654" t="str">
        <f>HYPERLINK("https://climate.onebuilding.org/WMO_Region_6_Europe/MCO_Monaco/MCO_MC_Monte.Carlo.MCO002_TMYx.zip")</f>
        <v>https://climate.onebuilding.org/WMO_Region_6_Europe/MCO_Monaco/MCO_MC_Monte.Carlo.MCO002_TMYx.zip</v>
      </c>
    </row>
    <row r="7655" spans="1:10" x14ac:dyDescent="0.25">
      <c r="A7655" t="s">
        <v>5706</v>
      </c>
      <c r="B7655" t="s">
        <v>536</v>
      </c>
      <c r="C7655" t="s">
        <v>5707</v>
      </c>
      <c r="D7655">
        <v>336640</v>
      </c>
      <c r="E7655" t="s">
        <v>14</v>
      </c>
      <c r="F7655">
        <v>48.35</v>
      </c>
      <c r="G7655">
        <v>27.082999999999998</v>
      </c>
      <c r="H7655">
        <v>2</v>
      </c>
      <c r="I7655">
        <v>261</v>
      </c>
      <c r="J7655" t="str">
        <f>HYPERLINK("https://climate.onebuilding.org/WMO_Region_6_Europe/MDA_Moldova/MDA_BR_Briceni.336640_TMYx.2007-2021.zip")</f>
        <v>https://climate.onebuilding.org/WMO_Region_6_Europe/MDA_Moldova/MDA_BR_Briceni.336640_TMYx.2007-2021.zip</v>
      </c>
    </row>
    <row r="7656" spans="1:10" x14ac:dyDescent="0.25">
      <c r="A7656" t="s">
        <v>5706</v>
      </c>
      <c r="B7656" t="s">
        <v>536</v>
      </c>
      <c r="C7656" t="s">
        <v>5707</v>
      </c>
      <c r="D7656">
        <v>336640</v>
      </c>
      <c r="E7656" t="s">
        <v>14</v>
      </c>
      <c r="F7656">
        <v>48.35</v>
      </c>
      <c r="G7656">
        <v>27.082999999999998</v>
      </c>
      <c r="H7656">
        <v>2</v>
      </c>
      <c r="I7656">
        <v>261</v>
      </c>
      <c r="J7656" t="str">
        <f>HYPERLINK("https://climate.onebuilding.org/WMO_Region_6_Europe/MDA_Moldova/MDA_BR_Briceni.336640_TMYx.2009-2023.zip")</f>
        <v>https://climate.onebuilding.org/WMO_Region_6_Europe/MDA_Moldova/MDA_BR_Briceni.336640_TMYx.2009-2023.zip</v>
      </c>
    </row>
    <row r="7657" spans="1:10" x14ac:dyDescent="0.25">
      <c r="A7657" t="s">
        <v>5706</v>
      </c>
      <c r="B7657" t="s">
        <v>536</v>
      </c>
      <c r="C7657" t="s">
        <v>5707</v>
      </c>
      <c r="D7657">
        <v>336640</v>
      </c>
      <c r="E7657" t="s">
        <v>14</v>
      </c>
      <c r="F7657">
        <v>48.35</v>
      </c>
      <c r="G7657">
        <v>27.082999999999998</v>
      </c>
      <c r="H7657">
        <v>2</v>
      </c>
      <c r="I7657">
        <v>261</v>
      </c>
      <c r="J7657" t="str">
        <f>HYPERLINK("https://climate.onebuilding.org/WMO_Region_6_Europe/MDA_Moldova/MDA_BR_Briceni.336640_TMYx.zip")</f>
        <v>https://climate.onebuilding.org/WMO_Region_6_Europe/MDA_Moldova/MDA_BR_Briceni.336640_TMYx.zip</v>
      </c>
    </row>
    <row r="7658" spans="1:10" x14ac:dyDescent="0.25">
      <c r="A7658" t="s">
        <v>5706</v>
      </c>
      <c r="B7658" t="s">
        <v>774</v>
      </c>
      <c r="C7658" t="s">
        <v>5708</v>
      </c>
      <c r="D7658">
        <v>336780</v>
      </c>
      <c r="E7658" t="s">
        <v>14</v>
      </c>
      <c r="F7658">
        <v>48.168100000000003</v>
      </c>
      <c r="G7658">
        <v>28.297699999999999</v>
      </c>
      <c r="H7658">
        <v>2</v>
      </c>
      <c r="I7658">
        <v>100</v>
      </c>
      <c r="J7658" t="str">
        <f>HYPERLINK("https://climate.onebuilding.org/WMO_Region_6_Europe/MDA_Moldova/MDA_SO_Soroca.336780_TMYx.2007-2021.zip")</f>
        <v>https://climate.onebuilding.org/WMO_Region_6_Europe/MDA_Moldova/MDA_SO_Soroca.336780_TMYx.2007-2021.zip</v>
      </c>
    </row>
    <row r="7659" spans="1:10" x14ac:dyDescent="0.25">
      <c r="A7659" t="s">
        <v>5706</v>
      </c>
      <c r="B7659" t="s">
        <v>774</v>
      </c>
      <c r="C7659" t="s">
        <v>5708</v>
      </c>
      <c r="D7659">
        <v>336780</v>
      </c>
      <c r="E7659" t="s">
        <v>14</v>
      </c>
      <c r="F7659">
        <v>48.168100000000003</v>
      </c>
      <c r="G7659">
        <v>28.297699999999999</v>
      </c>
      <c r="H7659">
        <v>2</v>
      </c>
      <c r="I7659">
        <v>100</v>
      </c>
      <c r="J7659" t="str">
        <f>HYPERLINK("https://climate.onebuilding.org/WMO_Region_6_Europe/MDA_Moldova/MDA_SO_Soroca.336780_TMYx.2009-2023.zip")</f>
        <v>https://climate.onebuilding.org/WMO_Region_6_Europe/MDA_Moldova/MDA_SO_Soroca.336780_TMYx.2009-2023.zip</v>
      </c>
    </row>
    <row r="7660" spans="1:10" x14ac:dyDescent="0.25">
      <c r="A7660" t="s">
        <v>5706</v>
      </c>
      <c r="B7660" t="s">
        <v>774</v>
      </c>
      <c r="C7660" t="s">
        <v>5708</v>
      </c>
      <c r="D7660">
        <v>336780</v>
      </c>
      <c r="E7660" t="s">
        <v>14</v>
      </c>
      <c r="F7660">
        <v>48.168100000000003</v>
      </c>
      <c r="G7660">
        <v>28.297699999999999</v>
      </c>
      <c r="H7660">
        <v>2</v>
      </c>
      <c r="I7660">
        <v>100</v>
      </c>
      <c r="J7660" t="str">
        <f>HYPERLINK("https://climate.onebuilding.org/WMO_Region_6_Europe/MDA_Moldova/MDA_SO_Soroca.336780_TMYx.zip")</f>
        <v>https://climate.onebuilding.org/WMO_Region_6_Europe/MDA_Moldova/MDA_SO_Soroca.336780_TMYx.zip</v>
      </c>
    </row>
    <row r="7661" spans="1:10" x14ac:dyDescent="0.25">
      <c r="A7661" t="s">
        <v>5706</v>
      </c>
      <c r="B7661" t="s">
        <v>1491</v>
      </c>
      <c r="C7661" t="s">
        <v>5709</v>
      </c>
      <c r="D7661">
        <v>336790</v>
      </c>
      <c r="E7661" t="s">
        <v>14</v>
      </c>
      <c r="F7661">
        <v>48.033000000000001</v>
      </c>
      <c r="G7661">
        <v>28.7</v>
      </c>
      <c r="H7661">
        <v>2</v>
      </c>
      <c r="I7661">
        <v>154</v>
      </c>
      <c r="J7661" t="str">
        <f>HYPERLINK("https://climate.onebuilding.org/WMO_Region_6_Europe/MDA_Moldova/MDA_SN_Camenca.336790_TMYx.2007-2021.zip")</f>
        <v>https://climate.onebuilding.org/WMO_Region_6_Europe/MDA_Moldova/MDA_SN_Camenca.336790_TMYx.2007-2021.zip</v>
      </c>
    </row>
    <row r="7662" spans="1:10" x14ac:dyDescent="0.25">
      <c r="A7662" t="s">
        <v>5706</v>
      </c>
      <c r="B7662" t="s">
        <v>1491</v>
      </c>
      <c r="C7662" t="s">
        <v>5709</v>
      </c>
      <c r="D7662">
        <v>336790</v>
      </c>
      <c r="E7662" t="s">
        <v>14</v>
      </c>
      <c r="F7662">
        <v>48.033000000000001</v>
      </c>
      <c r="G7662">
        <v>28.7</v>
      </c>
      <c r="H7662">
        <v>2</v>
      </c>
      <c r="I7662">
        <v>154</v>
      </c>
      <c r="J7662" t="str">
        <f>HYPERLINK("https://climate.onebuilding.org/WMO_Region_6_Europe/MDA_Moldova/MDA_SN_Camenca.336790_TMYx.2009-2023.zip")</f>
        <v>https://climate.onebuilding.org/WMO_Region_6_Europe/MDA_Moldova/MDA_SN_Camenca.336790_TMYx.2009-2023.zip</v>
      </c>
    </row>
    <row r="7663" spans="1:10" x14ac:dyDescent="0.25">
      <c r="A7663" t="s">
        <v>5706</v>
      </c>
      <c r="B7663" t="s">
        <v>1491</v>
      </c>
      <c r="C7663" t="s">
        <v>5709</v>
      </c>
      <c r="D7663">
        <v>336790</v>
      </c>
      <c r="E7663" t="s">
        <v>14</v>
      </c>
      <c r="F7663">
        <v>48.033000000000001</v>
      </c>
      <c r="G7663">
        <v>28.7</v>
      </c>
      <c r="H7663">
        <v>2</v>
      </c>
      <c r="I7663">
        <v>154</v>
      </c>
      <c r="J7663" t="str">
        <f>HYPERLINK("https://climate.onebuilding.org/WMO_Region_6_Europe/MDA_Moldova/MDA_SN_Camenca.336790_TMYx.zip")</f>
        <v>https://climate.onebuilding.org/WMO_Region_6_Europe/MDA_Moldova/MDA_SN_Camenca.336790_TMYx.zip</v>
      </c>
    </row>
    <row r="7664" spans="1:10" x14ac:dyDescent="0.25">
      <c r="A7664" t="s">
        <v>5706</v>
      </c>
      <c r="B7664" t="s">
        <v>5710</v>
      </c>
      <c r="C7664" t="s">
        <v>5711</v>
      </c>
      <c r="D7664">
        <v>337175</v>
      </c>
      <c r="E7664" t="s">
        <v>14</v>
      </c>
      <c r="F7664">
        <v>47.866999999999997</v>
      </c>
      <c r="G7664">
        <v>28.216999999999999</v>
      </c>
      <c r="H7664">
        <v>2</v>
      </c>
      <c r="I7664">
        <v>95.1</v>
      </c>
      <c r="J7664" t="str">
        <f>HYPERLINK("https://climate.onebuilding.org/WMO_Region_6_Europe/MDA_Moldova/MDA_FL_Marculesti.Intl.AP.337175_TMYx.2007-2021.zip")</f>
        <v>https://climate.onebuilding.org/WMO_Region_6_Europe/MDA_Moldova/MDA_FL_Marculesti.Intl.AP.337175_TMYx.2007-2021.zip</v>
      </c>
    </row>
    <row r="7665" spans="1:10" x14ac:dyDescent="0.25">
      <c r="A7665" t="s">
        <v>5706</v>
      </c>
      <c r="B7665" t="s">
        <v>5710</v>
      </c>
      <c r="C7665" t="s">
        <v>5711</v>
      </c>
      <c r="D7665">
        <v>337175</v>
      </c>
      <c r="E7665" t="s">
        <v>14</v>
      </c>
      <c r="F7665">
        <v>47.866999999999997</v>
      </c>
      <c r="G7665">
        <v>28.216999999999999</v>
      </c>
      <c r="H7665">
        <v>2</v>
      </c>
      <c r="I7665">
        <v>95.1</v>
      </c>
      <c r="J7665" t="str">
        <f>HYPERLINK("https://climate.onebuilding.org/WMO_Region_6_Europe/MDA_Moldova/MDA_FL_Marculesti.Intl.AP.337175_TMYx.2009-2023.zip")</f>
        <v>https://climate.onebuilding.org/WMO_Region_6_Europe/MDA_Moldova/MDA_FL_Marculesti.Intl.AP.337175_TMYx.2009-2023.zip</v>
      </c>
    </row>
    <row r="7666" spans="1:10" x14ac:dyDescent="0.25">
      <c r="A7666" t="s">
        <v>5706</v>
      </c>
      <c r="B7666" t="s">
        <v>5710</v>
      </c>
      <c r="C7666" t="s">
        <v>5711</v>
      </c>
      <c r="D7666">
        <v>337175</v>
      </c>
      <c r="E7666" t="s">
        <v>14</v>
      </c>
      <c r="F7666">
        <v>47.866999999999997</v>
      </c>
      <c r="G7666">
        <v>28.216999999999999</v>
      </c>
      <c r="H7666">
        <v>2</v>
      </c>
      <c r="I7666">
        <v>95.1</v>
      </c>
      <c r="J7666" t="str">
        <f>HYPERLINK("https://climate.onebuilding.org/WMO_Region_6_Europe/MDA_Moldova/MDA_FL_Marculesti.Intl.AP.337175_TMYx.zip")</f>
        <v>https://climate.onebuilding.org/WMO_Region_6_Europe/MDA_Moldova/MDA_FL_Marculesti.Intl.AP.337175_TMYx.zip</v>
      </c>
    </row>
    <row r="7667" spans="1:10" x14ac:dyDescent="0.25">
      <c r="A7667" t="s">
        <v>5706</v>
      </c>
      <c r="B7667" t="s">
        <v>1162</v>
      </c>
      <c r="C7667" t="s">
        <v>5712</v>
      </c>
      <c r="D7667">
        <v>337440</v>
      </c>
      <c r="E7667" t="s">
        <v>14</v>
      </c>
      <c r="F7667">
        <v>47.582999999999998</v>
      </c>
      <c r="G7667">
        <v>27.7</v>
      </c>
      <c r="H7667">
        <v>2</v>
      </c>
      <c r="I7667">
        <v>162</v>
      </c>
      <c r="J7667" t="str">
        <f>HYPERLINK("https://climate.onebuilding.org/WMO_Region_6_Europe/MDA_Moldova/MDA_FA_Falesti.337440_TMYx.2007-2021.zip")</f>
        <v>https://climate.onebuilding.org/WMO_Region_6_Europe/MDA_Moldova/MDA_FA_Falesti.337440_TMYx.2007-2021.zip</v>
      </c>
    </row>
    <row r="7668" spans="1:10" x14ac:dyDescent="0.25">
      <c r="A7668" t="s">
        <v>5706</v>
      </c>
      <c r="B7668" t="s">
        <v>1162</v>
      </c>
      <c r="C7668" t="s">
        <v>5712</v>
      </c>
      <c r="D7668">
        <v>337440</v>
      </c>
      <c r="E7668" t="s">
        <v>14</v>
      </c>
      <c r="F7668">
        <v>47.582999999999998</v>
      </c>
      <c r="G7668">
        <v>27.7</v>
      </c>
      <c r="H7668">
        <v>2</v>
      </c>
      <c r="I7668">
        <v>162</v>
      </c>
      <c r="J7668" t="str">
        <f>HYPERLINK("https://climate.onebuilding.org/WMO_Region_6_Europe/MDA_Moldova/MDA_FA_Falesti.337440_TMYx.2009-2023.zip")</f>
        <v>https://climate.onebuilding.org/WMO_Region_6_Europe/MDA_Moldova/MDA_FA_Falesti.337440_TMYx.2009-2023.zip</v>
      </c>
    </row>
    <row r="7669" spans="1:10" x14ac:dyDescent="0.25">
      <c r="A7669" t="s">
        <v>5706</v>
      </c>
      <c r="B7669" t="s">
        <v>1162</v>
      </c>
      <c r="C7669" t="s">
        <v>5712</v>
      </c>
      <c r="D7669">
        <v>337440</v>
      </c>
      <c r="E7669" t="s">
        <v>14</v>
      </c>
      <c r="F7669">
        <v>47.582999999999998</v>
      </c>
      <c r="G7669">
        <v>27.7</v>
      </c>
      <c r="H7669">
        <v>2</v>
      </c>
      <c r="I7669">
        <v>162</v>
      </c>
      <c r="J7669" t="str">
        <f>HYPERLINK("https://climate.onebuilding.org/WMO_Region_6_Europe/MDA_Moldova/MDA_FA_Falesti.337440_TMYx.zip")</f>
        <v>https://climate.onebuilding.org/WMO_Region_6_Europe/MDA_Moldova/MDA_FA_Falesti.337440_TMYx.zip</v>
      </c>
    </row>
    <row r="7670" spans="1:10" x14ac:dyDescent="0.25">
      <c r="A7670" t="s">
        <v>5706</v>
      </c>
      <c r="B7670" t="s">
        <v>5559</v>
      </c>
      <c r="C7670" t="s">
        <v>5713</v>
      </c>
      <c r="D7670">
        <v>337450</v>
      </c>
      <c r="E7670" t="s">
        <v>14</v>
      </c>
      <c r="F7670">
        <v>47.783000000000001</v>
      </c>
      <c r="G7670">
        <v>27.95</v>
      </c>
      <c r="H7670">
        <v>2</v>
      </c>
      <c r="I7670">
        <v>102</v>
      </c>
      <c r="J7670" t="str">
        <f>HYPERLINK("https://climate.onebuilding.org/WMO_Region_6_Europe/MDA_Moldova/MDA_BA_Balti.337450_TMYx.2007-2021.zip")</f>
        <v>https://climate.onebuilding.org/WMO_Region_6_Europe/MDA_Moldova/MDA_BA_Balti.337450_TMYx.2007-2021.zip</v>
      </c>
    </row>
    <row r="7671" spans="1:10" x14ac:dyDescent="0.25">
      <c r="A7671" t="s">
        <v>5706</v>
      </c>
      <c r="B7671" t="s">
        <v>5559</v>
      </c>
      <c r="C7671" t="s">
        <v>5713</v>
      </c>
      <c r="D7671">
        <v>337450</v>
      </c>
      <c r="E7671" t="s">
        <v>14</v>
      </c>
      <c r="F7671">
        <v>47.783000000000001</v>
      </c>
      <c r="G7671">
        <v>27.95</v>
      </c>
      <c r="H7671">
        <v>2</v>
      </c>
      <c r="I7671">
        <v>102</v>
      </c>
      <c r="J7671" t="str">
        <f>HYPERLINK("https://climate.onebuilding.org/WMO_Region_6_Europe/MDA_Moldova/MDA_BA_Balti.337450_TMYx.2009-2023.zip")</f>
        <v>https://climate.onebuilding.org/WMO_Region_6_Europe/MDA_Moldova/MDA_BA_Balti.337450_TMYx.2009-2023.zip</v>
      </c>
    </row>
    <row r="7672" spans="1:10" x14ac:dyDescent="0.25">
      <c r="A7672" t="s">
        <v>5706</v>
      </c>
      <c r="B7672" t="s">
        <v>5559</v>
      </c>
      <c r="C7672" t="s">
        <v>5713</v>
      </c>
      <c r="D7672">
        <v>337450</v>
      </c>
      <c r="E7672" t="s">
        <v>14</v>
      </c>
      <c r="F7672">
        <v>47.783000000000001</v>
      </c>
      <c r="G7672">
        <v>27.95</v>
      </c>
      <c r="H7672">
        <v>2</v>
      </c>
      <c r="I7672">
        <v>102</v>
      </c>
      <c r="J7672" t="str">
        <f>HYPERLINK("https://climate.onebuilding.org/WMO_Region_6_Europe/MDA_Moldova/MDA_BA_Balti.337450_TMYx.zip")</f>
        <v>https://climate.onebuilding.org/WMO_Region_6_Europe/MDA_Moldova/MDA_BA_Balti.337450_TMYx.zip</v>
      </c>
    </row>
    <row r="7673" spans="1:10" x14ac:dyDescent="0.25">
      <c r="A7673" t="s">
        <v>5706</v>
      </c>
      <c r="B7673" t="s">
        <v>5714</v>
      </c>
      <c r="C7673" t="s">
        <v>5715</v>
      </c>
      <c r="D7673">
        <v>337480</v>
      </c>
      <c r="E7673" t="s">
        <v>14</v>
      </c>
      <c r="F7673">
        <v>47.356699999999996</v>
      </c>
      <c r="G7673">
        <v>28.008400000000002</v>
      </c>
      <c r="H7673">
        <v>2</v>
      </c>
      <c r="I7673">
        <v>232</v>
      </c>
      <c r="J7673" t="str">
        <f>HYPERLINK("https://climate.onebuilding.org/WMO_Region_6_Europe/MDA_Moldova/MDA_UN_Cornesti.337480_TMYx.2007-2021.zip")</f>
        <v>https://climate.onebuilding.org/WMO_Region_6_Europe/MDA_Moldova/MDA_UN_Cornesti.337480_TMYx.2007-2021.zip</v>
      </c>
    </row>
    <row r="7674" spans="1:10" x14ac:dyDescent="0.25">
      <c r="A7674" t="s">
        <v>5706</v>
      </c>
      <c r="B7674" t="s">
        <v>5714</v>
      </c>
      <c r="C7674" t="s">
        <v>5715</v>
      </c>
      <c r="D7674">
        <v>337480</v>
      </c>
      <c r="E7674" t="s">
        <v>14</v>
      </c>
      <c r="F7674">
        <v>47.356699999999996</v>
      </c>
      <c r="G7674">
        <v>28.008400000000002</v>
      </c>
      <c r="H7674">
        <v>2</v>
      </c>
      <c r="I7674">
        <v>232</v>
      </c>
      <c r="J7674" t="str">
        <f>HYPERLINK("https://climate.onebuilding.org/WMO_Region_6_Europe/MDA_Moldova/MDA_UN_Cornesti.337480_TMYx.2009-2023.zip")</f>
        <v>https://climate.onebuilding.org/WMO_Region_6_Europe/MDA_Moldova/MDA_UN_Cornesti.337480_TMYx.2009-2023.zip</v>
      </c>
    </row>
    <row r="7675" spans="1:10" x14ac:dyDescent="0.25">
      <c r="A7675" t="s">
        <v>5706</v>
      </c>
      <c r="B7675" t="s">
        <v>5714</v>
      </c>
      <c r="C7675" t="s">
        <v>5715</v>
      </c>
      <c r="D7675">
        <v>337480</v>
      </c>
      <c r="E7675" t="s">
        <v>14</v>
      </c>
      <c r="F7675">
        <v>47.356699999999996</v>
      </c>
      <c r="G7675">
        <v>28.008400000000002</v>
      </c>
      <c r="H7675">
        <v>2</v>
      </c>
      <c r="I7675">
        <v>232</v>
      </c>
      <c r="J7675" t="str">
        <f>HYPERLINK("https://climate.onebuilding.org/WMO_Region_6_Europe/MDA_Moldova/MDA_UN_Cornesti.337480_TMYx.zip")</f>
        <v>https://climate.onebuilding.org/WMO_Region_6_Europe/MDA_Moldova/MDA_UN_Cornesti.337480_TMYx.zip</v>
      </c>
    </row>
    <row r="7676" spans="1:10" x14ac:dyDescent="0.25">
      <c r="A7676" t="s">
        <v>5706</v>
      </c>
      <c r="B7676" t="s">
        <v>2008</v>
      </c>
      <c r="C7676" t="s">
        <v>5716</v>
      </c>
      <c r="D7676">
        <v>337490</v>
      </c>
      <c r="E7676" t="s">
        <v>14</v>
      </c>
      <c r="F7676">
        <v>47.366999999999997</v>
      </c>
      <c r="G7676">
        <v>28.433</v>
      </c>
      <c r="H7676">
        <v>2</v>
      </c>
      <c r="I7676">
        <v>78</v>
      </c>
      <c r="J7676" t="str">
        <f>HYPERLINK("https://climate.onebuilding.org/WMO_Region_6_Europe/MDA_Moldova/MDA_CL_Bravicea.337490_TMYx.2007-2021.zip")</f>
        <v>https://climate.onebuilding.org/WMO_Region_6_Europe/MDA_Moldova/MDA_CL_Bravicea.337490_TMYx.2007-2021.zip</v>
      </c>
    </row>
    <row r="7677" spans="1:10" x14ac:dyDescent="0.25">
      <c r="A7677" t="s">
        <v>5706</v>
      </c>
      <c r="B7677" t="s">
        <v>2008</v>
      </c>
      <c r="C7677" t="s">
        <v>5716</v>
      </c>
      <c r="D7677">
        <v>337490</v>
      </c>
      <c r="E7677" t="s">
        <v>14</v>
      </c>
      <c r="F7677">
        <v>47.366999999999997</v>
      </c>
      <c r="G7677">
        <v>28.433</v>
      </c>
      <c r="H7677">
        <v>2</v>
      </c>
      <c r="I7677">
        <v>78</v>
      </c>
      <c r="J7677" t="str">
        <f>HYPERLINK("https://climate.onebuilding.org/WMO_Region_6_Europe/MDA_Moldova/MDA_CL_Bravicea.337490_TMYx.2009-2023.zip")</f>
        <v>https://climate.onebuilding.org/WMO_Region_6_Europe/MDA_Moldova/MDA_CL_Bravicea.337490_TMYx.2009-2023.zip</v>
      </c>
    </row>
    <row r="7678" spans="1:10" x14ac:dyDescent="0.25">
      <c r="A7678" t="s">
        <v>5706</v>
      </c>
      <c r="B7678" t="s">
        <v>2008</v>
      </c>
      <c r="C7678" t="s">
        <v>5716</v>
      </c>
      <c r="D7678">
        <v>337490</v>
      </c>
      <c r="E7678" t="s">
        <v>14</v>
      </c>
      <c r="F7678">
        <v>47.366999999999997</v>
      </c>
      <c r="G7678">
        <v>28.433</v>
      </c>
      <c r="H7678">
        <v>2</v>
      </c>
      <c r="I7678">
        <v>78</v>
      </c>
      <c r="J7678" t="str">
        <f>HYPERLINK("https://climate.onebuilding.org/WMO_Region_6_Europe/MDA_Moldova/MDA_CL_Bravicea.337490_TMYx.zip")</f>
        <v>https://climate.onebuilding.org/WMO_Region_6_Europe/MDA_Moldova/MDA_CL_Bravicea.337490_TMYx.zip</v>
      </c>
    </row>
    <row r="7679" spans="1:10" x14ac:dyDescent="0.25">
      <c r="A7679" t="s">
        <v>5706</v>
      </c>
      <c r="B7679" t="s">
        <v>1491</v>
      </c>
      <c r="C7679" t="s">
        <v>5717</v>
      </c>
      <c r="D7679">
        <v>337540</v>
      </c>
      <c r="E7679" t="s">
        <v>14</v>
      </c>
      <c r="F7679">
        <v>47.767000000000003</v>
      </c>
      <c r="G7679">
        <v>29.016999999999999</v>
      </c>
      <c r="H7679">
        <v>2</v>
      </c>
      <c r="I7679">
        <v>119</v>
      </c>
      <c r="J7679" t="str">
        <f>HYPERLINK("https://climate.onebuilding.org/WMO_Region_6_Europe/MDA_Moldova/MDA_SN_Ribnita.337540_TMYx.2007-2021.zip")</f>
        <v>https://climate.onebuilding.org/WMO_Region_6_Europe/MDA_Moldova/MDA_SN_Ribnita.337540_TMYx.2007-2021.zip</v>
      </c>
    </row>
    <row r="7680" spans="1:10" x14ac:dyDescent="0.25">
      <c r="A7680" t="s">
        <v>5706</v>
      </c>
      <c r="B7680" t="s">
        <v>1491</v>
      </c>
      <c r="C7680" t="s">
        <v>5717</v>
      </c>
      <c r="D7680">
        <v>337540</v>
      </c>
      <c r="E7680" t="s">
        <v>14</v>
      </c>
      <c r="F7680">
        <v>47.767000000000003</v>
      </c>
      <c r="G7680">
        <v>29.016999999999999</v>
      </c>
      <c r="H7680">
        <v>2</v>
      </c>
      <c r="I7680">
        <v>119</v>
      </c>
      <c r="J7680" t="str">
        <f>HYPERLINK("https://climate.onebuilding.org/WMO_Region_6_Europe/MDA_Moldova/MDA_SN_Ribnita.337540_TMYx.2009-2023.zip")</f>
        <v>https://climate.onebuilding.org/WMO_Region_6_Europe/MDA_Moldova/MDA_SN_Ribnita.337540_TMYx.2009-2023.zip</v>
      </c>
    </row>
    <row r="7681" spans="1:10" x14ac:dyDescent="0.25">
      <c r="A7681" t="s">
        <v>5706</v>
      </c>
      <c r="B7681" t="s">
        <v>1491</v>
      </c>
      <c r="C7681" t="s">
        <v>5717</v>
      </c>
      <c r="D7681">
        <v>337540</v>
      </c>
      <c r="E7681" t="s">
        <v>14</v>
      </c>
      <c r="F7681">
        <v>47.767000000000003</v>
      </c>
      <c r="G7681">
        <v>29.016999999999999</v>
      </c>
      <c r="H7681">
        <v>2</v>
      </c>
      <c r="I7681">
        <v>119</v>
      </c>
      <c r="J7681" t="str">
        <f>HYPERLINK("https://climate.onebuilding.org/WMO_Region_6_Europe/MDA_Moldova/MDA_SN_Ribnita.337540_TMYx.zip")</f>
        <v>https://climate.onebuilding.org/WMO_Region_6_Europe/MDA_Moldova/MDA_SN_Ribnita.337540_TMYx.zip</v>
      </c>
    </row>
    <row r="7682" spans="1:10" x14ac:dyDescent="0.25">
      <c r="A7682" t="s">
        <v>5706</v>
      </c>
      <c r="B7682" t="s">
        <v>5718</v>
      </c>
      <c r="C7682" t="s">
        <v>5719</v>
      </c>
      <c r="D7682">
        <v>338150</v>
      </c>
      <c r="E7682" t="s">
        <v>5720</v>
      </c>
      <c r="F7682">
        <v>47.0032</v>
      </c>
      <c r="G7682">
        <v>28.916899999999998</v>
      </c>
      <c r="H7682">
        <v>2</v>
      </c>
      <c r="I7682">
        <v>173</v>
      </c>
      <c r="J7682" t="str">
        <f>HYPERLINK("https://climate.onebuilding.org/WMO_Region_6_Europe/MDA_Moldova/MDA_CU_Chisinau.338150_TMYx.2004-2018.zip")</f>
        <v>https://climate.onebuilding.org/WMO_Region_6_Europe/MDA_Moldova/MDA_CU_Chisinau.338150_TMYx.2004-2018.zip</v>
      </c>
    </row>
    <row r="7683" spans="1:10" x14ac:dyDescent="0.25">
      <c r="A7683" t="s">
        <v>5706</v>
      </c>
      <c r="B7683" t="s">
        <v>5718</v>
      </c>
      <c r="C7683" t="s">
        <v>5719</v>
      </c>
      <c r="D7683">
        <v>338150</v>
      </c>
      <c r="E7683" t="s">
        <v>14</v>
      </c>
      <c r="F7683">
        <v>47.017000000000003</v>
      </c>
      <c r="G7683">
        <v>28.983000000000001</v>
      </c>
      <c r="H7683">
        <v>2</v>
      </c>
      <c r="I7683">
        <v>173</v>
      </c>
      <c r="J7683" t="str">
        <f>HYPERLINK("https://climate.onebuilding.org/WMO_Region_6_Europe/MDA_Moldova/MDA_CU_Chisinau.338150_TMYx.2007-2021.zip")</f>
        <v>https://climate.onebuilding.org/WMO_Region_6_Europe/MDA_Moldova/MDA_CU_Chisinau.338150_TMYx.2007-2021.zip</v>
      </c>
    </row>
    <row r="7684" spans="1:10" x14ac:dyDescent="0.25">
      <c r="A7684" t="s">
        <v>5706</v>
      </c>
      <c r="B7684" t="s">
        <v>5718</v>
      </c>
      <c r="C7684" t="s">
        <v>5719</v>
      </c>
      <c r="D7684">
        <v>338150</v>
      </c>
      <c r="E7684" t="s">
        <v>14</v>
      </c>
      <c r="F7684">
        <v>47.017000000000003</v>
      </c>
      <c r="G7684">
        <v>28.983000000000001</v>
      </c>
      <c r="H7684">
        <v>2</v>
      </c>
      <c r="I7684">
        <v>173</v>
      </c>
      <c r="J7684" t="str">
        <f>HYPERLINK("https://climate.onebuilding.org/WMO_Region_6_Europe/MDA_Moldova/MDA_CU_Chisinau.338150_TMYx.2009-2023.zip")</f>
        <v>https://climate.onebuilding.org/WMO_Region_6_Europe/MDA_Moldova/MDA_CU_Chisinau.338150_TMYx.2009-2023.zip</v>
      </c>
    </row>
    <row r="7685" spans="1:10" x14ac:dyDescent="0.25">
      <c r="A7685" t="s">
        <v>5706</v>
      </c>
      <c r="B7685" t="s">
        <v>5718</v>
      </c>
      <c r="C7685" t="s">
        <v>5719</v>
      </c>
      <c r="D7685">
        <v>338150</v>
      </c>
      <c r="E7685" t="s">
        <v>14</v>
      </c>
      <c r="F7685">
        <v>47.017000000000003</v>
      </c>
      <c r="G7685">
        <v>28.983000000000001</v>
      </c>
      <c r="H7685">
        <v>2</v>
      </c>
      <c r="I7685">
        <v>173</v>
      </c>
      <c r="J7685" t="str">
        <f>HYPERLINK("https://climate.onebuilding.org/WMO_Region_6_Europe/MDA_Moldova/MDA_CU_Chisinau.338150_TMYx.zip")</f>
        <v>https://climate.onebuilding.org/WMO_Region_6_Europe/MDA_Moldova/MDA_CU_Chisinau.338150_TMYx.zip</v>
      </c>
    </row>
    <row r="7686" spans="1:10" x14ac:dyDescent="0.25">
      <c r="A7686" t="s">
        <v>5706</v>
      </c>
      <c r="B7686" t="s">
        <v>2263</v>
      </c>
      <c r="C7686" t="s">
        <v>5721</v>
      </c>
      <c r="D7686">
        <v>338170</v>
      </c>
      <c r="E7686" t="s">
        <v>14</v>
      </c>
      <c r="F7686">
        <v>46.772199999999998</v>
      </c>
      <c r="G7686">
        <v>28.358799999999999</v>
      </c>
      <c r="H7686">
        <v>2</v>
      </c>
      <c r="I7686">
        <v>121</v>
      </c>
      <c r="J7686" t="str">
        <f>HYPERLINK("https://climate.onebuilding.org/WMO_Region_6_Europe/MDA_Moldova/MDA_HI_Karpineny.338170_TMYx.zip")</f>
        <v>https://climate.onebuilding.org/WMO_Region_6_Europe/MDA_Moldova/MDA_HI_Karpineny.338170_TMYx.zip</v>
      </c>
    </row>
    <row r="7687" spans="1:10" x14ac:dyDescent="0.25">
      <c r="A7687" t="s">
        <v>5706</v>
      </c>
      <c r="B7687" t="s">
        <v>52</v>
      </c>
      <c r="C7687" t="s">
        <v>5722</v>
      </c>
      <c r="D7687">
        <v>338210</v>
      </c>
      <c r="E7687" t="s">
        <v>14</v>
      </c>
      <c r="F7687">
        <v>47.283000000000001</v>
      </c>
      <c r="G7687">
        <v>29.132999999999999</v>
      </c>
      <c r="H7687">
        <v>2</v>
      </c>
      <c r="I7687">
        <v>40</v>
      </c>
      <c r="J7687" t="str">
        <f>HYPERLINK("https://climate.onebuilding.org/WMO_Region_6_Europe/MDA_Moldova/MDA_DU_Dubasari.338210_TMYx.2007-2021.zip")</f>
        <v>https://climate.onebuilding.org/WMO_Region_6_Europe/MDA_Moldova/MDA_DU_Dubasari.338210_TMYx.2007-2021.zip</v>
      </c>
    </row>
    <row r="7688" spans="1:10" x14ac:dyDescent="0.25">
      <c r="A7688" t="s">
        <v>5706</v>
      </c>
      <c r="B7688" t="s">
        <v>52</v>
      </c>
      <c r="C7688" t="s">
        <v>5722</v>
      </c>
      <c r="D7688">
        <v>338210</v>
      </c>
      <c r="E7688" t="s">
        <v>14</v>
      </c>
      <c r="F7688">
        <v>47.283000000000001</v>
      </c>
      <c r="G7688">
        <v>29.132999999999999</v>
      </c>
      <c r="H7688">
        <v>2</v>
      </c>
      <c r="I7688">
        <v>40</v>
      </c>
      <c r="J7688" t="str">
        <f>HYPERLINK("https://climate.onebuilding.org/WMO_Region_6_Europe/MDA_Moldova/MDA_DU_Dubasari.338210_TMYx.2009-2023.zip")</f>
        <v>https://climate.onebuilding.org/WMO_Region_6_Europe/MDA_Moldova/MDA_DU_Dubasari.338210_TMYx.2009-2023.zip</v>
      </c>
    </row>
    <row r="7689" spans="1:10" x14ac:dyDescent="0.25">
      <c r="A7689" t="s">
        <v>5706</v>
      </c>
      <c r="B7689" t="s">
        <v>52</v>
      </c>
      <c r="C7689" t="s">
        <v>5722</v>
      </c>
      <c r="D7689">
        <v>338210</v>
      </c>
      <c r="E7689" t="s">
        <v>14</v>
      </c>
      <c r="F7689">
        <v>47.283000000000001</v>
      </c>
      <c r="G7689">
        <v>29.132999999999999</v>
      </c>
      <c r="H7689">
        <v>2</v>
      </c>
      <c r="I7689">
        <v>40</v>
      </c>
      <c r="J7689" t="str">
        <f>HYPERLINK("https://climate.onebuilding.org/WMO_Region_6_Europe/MDA_Moldova/MDA_DU_Dubasari.338210_TMYx.zip")</f>
        <v>https://climate.onebuilding.org/WMO_Region_6_Europe/MDA_Moldova/MDA_DU_Dubasari.338210_TMYx.zip</v>
      </c>
    </row>
    <row r="7690" spans="1:10" x14ac:dyDescent="0.25">
      <c r="A7690" t="s">
        <v>5706</v>
      </c>
      <c r="B7690" t="s">
        <v>1491</v>
      </c>
      <c r="C7690" t="s">
        <v>5723</v>
      </c>
      <c r="D7690">
        <v>338290</v>
      </c>
      <c r="E7690" t="s">
        <v>14</v>
      </c>
      <c r="F7690">
        <v>46.860900000000001</v>
      </c>
      <c r="G7690">
        <v>29.626100000000001</v>
      </c>
      <c r="H7690">
        <v>2</v>
      </c>
      <c r="I7690">
        <v>51</v>
      </c>
      <c r="J7690" t="str">
        <f>HYPERLINK("https://climate.onebuilding.org/WMO_Region_6_Europe/MDA_Moldova/MDA_SN_Tiraspol.338290_TMYx.2007-2021.zip")</f>
        <v>https://climate.onebuilding.org/WMO_Region_6_Europe/MDA_Moldova/MDA_SN_Tiraspol.338290_TMYx.2007-2021.zip</v>
      </c>
    </row>
    <row r="7691" spans="1:10" x14ac:dyDescent="0.25">
      <c r="A7691" t="s">
        <v>5706</v>
      </c>
      <c r="B7691" t="s">
        <v>1491</v>
      </c>
      <c r="C7691" t="s">
        <v>5723</v>
      </c>
      <c r="D7691">
        <v>338290</v>
      </c>
      <c r="E7691" t="s">
        <v>14</v>
      </c>
      <c r="F7691">
        <v>46.860900000000001</v>
      </c>
      <c r="G7691">
        <v>29.626100000000001</v>
      </c>
      <c r="H7691">
        <v>2</v>
      </c>
      <c r="I7691">
        <v>51</v>
      </c>
      <c r="J7691" t="str">
        <f>HYPERLINK("https://climate.onebuilding.org/WMO_Region_6_Europe/MDA_Moldova/MDA_SN_Tiraspol.338290_TMYx.2009-2023.zip")</f>
        <v>https://climate.onebuilding.org/WMO_Region_6_Europe/MDA_Moldova/MDA_SN_Tiraspol.338290_TMYx.2009-2023.zip</v>
      </c>
    </row>
    <row r="7692" spans="1:10" x14ac:dyDescent="0.25">
      <c r="A7692" t="s">
        <v>5706</v>
      </c>
      <c r="B7692" t="s">
        <v>1491</v>
      </c>
      <c r="C7692" t="s">
        <v>5723</v>
      </c>
      <c r="D7692">
        <v>338290</v>
      </c>
      <c r="E7692" t="s">
        <v>14</v>
      </c>
      <c r="F7692">
        <v>46.860900000000001</v>
      </c>
      <c r="G7692">
        <v>29.626100000000001</v>
      </c>
      <c r="H7692">
        <v>2</v>
      </c>
      <c r="I7692">
        <v>51</v>
      </c>
      <c r="J7692" t="str">
        <f>HYPERLINK("https://climate.onebuilding.org/WMO_Region_6_Europe/MDA_Moldova/MDA_SN_Tiraspol.338290_TMYx.zip")</f>
        <v>https://climate.onebuilding.org/WMO_Region_6_Europe/MDA_Moldova/MDA_SN_Tiraspol.338290_TMYx.zip</v>
      </c>
    </row>
    <row r="7693" spans="1:10" x14ac:dyDescent="0.25">
      <c r="A7693" t="s">
        <v>5706</v>
      </c>
      <c r="B7693" t="s">
        <v>5718</v>
      </c>
      <c r="C7693" t="s">
        <v>5724</v>
      </c>
      <c r="D7693">
        <v>338387</v>
      </c>
      <c r="E7693" t="s">
        <v>5725</v>
      </c>
      <c r="F7693">
        <v>46.927999999999997</v>
      </c>
      <c r="G7693">
        <v>28.931000000000001</v>
      </c>
      <c r="H7693">
        <v>2</v>
      </c>
      <c r="I7693">
        <v>121.6</v>
      </c>
      <c r="J7693" t="str">
        <f>HYPERLINK("https://climate.onebuilding.org/WMO_Region_6_Europe/MDA_Moldova/MDA_CU_Chisinau.Intl.AP.338387_TMYx.2004-2018.zip")</f>
        <v>https://climate.onebuilding.org/WMO_Region_6_Europe/MDA_Moldova/MDA_CU_Chisinau.Intl.AP.338387_TMYx.2004-2018.zip</v>
      </c>
    </row>
    <row r="7694" spans="1:10" x14ac:dyDescent="0.25">
      <c r="A7694" t="s">
        <v>5706</v>
      </c>
      <c r="B7694" t="s">
        <v>5718</v>
      </c>
      <c r="C7694" t="s">
        <v>5724</v>
      </c>
      <c r="D7694">
        <v>338387</v>
      </c>
      <c r="E7694" t="s">
        <v>14</v>
      </c>
      <c r="F7694">
        <v>46.927999999999997</v>
      </c>
      <c r="G7694">
        <v>28.931000000000001</v>
      </c>
      <c r="H7694">
        <v>2</v>
      </c>
      <c r="I7694">
        <v>121.6</v>
      </c>
      <c r="J7694" t="str">
        <f>HYPERLINK("https://climate.onebuilding.org/WMO_Region_6_Europe/MDA_Moldova/MDA_CU_Chisinau.Intl.AP.338387_TMYx.2007-2021.zip")</f>
        <v>https://climate.onebuilding.org/WMO_Region_6_Europe/MDA_Moldova/MDA_CU_Chisinau.Intl.AP.338387_TMYx.2007-2021.zip</v>
      </c>
    </row>
    <row r="7695" spans="1:10" x14ac:dyDescent="0.25">
      <c r="A7695" t="s">
        <v>5706</v>
      </c>
      <c r="B7695" t="s">
        <v>5718</v>
      </c>
      <c r="C7695" t="s">
        <v>5724</v>
      </c>
      <c r="D7695">
        <v>338387</v>
      </c>
      <c r="E7695" t="s">
        <v>14</v>
      </c>
      <c r="F7695">
        <v>46.927999999999997</v>
      </c>
      <c r="G7695">
        <v>28.931000000000001</v>
      </c>
      <c r="H7695">
        <v>2</v>
      </c>
      <c r="I7695">
        <v>121.6</v>
      </c>
      <c r="J7695" t="str">
        <f>HYPERLINK("https://climate.onebuilding.org/WMO_Region_6_Europe/MDA_Moldova/MDA_CU_Chisinau.Intl.AP.338387_TMYx.2009-2023.zip")</f>
        <v>https://climate.onebuilding.org/WMO_Region_6_Europe/MDA_Moldova/MDA_CU_Chisinau.Intl.AP.338387_TMYx.2009-2023.zip</v>
      </c>
    </row>
    <row r="7696" spans="1:10" x14ac:dyDescent="0.25">
      <c r="A7696" t="s">
        <v>5706</v>
      </c>
      <c r="B7696" t="s">
        <v>5718</v>
      </c>
      <c r="C7696" t="s">
        <v>5724</v>
      </c>
      <c r="D7696">
        <v>338387</v>
      </c>
      <c r="E7696" t="s">
        <v>14</v>
      </c>
      <c r="F7696">
        <v>46.927999999999997</v>
      </c>
      <c r="G7696">
        <v>28.931000000000001</v>
      </c>
      <c r="H7696">
        <v>2</v>
      </c>
      <c r="I7696">
        <v>121.6</v>
      </c>
      <c r="J7696" t="str">
        <f>HYPERLINK("https://climate.onebuilding.org/WMO_Region_6_Europe/MDA_Moldova/MDA_CU_Chisinau.Intl.AP.338387_TMYx.zip")</f>
        <v>https://climate.onebuilding.org/WMO_Region_6_Europe/MDA_Moldova/MDA_CU_Chisinau.Intl.AP.338387_TMYx.zip</v>
      </c>
    </row>
    <row r="7697" spans="1:10" x14ac:dyDescent="0.25">
      <c r="A7697" t="s">
        <v>5706</v>
      </c>
      <c r="B7697" t="s">
        <v>2024</v>
      </c>
      <c r="C7697" t="s">
        <v>5726</v>
      </c>
      <c r="D7697">
        <v>338388</v>
      </c>
      <c r="E7697" t="s">
        <v>5727</v>
      </c>
      <c r="F7697">
        <v>47.838000000000001</v>
      </c>
      <c r="G7697">
        <v>27.780999999999999</v>
      </c>
      <c r="H7697">
        <v>2</v>
      </c>
      <c r="I7697">
        <v>231</v>
      </c>
      <c r="J7697" t="str">
        <f>HYPERLINK("https://climate.onebuilding.org/WMO_Region_6_Europe/MDA_Moldova/MDA_RI_Balti.Intl.AP.338388_TMYx.2004-2018.zip")</f>
        <v>https://climate.onebuilding.org/WMO_Region_6_Europe/MDA_Moldova/MDA_RI_Balti.Intl.AP.338388_TMYx.2004-2018.zip</v>
      </c>
    </row>
    <row r="7698" spans="1:10" x14ac:dyDescent="0.25">
      <c r="A7698" t="s">
        <v>5706</v>
      </c>
      <c r="B7698" t="s">
        <v>2024</v>
      </c>
      <c r="C7698" t="s">
        <v>5726</v>
      </c>
      <c r="D7698">
        <v>338388</v>
      </c>
      <c r="E7698" t="s">
        <v>14</v>
      </c>
      <c r="F7698">
        <v>47.838000000000001</v>
      </c>
      <c r="G7698">
        <v>27.780999999999999</v>
      </c>
      <c r="H7698">
        <v>2</v>
      </c>
      <c r="I7698">
        <v>231</v>
      </c>
      <c r="J7698" t="str">
        <f>HYPERLINK("https://climate.onebuilding.org/WMO_Region_6_Europe/MDA_Moldova/MDA_RI_Balti.Intl.AP.338388_TMYx.2007-2021.zip")</f>
        <v>https://climate.onebuilding.org/WMO_Region_6_Europe/MDA_Moldova/MDA_RI_Balti.Intl.AP.338388_TMYx.2007-2021.zip</v>
      </c>
    </row>
    <row r="7699" spans="1:10" x14ac:dyDescent="0.25">
      <c r="A7699" t="s">
        <v>5706</v>
      </c>
      <c r="B7699" t="s">
        <v>2024</v>
      </c>
      <c r="C7699" t="s">
        <v>5726</v>
      </c>
      <c r="D7699">
        <v>338388</v>
      </c>
      <c r="E7699" t="s">
        <v>14</v>
      </c>
      <c r="F7699">
        <v>47.838000000000001</v>
      </c>
      <c r="G7699">
        <v>27.780999999999999</v>
      </c>
      <c r="H7699">
        <v>2</v>
      </c>
      <c r="I7699">
        <v>231</v>
      </c>
      <c r="J7699" t="str">
        <f>HYPERLINK("https://climate.onebuilding.org/WMO_Region_6_Europe/MDA_Moldova/MDA_RI_Balti.Intl.AP.338388_TMYx.2009-2023.zip")</f>
        <v>https://climate.onebuilding.org/WMO_Region_6_Europe/MDA_Moldova/MDA_RI_Balti.Intl.AP.338388_TMYx.2009-2023.zip</v>
      </c>
    </row>
    <row r="7700" spans="1:10" x14ac:dyDescent="0.25">
      <c r="A7700" t="s">
        <v>5706</v>
      </c>
      <c r="B7700" t="s">
        <v>2024</v>
      </c>
      <c r="C7700" t="s">
        <v>5726</v>
      </c>
      <c r="D7700">
        <v>338388</v>
      </c>
      <c r="E7700" t="s">
        <v>14</v>
      </c>
      <c r="F7700">
        <v>47.838000000000001</v>
      </c>
      <c r="G7700">
        <v>27.780999999999999</v>
      </c>
      <c r="H7700">
        <v>2</v>
      </c>
      <c r="I7700">
        <v>231</v>
      </c>
      <c r="J7700" t="str">
        <f>HYPERLINK("https://climate.onebuilding.org/WMO_Region_6_Europe/MDA_Moldova/MDA_RI_Balti.Intl.AP.338388_TMYx.zip")</f>
        <v>https://climate.onebuilding.org/WMO_Region_6_Europe/MDA_Moldova/MDA_RI_Balti.Intl.AP.338388_TMYx.zip</v>
      </c>
    </row>
    <row r="7701" spans="1:10" x14ac:dyDescent="0.25">
      <c r="A7701" t="s">
        <v>5706</v>
      </c>
      <c r="B7701" t="s">
        <v>30</v>
      </c>
      <c r="C7701" t="s">
        <v>5728</v>
      </c>
      <c r="D7701">
        <v>338810</v>
      </c>
      <c r="E7701" t="s">
        <v>14</v>
      </c>
      <c r="F7701">
        <v>46.487900000000003</v>
      </c>
      <c r="G7701">
        <v>28.262799999999999</v>
      </c>
      <c r="H7701">
        <v>2</v>
      </c>
      <c r="I7701">
        <v>85</v>
      </c>
      <c r="J7701" t="str">
        <f>HYPERLINK("https://climate.onebuilding.org/WMO_Region_6_Europe/MDA_Moldova/MDA_LE_Leova.338810_TMYx.2007-2021.zip")</f>
        <v>https://climate.onebuilding.org/WMO_Region_6_Europe/MDA_Moldova/MDA_LE_Leova.338810_TMYx.2007-2021.zip</v>
      </c>
    </row>
    <row r="7702" spans="1:10" x14ac:dyDescent="0.25">
      <c r="A7702" t="s">
        <v>5706</v>
      </c>
      <c r="B7702" t="s">
        <v>30</v>
      </c>
      <c r="C7702" t="s">
        <v>5728</v>
      </c>
      <c r="D7702">
        <v>338810</v>
      </c>
      <c r="E7702" t="s">
        <v>14</v>
      </c>
      <c r="F7702">
        <v>46.487900000000003</v>
      </c>
      <c r="G7702">
        <v>28.262799999999999</v>
      </c>
      <c r="H7702">
        <v>2</v>
      </c>
      <c r="I7702">
        <v>85</v>
      </c>
      <c r="J7702" t="str">
        <f>HYPERLINK("https://climate.onebuilding.org/WMO_Region_6_Europe/MDA_Moldova/MDA_LE_Leova.338810_TMYx.2009-2023.zip")</f>
        <v>https://climate.onebuilding.org/WMO_Region_6_Europe/MDA_Moldova/MDA_LE_Leova.338810_TMYx.2009-2023.zip</v>
      </c>
    </row>
    <row r="7703" spans="1:10" x14ac:dyDescent="0.25">
      <c r="A7703" t="s">
        <v>5706</v>
      </c>
      <c r="B7703" t="s">
        <v>30</v>
      </c>
      <c r="C7703" t="s">
        <v>5728</v>
      </c>
      <c r="D7703">
        <v>338810</v>
      </c>
      <c r="E7703" t="s">
        <v>14</v>
      </c>
      <c r="F7703">
        <v>46.487900000000003</v>
      </c>
      <c r="G7703">
        <v>28.262799999999999</v>
      </c>
      <c r="H7703">
        <v>2</v>
      </c>
      <c r="I7703">
        <v>85</v>
      </c>
      <c r="J7703" t="str">
        <f>HYPERLINK("https://climate.onebuilding.org/WMO_Region_6_Europe/MDA_Moldova/MDA_LE_Leova.338810_TMYx.zip")</f>
        <v>https://climate.onebuilding.org/WMO_Region_6_Europe/MDA_Moldova/MDA_LE_Leova.338810_TMYx.zip</v>
      </c>
    </row>
    <row r="7704" spans="1:10" x14ac:dyDescent="0.25">
      <c r="A7704" t="s">
        <v>5706</v>
      </c>
      <c r="B7704" t="s">
        <v>1950</v>
      </c>
      <c r="C7704" t="s">
        <v>5729</v>
      </c>
      <c r="D7704">
        <v>338830</v>
      </c>
      <c r="E7704" t="s">
        <v>14</v>
      </c>
      <c r="F7704">
        <v>46.3</v>
      </c>
      <c r="G7704">
        <v>28.632999999999999</v>
      </c>
      <c r="H7704">
        <v>2</v>
      </c>
      <c r="I7704">
        <v>133</v>
      </c>
      <c r="J7704" t="str">
        <f>HYPERLINK("https://climate.onebuilding.org/WMO_Region_6_Europe/MDA_Moldova/MDA_GA_Komrat.338830_TMYx.2007-2021.zip")</f>
        <v>https://climate.onebuilding.org/WMO_Region_6_Europe/MDA_Moldova/MDA_GA_Komrat.338830_TMYx.2007-2021.zip</v>
      </c>
    </row>
    <row r="7705" spans="1:10" x14ac:dyDescent="0.25">
      <c r="A7705" t="s">
        <v>5706</v>
      </c>
      <c r="B7705" t="s">
        <v>1950</v>
      </c>
      <c r="C7705" t="s">
        <v>5729</v>
      </c>
      <c r="D7705">
        <v>338830</v>
      </c>
      <c r="E7705" t="s">
        <v>14</v>
      </c>
      <c r="F7705">
        <v>46.3</v>
      </c>
      <c r="G7705">
        <v>28.632999999999999</v>
      </c>
      <c r="H7705">
        <v>2</v>
      </c>
      <c r="I7705">
        <v>133</v>
      </c>
      <c r="J7705" t="str">
        <f>HYPERLINK("https://climate.onebuilding.org/WMO_Region_6_Europe/MDA_Moldova/MDA_GA_Komrat.338830_TMYx.2009-2023.zip")</f>
        <v>https://climate.onebuilding.org/WMO_Region_6_Europe/MDA_Moldova/MDA_GA_Komrat.338830_TMYx.2009-2023.zip</v>
      </c>
    </row>
    <row r="7706" spans="1:10" x14ac:dyDescent="0.25">
      <c r="A7706" t="s">
        <v>5706</v>
      </c>
      <c r="B7706" t="s">
        <v>1950</v>
      </c>
      <c r="C7706" t="s">
        <v>5729</v>
      </c>
      <c r="D7706">
        <v>338830</v>
      </c>
      <c r="E7706" t="s">
        <v>14</v>
      </c>
      <c r="F7706">
        <v>46.3</v>
      </c>
      <c r="G7706">
        <v>28.632999999999999</v>
      </c>
      <c r="H7706">
        <v>2</v>
      </c>
      <c r="I7706">
        <v>133</v>
      </c>
      <c r="J7706" t="str">
        <f>HYPERLINK("https://climate.onebuilding.org/WMO_Region_6_Europe/MDA_Moldova/MDA_GA_Komrat.338830_TMYx.zip")</f>
        <v>https://climate.onebuilding.org/WMO_Region_6_Europe/MDA_Moldova/MDA_GA_Komrat.338830_TMYx.zip</v>
      </c>
    </row>
    <row r="7707" spans="1:10" x14ac:dyDescent="0.25">
      <c r="A7707" t="s">
        <v>5706</v>
      </c>
      <c r="B7707" t="s">
        <v>5730</v>
      </c>
      <c r="C7707" t="s">
        <v>5731</v>
      </c>
      <c r="D7707">
        <v>338850</v>
      </c>
      <c r="E7707" t="s">
        <v>14</v>
      </c>
      <c r="F7707">
        <v>45.883000000000003</v>
      </c>
      <c r="G7707">
        <v>28.233000000000001</v>
      </c>
      <c r="H7707">
        <v>2</v>
      </c>
      <c r="I7707">
        <v>113</v>
      </c>
      <c r="J7707" t="str">
        <f>HYPERLINK("https://climate.onebuilding.org/WMO_Region_6_Europe/MDA_Moldova/MDA_CA_Cahul.338850_TMYx.2007-2021.zip")</f>
        <v>https://climate.onebuilding.org/WMO_Region_6_Europe/MDA_Moldova/MDA_CA_Cahul.338850_TMYx.2007-2021.zip</v>
      </c>
    </row>
    <row r="7708" spans="1:10" x14ac:dyDescent="0.25">
      <c r="A7708" t="s">
        <v>5706</v>
      </c>
      <c r="B7708" t="s">
        <v>5730</v>
      </c>
      <c r="C7708" t="s">
        <v>5731</v>
      </c>
      <c r="D7708">
        <v>338850</v>
      </c>
      <c r="E7708" t="s">
        <v>14</v>
      </c>
      <c r="F7708">
        <v>45.883000000000003</v>
      </c>
      <c r="G7708">
        <v>28.233000000000001</v>
      </c>
      <c r="H7708">
        <v>2</v>
      </c>
      <c r="I7708">
        <v>113</v>
      </c>
      <c r="J7708" t="str">
        <f>HYPERLINK("https://climate.onebuilding.org/WMO_Region_6_Europe/MDA_Moldova/MDA_CA_Cahul.338850_TMYx.2009-2023.zip")</f>
        <v>https://climate.onebuilding.org/WMO_Region_6_Europe/MDA_Moldova/MDA_CA_Cahul.338850_TMYx.2009-2023.zip</v>
      </c>
    </row>
    <row r="7709" spans="1:10" x14ac:dyDescent="0.25">
      <c r="A7709" t="s">
        <v>5706</v>
      </c>
      <c r="B7709" t="s">
        <v>5730</v>
      </c>
      <c r="C7709" t="s">
        <v>5731</v>
      </c>
      <c r="D7709">
        <v>338850</v>
      </c>
      <c r="E7709" t="s">
        <v>14</v>
      </c>
      <c r="F7709">
        <v>45.883000000000003</v>
      </c>
      <c r="G7709">
        <v>28.233000000000001</v>
      </c>
      <c r="H7709">
        <v>2</v>
      </c>
      <c r="I7709">
        <v>113</v>
      </c>
      <c r="J7709" t="str">
        <f>HYPERLINK("https://climate.onebuilding.org/WMO_Region_6_Europe/MDA_Moldova/MDA_CA_Cahul.338850_TMYx.zip")</f>
        <v>https://climate.onebuilding.org/WMO_Region_6_Europe/MDA_Moldova/MDA_CA_Cahul.338850_TMYx.zip</v>
      </c>
    </row>
    <row r="7710" spans="1:10" x14ac:dyDescent="0.25">
      <c r="A7710" t="s">
        <v>5706</v>
      </c>
      <c r="B7710" t="s">
        <v>1950</v>
      </c>
      <c r="C7710" t="s">
        <v>5732</v>
      </c>
      <c r="D7710">
        <v>338860</v>
      </c>
      <c r="E7710" t="s">
        <v>14</v>
      </c>
      <c r="F7710">
        <v>46.054299999999998</v>
      </c>
      <c r="G7710">
        <v>28.834299999999999</v>
      </c>
      <c r="H7710">
        <v>2</v>
      </c>
      <c r="I7710">
        <v>95</v>
      </c>
      <c r="J7710" t="str">
        <f>HYPERLINK("https://climate.onebuilding.org/WMO_Region_6_Europe/MDA_Moldova/MDA_GA_Ceadir.Lunga.338860_TMYx.2007-2021.zip")</f>
        <v>https://climate.onebuilding.org/WMO_Region_6_Europe/MDA_Moldova/MDA_GA_Ceadir.Lunga.338860_TMYx.2007-2021.zip</v>
      </c>
    </row>
    <row r="7711" spans="1:10" x14ac:dyDescent="0.25">
      <c r="A7711" t="s">
        <v>5706</v>
      </c>
      <c r="B7711" t="s">
        <v>1950</v>
      </c>
      <c r="C7711" t="s">
        <v>5732</v>
      </c>
      <c r="D7711">
        <v>338860</v>
      </c>
      <c r="E7711" t="s">
        <v>14</v>
      </c>
      <c r="F7711">
        <v>46.054299999999998</v>
      </c>
      <c r="G7711">
        <v>28.834299999999999</v>
      </c>
      <c r="H7711">
        <v>2</v>
      </c>
      <c r="I7711">
        <v>95</v>
      </c>
      <c r="J7711" t="str">
        <f>HYPERLINK("https://climate.onebuilding.org/WMO_Region_6_Europe/MDA_Moldova/MDA_GA_Ceadir.Lunga.338860_TMYx.2009-2023.zip")</f>
        <v>https://climate.onebuilding.org/WMO_Region_6_Europe/MDA_Moldova/MDA_GA_Ceadir.Lunga.338860_TMYx.2009-2023.zip</v>
      </c>
    </row>
    <row r="7712" spans="1:10" x14ac:dyDescent="0.25">
      <c r="A7712" t="s">
        <v>5706</v>
      </c>
      <c r="B7712" t="s">
        <v>1950</v>
      </c>
      <c r="C7712" t="s">
        <v>5732</v>
      </c>
      <c r="D7712">
        <v>338860</v>
      </c>
      <c r="E7712" t="s">
        <v>14</v>
      </c>
      <c r="F7712">
        <v>46.054299999999998</v>
      </c>
      <c r="G7712">
        <v>28.834299999999999</v>
      </c>
      <c r="H7712">
        <v>2</v>
      </c>
      <c r="I7712">
        <v>95</v>
      </c>
      <c r="J7712" t="str">
        <f>HYPERLINK("https://climate.onebuilding.org/WMO_Region_6_Europe/MDA_Moldova/MDA_GA_Ceadir.Lunga.338860_TMYx.zip")</f>
        <v>https://climate.onebuilding.org/WMO_Region_6_Europe/MDA_Moldova/MDA_GA_Ceadir.Lunga.338860_TMYx.zip</v>
      </c>
    </row>
    <row r="7713" spans="1:10" x14ac:dyDescent="0.25">
      <c r="A7713" t="s">
        <v>5706</v>
      </c>
      <c r="B7713" t="s">
        <v>5733</v>
      </c>
      <c r="C7713" t="s">
        <v>5734</v>
      </c>
      <c r="D7713">
        <v>338920</v>
      </c>
      <c r="E7713" t="s">
        <v>14</v>
      </c>
      <c r="F7713">
        <v>46.515999999999998</v>
      </c>
      <c r="G7713">
        <v>29.6553</v>
      </c>
      <c r="H7713">
        <v>2</v>
      </c>
      <c r="I7713">
        <v>153</v>
      </c>
      <c r="J7713" t="str">
        <f>HYPERLINK("https://climate.onebuilding.org/WMO_Region_6_Europe/MDA_Moldova/MDA_SV_Stefan.Voda.338920_TMYx.2007-2021.zip")</f>
        <v>https://climate.onebuilding.org/WMO_Region_6_Europe/MDA_Moldova/MDA_SV_Stefan.Voda.338920_TMYx.2007-2021.zip</v>
      </c>
    </row>
    <row r="7714" spans="1:10" x14ac:dyDescent="0.25">
      <c r="A7714" t="s">
        <v>5706</v>
      </c>
      <c r="B7714" t="s">
        <v>5733</v>
      </c>
      <c r="C7714" t="s">
        <v>5734</v>
      </c>
      <c r="D7714">
        <v>338920</v>
      </c>
      <c r="E7714" t="s">
        <v>14</v>
      </c>
      <c r="F7714">
        <v>46.515999999999998</v>
      </c>
      <c r="G7714">
        <v>29.6553</v>
      </c>
      <c r="H7714">
        <v>2</v>
      </c>
      <c r="I7714">
        <v>153</v>
      </c>
      <c r="J7714" t="str">
        <f>HYPERLINK("https://climate.onebuilding.org/WMO_Region_6_Europe/MDA_Moldova/MDA_SV_Stefan.Voda.338920_TMYx.2009-2023.zip")</f>
        <v>https://climate.onebuilding.org/WMO_Region_6_Europe/MDA_Moldova/MDA_SV_Stefan.Voda.338920_TMYx.2009-2023.zip</v>
      </c>
    </row>
    <row r="7715" spans="1:10" x14ac:dyDescent="0.25">
      <c r="A7715" t="s">
        <v>5706</v>
      </c>
      <c r="B7715" t="s">
        <v>5733</v>
      </c>
      <c r="C7715" t="s">
        <v>5734</v>
      </c>
      <c r="D7715">
        <v>338920</v>
      </c>
      <c r="E7715" t="s">
        <v>14</v>
      </c>
      <c r="F7715">
        <v>46.515999999999998</v>
      </c>
      <c r="G7715">
        <v>29.6553</v>
      </c>
      <c r="H7715">
        <v>2</v>
      </c>
      <c r="I7715">
        <v>153</v>
      </c>
      <c r="J7715" t="str">
        <f>HYPERLINK("https://climate.onebuilding.org/WMO_Region_6_Europe/MDA_Moldova/MDA_SV_Stefan.Voda.338920_TMYx.zip")</f>
        <v>https://climate.onebuilding.org/WMO_Region_6_Europe/MDA_Moldova/MDA_SV_Stefan.Voda.338920_TMYx.zip</v>
      </c>
    </row>
    <row r="7716" spans="1:10" x14ac:dyDescent="0.25">
      <c r="A7716" t="s">
        <v>5706</v>
      </c>
      <c r="B7716" t="s">
        <v>5733</v>
      </c>
      <c r="C7716" t="s">
        <v>5735</v>
      </c>
      <c r="D7716">
        <v>338930</v>
      </c>
      <c r="E7716" t="s">
        <v>14</v>
      </c>
      <c r="F7716">
        <v>46.503</v>
      </c>
      <c r="G7716">
        <v>29.906400000000001</v>
      </c>
      <c r="H7716">
        <v>2</v>
      </c>
      <c r="I7716">
        <v>77</v>
      </c>
      <c r="J7716" t="str">
        <f>HYPERLINK("https://climate.onebuilding.org/WMO_Region_6_Europe/MDA_Moldova/MDA_SV_Olanesti.338930_TMYx.zip")</f>
        <v>https://climate.onebuilding.org/WMO_Region_6_Europe/MDA_Moldova/MDA_SV_Olanesti.338930_TMYx.zip</v>
      </c>
    </row>
    <row r="7717" spans="1:10" x14ac:dyDescent="0.25">
      <c r="A7717" t="s">
        <v>5736</v>
      </c>
      <c r="B7717" t="s">
        <v>5737</v>
      </c>
      <c r="C7717" t="s">
        <v>5738</v>
      </c>
      <c r="D7717">
        <v>134920</v>
      </c>
      <c r="E7717" t="s">
        <v>5739</v>
      </c>
      <c r="F7717">
        <v>41.0167</v>
      </c>
      <c r="G7717">
        <v>20.883099999999999</v>
      </c>
      <c r="H7717">
        <v>1</v>
      </c>
      <c r="I7717">
        <v>1750</v>
      </c>
      <c r="J7717" t="str">
        <f>HYPERLINK("https://climate.onebuilding.org/WMO_Region_6_Europe/MKD_North_Macedonia/SWR_Southwestern_Stat_Region/MKD_SWR_Popova.Sapka.Ski.Resort.134920_TMYx.2004-2018.zip")</f>
        <v>https://climate.onebuilding.org/WMO_Region_6_Europe/MKD_North_Macedonia/SWR_Southwestern_Stat_Region/MKD_SWR_Popova.Sapka.Ski.Resort.134920_TMYx.2004-2018.zip</v>
      </c>
    </row>
    <row r="7718" spans="1:10" x14ac:dyDescent="0.25">
      <c r="A7718" t="s">
        <v>5736</v>
      </c>
      <c r="B7718" t="s">
        <v>5737</v>
      </c>
      <c r="C7718" t="s">
        <v>5738</v>
      </c>
      <c r="D7718">
        <v>134920</v>
      </c>
      <c r="E7718" t="s">
        <v>14</v>
      </c>
      <c r="F7718">
        <v>41.0167</v>
      </c>
      <c r="G7718">
        <v>20.883099999999999</v>
      </c>
      <c r="H7718">
        <v>1</v>
      </c>
      <c r="I7718">
        <v>1750</v>
      </c>
      <c r="J7718" t="str">
        <f>HYPERLINK("https://climate.onebuilding.org/WMO_Region_6_Europe/MKD_North_Macedonia/SWR_Southwestern_Stat_Region/MKD_SWR_Popova.Sapka.Ski.Resort.134920_TMYx.2007-2021.zip")</f>
        <v>https://climate.onebuilding.org/WMO_Region_6_Europe/MKD_North_Macedonia/SWR_Southwestern_Stat_Region/MKD_SWR_Popova.Sapka.Ski.Resort.134920_TMYx.2007-2021.zip</v>
      </c>
    </row>
    <row r="7719" spans="1:10" x14ac:dyDescent="0.25">
      <c r="A7719" t="s">
        <v>5736</v>
      </c>
      <c r="B7719" t="s">
        <v>5737</v>
      </c>
      <c r="C7719" t="s">
        <v>5738</v>
      </c>
      <c r="D7719">
        <v>134920</v>
      </c>
      <c r="E7719" t="s">
        <v>14</v>
      </c>
      <c r="F7719">
        <v>41.0167</v>
      </c>
      <c r="G7719">
        <v>20.883099999999999</v>
      </c>
      <c r="H7719">
        <v>1</v>
      </c>
      <c r="I7719">
        <v>1750</v>
      </c>
      <c r="J7719" t="str">
        <f>HYPERLINK("https://climate.onebuilding.org/WMO_Region_6_Europe/MKD_North_Macedonia/SWR_Southwestern_Stat_Region/MKD_SWR_Popova.Sapka.Ski.Resort.134920_TMYx.2009-2023.zip")</f>
        <v>https://climate.onebuilding.org/WMO_Region_6_Europe/MKD_North_Macedonia/SWR_Southwestern_Stat_Region/MKD_SWR_Popova.Sapka.Ski.Resort.134920_TMYx.2009-2023.zip</v>
      </c>
    </row>
    <row r="7720" spans="1:10" x14ac:dyDescent="0.25">
      <c r="A7720" t="s">
        <v>5736</v>
      </c>
      <c r="B7720" t="s">
        <v>5737</v>
      </c>
      <c r="C7720" t="s">
        <v>5738</v>
      </c>
      <c r="D7720">
        <v>134920</v>
      </c>
      <c r="E7720" t="s">
        <v>14</v>
      </c>
      <c r="F7720">
        <v>41.0167</v>
      </c>
      <c r="G7720">
        <v>20.883099999999999</v>
      </c>
      <c r="H7720">
        <v>1</v>
      </c>
      <c r="I7720">
        <v>1750</v>
      </c>
      <c r="J7720" t="str">
        <f>HYPERLINK("https://climate.onebuilding.org/WMO_Region_6_Europe/MKD_North_Macedonia/SWR_Southwestern_Stat_Region/MKD_SWR_Popova.Sapka.Ski.Resort.134920_TMYx.zip")</f>
        <v>https://climate.onebuilding.org/WMO_Region_6_Europe/MKD_North_Macedonia/SWR_Southwestern_Stat_Region/MKD_SWR_Popova.Sapka.Ski.Resort.134920_TMYx.zip</v>
      </c>
    </row>
    <row r="7721" spans="1:10" x14ac:dyDescent="0.25">
      <c r="A7721" t="s">
        <v>5736</v>
      </c>
      <c r="B7721" t="s">
        <v>5740</v>
      </c>
      <c r="C7721" t="s">
        <v>5741</v>
      </c>
      <c r="D7721">
        <v>134930</v>
      </c>
      <c r="E7721" t="s">
        <v>5742</v>
      </c>
      <c r="F7721">
        <v>42.2</v>
      </c>
      <c r="G7721">
        <v>22.333300000000001</v>
      </c>
      <c r="H7721">
        <v>1</v>
      </c>
      <c r="I7721">
        <v>696</v>
      </c>
      <c r="J7721" t="str">
        <f>HYPERLINK("https://climate.onebuilding.org/WMO_Region_6_Europe/MKD_North_Macedonia/NER_Northeastern_Stat_Region/MKD_NER_Kriva.Palanka.134930_TMYx.2004-2018.zip")</f>
        <v>https://climate.onebuilding.org/WMO_Region_6_Europe/MKD_North_Macedonia/NER_Northeastern_Stat_Region/MKD_NER_Kriva.Palanka.134930_TMYx.2004-2018.zip</v>
      </c>
    </row>
    <row r="7722" spans="1:10" x14ac:dyDescent="0.25">
      <c r="A7722" t="s">
        <v>5736</v>
      </c>
      <c r="B7722" t="s">
        <v>5740</v>
      </c>
      <c r="C7722" t="s">
        <v>5741</v>
      </c>
      <c r="D7722">
        <v>134930</v>
      </c>
      <c r="E7722" t="s">
        <v>14</v>
      </c>
      <c r="F7722">
        <v>42.2</v>
      </c>
      <c r="G7722">
        <v>22.333300000000001</v>
      </c>
      <c r="H7722">
        <v>1</v>
      </c>
      <c r="I7722">
        <v>696</v>
      </c>
      <c r="J7722" t="str">
        <f>HYPERLINK("https://climate.onebuilding.org/WMO_Region_6_Europe/MKD_North_Macedonia/NER_Northeastern_Stat_Region/MKD_NER_Kriva.Palanka.134930_TMYx.2007-2021.zip")</f>
        <v>https://climate.onebuilding.org/WMO_Region_6_Europe/MKD_North_Macedonia/NER_Northeastern_Stat_Region/MKD_NER_Kriva.Palanka.134930_TMYx.2007-2021.zip</v>
      </c>
    </row>
    <row r="7723" spans="1:10" x14ac:dyDescent="0.25">
      <c r="A7723" t="s">
        <v>5736</v>
      </c>
      <c r="B7723" t="s">
        <v>5740</v>
      </c>
      <c r="C7723" t="s">
        <v>5741</v>
      </c>
      <c r="D7723">
        <v>134930</v>
      </c>
      <c r="E7723" t="s">
        <v>14</v>
      </c>
      <c r="F7723">
        <v>42.2</v>
      </c>
      <c r="G7723">
        <v>22.333300000000001</v>
      </c>
      <c r="H7723">
        <v>1</v>
      </c>
      <c r="I7723">
        <v>696</v>
      </c>
      <c r="J7723" t="str">
        <f>HYPERLINK("https://climate.onebuilding.org/WMO_Region_6_Europe/MKD_North_Macedonia/NER_Northeastern_Stat_Region/MKD_NER_Kriva.Palanka.134930_TMYx.2009-2023.zip")</f>
        <v>https://climate.onebuilding.org/WMO_Region_6_Europe/MKD_North_Macedonia/NER_Northeastern_Stat_Region/MKD_NER_Kriva.Palanka.134930_TMYx.2009-2023.zip</v>
      </c>
    </row>
    <row r="7724" spans="1:10" x14ac:dyDescent="0.25">
      <c r="A7724" t="s">
        <v>5736</v>
      </c>
      <c r="B7724" t="s">
        <v>5740</v>
      </c>
      <c r="C7724" t="s">
        <v>5741</v>
      </c>
      <c r="D7724">
        <v>134930</v>
      </c>
      <c r="E7724" t="s">
        <v>14</v>
      </c>
      <c r="F7724">
        <v>42.2</v>
      </c>
      <c r="G7724">
        <v>22.333300000000001</v>
      </c>
      <c r="H7724">
        <v>1</v>
      </c>
      <c r="I7724">
        <v>696</v>
      </c>
      <c r="J7724" t="str">
        <f>HYPERLINK("https://climate.onebuilding.org/WMO_Region_6_Europe/MKD_North_Macedonia/NER_Northeastern_Stat_Region/MKD_NER_Kriva.Palanka.134930_TMYx.zip")</f>
        <v>https://climate.onebuilding.org/WMO_Region_6_Europe/MKD_North_Macedonia/NER_Northeastern_Stat_Region/MKD_NER_Kriva.Palanka.134930_TMYx.zip</v>
      </c>
    </row>
    <row r="7725" spans="1:10" x14ac:dyDescent="0.25">
      <c r="A7725" t="s">
        <v>5736</v>
      </c>
      <c r="B7725" t="s">
        <v>5743</v>
      </c>
      <c r="C7725" t="s">
        <v>5744</v>
      </c>
      <c r="D7725">
        <v>135710</v>
      </c>
      <c r="E7725" t="s">
        <v>14</v>
      </c>
      <c r="F7725">
        <v>42</v>
      </c>
      <c r="G7725">
        <v>20.966699999999999</v>
      </c>
      <c r="H7725">
        <v>1</v>
      </c>
      <c r="I7725">
        <v>462</v>
      </c>
      <c r="J7725" t="str">
        <f>HYPERLINK("https://climate.onebuilding.org/WMO_Region_6_Europe/MKD_North_Macedonia/PGR_Polog_Stat_Region/MKD_PGR_Tetovo.135710_TMYx.2007-2021.zip")</f>
        <v>https://climate.onebuilding.org/WMO_Region_6_Europe/MKD_North_Macedonia/PGR_Polog_Stat_Region/MKD_PGR_Tetovo.135710_TMYx.2007-2021.zip</v>
      </c>
    </row>
    <row r="7726" spans="1:10" x14ac:dyDescent="0.25">
      <c r="A7726" t="s">
        <v>5736</v>
      </c>
      <c r="B7726" t="s">
        <v>5743</v>
      </c>
      <c r="C7726" t="s">
        <v>5744</v>
      </c>
      <c r="D7726">
        <v>135710</v>
      </c>
      <c r="E7726" t="s">
        <v>14</v>
      </c>
      <c r="F7726">
        <v>42</v>
      </c>
      <c r="G7726">
        <v>20.966699999999999</v>
      </c>
      <c r="H7726">
        <v>1</v>
      </c>
      <c r="I7726">
        <v>462</v>
      </c>
      <c r="J7726" t="str">
        <f>HYPERLINK("https://climate.onebuilding.org/WMO_Region_6_Europe/MKD_North_Macedonia/PGR_Polog_Stat_Region/MKD_PGR_Tetovo.135710_TMYx.2009-2023.zip")</f>
        <v>https://climate.onebuilding.org/WMO_Region_6_Europe/MKD_North_Macedonia/PGR_Polog_Stat_Region/MKD_PGR_Tetovo.135710_TMYx.2009-2023.zip</v>
      </c>
    </row>
    <row r="7727" spans="1:10" x14ac:dyDescent="0.25">
      <c r="A7727" t="s">
        <v>5736</v>
      </c>
      <c r="B7727" t="s">
        <v>5743</v>
      </c>
      <c r="C7727" t="s">
        <v>5744</v>
      </c>
      <c r="D7727">
        <v>135710</v>
      </c>
      <c r="E7727" t="s">
        <v>14</v>
      </c>
      <c r="F7727">
        <v>42</v>
      </c>
      <c r="G7727">
        <v>20.966699999999999</v>
      </c>
      <c r="H7727">
        <v>1</v>
      </c>
      <c r="I7727">
        <v>462</v>
      </c>
      <c r="J7727" t="str">
        <f>HYPERLINK("https://climate.onebuilding.org/WMO_Region_6_Europe/MKD_North_Macedonia/PGR_Polog_Stat_Region/MKD_PGR_Tetovo.135710_TMYx.zip")</f>
        <v>https://climate.onebuilding.org/WMO_Region_6_Europe/MKD_North_Macedonia/PGR_Polog_Stat_Region/MKD_PGR_Tetovo.135710_TMYx.zip</v>
      </c>
    </row>
    <row r="7728" spans="1:10" x14ac:dyDescent="0.25">
      <c r="A7728" t="s">
        <v>5736</v>
      </c>
      <c r="B7728" t="s">
        <v>5743</v>
      </c>
      <c r="C7728" t="s">
        <v>5745</v>
      </c>
      <c r="D7728">
        <v>135750</v>
      </c>
      <c r="E7728" t="s">
        <v>14</v>
      </c>
      <c r="F7728">
        <v>41.85</v>
      </c>
      <c r="G7728">
        <v>20.866700000000002</v>
      </c>
      <c r="H7728">
        <v>1</v>
      </c>
      <c r="I7728">
        <v>885</v>
      </c>
      <c r="J7728" t="str">
        <f>HYPERLINK("https://climate.onebuilding.org/WMO_Region_6_Europe/MKD_North_Macedonia/PGR_Polog_Stat_Region/MKD_PGR_Pozharane-PGC.135750_TMYx.2007-2021.zip")</f>
        <v>https://climate.onebuilding.org/WMO_Region_6_Europe/MKD_North_Macedonia/PGR_Polog_Stat_Region/MKD_PGR_Pozharane-PGC.135750_TMYx.2007-2021.zip</v>
      </c>
    </row>
    <row r="7729" spans="1:10" x14ac:dyDescent="0.25">
      <c r="A7729" t="s">
        <v>5736</v>
      </c>
      <c r="B7729" t="s">
        <v>5743</v>
      </c>
      <c r="C7729" t="s">
        <v>5745</v>
      </c>
      <c r="D7729">
        <v>135750</v>
      </c>
      <c r="E7729" t="s">
        <v>14</v>
      </c>
      <c r="F7729">
        <v>41.85</v>
      </c>
      <c r="G7729">
        <v>20.866700000000002</v>
      </c>
      <c r="H7729">
        <v>1</v>
      </c>
      <c r="I7729">
        <v>885</v>
      </c>
      <c r="J7729" t="str">
        <f>HYPERLINK("https://climate.onebuilding.org/WMO_Region_6_Europe/MKD_North_Macedonia/PGR_Polog_Stat_Region/MKD_PGR_Pozharane-PGC.135750_TMYx.2009-2023.zip")</f>
        <v>https://climate.onebuilding.org/WMO_Region_6_Europe/MKD_North_Macedonia/PGR_Polog_Stat_Region/MKD_PGR_Pozharane-PGC.135750_TMYx.2009-2023.zip</v>
      </c>
    </row>
    <row r="7730" spans="1:10" x14ac:dyDescent="0.25">
      <c r="A7730" t="s">
        <v>5736</v>
      </c>
      <c r="B7730" t="s">
        <v>5743</v>
      </c>
      <c r="C7730" t="s">
        <v>5745</v>
      </c>
      <c r="D7730">
        <v>135750</v>
      </c>
      <c r="E7730" t="s">
        <v>14</v>
      </c>
      <c r="F7730">
        <v>41.85</v>
      </c>
      <c r="G7730">
        <v>20.866700000000002</v>
      </c>
      <c r="H7730">
        <v>1</v>
      </c>
      <c r="I7730">
        <v>885</v>
      </c>
      <c r="J7730" t="str">
        <f>HYPERLINK("https://climate.onebuilding.org/WMO_Region_6_Europe/MKD_North_Macedonia/PGR_Polog_Stat_Region/MKD_PGR_Pozharane-PGC.135750_TMYx.zip")</f>
        <v>https://climate.onebuilding.org/WMO_Region_6_Europe/MKD_North_Macedonia/PGR_Polog_Stat_Region/MKD_PGR_Pozharane-PGC.135750_TMYx.zip</v>
      </c>
    </row>
    <row r="7731" spans="1:10" x14ac:dyDescent="0.25">
      <c r="A7731" t="s">
        <v>5736</v>
      </c>
      <c r="B7731" t="s">
        <v>5743</v>
      </c>
      <c r="C7731" t="s">
        <v>5746</v>
      </c>
      <c r="D7731">
        <v>135760</v>
      </c>
      <c r="E7731" t="s">
        <v>14</v>
      </c>
      <c r="F7731">
        <v>41.7</v>
      </c>
      <c r="G7731">
        <v>20.75</v>
      </c>
      <c r="H7731">
        <v>1</v>
      </c>
      <c r="I7731">
        <v>1240</v>
      </c>
      <c r="J7731" t="str">
        <f>HYPERLINK("https://climate.onebuilding.org/WMO_Region_6_Europe/MKD_North_Macedonia/PGR_Polog_Stat_Region/MKD_PGR_Mavrovo.135760_TMYx.2007-2021.zip")</f>
        <v>https://climate.onebuilding.org/WMO_Region_6_Europe/MKD_North_Macedonia/PGR_Polog_Stat_Region/MKD_PGR_Mavrovo.135760_TMYx.2007-2021.zip</v>
      </c>
    </row>
    <row r="7732" spans="1:10" x14ac:dyDescent="0.25">
      <c r="A7732" t="s">
        <v>5736</v>
      </c>
      <c r="B7732" t="s">
        <v>5743</v>
      </c>
      <c r="C7732" t="s">
        <v>5746</v>
      </c>
      <c r="D7732">
        <v>135760</v>
      </c>
      <c r="E7732" t="s">
        <v>14</v>
      </c>
      <c r="F7732">
        <v>41.7</v>
      </c>
      <c r="G7732">
        <v>20.75</v>
      </c>
      <c r="H7732">
        <v>1</v>
      </c>
      <c r="I7732">
        <v>1240</v>
      </c>
      <c r="J7732" t="str">
        <f>HYPERLINK("https://climate.onebuilding.org/WMO_Region_6_Europe/MKD_North_Macedonia/PGR_Polog_Stat_Region/MKD_PGR_Mavrovo.135760_TMYx.2009-2023.zip")</f>
        <v>https://climate.onebuilding.org/WMO_Region_6_Europe/MKD_North_Macedonia/PGR_Polog_Stat_Region/MKD_PGR_Mavrovo.135760_TMYx.2009-2023.zip</v>
      </c>
    </row>
    <row r="7733" spans="1:10" x14ac:dyDescent="0.25">
      <c r="A7733" t="s">
        <v>5736</v>
      </c>
      <c r="B7733" t="s">
        <v>5743</v>
      </c>
      <c r="C7733" t="s">
        <v>5746</v>
      </c>
      <c r="D7733">
        <v>135760</v>
      </c>
      <c r="E7733" t="s">
        <v>14</v>
      </c>
      <c r="F7733">
        <v>41.7</v>
      </c>
      <c r="G7733">
        <v>20.75</v>
      </c>
      <c r="H7733">
        <v>1</v>
      </c>
      <c r="I7733">
        <v>1240</v>
      </c>
      <c r="J7733" t="str">
        <f>HYPERLINK("https://climate.onebuilding.org/WMO_Region_6_Europe/MKD_North_Macedonia/PGR_Polog_Stat_Region/MKD_PGR_Mavrovo.135760_TMYx.zip")</f>
        <v>https://climate.onebuilding.org/WMO_Region_6_Europe/MKD_North_Macedonia/PGR_Polog_Stat_Region/MKD_PGR_Mavrovo.135760_TMYx.zip</v>
      </c>
    </row>
    <row r="7734" spans="1:10" x14ac:dyDescent="0.25">
      <c r="A7734" t="s">
        <v>5736</v>
      </c>
      <c r="B7734" t="s">
        <v>5743</v>
      </c>
      <c r="C7734" t="s">
        <v>5747</v>
      </c>
      <c r="D7734">
        <v>135770</v>
      </c>
      <c r="E7734" t="s">
        <v>5748</v>
      </c>
      <c r="F7734">
        <v>41.534399999999998</v>
      </c>
      <c r="G7734">
        <v>20.702000000000002</v>
      </c>
      <c r="H7734">
        <v>1</v>
      </c>
      <c r="I7734">
        <v>1321</v>
      </c>
      <c r="J7734" t="str">
        <f>HYPERLINK("https://climate.onebuilding.org/WMO_Region_6_Europe/MKD_North_Macedonia/PGR_Polog_Stat_Region/MKD_PGR_Lazaropole.135770_TMYx.2004-2018.zip")</f>
        <v>https://climate.onebuilding.org/WMO_Region_6_Europe/MKD_North_Macedonia/PGR_Polog_Stat_Region/MKD_PGR_Lazaropole.135770_TMYx.2004-2018.zip</v>
      </c>
    </row>
    <row r="7735" spans="1:10" x14ac:dyDescent="0.25">
      <c r="A7735" t="s">
        <v>5736</v>
      </c>
      <c r="B7735" t="s">
        <v>5743</v>
      </c>
      <c r="C7735" t="s">
        <v>5747</v>
      </c>
      <c r="D7735">
        <v>135770</v>
      </c>
      <c r="E7735" t="s">
        <v>14</v>
      </c>
      <c r="F7735">
        <v>41.534399999999998</v>
      </c>
      <c r="G7735">
        <v>20.702000000000002</v>
      </c>
      <c r="H7735">
        <v>1</v>
      </c>
      <c r="I7735">
        <v>1321</v>
      </c>
      <c r="J7735" t="str">
        <f>HYPERLINK("https://climate.onebuilding.org/WMO_Region_6_Europe/MKD_North_Macedonia/PGR_Polog_Stat_Region/MKD_PGR_Lazaropole.135770_TMYx.2007-2021.zip")</f>
        <v>https://climate.onebuilding.org/WMO_Region_6_Europe/MKD_North_Macedonia/PGR_Polog_Stat_Region/MKD_PGR_Lazaropole.135770_TMYx.2007-2021.zip</v>
      </c>
    </row>
    <row r="7736" spans="1:10" x14ac:dyDescent="0.25">
      <c r="A7736" t="s">
        <v>5736</v>
      </c>
      <c r="B7736" t="s">
        <v>5743</v>
      </c>
      <c r="C7736" t="s">
        <v>5747</v>
      </c>
      <c r="D7736">
        <v>135770</v>
      </c>
      <c r="E7736" t="s">
        <v>14</v>
      </c>
      <c r="F7736">
        <v>41.534399999999998</v>
      </c>
      <c r="G7736">
        <v>20.702000000000002</v>
      </c>
      <c r="H7736">
        <v>1</v>
      </c>
      <c r="I7736">
        <v>1321</v>
      </c>
      <c r="J7736" t="str">
        <f>HYPERLINK("https://climate.onebuilding.org/WMO_Region_6_Europe/MKD_North_Macedonia/PGR_Polog_Stat_Region/MKD_PGR_Lazaropole.135770_TMYx.2009-2023.zip")</f>
        <v>https://climate.onebuilding.org/WMO_Region_6_Europe/MKD_North_Macedonia/PGR_Polog_Stat_Region/MKD_PGR_Lazaropole.135770_TMYx.2009-2023.zip</v>
      </c>
    </row>
    <row r="7737" spans="1:10" x14ac:dyDescent="0.25">
      <c r="A7737" t="s">
        <v>5736</v>
      </c>
      <c r="B7737" t="s">
        <v>5743</v>
      </c>
      <c r="C7737" t="s">
        <v>5747</v>
      </c>
      <c r="D7737">
        <v>135770</v>
      </c>
      <c r="E7737" t="s">
        <v>14</v>
      </c>
      <c r="F7737">
        <v>41.534399999999998</v>
      </c>
      <c r="G7737">
        <v>20.702000000000002</v>
      </c>
      <c r="H7737">
        <v>1</v>
      </c>
      <c r="I7737">
        <v>1321</v>
      </c>
      <c r="J7737" t="str">
        <f>HYPERLINK("https://climate.onebuilding.org/WMO_Region_6_Europe/MKD_North_Macedonia/PGR_Polog_Stat_Region/MKD_PGR_Lazaropole.135770_TMYx.zip")</f>
        <v>https://climate.onebuilding.org/WMO_Region_6_Europe/MKD_North_Macedonia/PGR_Polog_Stat_Region/MKD_PGR_Lazaropole.135770_TMYx.zip</v>
      </c>
    </row>
    <row r="7738" spans="1:10" x14ac:dyDescent="0.25">
      <c r="A7738" t="s">
        <v>5736</v>
      </c>
      <c r="B7738" t="s">
        <v>5737</v>
      </c>
      <c r="C7738" t="s">
        <v>5749</v>
      </c>
      <c r="D7738">
        <v>135780</v>
      </c>
      <c r="E7738" t="s">
        <v>5750</v>
      </c>
      <c r="F7738">
        <v>41.18</v>
      </c>
      <c r="G7738">
        <v>20.742000000000001</v>
      </c>
      <c r="H7738">
        <v>1</v>
      </c>
      <c r="I7738">
        <v>705</v>
      </c>
      <c r="J7738" t="str">
        <f>HYPERLINK("https://climate.onebuilding.org/WMO_Region_6_Europe/MKD_North_Macedonia/SWR_Southwestern_Stat_Region/MKD_SWR_Ohrid.Intl.AP.135780_TMYx.2004-2018.zip")</f>
        <v>https://climate.onebuilding.org/WMO_Region_6_Europe/MKD_North_Macedonia/SWR_Southwestern_Stat_Region/MKD_SWR_Ohrid.Intl.AP.135780_TMYx.2004-2018.zip</v>
      </c>
    </row>
    <row r="7739" spans="1:10" x14ac:dyDescent="0.25">
      <c r="A7739" t="s">
        <v>5736</v>
      </c>
      <c r="B7739" t="s">
        <v>5737</v>
      </c>
      <c r="C7739" t="s">
        <v>5749</v>
      </c>
      <c r="D7739">
        <v>135780</v>
      </c>
      <c r="E7739" t="s">
        <v>14</v>
      </c>
      <c r="F7739">
        <v>41.18</v>
      </c>
      <c r="G7739">
        <v>20.742000000000001</v>
      </c>
      <c r="H7739">
        <v>1</v>
      </c>
      <c r="I7739">
        <v>705</v>
      </c>
      <c r="J7739" t="str">
        <f>HYPERLINK("https://climate.onebuilding.org/WMO_Region_6_Europe/MKD_North_Macedonia/SWR_Southwestern_Stat_Region/MKD_SWR_Ohrid.Intl.AP.135780_TMYx.2007-2021.zip")</f>
        <v>https://climate.onebuilding.org/WMO_Region_6_Europe/MKD_North_Macedonia/SWR_Southwestern_Stat_Region/MKD_SWR_Ohrid.Intl.AP.135780_TMYx.2007-2021.zip</v>
      </c>
    </row>
    <row r="7740" spans="1:10" x14ac:dyDescent="0.25">
      <c r="A7740" t="s">
        <v>5736</v>
      </c>
      <c r="B7740" t="s">
        <v>5737</v>
      </c>
      <c r="C7740" t="s">
        <v>5749</v>
      </c>
      <c r="D7740">
        <v>135780</v>
      </c>
      <c r="E7740" t="s">
        <v>14</v>
      </c>
      <c r="F7740">
        <v>41.18</v>
      </c>
      <c r="G7740">
        <v>20.742000000000001</v>
      </c>
      <c r="H7740">
        <v>1</v>
      </c>
      <c r="I7740">
        <v>705</v>
      </c>
      <c r="J7740" t="str">
        <f>HYPERLINK("https://climate.onebuilding.org/WMO_Region_6_Europe/MKD_North_Macedonia/SWR_Southwestern_Stat_Region/MKD_SWR_Ohrid.Intl.AP.135780_TMYx.2009-2023.zip")</f>
        <v>https://climate.onebuilding.org/WMO_Region_6_Europe/MKD_North_Macedonia/SWR_Southwestern_Stat_Region/MKD_SWR_Ohrid.Intl.AP.135780_TMYx.2009-2023.zip</v>
      </c>
    </row>
    <row r="7741" spans="1:10" x14ac:dyDescent="0.25">
      <c r="A7741" t="s">
        <v>5736</v>
      </c>
      <c r="B7741" t="s">
        <v>5737</v>
      </c>
      <c r="C7741" t="s">
        <v>5749</v>
      </c>
      <c r="D7741">
        <v>135780</v>
      </c>
      <c r="E7741" t="s">
        <v>14</v>
      </c>
      <c r="F7741">
        <v>41.18</v>
      </c>
      <c r="G7741">
        <v>20.742000000000001</v>
      </c>
      <c r="H7741">
        <v>1</v>
      </c>
      <c r="I7741">
        <v>705</v>
      </c>
      <c r="J7741" t="str">
        <f>HYPERLINK("https://climate.onebuilding.org/WMO_Region_6_Europe/MKD_North_Macedonia/SWR_Southwestern_Stat_Region/MKD_SWR_Ohrid.Intl.AP.135780_TMYx.zip")</f>
        <v>https://climate.onebuilding.org/WMO_Region_6_Europe/MKD_North_Macedonia/SWR_Southwestern_Stat_Region/MKD_SWR_Ohrid.Intl.AP.135780_TMYx.zip</v>
      </c>
    </row>
    <row r="7742" spans="1:10" x14ac:dyDescent="0.25">
      <c r="A7742" t="s">
        <v>5736</v>
      </c>
      <c r="B7742" t="s">
        <v>5737</v>
      </c>
      <c r="C7742" t="s">
        <v>5751</v>
      </c>
      <c r="D7742">
        <v>135790</v>
      </c>
      <c r="E7742" t="s">
        <v>5752</v>
      </c>
      <c r="F7742">
        <v>41.109400000000001</v>
      </c>
      <c r="G7742">
        <v>20.816500000000001</v>
      </c>
      <c r="H7742">
        <v>1</v>
      </c>
      <c r="I7742">
        <v>703</v>
      </c>
      <c r="J7742" t="str">
        <f>HYPERLINK("https://climate.onebuilding.org/WMO_Region_6_Europe/MKD_North_Macedonia/SWR_Southwestern_Stat_Region/MKD_SWR_Ohrid.135790_TMYx.2004-2018.zip")</f>
        <v>https://climate.onebuilding.org/WMO_Region_6_Europe/MKD_North_Macedonia/SWR_Southwestern_Stat_Region/MKD_SWR_Ohrid.135790_TMYx.2004-2018.zip</v>
      </c>
    </row>
    <row r="7743" spans="1:10" x14ac:dyDescent="0.25">
      <c r="A7743" t="s">
        <v>5736</v>
      </c>
      <c r="B7743" t="s">
        <v>5737</v>
      </c>
      <c r="C7743" t="s">
        <v>5751</v>
      </c>
      <c r="D7743">
        <v>135790</v>
      </c>
      <c r="E7743" t="s">
        <v>14</v>
      </c>
      <c r="F7743">
        <v>41.1</v>
      </c>
      <c r="G7743">
        <v>20.817</v>
      </c>
      <c r="H7743">
        <v>1</v>
      </c>
      <c r="I7743">
        <v>703</v>
      </c>
      <c r="J7743" t="str">
        <f>HYPERLINK("https://climate.onebuilding.org/WMO_Region_6_Europe/MKD_North_Macedonia/SWR_Southwestern_Stat_Region/MKD_SWR_Ohrid.135790_TMYx.2007-2021.zip")</f>
        <v>https://climate.onebuilding.org/WMO_Region_6_Europe/MKD_North_Macedonia/SWR_Southwestern_Stat_Region/MKD_SWR_Ohrid.135790_TMYx.2007-2021.zip</v>
      </c>
    </row>
    <row r="7744" spans="1:10" x14ac:dyDescent="0.25">
      <c r="A7744" t="s">
        <v>5736</v>
      </c>
      <c r="B7744" t="s">
        <v>5737</v>
      </c>
      <c r="C7744" t="s">
        <v>5751</v>
      </c>
      <c r="D7744">
        <v>135790</v>
      </c>
      <c r="E7744" t="s">
        <v>14</v>
      </c>
      <c r="F7744">
        <v>41.1</v>
      </c>
      <c r="G7744">
        <v>20.817</v>
      </c>
      <c r="H7744">
        <v>1</v>
      </c>
      <c r="I7744">
        <v>703</v>
      </c>
      <c r="J7744" t="str">
        <f>HYPERLINK("https://climate.onebuilding.org/WMO_Region_6_Europe/MKD_North_Macedonia/SWR_Southwestern_Stat_Region/MKD_SWR_Ohrid.135790_TMYx.2009-2023.zip")</f>
        <v>https://climate.onebuilding.org/WMO_Region_6_Europe/MKD_North_Macedonia/SWR_Southwestern_Stat_Region/MKD_SWR_Ohrid.135790_TMYx.2009-2023.zip</v>
      </c>
    </row>
    <row r="7745" spans="1:10" x14ac:dyDescent="0.25">
      <c r="A7745" t="s">
        <v>5736</v>
      </c>
      <c r="B7745" t="s">
        <v>5737</v>
      </c>
      <c r="C7745" t="s">
        <v>5751</v>
      </c>
      <c r="D7745">
        <v>135790</v>
      </c>
      <c r="E7745" t="s">
        <v>14</v>
      </c>
      <c r="F7745">
        <v>41.1</v>
      </c>
      <c r="G7745">
        <v>20.817</v>
      </c>
      <c r="H7745">
        <v>1</v>
      </c>
      <c r="I7745">
        <v>703</v>
      </c>
      <c r="J7745" t="str">
        <f>HYPERLINK("https://climate.onebuilding.org/WMO_Region_6_Europe/MKD_North_Macedonia/SWR_Southwestern_Stat_Region/MKD_SWR_Ohrid.135790_TMYx.zip")</f>
        <v>https://climate.onebuilding.org/WMO_Region_6_Europe/MKD_North_Macedonia/SWR_Southwestern_Stat_Region/MKD_SWR_Ohrid.135790_TMYx.zip</v>
      </c>
    </row>
    <row r="7746" spans="1:10" x14ac:dyDescent="0.25">
      <c r="A7746" t="s">
        <v>5736</v>
      </c>
      <c r="B7746" t="s">
        <v>5753</v>
      </c>
      <c r="C7746" t="s">
        <v>5754</v>
      </c>
      <c r="D7746">
        <v>135800</v>
      </c>
      <c r="E7746" t="s">
        <v>14</v>
      </c>
      <c r="F7746">
        <v>40.982999999999997</v>
      </c>
      <c r="G7746">
        <v>21.067</v>
      </c>
      <c r="H7746">
        <v>1</v>
      </c>
      <c r="I7746">
        <v>910</v>
      </c>
      <c r="J7746" t="str">
        <f>HYPERLINK("https://climate.onebuilding.org/WMO_Region_6_Europe/MKD_North_Macedonia/PLR_Pelagonia_Stat_Region/MKD_PLR_Pretor-PGC.135800_TMYx.2007-2021.zip")</f>
        <v>https://climate.onebuilding.org/WMO_Region_6_Europe/MKD_North_Macedonia/PLR_Pelagonia_Stat_Region/MKD_PLR_Pretor-PGC.135800_TMYx.2007-2021.zip</v>
      </c>
    </row>
    <row r="7747" spans="1:10" x14ac:dyDescent="0.25">
      <c r="A7747" t="s">
        <v>5736</v>
      </c>
      <c r="B7747" t="s">
        <v>5753</v>
      </c>
      <c r="C7747" t="s">
        <v>5754</v>
      </c>
      <c r="D7747">
        <v>135800</v>
      </c>
      <c r="E7747" t="s">
        <v>14</v>
      </c>
      <c r="F7747">
        <v>40.982999999999997</v>
      </c>
      <c r="G7747">
        <v>21.067</v>
      </c>
      <c r="H7747">
        <v>1</v>
      </c>
      <c r="I7747">
        <v>910</v>
      </c>
      <c r="J7747" t="str">
        <f>HYPERLINK("https://climate.onebuilding.org/WMO_Region_6_Europe/MKD_North_Macedonia/PLR_Pelagonia_Stat_Region/MKD_PLR_Pretor-PGC.135800_TMYx.2009-2023.zip")</f>
        <v>https://climate.onebuilding.org/WMO_Region_6_Europe/MKD_North_Macedonia/PLR_Pelagonia_Stat_Region/MKD_PLR_Pretor-PGC.135800_TMYx.2009-2023.zip</v>
      </c>
    </row>
    <row r="7748" spans="1:10" x14ac:dyDescent="0.25">
      <c r="A7748" t="s">
        <v>5736</v>
      </c>
      <c r="B7748" t="s">
        <v>5753</v>
      </c>
      <c r="C7748" t="s">
        <v>5754</v>
      </c>
      <c r="D7748">
        <v>135800</v>
      </c>
      <c r="E7748" t="s">
        <v>14</v>
      </c>
      <c r="F7748">
        <v>40.982999999999997</v>
      </c>
      <c r="G7748">
        <v>21.067</v>
      </c>
      <c r="H7748">
        <v>1</v>
      </c>
      <c r="I7748">
        <v>910</v>
      </c>
      <c r="J7748" t="str">
        <f>HYPERLINK("https://climate.onebuilding.org/WMO_Region_6_Europe/MKD_North_Macedonia/PLR_Pelagonia_Stat_Region/MKD_PLR_Pretor-PGC.135800_TMYx.zip")</f>
        <v>https://climate.onebuilding.org/WMO_Region_6_Europe/MKD_North_Macedonia/PLR_Pelagonia_Stat_Region/MKD_PLR_Pretor-PGC.135800_TMYx.zip</v>
      </c>
    </row>
    <row r="7749" spans="1:10" x14ac:dyDescent="0.25">
      <c r="A7749" t="s">
        <v>5736</v>
      </c>
      <c r="B7749" t="s">
        <v>5753</v>
      </c>
      <c r="C7749" t="s">
        <v>5755</v>
      </c>
      <c r="D7749">
        <v>135810</v>
      </c>
      <c r="E7749" t="s">
        <v>14</v>
      </c>
      <c r="F7749">
        <v>41.216700000000003</v>
      </c>
      <c r="G7749">
        <v>21.466699999999999</v>
      </c>
      <c r="H7749">
        <v>1</v>
      </c>
      <c r="I7749">
        <v>593</v>
      </c>
      <c r="J7749" t="str">
        <f>HYPERLINK("https://climate.onebuilding.org/WMO_Region_6_Europe/MKD_North_Macedonia/PLR_Pelagonia_Stat_Region/MKD_PLR_Topolcani-PGC.135810_TMYx.2007-2021.zip")</f>
        <v>https://climate.onebuilding.org/WMO_Region_6_Europe/MKD_North_Macedonia/PLR_Pelagonia_Stat_Region/MKD_PLR_Topolcani-PGC.135810_TMYx.2007-2021.zip</v>
      </c>
    </row>
    <row r="7750" spans="1:10" x14ac:dyDescent="0.25">
      <c r="A7750" t="s">
        <v>5736</v>
      </c>
      <c r="B7750" t="s">
        <v>5753</v>
      </c>
      <c r="C7750" t="s">
        <v>5755</v>
      </c>
      <c r="D7750">
        <v>135810</v>
      </c>
      <c r="E7750" t="s">
        <v>14</v>
      </c>
      <c r="F7750">
        <v>41.216700000000003</v>
      </c>
      <c r="G7750">
        <v>21.466699999999999</v>
      </c>
      <c r="H7750">
        <v>1</v>
      </c>
      <c r="I7750">
        <v>593</v>
      </c>
      <c r="J7750" t="str">
        <f>HYPERLINK("https://climate.onebuilding.org/WMO_Region_6_Europe/MKD_North_Macedonia/PLR_Pelagonia_Stat_Region/MKD_PLR_Topolcani-PGC.135810_TMYx.2009-2023.zip")</f>
        <v>https://climate.onebuilding.org/WMO_Region_6_Europe/MKD_North_Macedonia/PLR_Pelagonia_Stat_Region/MKD_PLR_Topolcani-PGC.135810_TMYx.2009-2023.zip</v>
      </c>
    </row>
    <row r="7751" spans="1:10" x14ac:dyDescent="0.25">
      <c r="A7751" t="s">
        <v>5736</v>
      </c>
      <c r="B7751" t="s">
        <v>5753</v>
      </c>
      <c r="C7751" t="s">
        <v>5755</v>
      </c>
      <c r="D7751">
        <v>135810</v>
      </c>
      <c r="E7751" t="s">
        <v>14</v>
      </c>
      <c r="F7751">
        <v>41.216700000000003</v>
      </c>
      <c r="G7751">
        <v>21.466699999999999</v>
      </c>
      <c r="H7751">
        <v>1</v>
      </c>
      <c r="I7751">
        <v>593</v>
      </c>
      <c r="J7751" t="str">
        <f>HYPERLINK("https://climate.onebuilding.org/WMO_Region_6_Europe/MKD_North_Macedonia/PLR_Pelagonia_Stat_Region/MKD_PLR_Topolcani-PGC.135810_TMYx.zip")</f>
        <v>https://climate.onebuilding.org/WMO_Region_6_Europe/MKD_North_Macedonia/PLR_Pelagonia_Stat_Region/MKD_PLR_Topolcani-PGC.135810_TMYx.zip</v>
      </c>
    </row>
    <row r="7752" spans="1:10" x14ac:dyDescent="0.25">
      <c r="A7752" t="s">
        <v>5736</v>
      </c>
      <c r="B7752" t="s">
        <v>5753</v>
      </c>
      <c r="C7752" t="s">
        <v>5756</v>
      </c>
      <c r="D7752">
        <v>135820</v>
      </c>
      <c r="E7752" t="s">
        <v>14</v>
      </c>
      <c r="F7752">
        <v>41.366700000000002</v>
      </c>
      <c r="G7752">
        <v>21.25</v>
      </c>
      <c r="H7752">
        <v>1</v>
      </c>
      <c r="I7752">
        <v>1230</v>
      </c>
      <c r="J7752" t="str">
        <f>HYPERLINK("https://climate.onebuilding.org/WMO_Region_6_Europe/MKD_North_Macedonia/PLR_Pelagonia_Stat_Region/MKD_PLR_Krushevo.135820_TMYx.zip")</f>
        <v>https://climate.onebuilding.org/WMO_Region_6_Europe/MKD_North_Macedonia/PLR_Pelagonia_Stat_Region/MKD_PLR_Krushevo.135820_TMYx.zip</v>
      </c>
    </row>
    <row r="7753" spans="1:10" x14ac:dyDescent="0.25">
      <c r="A7753" t="s">
        <v>5736</v>
      </c>
      <c r="B7753" t="s">
        <v>5753</v>
      </c>
      <c r="C7753" t="s">
        <v>5757</v>
      </c>
      <c r="D7753">
        <v>135830</v>
      </c>
      <c r="E7753" t="s">
        <v>5758</v>
      </c>
      <c r="F7753">
        <v>41.05</v>
      </c>
      <c r="G7753">
        <v>21.366700000000002</v>
      </c>
      <c r="H7753">
        <v>1</v>
      </c>
      <c r="I7753">
        <v>589</v>
      </c>
      <c r="J7753" t="str">
        <f>HYPERLINK("https://climate.onebuilding.org/WMO_Region_6_Europe/MKD_North_Macedonia/PLR_Pelagonia_Stat_Region/MKD_PLR_Bitola.135830_TMYx.2004-2018.zip")</f>
        <v>https://climate.onebuilding.org/WMO_Region_6_Europe/MKD_North_Macedonia/PLR_Pelagonia_Stat_Region/MKD_PLR_Bitola.135830_TMYx.2004-2018.zip</v>
      </c>
    </row>
    <row r="7754" spans="1:10" x14ac:dyDescent="0.25">
      <c r="A7754" t="s">
        <v>5736</v>
      </c>
      <c r="B7754" t="s">
        <v>5753</v>
      </c>
      <c r="C7754" t="s">
        <v>5757</v>
      </c>
      <c r="D7754">
        <v>135830</v>
      </c>
      <c r="E7754" t="s">
        <v>14</v>
      </c>
      <c r="F7754">
        <v>41.05</v>
      </c>
      <c r="G7754">
        <v>21.366700000000002</v>
      </c>
      <c r="H7754">
        <v>1</v>
      </c>
      <c r="I7754">
        <v>589</v>
      </c>
      <c r="J7754" t="str">
        <f>HYPERLINK("https://climate.onebuilding.org/WMO_Region_6_Europe/MKD_North_Macedonia/PLR_Pelagonia_Stat_Region/MKD_PLR_Bitola.135830_TMYx.2007-2021.zip")</f>
        <v>https://climate.onebuilding.org/WMO_Region_6_Europe/MKD_North_Macedonia/PLR_Pelagonia_Stat_Region/MKD_PLR_Bitola.135830_TMYx.2007-2021.zip</v>
      </c>
    </row>
    <row r="7755" spans="1:10" x14ac:dyDescent="0.25">
      <c r="A7755" t="s">
        <v>5736</v>
      </c>
      <c r="B7755" t="s">
        <v>5753</v>
      </c>
      <c r="C7755" t="s">
        <v>5757</v>
      </c>
      <c r="D7755">
        <v>135830</v>
      </c>
      <c r="E7755" t="s">
        <v>14</v>
      </c>
      <c r="F7755">
        <v>41.05</v>
      </c>
      <c r="G7755">
        <v>21.366700000000002</v>
      </c>
      <c r="H7755">
        <v>1</v>
      </c>
      <c r="I7755">
        <v>589</v>
      </c>
      <c r="J7755" t="str">
        <f>HYPERLINK("https://climate.onebuilding.org/WMO_Region_6_Europe/MKD_North_Macedonia/PLR_Pelagonia_Stat_Region/MKD_PLR_Bitola.135830_TMYx.2009-2023.zip")</f>
        <v>https://climate.onebuilding.org/WMO_Region_6_Europe/MKD_North_Macedonia/PLR_Pelagonia_Stat_Region/MKD_PLR_Bitola.135830_TMYx.2009-2023.zip</v>
      </c>
    </row>
    <row r="7756" spans="1:10" x14ac:dyDescent="0.25">
      <c r="A7756" t="s">
        <v>5736</v>
      </c>
      <c r="B7756" t="s">
        <v>5753</v>
      </c>
      <c r="C7756" t="s">
        <v>5757</v>
      </c>
      <c r="D7756">
        <v>135830</v>
      </c>
      <c r="E7756" t="s">
        <v>14</v>
      </c>
      <c r="F7756">
        <v>41.05</v>
      </c>
      <c r="G7756">
        <v>21.366700000000002</v>
      </c>
      <c r="H7756">
        <v>1</v>
      </c>
      <c r="I7756">
        <v>589</v>
      </c>
      <c r="J7756" t="str">
        <f>HYPERLINK("https://climate.onebuilding.org/WMO_Region_6_Europe/MKD_North_Macedonia/PLR_Pelagonia_Stat_Region/MKD_PLR_Bitola.135830_TMYx.zip")</f>
        <v>https://climate.onebuilding.org/WMO_Region_6_Europe/MKD_North_Macedonia/PLR_Pelagonia_Stat_Region/MKD_PLR_Bitola.135830_TMYx.zip</v>
      </c>
    </row>
    <row r="7757" spans="1:10" x14ac:dyDescent="0.25">
      <c r="A7757" t="s">
        <v>5736</v>
      </c>
      <c r="B7757" t="s">
        <v>5759</v>
      </c>
      <c r="C7757" t="s">
        <v>5760</v>
      </c>
      <c r="D7757">
        <v>135840</v>
      </c>
      <c r="E7757" t="s">
        <v>5761</v>
      </c>
      <c r="F7757">
        <v>41.703899999999997</v>
      </c>
      <c r="G7757">
        <v>21.404</v>
      </c>
      <c r="H7757">
        <v>1</v>
      </c>
      <c r="I7757">
        <v>2540</v>
      </c>
      <c r="J7757" t="str">
        <f>HYPERLINK("https://climate.onebuilding.org/WMO_Region_6_Europe/MKD_North_Macedonia/SKR_Skopje_Stat_Region/MKD_SKR_Solunska.Glava.Mtn-Jakupica.Mtns.135840_TMYx.2004-2018.zip")</f>
        <v>https://climate.onebuilding.org/WMO_Region_6_Europe/MKD_North_Macedonia/SKR_Skopje_Stat_Region/MKD_SKR_Solunska.Glava.Mtn-Jakupica.Mtns.135840_TMYx.2004-2018.zip</v>
      </c>
    </row>
    <row r="7758" spans="1:10" x14ac:dyDescent="0.25">
      <c r="A7758" t="s">
        <v>5736</v>
      </c>
      <c r="B7758" t="s">
        <v>5759</v>
      </c>
      <c r="C7758" t="s">
        <v>5760</v>
      </c>
      <c r="D7758">
        <v>135840</v>
      </c>
      <c r="E7758" t="s">
        <v>14</v>
      </c>
      <c r="F7758">
        <v>41.703899999999997</v>
      </c>
      <c r="G7758">
        <v>21.404</v>
      </c>
      <c r="H7758">
        <v>1</v>
      </c>
      <c r="I7758">
        <v>2540</v>
      </c>
      <c r="J7758" t="str">
        <f>HYPERLINK("https://climate.onebuilding.org/WMO_Region_6_Europe/MKD_North_Macedonia/SKR_Skopje_Stat_Region/MKD_SKR_Solunska.Glava.Mtn-Jakupica.Mtns.135840_TMYx.2007-2021.zip")</f>
        <v>https://climate.onebuilding.org/WMO_Region_6_Europe/MKD_North_Macedonia/SKR_Skopje_Stat_Region/MKD_SKR_Solunska.Glava.Mtn-Jakupica.Mtns.135840_TMYx.2007-2021.zip</v>
      </c>
    </row>
    <row r="7759" spans="1:10" x14ac:dyDescent="0.25">
      <c r="A7759" t="s">
        <v>5736</v>
      </c>
      <c r="B7759" t="s">
        <v>5759</v>
      </c>
      <c r="C7759" t="s">
        <v>5760</v>
      </c>
      <c r="D7759">
        <v>135840</v>
      </c>
      <c r="E7759" t="s">
        <v>14</v>
      </c>
      <c r="F7759">
        <v>41.703899999999997</v>
      </c>
      <c r="G7759">
        <v>21.404</v>
      </c>
      <c r="H7759">
        <v>1</v>
      </c>
      <c r="I7759">
        <v>2540</v>
      </c>
      <c r="J7759" t="str">
        <f>HYPERLINK("https://climate.onebuilding.org/WMO_Region_6_Europe/MKD_North_Macedonia/SKR_Skopje_Stat_Region/MKD_SKR_Solunska.Glava.Mtn-Jakupica.Mtns.135840_TMYx.zip")</f>
        <v>https://climate.onebuilding.org/WMO_Region_6_Europe/MKD_North_Macedonia/SKR_Skopje_Stat_Region/MKD_SKR_Solunska.Glava.Mtn-Jakupica.Mtns.135840_TMYx.zip</v>
      </c>
    </row>
    <row r="7760" spans="1:10" x14ac:dyDescent="0.25">
      <c r="A7760" t="s">
        <v>5736</v>
      </c>
      <c r="B7760" t="s">
        <v>5753</v>
      </c>
      <c r="C7760" t="s">
        <v>5762</v>
      </c>
      <c r="D7760">
        <v>135850</v>
      </c>
      <c r="E7760" t="s">
        <v>5763</v>
      </c>
      <c r="F7760">
        <v>41.333300000000001</v>
      </c>
      <c r="G7760">
        <v>21.566700000000001</v>
      </c>
      <c r="H7760">
        <v>1</v>
      </c>
      <c r="I7760">
        <v>674</v>
      </c>
      <c r="J7760" t="str">
        <f>HYPERLINK("https://climate.onebuilding.org/WMO_Region_6_Europe/MKD_North_Macedonia/PLR_Pelagonia_Stat_Region/MKD_PLR_Prilep.135850_TMYx.2004-2018.zip")</f>
        <v>https://climate.onebuilding.org/WMO_Region_6_Europe/MKD_North_Macedonia/PLR_Pelagonia_Stat_Region/MKD_PLR_Prilep.135850_TMYx.2004-2018.zip</v>
      </c>
    </row>
    <row r="7761" spans="1:10" x14ac:dyDescent="0.25">
      <c r="A7761" t="s">
        <v>5736</v>
      </c>
      <c r="B7761" t="s">
        <v>5753</v>
      </c>
      <c r="C7761" t="s">
        <v>5762</v>
      </c>
      <c r="D7761">
        <v>135850</v>
      </c>
      <c r="E7761" t="s">
        <v>14</v>
      </c>
      <c r="F7761">
        <v>41.333300000000001</v>
      </c>
      <c r="G7761">
        <v>21.566700000000001</v>
      </c>
      <c r="H7761">
        <v>1</v>
      </c>
      <c r="I7761">
        <v>674</v>
      </c>
      <c r="J7761" t="str">
        <f>HYPERLINK("https://climate.onebuilding.org/WMO_Region_6_Europe/MKD_North_Macedonia/PLR_Pelagonia_Stat_Region/MKD_PLR_Prilep.135850_TMYx.2007-2021.zip")</f>
        <v>https://climate.onebuilding.org/WMO_Region_6_Europe/MKD_North_Macedonia/PLR_Pelagonia_Stat_Region/MKD_PLR_Prilep.135850_TMYx.2007-2021.zip</v>
      </c>
    </row>
    <row r="7762" spans="1:10" x14ac:dyDescent="0.25">
      <c r="A7762" t="s">
        <v>5736</v>
      </c>
      <c r="B7762" t="s">
        <v>5753</v>
      </c>
      <c r="C7762" t="s">
        <v>5762</v>
      </c>
      <c r="D7762">
        <v>135850</v>
      </c>
      <c r="E7762" t="s">
        <v>14</v>
      </c>
      <c r="F7762">
        <v>41.333300000000001</v>
      </c>
      <c r="G7762">
        <v>21.566700000000001</v>
      </c>
      <c r="H7762">
        <v>1</v>
      </c>
      <c r="I7762">
        <v>674</v>
      </c>
      <c r="J7762" t="str">
        <f>HYPERLINK("https://climate.onebuilding.org/WMO_Region_6_Europe/MKD_North_Macedonia/PLR_Pelagonia_Stat_Region/MKD_PLR_Prilep.135850_TMYx.2009-2023.zip")</f>
        <v>https://climate.onebuilding.org/WMO_Region_6_Europe/MKD_North_Macedonia/PLR_Pelagonia_Stat_Region/MKD_PLR_Prilep.135850_TMYx.2009-2023.zip</v>
      </c>
    </row>
    <row r="7763" spans="1:10" x14ac:dyDescent="0.25">
      <c r="A7763" t="s">
        <v>5736</v>
      </c>
      <c r="B7763" t="s">
        <v>5753</v>
      </c>
      <c r="C7763" t="s">
        <v>5762</v>
      </c>
      <c r="D7763">
        <v>135850</v>
      </c>
      <c r="E7763" t="s">
        <v>14</v>
      </c>
      <c r="F7763">
        <v>41.333300000000001</v>
      </c>
      <c r="G7763">
        <v>21.566700000000001</v>
      </c>
      <c r="H7763">
        <v>1</v>
      </c>
      <c r="I7763">
        <v>674</v>
      </c>
      <c r="J7763" t="str">
        <f>HYPERLINK("https://climate.onebuilding.org/WMO_Region_6_Europe/MKD_North_Macedonia/PLR_Pelagonia_Stat_Region/MKD_PLR_Prilep.135850_TMYx.zip")</f>
        <v>https://climate.onebuilding.org/WMO_Region_6_Europe/MKD_North_Macedonia/PLR_Pelagonia_Stat_Region/MKD_PLR_Prilep.135850_TMYx.zip</v>
      </c>
    </row>
    <row r="7764" spans="1:10" x14ac:dyDescent="0.25">
      <c r="A7764" t="s">
        <v>5736</v>
      </c>
      <c r="B7764" t="s">
        <v>5759</v>
      </c>
      <c r="C7764" t="s">
        <v>5764</v>
      </c>
      <c r="D7764">
        <v>135860</v>
      </c>
      <c r="E7764" t="s">
        <v>5765</v>
      </c>
      <c r="F7764">
        <v>41.962000000000003</v>
      </c>
      <c r="G7764">
        <v>21.620999999999999</v>
      </c>
      <c r="H7764">
        <v>1</v>
      </c>
      <c r="I7764">
        <v>238</v>
      </c>
      <c r="J7764" t="str">
        <f>HYPERLINK("https://climate.onebuilding.org/WMO_Region_6_Europe/MKD_North_Macedonia/SKR_Skopje_Stat_Region/MKD_SKR_Skopje.Intl.AP.135860_TMYx.2004-2018.zip")</f>
        <v>https://climate.onebuilding.org/WMO_Region_6_Europe/MKD_North_Macedonia/SKR_Skopje_Stat_Region/MKD_SKR_Skopje.Intl.AP.135860_TMYx.2004-2018.zip</v>
      </c>
    </row>
    <row r="7765" spans="1:10" x14ac:dyDescent="0.25">
      <c r="A7765" t="s">
        <v>5736</v>
      </c>
      <c r="B7765" t="s">
        <v>5759</v>
      </c>
      <c r="C7765" t="s">
        <v>5764</v>
      </c>
      <c r="D7765">
        <v>135860</v>
      </c>
      <c r="E7765" t="s">
        <v>14</v>
      </c>
      <c r="F7765">
        <v>41.962000000000003</v>
      </c>
      <c r="G7765">
        <v>21.620999999999999</v>
      </c>
      <c r="H7765">
        <v>1</v>
      </c>
      <c r="I7765">
        <v>238</v>
      </c>
      <c r="J7765" t="str">
        <f>HYPERLINK("https://climate.onebuilding.org/WMO_Region_6_Europe/MKD_North_Macedonia/SKR_Skopje_Stat_Region/MKD_SKR_Skopje.Intl.AP.135860_TMYx.2007-2021.zip")</f>
        <v>https://climate.onebuilding.org/WMO_Region_6_Europe/MKD_North_Macedonia/SKR_Skopje_Stat_Region/MKD_SKR_Skopje.Intl.AP.135860_TMYx.2007-2021.zip</v>
      </c>
    </row>
    <row r="7766" spans="1:10" x14ac:dyDescent="0.25">
      <c r="A7766" t="s">
        <v>5736</v>
      </c>
      <c r="B7766" t="s">
        <v>5759</v>
      </c>
      <c r="C7766" t="s">
        <v>5764</v>
      </c>
      <c r="D7766">
        <v>135860</v>
      </c>
      <c r="E7766" t="s">
        <v>14</v>
      </c>
      <c r="F7766">
        <v>41.962000000000003</v>
      </c>
      <c r="G7766">
        <v>21.620999999999999</v>
      </c>
      <c r="H7766">
        <v>1</v>
      </c>
      <c r="I7766">
        <v>238</v>
      </c>
      <c r="J7766" t="str">
        <f>HYPERLINK("https://climate.onebuilding.org/WMO_Region_6_Europe/MKD_North_Macedonia/SKR_Skopje_Stat_Region/MKD_SKR_Skopje.Intl.AP.135860_TMYx.2009-2023.zip")</f>
        <v>https://climate.onebuilding.org/WMO_Region_6_Europe/MKD_North_Macedonia/SKR_Skopje_Stat_Region/MKD_SKR_Skopje.Intl.AP.135860_TMYx.2009-2023.zip</v>
      </c>
    </row>
    <row r="7767" spans="1:10" x14ac:dyDescent="0.25">
      <c r="A7767" t="s">
        <v>5736</v>
      </c>
      <c r="B7767" t="s">
        <v>5759</v>
      </c>
      <c r="C7767" t="s">
        <v>5764</v>
      </c>
      <c r="D7767">
        <v>135860</v>
      </c>
      <c r="E7767" t="s">
        <v>14</v>
      </c>
      <c r="F7767">
        <v>41.962000000000003</v>
      </c>
      <c r="G7767">
        <v>21.620999999999999</v>
      </c>
      <c r="H7767">
        <v>1</v>
      </c>
      <c r="I7767">
        <v>238</v>
      </c>
      <c r="J7767" t="str">
        <f>HYPERLINK("https://climate.onebuilding.org/WMO_Region_6_Europe/MKD_North_Macedonia/SKR_Skopje_Stat_Region/MKD_SKR_Skopje.Intl.AP.135860_TMYx.zip")</f>
        <v>https://climate.onebuilding.org/WMO_Region_6_Europe/MKD_North_Macedonia/SKR_Skopje_Stat_Region/MKD_SKR_Skopje.Intl.AP.135860_TMYx.zip</v>
      </c>
    </row>
    <row r="7768" spans="1:10" x14ac:dyDescent="0.25">
      <c r="A7768" t="s">
        <v>5736</v>
      </c>
      <c r="B7768" t="s">
        <v>5759</v>
      </c>
      <c r="C7768" t="s">
        <v>5766</v>
      </c>
      <c r="D7768">
        <v>135880</v>
      </c>
      <c r="E7768" t="s">
        <v>14</v>
      </c>
      <c r="F7768">
        <v>42.017000000000003</v>
      </c>
      <c r="G7768">
        <v>21.4</v>
      </c>
      <c r="H7768">
        <v>1</v>
      </c>
      <c r="I7768">
        <v>301</v>
      </c>
      <c r="J7768" t="str">
        <f>HYPERLINK("https://climate.onebuilding.org/WMO_Region_6_Europe/MKD_North_Macedonia/SKR_Skopje_Stat_Region/MKD_SKR_Skopje-Zajcev.Rid.Met.Stn.135880_TMYx.2007-2021.zip")</f>
        <v>https://climate.onebuilding.org/WMO_Region_6_Europe/MKD_North_Macedonia/SKR_Skopje_Stat_Region/MKD_SKR_Skopje-Zajcev.Rid.Met.Stn.135880_TMYx.2007-2021.zip</v>
      </c>
    </row>
    <row r="7769" spans="1:10" x14ac:dyDescent="0.25">
      <c r="A7769" t="s">
        <v>5736</v>
      </c>
      <c r="B7769" t="s">
        <v>5759</v>
      </c>
      <c r="C7769" t="s">
        <v>5766</v>
      </c>
      <c r="D7769">
        <v>135880</v>
      </c>
      <c r="E7769" t="s">
        <v>14</v>
      </c>
      <c r="F7769">
        <v>42.017000000000003</v>
      </c>
      <c r="G7769">
        <v>21.4</v>
      </c>
      <c r="H7769">
        <v>1</v>
      </c>
      <c r="I7769">
        <v>301</v>
      </c>
      <c r="J7769" t="str">
        <f>HYPERLINK("https://climate.onebuilding.org/WMO_Region_6_Europe/MKD_North_Macedonia/SKR_Skopje_Stat_Region/MKD_SKR_Skopje-Zajcev.Rid.Met.Stn.135880_TMYx.2009-2023.zip")</f>
        <v>https://climate.onebuilding.org/WMO_Region_6_Europe/MKD_North_Macedonia/SKR_Skopje_Stat_Region/MKD_SKR_Skopje-Zajcev.Rid.Met.Stn.135880_TMYx.2009-2023.zip</v>
      </c>
    </row>
    <row r="7770" spans="1:10" x14ac:dyDescent="0.25">
      <c r="A7770" t="s">
        <v>5736</v>
      </c>
      <c r="B7770" t="s">
        <v>5759</v>
      </c>
      <c r="C7770" t="s">
        <v>5766</v>
      </c>
      <c r="D7770">
        <v>135880</v>
      </c>
      <c r="E7770" t="s">
        <v>14</v>
      </c>
      <c r="F7770">
        <v>42.017000000000003</v>
      </c>
      <c r="G7770">
        <v>21.4</v>
      </c>
      <c r="H7770">
        <v>1</v>
      </c>
      <c r="I7770">
        <v>301</v>
      </c>
      <c r="J7770" t="str">
        <f>HYPERLINK("https://climate.onebuilding.org/WMO_Region_6_Europe/MKD_North_Macedonia/SKR_Skopje_Stat_Region/MKD_SKR_Skopje-Zajcev.Rid.Met.Stn.135880_TMYx.zip")</f>
        <v>https://climate.onebuilding.org/WMO_Region_6_Europe/MKD_North_Macedonia/SKR_Skopje_Stat_Region/MKD_SKR_Skopje-Zajcev.Rid.Met.Stn.135880_TMYx.zip</v>
      </c>
    </row>
    <row r="7771" spans="1:10" x14ac:dyDescent="0.25">
      <c r="A7771" t="s">
        <v>5736</v>
      </c>
      <c r="B7771" t="s">
        <v>5767</v>
      </c>
      <c r="C7771" t="s">
        <v>5768</v>
      </c>
      <c r="D7771">
        <v>135900</v>
      </c>
      <c r="E7771" t="s">
        <v>14</v>
      </c>
      <c r="F7771">
        <v>41.9</v>
      </c>
      <c r="G7771">
        <v>21.85</v>
      </c>
      <c r="H7771">
        <v>1</v>
      </c>
      <c r="I7771">
        <v>856</v>
      </c>
      <c r="J7771" t="str">
        <f>HYPERLINK("https://climate.onebuilding.org/WMO_Region_6_Europe/MKD_North_Macedonia/VRR_Vardar_Stat_Region/MKD_VRR_Guriste-PGC.135900_TMYx.2007-2021.zip")</f>
        <v>https://climate.onebuilding.org/WMO_Region_6_Europe/MKD_North_Macedonia/VRR_Vardar_Stat_Region/MKD_VRR_Guriste-PGC.135900_TMYx.2007-2021.zip</v>
      </c>
    </row>
    <row r="7772" spans="1:10" x14ac:dyDescent="0.25">
      <c r="A7772" t="s">
        <v>5736</v>
      </c>
      <c r="B7772" t="s">
        <v>5767</v>
      </c>
      <c r="C7772" t="s">
        <v>5768</v>
      </c>
      <c r="D7772">
        <v>135900</v>
      </c>
      <c r="E7772" t="s">
        <v>14</v>
      </c>
      <c r="F7772">
        <v>41.9</v>
      </c>
      <c r="G7772">
        <v>21.85</v>
      </c>
      <c r="H7772">
        <v>1</v>
      </c>
      <c r="I7772">
        <v>856</v>
      </c>
      <c r="J7772" t="str">
        <f>HYPERLINK("https://climate.onebuilding.org/WMO_Region_6_Europe/MKD_North_Macedonia/VRR_Vardar_Stat_Region/MKD_VRR_Guriste-PGC.135900_TMYx.2009-2023.zip")</f>
        <v>https://climate.onebuilding.org/WMO_Region_6_Europe/MKD_North_Macedonia/VRR_Vardar_Stat_Region/MKD_VRR_Guriste-PGC.135900_TMYx.2009-2023.zip</v>
      </c>
    </row>
    <row r="7773" spans="1:10" x14ac:dyDescent="0.25">
      <c r="A7773" t="s">
        <v>5736</v>
      </c>
      <c r="B7773" t="s">
        <v>5767</v>
      </c>
      <c r="C7773" t="s">
        <v>5768</v>
      </c>
      <c r="D7773">
        <v>135900</v>
      </c>
      <c r="E7773" t="s">
        <v>14</v>
      </c>
      <c r="F7773">
        <v>41.9</v>
      </c>
      <c r="G7773">
        <v>21.85</v>
      </c>
      <c r="H7773">
        <v>1</v>
      </c>
      <c r="I7773">
        <v>856</v>
      </c>
      <c r="J7773" t="str">
        <f>HYPERLINK("https://climate.onebuilding.org/WMO_Region_6_Europe/MKD_North_Macedonia/VRR_Vardar_Stat_Region/MKD_VRR_Guriste-PGC.135900_TMYx.zip")</f>
        <v>https://climate.onebuilding.org/WMO_Region_6_Europe/MKD_North_Macedonia/VRR_Vardar_Stat_Region/MKD_VRR_Guriste-PGC.135900_TMYx.zip</v>
      </c>
    </row>
    <row r="7774" spans="1:10" x14ac:dyDescent="0.25">
      <c r="A7774" t="s">
        <v>5736</v>
      </c>
      <c r="B7774" t="s">
        <v>5769</v>
      </c>
      <c r="C7774" t="s">
        <v>5770</v>
      </c>
      <c r="D7774">
        <v>135910</v>
      </c>
      <c r="E7774" t="s">
        <v>5771</v>
      </c>
      <c r="F7774">
        <v>41.75</v>
      </c>
      <c r="G7774">
        <v>22.183</v>
      </c>
      <c r="H7774">
        <v>1</v>
      </c>
      <c r="I7774">
        <v>327</v>
      </c>
      <c r="J7774" t="str">
        <f>HYPERLINK("https://climate.onebuilding.org/WMO_Region_6_Europe/MKD_North_Macedonia/ESR_Eastern_Stat_Region/MKD_ESR_Shtip.135910_TMYx.2004-2018.zip")</f>
        <v>https://climate.onebuilding.org/WMO_Region_6_Europe/MKD_North_Macedonia/ESR_Eastern_Stat_Region/MKD_ESR_Shtip.135910_TMYx.2004-2018.zip</v>
      </c>
    </row>
    <row r="7775" spans="1:10" x14ac:dyDescent="0.25">
      <c r="A7775" t="s">
        <v>5736</v>
      </c>
      <c r="B7775" t="s">
        <v>5769</v>
      </c>
      <c r="C7775" t="s">
        <v>5770</v>
      </c>
      <c r="D7775">
        <v>135910</v>
      </c>
      <c r="E7775" t="s">
        <v>14</v>
      </c>
      <c r="F7775">
        <v>41.75</v>
      </c>
      <c r="G7775">
        <v>22.183</v>
      </c>
      <c r="H7775">
        <v>1</v>
      </c>
      <c r="I7775">
        <v>327</v>
      </c>
      <c r="J7775" t="str">
        <f>HYPERLINK("https://climate.onebuilding.org/WMO_Region_6_Europe/MKD_North_Macedonia/ESR_Eastern_Stat_Region/MKD_ESR_Shtip.135910_TMYx.2007-2021.zip")</f>
        <v>https://climate.onebuilding.org/WMO_Region_6_Europe/MKD_North_Macedonia/ESR_Eastern_Stat_Region/MKD_ESR_Shtip.135910_TMYx.2007-2021.zip</v>
      </c>
    </row>
    <row r="7776" spans="1:10" x14ac:dyDescent="0.25">
      <c r="A7776" t="s">
        <v>5736</v>
      </c>
      <c r="B7776" t="s">
        <v>5769</v>
      </c>
      <c r="C7776" t="s">
        <v>5770</v>
      </c>
      <c r="D7776">
        <v>135910</v>
      </c>
      <c r="E7776" t="s">
        <v>14</v>
      </c>
      <c r="F7776">
        <v>41.75</v>
      </c>
      <c r="G7776">
        <v>22.183</v>
      </c>
      <c r="H7776">
        <v>1</v>
      </c>
      <c r="I7776">
        <v>327</v>
      </c>
      <c r="J7776" t="str">
        <f>HYPERLINK("https://climate.onebuilding.org/WMO_Region_6_Europe/MKD_North_Macedonia/ESR_Eastern_Stat_Region/MKD_ESR_Shtip.135910_TMYx.2009-2023.zip")</f>
        <v>https://climate.onebuilding.org/WMO_Region_6_Europe/MKD_North_Macedonia/ESR_Eastern_Stat_Region/MKD_ESR_Shtip.135910_TMYx.2009-2023.zip</v>
      </c>
    </row>
    <row r="7777" spans="1:10" x14ac:dyDescent="0.25">
      <c r="A7777" t="s">
        <v>5736</v>
      </c>
      <c r="B7777" t="s">
        <v>5769</v>
      </c>
      <c r="C7777" t="s">
        <v>5770</v>
      </c>
      <c r="D7777">
        <v>135910</v>
      </c>
      <c r="E7777" t="s">
        <v>14</v>
      </c>
      <c r="F7777">
        <v>41.75</v>
      </c>
      <c r="G7777">
        <v>22.183</v>
      </c>
      <c r="H7777">
        <v>1</v>
      </c>
      <c r="I7777">
        <v>327</v>
      </c>
      <c r="J7777" t="str">
        <f>HYPERLINK("https://climate.onebuilding.org/WMO_Region_6_Europe/MKD_North_Macedonia/ESR_Eastern_Stat_Region/MKD_ESR_Shtip.135910_TMYx.zip")</f>
        <v>https://climate.onebuilding.org/WMO_Region_6_Europe/MKD_North_Macedonia/ESR_Eastern_Stat_Region/MKD_ESR_Shtip.135910_TMYx.zip</v>
      </c>
    </row>
    <row r="7778" spans="1:10" x14ac:dyDescent="0.25">
      <c r="A7778" t="s">
        <v>5736</v>
      </c>
      <c r="B7778" t="s">
        <v>5753</v>
      </c>
      <c r="C7778" t="s">
        <v>5772</v>
      </c>
      <c r="D7778">
        <v>135920</v>
      </c>
      <c r="E7778" t="s">
        <v>5773</v>
      </c>
      <c r="F7778">
        <v>41.416699999999999</v>
      </c>
      <c r="G7778">
        <v>22.25</v>
      </c>
      <c r="H7778">
        <v>1</v>
      </c>
      <c r="I7778">
        <v>126</v>
      </c>
      <c r="J7778" t="str">
        <f>HYPERLINK("https://climate.onebuilding.org/WMO_Region_6_Europe/MKD_North_Macedonia/PLR_Pelagonia_Stat_Region/MKD_PLR_Demir.Kapija.135920_TMYx.2004-2018.zip")</f>
        <v>https://climate.onebuilding.org/WMO_Region_6_Europe/MKD_North_Macedonia/PLR_Pelagonia_Stat_Region/MKD_PLR_Demir.Kapija.135920_TMYx.2004-2018.zip</v>
      </c>
    </row>
    <row r="7779" spans="1:10" x14ac:dyDescent="0.25">
      <c r="A7779" t="s">
        <v>5736</v>
      </c>
      <c r="B7779" t="s">
        <v>5753</v>
      </c>
      <c r="C7779" t="s">
        <v>5772</v>
      </c>
      <c r="D7779">
        <v>135920</v>
      </c>
      <c r="E7779" t="s">
        <v>14</v>
      </c>
      <c r="F7779">
        <v>41.416699999999999</v>
      </c>
      <c r="G7779">
        <v>22.25</v>
      </c>
      <c r="H7779">
        <v>1</v>
      </c>
      <c r="I7779">
        <v>126</v>
      </c>
      <c r="J7779" t="str">
        <f>HYPERLINK("https://climate.onebuilding.org/WMO_Region_6_Europe/MKD_North_Macedonia/PLR_Pelagonia_Stat_Region/MKD_PLR_Demir.Kapija.135920_TMYx.2007-2021.zip")</f>
        <v>https://climate.onebuilding.org/WMO_Region_6_Europe/MKD_North_Macedonia/PLR_Pelagonia_Stat_Region/MKD_PLR_Demir.Kapija.135920_TMYx.2007-2021.zip</v>
      </c>
    </row>
    <row r="7780" spans="1:10" x14ac:dyDescent="0.25">
      <c r="A7780" t="s">
        <v>5736</v>
      </c>
      <c r="B7780" t="s">
        <v>5753</v>
      </c>
      <c r="C7780" t="s">
        <v>5772</v>
      </c>
      <c r="D7780">
        <v>135920</v>
      </c>
      <c r="E7780" t="s">
        <v>14</v>
      </c>
      <c r="F7780">
        <v>41.416699999999999</v>
      </c>
      <c r="G7780">
        <v>22.25</v>
      </c>
      <c r="H7780">
        <v>1</v>
      </c>
      <c r="I7780">
        <v>126</v>
      </c>
      <c r="J7780" t="str">
        <f>HYPERLINK("https://climate.onebuilding.org/WMO_Region_6_Europe/MKD_North_Macedonia/PLR_Pelagonia_Stat_Region/MKD_PLR_Demir.Kapija.135920_TMYx.2009-2023.zip")</f>
        <v>https://climate.onebuilding.org/WMO_Region_6_Europe/MKD_North_Macedonia/PLR_Pelagonia_Stat_Region/MKD_PLR_Demir.Kapija.135920_TMYx.2009-2023.zip</v>
      </c>
    </row>
    <row r="7781" spans="1:10" x14ac:dyDescent="0.25">
      <c r="A7781" t="s">
        <v>5736</v>
      </c>
      <c r="B7781" t="s">
        <v>5753</v>
      </c>
      <c r="C7781" t="s">
        <v>5772</v>
      </c>
      <c r="D7781">
        <v>135920</v>
      </c>
      <c r="E7781" t="s">
        <v>14</v>
      </c>
      <c r="F7781">
        <v>41.416699999999999</v>
      </c>
      <c r="G7781">
        <v>22.25</v>
      </c>
      <c r="H7781">
        <v>1</v>
      </c>
      <c r="I7781">
        <v>126</v>
      </c>
      <c r="J7781" t="str">
        <f>HYPERLINK("https://climate.onebuilding.org/WMO_Region_6_Europe/MKD_North_Macedonia/PLR_Pelagonia_Stat_Region/MKD_PLR_Demir.Kapija.135920_TMYx.zip")</f>
        <v>https://climate.onebuilding.org/WMO_Region_6_Europe/MKD_North_Macedonia/PLR_Pelagonia_Stat_Region/MKD_PLR_Demir.Kapija.135920_TMYx.zip</v>
      </c>
    </row>
    <row r="7782" spans="1:10" x14ac:dyDescent="0.25">
      <c r="A7782" t="s">
        <v>5736</v>
      </c>
      <c r="B7782" t="s">
        <v>5774</v>
      </c>
      <c r="C7782" t="s">
        <v>5775</v>
      </c>
      <c r="D7782">
        <v>135930</v>
      </c>
      <c r="E7782" t="s">
        <v>14</v>
      </c>
      <c r="F7782">
        <v>41.3</v>
      </c>
      <c r="G7782">
        <v>22.416699999999999</v>
      </c>
      <c r="H7782">
        <v>1</v>
      </c>
      <c r="I7782">
        <v>1030</v>
      </c>
      <c r="J7782" t="str">
        <f>HYPERLINK("https://climate.onebuilding.org/WMO_Region_6_Europe/MKD_North_Macedonia/SER_Southeastern_Stat_Region/MKD_SER_Pozar-PGC.135930_TMYx.2007-2021.zip")</f>
        <v>https://climate.onebuilding.org/WMO_Region_6_Europe/MKD_North_Macedonia/SER_Southeastern_Stat_Region/MKD_SER_Pozar-PGC.135930_TMYx.2007-2021.zip</v>
      </c>
    </row>
    <row r="7783" spans="1:10" x14ac:dyDescent="0.25">
      <c r="A7783" t="s">
        <v>5736</v>
      </c>
      <c r="B7783" t="s">
        <v>5774</v>
      </c>
      <c r="C7783" t="s">
        <v>5775</v>
      </c>
      <c r="D7783">
        <v>135930</v>
      </c>
      <c r="E7783" t="s">
        <v>14</v>
      </c>
      <c r="F7783">
        <v>41.3</v>
      </c>
      <c r="G7783">
        <v>22.416699999999999</v>
      </c>
      <c r="H7783">
        <v>1</v>
      </c>
      <c r="I7783">
        <v>1030</v>
      </c>
      <c r="J7783" t="str">
        <f>HYPERLINK("https://climate.onebuilding.org/WMO_Region_6_Europe/MKD_North_Macedonia/SER_Southeastern_Stat_Region/MKD_SER_Pozar-PGC.135930_TMYx.2009-2023.zip")</f>
        <v>https://climate.onebuilding.org/WMO_Region_6_Europe/MKD_North_Macedonia/SER_Southeastern_Stat_Region/MKD_SER_Pozar-PGC.135930_TMYx.2009-2023.zip</v>
      </c>
    </row>
    <row r="7784" spans="1:10" x14ac:dyDescent="0.25">
      <c r="A7784" t="s">
        <v>5736</v>
      </c>
      <c r="B7784" t="s">
        <v>5774</v>
      </c>
      <c r="C7784" t="s">
        <v>5775</v>
      </c>
      <c r="D7784">
        <v>135930</v>
      </c>
      <c r="E7784" t="s">
        <v>14</v>
      </c>
      <c r="F7784">
        <v>41.3</v>
      </c>
      <c r="G7784">
        <v>22.416699999999999</v>
      </c>
      <c r="H7784">
        <v>1</v>
      </c>
      <c r="I7784">
        <v>1030</v>
      </c>
      <c r="J7784" t="str">
        <f>HYPERLINK("https://climate.onebuilding.org/WMO_Region_6_Europe/MKD_North_Macedonia/SER_Southeastern_Stat_Region/MKD_SER_Pozar-PGC.135930_TMYx.zip")</f>
        <v>https://climate.onebuilding.org/WMO_Region_6_Europe/MKD_North_Macedonia/SER_Southeastern_Stat_Region/MKD_SER_Pozar-PGC.135930_TMYx.zip</v>
      </c>
    </row>
    <row r="7785" spans="1:10" x14ac:dyDescent="0.25">
      <c r="A7785" t="s">
        <v>5736</v>
      </c>
      <c r="B7785" t="s">
        <v>5769</v>
      </c>
      <c r="C7785" t="s">
        <v>5776</v>
      </c>
      <c r="D7785">
        <v>135940</v>
      </c>
      <c r="E7785" t="s">
        <v>14</v>
      </c>
      <c r="F7785">
        <v>41.883299999999998</v>
      </c>
      <c r="G7785">
        <v>22.5</v>
      </c>
      <c r="H7785">
        <v>1</v>
      </c>
      <c r="I7785">
        <v>513</v>
      </c>
      <c r="J7785" t="str">
        <f>HYPERLINK("https://climate.onebuilding.org/WMO_Region_6_Europe/MKD_North_Macedonia/ESR_Eastern_Stat_Region/MKD_ESR_Vinica-PGC.135940_TMYx.2007-2021.zip")</f>
        <v>https://climate.onebuilding.org/WMO_Region_6_Europe/MKD_North_Macedonia/ESR_Eastern_Stat_Region/MKD_ESR_Vinica-PGC.135940_TMYx.2007-2021.zip</v>
      </c>
    </row>
    <row r="7786" spans="1:10" x14ac:dyDescent="0.25">
      <c r="A7786" t="s">
        <v>5736</v>
      </c>
      <c r="B7786" t="s">
        <v>5769</v>
      </c>
      <c r="C7786" t="s">
        <v>5776</v>
      </c>
      <c r="D7786">
        <v>135940</v>
      </c>
      <c r="E7786" t="s">
        <v>14</v>
      </c>
      <c r="F7786">
        <v>41.883299999999998</v>
      </c>
      <c r="G7786">
        <v>22.5</v>
      </c>
      <c r="H7786">
        <v>1</v>
      </c>
      <c r="I7786">
        <v>513</v>
      </c>
      <c r="J7786" t="str">
        <f>HYPERLINK("https://climate.onebuilding.org/WMO_Region_6_Europe/MKD_North_Macedonia/ESR_Eastern_Stat_Region/MKD_ESR_Vinica-PGC.135940_TMYx.2009-2023.zip")</f>
        <v>https://climate.onebuilding.org/WMO_Region_6_Europe/MKD_North_Macedonia/ESR_Eastern_Stat_Region/MKD_ESR_Vinica-PGC.135940_TMYx.2009-2023.zip</v>
      </c>
    </row>
    <row r="7787" spans="1:10" x14ac:dyDescent="0.25">
      <c r="A7787" t="s">
        <v>5736</v>
      </c>
      <c r="B7787" t="s">
        <v>5769</v>
      </c>
      <c r="C7787" t="s">
        <v>5776</v>
      </c>
      <c r="D7787">
        <v>135940</v>
      </c>
      <c r="E7787" t="s">
        <v>14</v>
      </c>
      <c r="F7787">
        <v>41.883299999999998</v>
      </c>
      <c r="G7787">
        <v>22.5</v>
      </c>
      <c r="H7787">
        <v>1</v>
      </c>
      <c r="I7787">
        <v>513</v>
      </c>
      <c r="J7787" t="str">
        <f>HYPERLINK("https://climate.onebuilding.org/WMO_Region_6_Europe/MKD_North_Macedonia/ESR_Eastern_Stat_Region/MKD_ESR_Vinica-PGC.135940_TMYx.zip")</f>
        <v>https://climate.onebuilding.org/WMO_Region_6_Europe/MKD_North_Macedonia/ESR_Eastern_Stat_Region/MKD_ESR_Vinica-PGC.135940_TMYx.zip</v>
      </c>
    </row>
    <row r="7788" spans="1:10" x14ac:dyDescent="0.25">
      <c r="A7788" t="s">
        <v>5736</v>
      </c>
      <c r="B7788" t="s">
        <v>5774</v>
      </c>
      <c r="C7788" t="s">
        <v>5777</v>
      </c>
      <c r="D7788">
        <v>135950</v>
      </c>
      <c r="E7788" t="s">
        <v>14</v>
      </c>
      <c r="F7788">
        <v>41.433300000000003</v>
      </c>
      <c r="G7788">
        <v>22.65</v>
      </c>
      <c r="H7788">
        <v>1</v>
      </c>
      <c r="I7788">
        <v>224</v>
      </c>
      <c r="J7788" t="str">
        <f>HYPERLINK("https://climate.onebuilding.org/WMO_Region_6_Europe/MKD_North_Macedonia/SER_Southeastern_Stat_Region/MKD_SER_Strumitsa.135950_TMYx.2007-2021.zip")</f>
        <v>https://climate.onebuilding.org/WMO_Region_6_Europe/MKD_North_Macedonia/SER_Southeastern_Stat_Region/MKD_SER_Strumitsa.135950_TMYx.2007-2021.zip</v>
      </c>
    </row>
    <row r="7789" spans="1:10" x14ac:dyDescent="0.25">
      <c r="A7789" t="s">
        <v>5736</v>
      </c>
      <c r="B7789" t="s">
        <v>5774</v>
      </c>
      <c r="C7789" t="s">
        <v>5777</v>
      </c>
      <c r="D7789">
        <v>135950</v>
      </c>
      <c r="E7789" t="s">
        <v>14</v>
      </c>
      <c r="F7789">
        <v>41.433300000000003</v>
      </c>
      <c r="G7789">
        <v>22.65</v>
      </c>
      <c r="H7789">
        <v>1</v>
      </c>
      <c r="I7789">
        <v>224</v>
      </c>
      <c r="J7789" t="str">
        <f>HYPERLINK("https://climate.onebuilding.org/WMO_Region_6_Europe/MKD_North_Macedonia/SER_Southeastern_Stat_Region/MKD_SER_Strumitsa.135950_TMYx.2009-2023.zip")</f>
        <v>https://climate.onebuilding.org/WMO_Region_6_Europe/MKD_North_Macedonia/SER_Southeastern_Stat_Region/MKD_SER_Strumitsa.135950_TMYx.2009-2023.zip</v>
      </c>
    </row>
    <row r="7790" spans="1:10" x14ac:dyDescent="0.25">
      <c r="A7790" t="s">
        <v>5736</v>
      </c>
      <c r="B7790" t="s">
        <v>5774</v>
      </c>
      <c r="C7790" t="s">
        <v>5777</v>
      </c>
      <c r="D7790">
        <v>135950</v>
      </c>
      <c r="E7790" t="s">
        <v>14</v>
      </c>
      <c r="F7790">
        <v>41.433300000000003</v>
      </c>
      <c r="G7790">
        <v>22.65</v>
      </c>
      <c r="H7790">
        <v>1</v>
      </c>
      <c r="I7790">
        <v>224</v>
      </c>
      <c r="J7790" t="str">
        <f>HYPERLINK("https://climate.onebuilding.org/WMO_Region_6_Europe/MKD_North_Macedonia/SER_Southeastern_Stat_Region/MKD_SER_Strumitsa.135950_TMYx.zip")</f>
        <v>https://climate.onebuilding.org/WMO_Region_6_Europe/MKD_North_Macedonia/SER_Southeastern_Stat_Region/MKD_SER_Strumitsa.135950_TMYx.zip</v>
      </c>
    </row>
    <row r="7791" spans="1:10" x14ac:dyDescent="0.25">
      <c r="A7791" t="s">
        <v>5736</v>
      </c>
      <c r="B7791" t="s">
        <v>5774</v>
      </c>
      <c r="C7791" t="s">
        <v>5778</v>
      </c>
      <c r="D7791">
        <v>135970</v>
      </c>
      <c r="E7791" t="s">
        <v>5779</v>
      </c>
      <c r="F7791">
        <v>41.15</v>
      </c>
      <c r="G7791">
        <v>22.5</v>
      </c>
      <c r="H7791">
        <v>1</v>
      </c>
      <c r="I7791">
        <v>59</v>
      </c>
      <c r="J7791" t="str">
        <f>HYPERLINK("https://climate.onebuilding.org/WMO_Region_6_Europe/MKD_North_Macedonia/SER_Southeastern_Stat_Region/MKD_SER_Gevgelija.135970_TMYx.2004-2018.zip")</f>
        <v>https://climate.onebuilding.org/WMO_Region_6_Europe/MKD_North_Macedonia/SER_Southeastern_Stat_Region/MKD_SER_Gevgelija.135970_TMYx.2004-2018.zip</v>
      </c>
    </row>
    <row r="7792" spans="1:10" x14ac:dyDescent="0.25">
      <c r="A7792" t="s">
        <v>5736</v>
      </c>
      <c r="B7792" t="s">
        <v>5774</v>
      </c>
      <c r="C7792" t="s">
        <v>5778</v>
      </c>
      <c r="D7792">
        <v>135970</v>
      </c>
      <c r="E7792" t="s">
        <v>14</v>
      </c>
      <c r="F7792">
        <v>41.15</v>
      </c>
      <c r="G7792">
        <v>22.5</v>
      </c>
      <c r="H7792">
        <v>1</v>
      </c>
      <c r="I7792">
        <v>59</v>
      </c>
      <c r="J7792" t="str">
        <f>HYPERLINK("https://climate.onebuilding.org/WMO_Region_6_Europe/MKD_North_Macedonia/SER_Southeastern_Stat_Region/MKD_SER_Gevgelija.135970_TMYx.2007-2021.zip")</f>
        <v>https://climate.onebuilding.org/WMO_Region_6_Europe/MKD_North_Macedonia/SER_Southeastern_Stat_Region/MKD_SER_Gevgelija.135970_TMYx.2007-2021.zip</v>
      </c>
    </row>
    <row r="7793" spans="1:10" x14ac:dyDescent="0.25">
      <c r="A7793" t="s">
        <v>5736</v>
      </c>
      <c r="B7793" t="s">
        <v>5774</v>
      </c>
      <c r="C7793" t="s">
        <v>5778</v>
      </c>
      <c r="D7793">
        <v>135970</v>
      </c>
      <c r="E7793" t="s">
        <v>14</v>
      </c>
      <c r="F7793">
        <v>41.15</v>
      </c>
      <c r="G7793">
        <v>22.5</v>
      </c>
      <c r="H7793">
        <v>1</v>
      </c>
      <c r="I7793">
        <v>59</v>
      </c>
      <c r="J7793" t="str">
        <f>HYPERLINK("https://climate.onebuilding.org/WMO_Region_6_Europe/MKD_North_Macedonia/SER_Southeastern_Stat_Region/MKD_SER_Gevgelija.135970_TMYx.2009-2023.zip")</f>
        <v>https://climate.onebuilding.org/WMO_Region_6_Europe/MKD_North_Macedonia/SER_Southeastern_Stat_Region/MKD_SER_Gevgelija.135970_TMYx.2009-2023.zip</v>
      </c>
    </row>
    <row r="7794" spans="1:10" x14ac:dyDescent="0.25">
      <c r="A7794" t="s">
        <v>5736</v>
      </c>
      <c r="B7794" t="s">
        <v>5774</v>
      </c>
      <c r="C7794" t="s">
        <v>5778</v>
      </c>
      <c r="D7794">
        <v>135970</v>
      </c>
      <c r="E7794" t="s">
        <v>14</v>
      </c>
      <c r="F7794">
        <v>41.15</v>
      </c>
      <c r="G7794">
        <v>22.5</v>
      </c>
      <c r="H7794">
        <v>1</v>
      </c>
      <c r="I7794">
        <v>59</v>
      </c>
      <c r="J7794" t="str">
        <f>HYPERLINK("https://climate.onebuilding.org/WMO_Region_6_Europe/MKD_North_Macedonia/SER_Southeastern_Stat_Region/MKD_SER_Gevgelija.135970_TMYx.zip")</f>
        <v>https://climate.onebuilding.org/WMO_Region_6_Europe/MKD_North_Macedonia/SER_Southeastern_Stat_Region/MKD_SER_Gevgelija.135970_TMYx.zip</v>
      </c>
    </row>
    <row r="7795" spans="1:10" x14ac:dyDescent="0.25">
      <c r="A7795" t="s">
        <v>5736</v>
      </c>
      <c r="B7795" t="s">
        <v>5769</v>
      </c>
      <c r="C7795" t="s">
        <v>5780</v>
      </c>
      <c r="D7795">
        <v>135980</v>
      </c>
      <c r="E7795" t="s">
        <v>5781</v>
      </c>
      <c r="F7795">
        <v>41.716700000000003</v>
      </c>
      <c r="G7795">
        <v>22.85</v>
      </c>
      <c r="H7795">
        <v>2</v>
      </c>
      <c r="I7795">
        <v>836</v>
      </c>
      <c r="J7795" t="str">
        <f>HYPERLINK("https://climate.onebuilding.org/WMO_Region_6_Europe/MKD_North_Macedonia/ESR_Eastern_Stat_Region/MKD_ESR_Berovo.135980_TMYx.2004-2018.zip")</f>
        <v>https://climate.onebuilding.org/WMO_Region_6_Europe/MKD_North_Macedonia/ESR_Eastern_Stat_Region/MKD_ESR_Berovo.135980_TMYx.2004-2018.zip</v>
      </c>
    </row>
    <row r="7796" spans="1:10" x14ac:dyDescent="0.25">
      <c r="A7796" t="s">
        <v>5736</v>
      </c>
      <c r="B7796" t="s">
        <v>5769</v>
      </c>
      <c r="C7796" t="s">
        <v>5780</v>
      </c>
      <c r="D7796">
        <v>135980</v>
      </c>
      <c r="E7796" t="s">
        <v>14</v>
      </c>
      <c r="F7796">
        <v>41.716700000000003</v>
      </c>
      <c r="G7796">
        <v>22.85</v>
      </c>
      <c r="H7796">
        <v>1</v>
      </c>
      <c r="I7796">
        <v>836</v>
      </c>
      <c r="J7796" t="str">
        <f>HYPERLINK("https://climate.onebuilding.org/WMO_Region_6_Europe/MKD_North_Macedonia/ESR_Eastern_Stat_Region/MKD_ESR_Berovo.135980_TMYx.2007-2021.zip")</f>
        <v>https://climate.onebuilding.org/WMO_Region_6_Europe/MKD_North_Macedonia/ESR_Eastern_Stat_Region/MKD_ESR_Berovo.135980_TMYx.2007-2021.zip</v>
      </c>
    </row>
    <row r="7797" spans="1:10" x14ac:dyDescent="0.25">
      <c r="A7797" t="s">
        <v>5736</v>
      </c>
      <c r="B7797" t="s">
        <v>5769</v>
      </c>
      <c r="C7797" t="s">
        <v>5780</v>
      </c>
      <c r="D7797">
        <v>135980</v>
      </c>
      <c r="E7797" t="s">
        <v>14</v>
      </c>
      <c r="F7797">
        <v>41.716700000000003</v>
      </c>
      <c r="G7797">
        <v>22.85</v>
      </c>
      <c r="H7797">
        <v>1</v>
      </c>
      <c r="I7797">
        <v>836</v>
      </c>
      <c r="J7797" t="str">
        <f>HYPERLINK("https://climate.onebuilding.org/WMO_Region_6_Europe/MKD_North_Macedonia/ESR_Eastern_Stat_Region/MKD_ESR_Berovo.135980_TMYx.2009-2023.zip")</f>
        <v>https://climate.onebuilding.org/WMO_Region_6_Europe/MKD_North_Macedonia/ESR_Eastern_Stat_Region/MKD_ESR_Berovo.135980_TMYx.2009-2023.zip</v>
      </c>
    </row>
    <row r="7798" spans="1:10" x14ac:dyDescent="0.25">
      <c r="A7798" t="s">
        <v>5736</v>
      </c>
      <c r="B7798" t="s">
        <v>5769</v>
      </c>
      <c r="C7798" t="s">
        <v>5780</v>
      </c>
      <c r="D7798">
        <v>135980</v>
      </c>
      <c r="E7798" t="s">
        <v>14</v>
      </c>
      <c r="F7798">
        <v>41.716700000000003</v>
      </c>
      <c r="G7798">
        <v>22.85</v>
      </c>
      <c r="H7798">
        <v>1</v>
      </c>
      <c r="I7798">
        <v>836</v>
      </c>
      <c r="J7798" t="str">
        <f>HYPERLINK("https://climate.onebuilding.org/WMO_Region_6_Europe/MKD_North_Macedonia/ESR_Eastern_Stat_Region/MKD_ESR_Berovo.135980_TMYx.zip")</f>
        <v>https://climate.onebuilding.org/WMO_Region_6_Europe/MKD_North_Macedonia/ESR_Eastern_Stat_Region/MKD_ESR_Berovo.135980_TMYx.zip</v>
      </c>
    </row>
    <row r="7799" spans="1:10" x14ac:dyDescent="0.25">
      <c r="A7799" t="s">
        <v>5782</v>
      </c>
      <c r="B7799" t="s">
        <v>774</v>
      </c>
      <c r="C7799" t="s">
        <v>5783</v>
      </c>
      <c r="D7799">
        <v>165970</v>
      </c>
      <c r="E7799" t="s">
        <v>5784</v>
      </c>
      <c r="F7799">
        <v>35.85</v>
      </c>
      <c r="G7799">
        <v>14.4833</v>
      </c>
      <c r="H7799">
        <v>1</v>
      </c>
      <c r="I7799">
        <v>91</v>
      </c>
      <c r="J7799" t="str">
        <f>HYPERLINK("https://climate.onebuilding.org/WMO_Region_6_Europe/MLT_Malta/MLT_SO_Luqa-Malta.Intl.AP.165970_TMYx.2004-2018.zip")</f>
        <v>https://climate.onebuilding.org/WMO_Region_6_Europe/MLT_Malta/MLT_SO_Luqa-Malta.Intl.AP.165970_TMYx.2004-2018.zip</v>
      </c>
    </row>
    <row r="7800" spans="1:10" x14ac:dyDescent="0.25">
      <c r="A7800" t="s">
        <v>5782</v>
      </c>
      <c r="B7800" t="s">
        <v>774</v>
      </c>
      <c r="C7800" t="s">
        <v>5783</v>
      </c>
      <c r="D7800">
        <v>165970</v>
      </c>
      <c r="E7800" t="s">
        <v>14</v>
      </c>
      <c r="F7800">
        <v>35.856999999999999</v>
      </c>
      <c r="G7800">
        <v>14.478</v>
      </c>
      <c r="H7800">
        <v>1</v>
      </c>
      <c r="I7800">
        <v>91</v>
      </c>
      <c r="J7800" t="str">
        <f>HYPERLINK("https://climate.onebuilding.org/WMO_Region_6_Europe/MLT_Malta/MLT_SO_Luqa-Malta.Intl.AP.165970_TMYx.2007-2021.zip")</f>
        <v>https://climate.onebuilding.org/WMO_Region_6_Europe/MLT_Malta/MLT_SO_Luqa-Malta.Intl.AP.165970_TMYx.2007-2021.zip</v>
      </c>
    </row>
    <row r="7801" spans="1:10" x14ac:dyDescent="0.25">
      <c r="A7801" t="s">
        <v>5782</v>
      </c>
      <c r="B7801" t="s">
        <v>774</v>
      </c>
      <c r="C7801" t="s">
        <v>5783</v>
      </c>
      <c r="D7801">
        <v>165970</v>
      </c>
      <c r="E7801" t="s">
        <v>14</v>
      </c>
      <c r="F7801">
        <v>35.856999999999999</v>
      </c>
      <c r="G7801">
        <v>14.478</v>
      </c>
      <c r="H7801">
        <v>1</v>
      </c>
      <c r="I7801">
        <v>91</v>
      </c>
      <c r="J7801" t="str">
        <f>HYPERLINK("https://climate.onebuilding.org/WMO_Region_6_Europe/MLT_Malta/MLT_SO_Luqa-Malta.Intl.AP.165970_TMYx.2009-2023.zip")</f>
        <v>https://climate.onebuilding.org/WMO_Region_6_Europe/MLT_Malta/MLT_SO_Luqa-Malta.Intl.AP.165970_TMYx.2009-2023.zip</v>
      </c>
    </row>
    <row r="7802" spans="1:10" x14ac:dyDescent="0.25">
      <c r="A7802" t="s">
        <v>5782</v>
      </c>
      <c r="B7802" t="s">
        <v>774</v>
      </c>
      <c r="C7802" t="s">
        <v>5783</v>
      </c>
      <c r="D7802">
        <v>165970</v>
      </c>
      <c r="E7802" t="s">
        <v>14</v>
      </c>
      <c r="F7802">
        <v>35.856999999999999</v>
      </c>
      <c r="G7802">
        <v>14.478</v>
      </c>
      <c r="H7802">
        <v>1</v>
      </c>
      <c r="I7802">
        <v>91</v>
      </c>
      <c r="J7802" t="str">
        <f>HYPERLINK("https://climate.onebuilding.org/WMO_Region_6_Europe/MLT_Malta/MLT_SO_Luqa-Malta.Intl.AP.165970_TMYx.zip")</f>
        <v>https://climate.onebuilding.org/WMO_Region_6_Europe/MLT_Malta/MLT_SO_Luqa-Malta.Intl.AP.165970_TMYx.zip</v>
      </c>
    </row>
    <row r="7803" spans="1:10" x14ac:dyDescent="0.25">
      <c r="A7803" t="s">
        <v>5782</v>
      </c>
      <c r="B7803" t="s">
        <v>93</v>
      </c>
      <c r="C7803" t="s">
        <v>5785</v>
      </c>
      <c r="D7803">
        <v>165974</v>
      </c>
      <c r="E7803" t="s">
        <v>14</v>
      </c>
      <c r="F7803">
        <v>35.917000000000002</v>
      </c>
      <c r="G7803">
        <v>14.433</v>
      </c>
      <c r="H7803">
        <v>1</v>
      </c>
      <c r="I7803">
        <v>95</v>
      </c>
      <c r="J7803" t="str">
        <f>HYPERLINK("https://climate.onebuilding.org/WMO_Region_6_Europe/MLT_Malta/MLT_NO_Mosta-Santa.Margerita.165974_TMYx.zip")</f>
        <v>https://climate.onebuilding.org/WMO_Region_6_Europe/MLT_Malta/MLT_NO_Mosta-Santa.Margerita.165974_TMYx.zip</v>
      </c>
    </row>
    <row r="7804" spans="1:10" x14ac:dyDescent="0.25">
      <c r="A7804" t="s">
        <v>5782</v>
      </c>
      <c r="B7804" t="s">
        <v>93</v>
      </c>
      <c r="C7804" t="s">
        <v>5786</v>
      </c>
      <c r="D7804">
        <v>165990</v>
      </c>
      <c r="E7804" t="s">
        <v>78</v>
      </c>
      <c r="F7804">
        <v>35.85</v>
      </c>
      <c r="G7804">
        <v>14.5</v>
      </c>
      <c r="H7804">
        <v>1</v>
      </c>
      <c r="I7804">
        <v>78</v>
      </c>
      <c r="J7804" t="str">
        <f>HYPERLINK("https://climate.onebuilding.org/WMO_Region_6_Europe/MLT_Malta/MLT_NO_Gudja.165990_TMYx.2007-2021.zip")</f>
        <v>https://climate.onebuilding.org/WMO_Region_6_Europe/MLT_Malta/MLT_NO_Gudja.165990_TMYx.2007-2021.zip</v>
      </c>
    </row>
    <row r="7805" spans="1:10" x14ac:dyDescent="0.25">
      <c r="A7805" t="s">
        <v>5782</v>
      </c>
      <c r="B7805" t="s">
        <v>93</v>
      </c>
      <c r="C7805" t="s">
        <v>5786</v>
      </c>
      <c r="D7805">
        <v>165990</v>
      </c>
      <c r="E7805" t="s">
        <v>78</v>
      </c>
      <c r="F7805">
        <v>35.85</v>
      </c>
      <c r="G7805">
        <v>14.5</v>
      </c>
      <c r="H7805">
        <v>1</v>
      </c>
      <c r="I7805">
        <v>78</v>
      </c>
      <c r="J7805" t="str">
        <f>HYPERLINK("https://climate.onebuilding.org/WMO_Region_6_Europe/MLT_Malta/MLT_NO_Gudja.165990_TMYx.2009-2023.zip")</f>
        <v>https://climate.onebuilding.org/WMO_Region_6_Europe/MLT_Malta/MLT_NO_Gudja.165990_TMYx.2009-2023.zip</v>
      </c>
    </row>
    <row r="7806" spans="1:10" x14ac:dyDescent="0.25">
      <c r="A7806" t="s">
        <v>5782</v>
      </c>
      <c r="B7806" t="s">
        <v>93</v>
      </c>
      <c r="C7806" t="s">
        <v>5786</v>
      </c>
      <c r="D7806">
        <v>165990</v>
      </c>
      <c r="E7806" t="s">
        <v>78</v>
      </c>
      <c r="F7806">
        <v>35.85</v>
      </c>
      <c r="G7806">
        <v>14.5</v>
      </c>
      <c r="H7806">
        <v>1</v>
      </c>
      <c r="I7806">
        <v>78</v>
      </c>
      <c r="J7806" t="str">
        <f>HYPERLINK("https://climate.onebuilding.org/WMO_Region_6_Europe/MLT_Malta/MLT_NO_Gudja.165990_TMYx.zip")</f>
        <v>https://climate.onebuilding.org/WMO_Region_6_Europe/MLT_Malta/MLT_NO_Gudja.165990_TMYx.zip</v>
      </c>
    </row>
    <row r="7807" spans="1:10" x14ac:dyDescent="0.25">
      <c r="A7807" t="s">
        <v>5787</v>
      </c>
      <c r="B7807" t="s">
        <v>5788</v>
      </c>
      <c r="C7807" t="s">
        <v>5789</v>
      </c>
      <c r="D7807">
        <v>133610</v>
      </c>
      <c r="E7807" t="s">
        <v>5790</v>
      </c>
      <c r="F7807">
        <v>43.15</v>
      </c>
      <c r="G7807">
        <v>19.133299999999998</v>
      </c>
      <c r="H7807">
        <v>1</v>
      </c>
      <c r="I7807">
        <v>1450</v>
      </c>
      <c r="J7807" t="str">
        <f>HYPERLINK("https://climate.onebuilding.org/WMO_Region_6_Europe/MNE_Montenegro/MNE_ZA_Zabljak.133610_TMYx.2004-2018.zip")</f>
        <v>https://climate.onebuilding.org/WMO_Region_6_Europe/MNE_Montenegro/MNE_ZA_Zabljak.133610_TMYx.2004-2018.zip</v>
      </c>
    </row>
    <row r="7808" spans="1:10" x14ac:dyDescent="0.25">
      <c r="A7808" t="s">
        <v>5787</v>
      </c>
      <c r="B7808" t="s">
        <v>5788</v>
      </c>
      <c r="C7808" t="s">
        <v>5789</v>
      </c>
      <c r="D7808">
        <v>133610</v>
      </c>
      <c r="E7808" t="s">
        <v>14</v>
      </c>
      <c r="F7808">
        <v>43.15</v>
      </c>
      <c r="G7808">
        <v>19.133299999999998</v>
      </c>
      <c r="H7808">
        <v>1</v>
      </c>
      <c r="I7808">
        <v>1450</v>
      </c>
      <c r="J7808" t="str">
        <f>HYPERLINK("https://climate.onebuilding.org/WMO_Region_6_Europe/MNE_Montenegro/MNE_ZA_Zabljak.133610_TMYx.zip")</f>
        <v>https://climate.onebuilding.org/WMO_Region_6_Europe/MNE_Montenegro/MNE_ZA_Zabljak.133610_TMYx.zip</v>
      </c>
    </row>
    <row r="7809" spans="1:10" x14ac:dyDescent="0.25">
      <c r="A7809" t="s">
        <v>5787</v>
      </c>
      <c r="B7809" t="s">
        <v>3033</v>
      </c>
      <c r="C7809" t="s">
        <v>5791</v>
      </c>
      <c r="D7809">
        <v>133630</v>
      </c>
      <c r="E7809" t="s">
        <v>5792</v>
      </c>
      <c r="F7809">
        <v>43.35</v>
      </c>
      <c r="G7809">
        <v>19.350000000000001</v>
      </c>
      <c r="H7809">
        <v>1</v>
      </c>
      <c r="I7809">
        <v>788</v>
      </c>
      <c r="J7809" t="str">
        <f>HYPERLINK("https://climate.onebuilding.org/WMO_Region_6_Europe/MNE_Montenegro/MNE_PL_Plevlja.133630_TMYx.2004-2018.zip")</f>
        <v>https://climate.onebuilding.org/WMO_Region_6_Europe/MNE_Montenegro/MNE_PL_Plevlja.133630_TMYx.2004-2018.zip</v>
      </c>
    </row>
    <row r="7810" spans="1:10" x14ac:dyDescent="0.25">
      <c r="A7810" t="s">
        <v>5787</v>
      </c>
      <c r="B7810" t="s">
        <v>3033</v>
      </c>
      <c r="C7810" t="s">
        <v>5791</v>
      </c>
      <c r="D7810">
        <v>133630</v>
      </c>
      <c r="E7810" t="s">
        <v>14</v>
      </c>
      <c r="F7810">
        <v>43.35</v>
      </c>
      <c r="G7810">
        <v>19.350000000000001</v>
      </c>
      <c r="H7810">
        <v>1</v>
      </c>
      <c r="I7810">
        <v>788</v>
      </c>
      <c r="J7810" t="str">
        <f>HYPERLINK("https://climate.onebuilding.org/WMO_Region_6_Europe/MNE_Montenegro/MNE_PL_Plevlja.133630_TMYx.2007-2021.zip")</f>
        <v>https://climate.onebuilding.org/WMO_Region_6_Europe/MNE_Montenegro/MNE_PL_Plevlja.133630_TMYx.2007-2021.zip</v>
      </c>
    </row>
    <row r="7811" spans="1:10" x14ac:dyDescent="0.25">
      <c r="A7811" t="s">
        <v>5787</v>
      </c>
      <c r="B7811" t="s">
        <v>3033</v>
      </c>
      <c r="C7811" t="s">
        <v>5791</v>
      </c>
      <c r="D7811">
        <v>133630</v>
      </c>
      <c r="E7811" t="s">
        <v>14</v>
      </c>
      <c r="F7811">
        <v>43.35</v>
      </c>
      <c r="G7811">
        <v>19.350000000000001</v>
      </c>
      <c r="H7811">
        <v>1</v>
      </c>
      <c r="I7811">
        <v>788</v>
      </c>
      <c r="J7811" t="str">
        <f>HYPERLINK("https://climate.onebuilding.org/WMO_Region_6_Europe/MNE_Montenegro/MNE_PL_Plevlja.133630_TMYx.2009-2023.zip")</f>
        <v>https://climate.onebuilding.org/WMO_Region_6_Europe/MNE_Montenegro/MNE_PL_Plevlja.133630_TMYx.2009-2023.zip</v>
      </c>
    </row>
    <row r="7812" spans="1:10" x14ac:dyDescent="0.25">
      <c r="A7812" t="s">
        <v>5787</v>
      </c>
      <c r="B7812" t="s">
        <v>3033</v>
      </c>
      <c r="C7812" t="s">
        <v>5791</v>
      </c>
      <c r="D7812">
        <v>133630</v>
      </c>
      <c r="E7812" t="s">
        <v>14</v>
      </c>
      <c r="F7812">
        <v>43.35</v>
      </c>
      <c r="G7812">
        <v>19.350000000000001</v>
      </c>
      <c r="H7812">
        <v>1</v>
      </c>
      <c r="I7812">
        <v>788</v>
      </c>
      <c r="J7812" t="str">
        <f>HYPERLINK("https://climate.onebuilding.org/WMO_Region_6_Europe/MNE_Montenegro/MNE_PL_Plevlja.133630_TMYx.zip")</f>
        <v>https://climate.onebuilding.org/WMO_Region_6_Europe/MNE_Montenegro/MNE_PL_Plevlja.133630_TMYx.zip</v>
      </c>
    </row>
    <row r="7813" spans="1:10" x14ac:dyDescent="0.25">
      <c r="A7813" t="s">
        <v>5787</v>
      </c>
      <c r="B7813" t="s">
        <v>5793</v>
      </c>
      <c r="C7813" t="s">
        <v>5794</v>
      </c>
      <c r="D7813">
        <v>134550</v>
      </c>
      <c r="E7813" t="s">
        <v>14</v>
      </c>
      <c r="F7813">
        <v>42.45</v>
      </c>
      <c r="G7813">
        <v>18.55</v>
      </c>
      <c r="H7813">
        <v>1</v>
      </c>
      <c r="I7813">
        <v>10</v>
      </c>
      <c r="J7813" t="str">
        <f>HYPERLINK("https://climate.onebuilding.org/WMO_Region_6_Europe/MNE_Montenegro/MNE_HN_Herceg-Novi.Igalo.134550_TMYx.zip")</f>
        <v>https://climate.onebuilding.org/WMO_Region_6_Europe/MNE_Montenegro/MNE_HN_Herceg-Novi.Igalo.134550_TMYx.zip</v>
      </c>
    </row>
    <row r="7814" spans="1:10" x14ac:dyDescent="0.25">
      <c r="A7814" t="s">
        <v>5787</v>
      </c>
      <c r="B7814" t="s">
        <v>47</v>
      </c>
      <c r="C7814" t="s">
        <v>5795</v>
      </c>
      <c r="D7814">
        <v>134570</v>
      </c>
      <c r="E7814" t="s">
        <v>5796</v>
      </c>
      <c r="F7814">
        <v>42.405000000000001</v>
      </c>
      <c r="G7814">
        <v>18.722999999999999</v>
      </c>
      <c r="H7814">
        <v>1</v>
      </c>
      <c r="I7814">
        <v>6.1</v>
      </c>
      <c r="J7814" t="str">
        <f>HYPERLINK("https://climate.onebuilding.org/WMO_Region_6_Europe/MNE_Montenegro/MNE_TI_Tivat.AP.134570_TMYx.2004-2018.zip")</f>
        <v>https://climate.onebuilding.org/WMO_Region_6_Europe/MNE_Montenegro/MNE_TI_Tivat.AP.134570_TMYx.2004-2018.zip</v>
      </c>
    </row>
    <row r="7815" spans="1:10" x14ac:dyDescent="0.25">
      <c r="A7815" t="s">
        <v>5787</v>
      </c>
      <c r="B7815" t="s">
        <v>47</v>
      </c>
      <c r="C7815" t="s">
        <v>5795</v>
      </c>
      <c r="D7815">
        <v>134570</v>
      </c>
      <c r="E7815" t="s">
        <v>14</v>
      </c>
      <c r="F7815">
        <v>42.405000000000001</v>
      </c>
      <c r="G7815">
        <v>18.722999999999999</v>
      </c>
      <c r="H7815">
        <v>1</v>
      </c>
      <c r="I7815">
        <v>6.1</v>
      </c>
      <c r="J7815" t="str">
        <f>HYPERLINK("https://climate.onebuilding.org/WMO_Region_6_Europe/MNE_Montenegro/MNE_TI_Tivat.AP.134570_TMYx.2007-2021.zip")</f>
        <v>https://climate.onebuilding.org/WMO_Region_6_Europe/MNE_Montenegro/MNE_TI_Tivat.AP.134570_TMYx.2007-2021.zip</v>
      </c>
    </row>
    <row r="7816" spans="1:10" x14ac:dyDescent="0.25">
      <c r="A7816" t="s">
        <v>5787</v>
      </c>
      <c r="B7816" t="s">
        <v>47</v>
      </c>
      <c r="C7816" t="s">
        <v>5795</v>
      </c>
      <c r="D7816">
        <v>134570</v>
      </c>
      <c r="E7816" t="s">
        <v>14</v>
      </c>
      <c r="F7816">
        <v>42.405000000000001</v>
      </c>
      <c r="G7816">
        <v>18.722999999999999</v>
      </c>
      <c r="H7816">
        <v>1</v>
      </c>
      <c r="I7816">
        <v>6.1</v>
      </c>
      <c r="J7816" t="str">
        <f>HYPERLINK("https://climate.onebuilding.org/WMO_Region_6_Europe/MNE_Montenegro/MNE_TI_Tivat.AP.134570_TMYx.2009-2023.zip")</f>
        <v>https://climate.onebuilding.org/WMO_Region_6_Europe/MNE_Montenegro/MNE_TI_Tivat.AP.134570_TMYx.2009-2023.zip</v>
      </c>
    </row>
    <row r="7817" spans="1:10" x14ac:dyDescent="0.25">
      <c r="A7817" t="s">
        <v>5787</v>
      </c>
      <c r="B7817" t="s">
        <v>47</v>
      </c>
      <c r="C7817" t="s">
        <v>5795</v>
      </c>
      <c r="D7817">
        <v>134570</v>
      </c>
      <c r="E7817" t="s">
        <v>14</v>
      </c>
      <c r="F7817">
        <v>42.405000000000001</v>
      </c>
      <c r="G7817">
        <v>18.722999999999999</v>
      </c>
      <c r="H7817">
        <v>1</v>
      </c>
      <c r="I7817">
        <v>6.1</v>
      </c>
      <c r="J7817" t="str">
        <f>HYPERLINK("https://climate.onebuilding.org/WMO_Region_6_Europe/MNE_Montenegro/MNE_TI_Tivat.AP.134570_TMYx.zip")</f>
        <v>https://climate.onebuilding.org/WMO_Region_6_Europe/MNE_Montenegro/MNE_TI_Tivat.AP.134570_TMYx.zip</v>
      </c>
    </row>
    <row r="7818" spans="1:10" x14ac:dyDescent="0.25">
      <c r="A7818" t="s">
        <v>5787</v>
      </c>
      <c r="B7818" t="s">
        <v>2463</v>
      </c>
      <c r="C7818" t="s">
        <v>5797</v>
      </c>
      <c r="D7818">
        <v>134590</v>
      </c>
      <c r="E7818" t="s">
        <v>5798</v>
      </c>
      <c r="F7818">
        <v>42.7667</v>
      </c>
      <c r="G7818">
        <v>18.95</v>
      </c>
      <c r="H7818">
        <v>1</v>
      </c>
      <c r="I7818">
        <v>647</v>
      </c>
      <c r="J7818" t="str">
        <f>HYPERLINK("https://climate.onebuilding.org/WMO_Region_6_Europe/MNE_Montenegro/MNE_NK_Niksic.134590_TMYx.2004-2018.zip")</f>
        <v>https://climate.onebuilding.org/WMO_Region_6_Europe/MNE_Montenegro/MNE_NK_Niksic.134590_TMYx.2004-2018.zip</v>
      </c>
    </row>
    <row r="7819" spans="1:10" x14ac:dyDescent="0.25">
      <c r="A7819" t="s">
        <v>5787</v>
      </c>
      <c r="B7819" t="s">
        <v>2463</v>
      </c>
      <c r="C7819" t="s">
        <v>5797</v>
      </c>
      <c r="D7819">
        <v>134590</v>
      </c>
      <c r="E7819" t="s">
        <v>14</v>
      </c>
      <c r="F7819">
        <v>42.7667</v>
      </c>
      <c r="G7819">
        <v>18.95</v>
      </c>
      <c r="H7819">
        <v>1</v>
      </c>
      <c r="I7819">
        <v>647</v>
      </c>
      <c r="J7819" t="str">
        <f>HYPERLINK("https://climate.onebuilding.org/WMO_Region_6_Europe/MNE_Montenegro/MNE_NK_Niksic.134590_TMYx.2007-2021.zip")</f>
        <v>https://climate.onebuilding.org/WMO_Region_6_Europe/MNE_Montenegro/MNE_NK_Niksic.134590_TMYx.2007-2021.zip</v>
      </c>
    </row>
    <row r="7820" spans="1:10" x14ac:dyDescent="0.25">
      <c r="A7820" t="s">
        <v>5787</v>
      </c>
      <c r="B7820" t="s">
        <v>2463</v>
      </c>
      <c r="C7820" t="s">
        <v>5797</v>
      </c>
      <c r="D7820">
        <v>134590</v>
      </c>
      <c r="E7820" t="s">
        <v>14</v>
      </c>
      <c r="F7820">
        <v>42.7667</v>
      </c>
      <c r="G7820">
        <v>18.95</v>
      </c>
      <c r="H7820">
        <v>1</v>
      </c>
      <c r="I7820">
        <v>647</v>
      </c>
      <c r="J7820" t="str">
        <f>HYPERLINK("https://climate.onebuilding.org/WMO_Region_6_Europe/MNE_Montenegro/MNE_NK_Niksic.134590_TMYx.2009-2023.zip")</f>
        <v>https://climate.onebuilding.org/WMO_Region_6_Europe/MNE_Montenegro/MNE_NK_Niksic.134590_TMYx.2009-2023.zip</v>
      </c>
    </row>
    <row r="7821" spans="1:10" x14ac:dyDescent="0.25">
      <c r="A7821" t="s">
        <v>5787</v>
      </c>
      <c r="B7821" t="s">
        <v>2463</v>
      </c>
      <c r="C7821" t="s">
        <v>5797</v>
      </c>
      <c r="D7821">
        <v>134590</v>
      </c>
      <c r="E7821" t="s">
        <v>14</v>
      </c>
      <c r="F7821">
        <v>42.7667</v>
      </c>
      <c r="G7821">
        <v>18.95</v>
      </c>
      <c r="H7821">
        <v>1</v>
      </c>
      <c r="I7821">
        <v>647</v>
      </c>
      <c r="J7821" t="str">
        <f>HYPERLINK("https://climate.onebuilding.org/WMO_Region_6_Europe/MNE_Montenegro/MNE_NK_Niksic.134590_TMYx.zip")</f>
        <v>https://climate.onebuilding.org/WMO_Region_6_Europe/MNE_Montenegro/MNE_NK_Niksic.134590_TMYx.zip</v>
      </c>
    </row>
    <row r="7822" spans="1:10" x14ac:dyDescent="0.25">
      <c r="A7822" t="s">
        <v>5787</v>
      </c>
      <c r="B7822" t="s">
        <v>5559</v>
      </c>
      <c r="C7822" t="s">
        <v>5799</v>
      </c>
      <c r="D7822">
        <v>134610</v>
      </c>
      <c r="E7822" t="s">
        <v>5800</v>
      </c>
      <c r="F7822">
        <v>42.1</v>
      </c>
      <c r="G7822">
        <v>19.100000000000001</v>
      </c>
      <c r="H7822">
        <v>1</v>
      </c>
      <c r="I7822">
        <v>6</v>
      </c>
      <c r="J7822" t="str">
        <f>HYPERLINK("https://climate.onebuilding.org/WMO_Region_6_Europe/MNE_Montenegro/MNE_BA_Bar.134610_TMYx.2004-2018.zip")</f>
        <v>https://climate.onebuilding.org/WMO_Region_6_Europe/MNE_Montenegro/MNE_BA_Bar.134610_TMYx.2004-2018.zip</v>
      </c>
    </row>
    <row r="7823" spans="1:10" x14ac:dyDescent="0.25">
      <c r="A7823" t="s">
        <v>5787</v>
      </c>
      <c r="B7823" t="s">
        <v>5559</v>
      </c>
      <c r="C7823" t="s">
        <v>5799</v>
      </c>
      <c r="D7823">
        <v>134610</v>
      </c>
      <c r="E7823" t="s">
        <v>14</v>
      </c>
      <c r="F7823">
        <v>42.1</v>
      </c>
      <c r="G7823">
        <v>19.100000000000001</v>
      </c>
      <c r="H7823">
        <v>1</v>
      </c>
      <c r="I7823">
        <v>6</v>
      </c>
      <c r="J7823" t="str">
        <f>HYPERLINK("https://climate.onebuilding.org/WMO_Region_6_Europe/MNE_Montenegro/MNE_BA_Bar.134610_TMYx.2007-2021.zip")</f>
        <v>https://climate.onebuilding.org/WMO_Region_6_Europe/MNE_Montenegro/MNE_BA_Bar.134610_TMYx.2007-2021.zip</v>
      </c>
    </row>
    <row r="7824" spans="1:10" x14ac:dyDescent="0.25">
      <c r="A7824" t="s">
        <v>5787</v>
      </c>
      <c r="B7824" t="s">
        <v>5559</v>
      </c>
      <c r="C7824" t="s">
        <v>5799</v>
      </c>
      <c r="D7824">
        <v>134610</v>
      </c>
      <c r="E7824" t="s">
        <v>14</v>
      </c>
      <c r="F7824">
        <v>42.1</v>
      </c>
      <c r="G7824">
        <v>19.100000000000001</v>
      </c>
      <c r="H7824">
        <v>1</v>
      </c>
      <c r="I7824">
        <v>6</v>
      </c>
      <c r="J7824" t="str">
        <f>HYPERLINK("https://climate.onebuilding.org/WMO_Region_6_Europe/MNE_Montenegro/MNE_BA_Bar.134610_TMYx.2009-2023.zip")</f>
        <v>https://climate.onebuilding.org/WMO_Region_6_Europe/MNE_Montenegro/MNE_BA_Bar.134610_TMYx.2009-2023.zip</v>
      </c>
    </row>
    <row r="7825" spans="1:10" x14ac:dyDescent="0.25">
      <c r="A7825" t="s">
        <v>5787</v>
      </c>
      <c r="B7825" t="s">
        <v>5559</v>
      </c>
      <c r="C7825" t="s">
        <v>5799</v>
      </c>
      <c r="D7825">
        <v>134610</v>
      </c>
      <c r="E7825" t="s">
        <v>14</v>
      </c>
      <c r="F7825">
        <v>42.1</v>
      </c>
      <c r="G7825">
        <v>19.100000000000001</v>
      </c>
      <c r="H7825">
        <v>1</v>
      </c>
      <c r="I7825">
        <v>6</v>
      </c>
      <c r="J7825" t="str">
        <f>HYPERLINK("https://climate.onebuilding.org/WMO_Region_6_Europe/MNE_Montenegro/MNE_BA_Bar.134610_TMYx.zip")</f>
        <v>https://climate.onebuilding.org/WMO_Region_6_Europe/MNE_Montenegro/MNE_BA_Bar.134610_TMYx.zip</v>
      </c>
    </row>
    <row r="7826" spans="1:10" x14ac:dyDescent="0.25">
      <c r="A7826" t="s">
        <v>5787</v>
      </c>
      <c r="B7826" t="s">
        <v>4884</v>
      </c>
      <c r="C7826" t="s">
        <v>5801</v>
      </c>
      <c r="D7826">
        <v>134620</v>
      </c>
      <c r="E7826" t="s">
        <v>5802</v>
      </c>
      <c r="F7826">
        <v>42.366999999999997</v>
      </c>
      <c r="G7826">
        <v>19.25</v>
      </c>
      <c r="H7826">
        <v>1</v>
      </c>
      <c r="I7826">
        <v>33</v>
      </c>
      <c r="J7826" t="str">
        <f>HYPERLINK("https://climate.onebuilding.org/WMO_Region_6_Europe/MNE_Montenegro/MNE_PG_Podgorica.AP.134620_TMYx.2004-2018.zip")</f>
        <v>https://climate.onebuilding.org/WMO_Region_6_Europe/MNE_Montenegro/MNE_PG_Podgorica.AP.134620_TMYx.2004-2018.zip</v>
      </c>
    </row>
    <row r="7827" spans="1:10" x14ac:dyDescent="0.25">
      <c r="A7827" t="s">
        <v>5787</v>
      </c>
      <c r="B7827" t="s">
        <v>4884</v>
      </c>
      <c r="C7827" t="s">
        <v>5801</v>
      </c>
      <c r="D7827">
        <v>134620</v>
      </c>
      <c r="E7827" t="s">
        <v>14</v>
      </c>
      <c r="F7827">
        <v>42.366999999999997</v>
      </c>
      <c r="G7827">
        <v>19.25</v>
      </c>
      <c r="H7827">
        <v>1</v>
      </c>
      <c r="I7827">
        <v>33</v>
      </c>
      <c r="J7827" t="str">
        <f>HYPERLINK("https://climate.onebuilding.org/WMO_Region_6_Europe/MNE_Montenegro/MNE_PG_Podgorica.AP.134620_TMYx.2007-2021.zip")</f>
        <v>https://climate.onebuilding.org/WMO_Region_6_Europe/MNE_Montenegro/MNE_PG_Podgorica.AP.134620_TMYx.2007-2021.zip</v>
      </c>
    </row>
    <row r="7828" spans="1:10" x14ac:dyDescent="0.25">
      <c r="A7828" t="s">
        <v>5787</v>
      </c>
      <c r="B7828" t="s">
        <v>4884</v>
      </c>
      <c r="C7828" t="s">
        <v>5801</v>
      </c>
      <c r="D7828">
        <v>134620</v>
      </c>
      <c r="E7828" t="s">
        <v>14</v>
      </c>
      <c r="F7828">
        <v>42.366999999999997</v>
      </c>
      <c r="G7828">
        <v>19.25</v>
      </c>
      <c r="H7828">
        <v>1</v>
      </c>
      <c r="I7828">
        <v>33</v>
      </c>
      <c r="J7828" t="str">
        <f>HYPERLINK("https://climate.onebuilding.org/WMO_Region_6_Europe/MNE_Montenegro/MNE_PG_Podgorica.AP.134620_TMYx.2009-2023.zip")</f>
        <v>https://climate.onebuilding.org/WMO_Region_6_Europe/MNE_Montenegro/MNE_PG_Podgorica.AP.134620_TMYx.2009-2023.zip</v>
      </c>
    </row>
    <row r="7829" spans="1:10" x14ac:dyDescent="0.25">
      <c r="A7829" t="s">
        <v>5787</v>
      </c>
      <c r="B7829" t="s">
        <v>4884</v>
      </c>
      <c r="C7829" t="s">
        <v>5801</v>
      </c>
      <c r="D7829">
        <v>134620</v>
      </c>
      <c r="E7829" t="s">
        <v>14</v>
      </c>
      <c r="F7829">
        <v>42.366999999999997</v>
      </c>
      <c r="G7829">
        <v>19.25</v>
      </c>
      <c r="H7829">
        <v>1</v>
      </c>
      <c r="I7829">
        <v>33</v>
      </c>
      <c r="J7829" t="str">
        <f>HYPERLINK("https://climate.onebuilding.org/WMO_Region_6_Europe/MNE_Montenegro/MNE_PG_Podgorica.AP.134620_TMYx.zip")</f>
        <v>https://climate.onebuilding.org/WMO_Region_6_Europe/MNE_Montenegro/MNE_PG_Podgorica.AP.134620_TMYx.zip</v>
      </c>
    </row>
    <row r="7830" spans="1:10" x14ac:dyDescent="0.25">
      <c r="A7830" t="s">
        <v>5787</v>
      </c>
      <c r="B7830" t="s">
        <v>4884</v>
      </c>
      <c r="C7830" t="s">
        <v>5803</v>
      </c>
      <c r="D7830">
        <v>134630</v>
      </c>
      <c r="E7830" t="s">
        <v>5804</v>
      </c>
      <c r="F7830">
        <v>42.433</v>
      </c>
      <c r="G7830">
        <v>19.283000000000001</v>
      </c>
      <c r="H7830">
        <v>1</v>
      </c>
      <c r="I7830">
        <v>50</v>
      </c>
      <c r="J7830" t="str">
        <f>HYPERLINK("https://climate.onebuilding.org/WMO_Region_6_Europe/MNE_Montenegro/MNE_PG_Podgorica-Titograd.District.134630_TMYx.2004-2018.zip")</f>
        <v>https://climate.onebuilding.org/WMO_Region_6_Europe/MNE_Montenegro/MNE_PG_Podgorica-Titograd.District.134630_TMYx.2004-2018.zip</v>
      </c>
    </row>
    <row r="7831" spans="1:10" x14ac:dyDescent="0.25">
      <c r="A7831" t="s">
        <v>5787</v>
      </c>
      <c r="B7831" t="s">
        <v>4884</v>
      </c>
      <c r="C7831" t="s">
        <v>5803</v>
      </c>
      <c r="D7831">
        <v>134630</v>
      </c>
      <c r="E7831" t="s">
        <v>14</v>
      </c>
      <c r="F7831">
        <v>42.433</v>
      </c>
      <c r="G7831">
        <v>19.283000000000001</v>
      </c>
      <c r="H7831">
        <v>1</v>
      </c>
      <c r="I7831">
        <v>50</v>
      </c>
      <c r="J7831" t="str">
        <f>HYPERLINK("https://climate.onebuilding.org/WMO_Region_6_Europe/MNE_Montenegro/MNE_PG_Podgorica-Titograd.District.134630_TMYx.2007-2021.zip")</f>
        <v>https://climate.onebuilding.org/WMO_Region_6_Europe/MNE_Montenegro/MNE_PG_Podgorica-Titograd.District.134630_TMYx.2007-2021.zip</v>
      </c>
    </row>
    <row r="7832" spans="1:10" x14ac:dyDescent="0.25">
      <c r="A7832" t="s">
        <v>5787</v>
      </c>
      <c r="B7832" t="s">
        <v>4884</v>
      </c>
      <c r="C7832" t="s">
        <v>5803</v>
      </c>
      <c r="D7832">
        <v>134630</v>
      </c>
      <c r="E7832" t="s">
        <v>14</v>
      </c>
      <c r="F7832">
        <v>42.433</v>
      </c>
      <c r="G7832">
        <v>19.283000000000001</v>
      </c>
      <c r="H7832">
        <v>1</v>
      </c>
      <c r="I7832">
        <v>50</v>
      </c>
      <c r="J7832" t="str">
        <f>HYPERLINK("https://climate.onebuilding.org/WMO_Region_6_Europe/MNE_Montenegro/MNE_PG_Podgorica-Titograd.District.134630_TMYx.2009-2023.zip")</f>
        <v>https://climate.onebuilding.org/WMO_Region_6_Europe/MNE_Montenegro/MNE_PG_Podgorica-Titograd.District.134630_TMYx.2009-2023.zip</v>
      </c>
    </row>
    <row r="7833" spans="1:10" x14ac:dyDescent="0.25">
      <c r="A7833" t="s">
        <v>5787</v>
      </c>
      <c r="B7833" t="s">
        <v>4884</v>
      </c>
      <c r="C7833" t="s">
        <v>5803</v>
      </c>
      <c r="D7833">
        <v>134630</v>
      </c>
      <c r="E7833" t="s">
        <v>14</v>
      </c>
      <c r="F7833">
        <v>42.433</v>
      </c>
      <c r="G7833">
        <v>19.283000000000001</v>
      </c>
      <c r="H7833">
        <v>1</v>
      </c>
      <c r="I7833">
        <v>50</v>
      </c>
      <c r="J7833" t="str">
        <f>HYPERLINK("https://climate.onebuilding.org/WMO_Region_6_Europe/MNE_Montenegro/MNE_PG_Podgorica-Titograd.District.134630_TMYx.zip")</f>
        <v>https://climate.onebuilding.org/WMO_Region_6_Europe/MNE_Montenegro/MNE_PG_Podgorica-Titograd.District.134630_TMYx.zip</v>
      </c>
    </row>
    <row r="7834" spans="1:10" x14ac:dyDescent="0.25">
      <c r="A7834" t="s">
        <v>5787</v>
      </c>
      <c r="B7834" t="s">
        <v>5805</v>
      </c>
      <c r="C7834" t="s">
        <v>5806</v>
      </c>
      <c r="D7834">
        <v>134640</v>
      </c>
      <c r="E7834" t="s">
        <v>5807</v>
      </c>
      <c r="F7834">
        <v>41.909399999999998</v>
      </c>
      <c r="G7834">
        <v>19.2333</v>
      </c>
      <c r="H7834">
        <v>1</v>
      </c>
      <c r="I7834">
        <v>29</v>
      </c>
      <c r="J7834" t="str">
        <f>HYPERLINK("https://climate.onebuilding.org/WMO_Region_6_Europe/MNE_Montenegro/MNE_UL_Ulcinj.134640_TMYx.2004-2018.zip")</f>
        <v>https://climate.onebuilding.org/WMO_Region_6_Europe/MNE_Montenegro/MNE_UL_Ulcinj.134640_TMYx.2004-2018.zip</v>
      </c>
    </row>
    <row r="7835" spans="1:10" x14ac:dyDescent="0.25">
      <c r="A7835" t="s">
        <v>5787</v>
      </c>
      <c r="B7835" t="s">
        <v>5805</v>
      </c>
      <c r="C7835" t="s">
        <v>5806</v>
      </c>
      <c r="D7835">
        <v>134640</v>
      </c>
      <c r="E7835" t="s">
        <v>14</v>
      </c>
      <c r="F7835">
        <v>41.917670000000001</v>
      </c>
      <c r="G7835">
        <v>19.217639999999999</v>
      </c>
      <c r="H7835">
        <v>1</v>
      </c>
      <c r="I7835">
        <v>29</v>
      </c>
      <c r="J7835" t="str">
        <f>HYPERLINK("https://climate.onebuilding.org/WMO_Region_6_Europe/MNE_Montenegro/MNE_UL_Ulcinj.134640_TMYx.zip")</f>
        <v>https://climate.onebuilding.org/WMO_Region_6_Europe/MNE_Montenegro/MNE_UL_Ulcinj.134640_TMYx.zip</v>
      </c>
    </row>
    <row r="7836" spans="1:10" x14ac:dyDescent="0.25">
      <c r="A7836" t="s">
        <v>5787</v>
      </c>
      <c r="B7836" t="s">
        <v>5599</v>
      </c>
      <c r="C7836" t="s">
        <v>5808</v>
      </c>
      <c r="D7836">
        <v>134650</v>
      </c>
      <c r="E7836" t="s">
        <v>5809</v>
      </c>
      <c r="F7836">
        <v>42.822299999999998</v>
      </c>
      <c r="G7836">
        <v>19.517900000000001</v>
      </c>
      <c r="H7836">
        <v>1</v>
      </c>
      <c r="I7836">
        <v>945</v>
      </c>
      <c r="J7836" t="str">
        <f>HYPERLINK("https://climate.onebuilding.org/WMO_Region_6_Europe/MNE_Montenegro/MNE_KL_Kolasin.134650_TMYx.2004-2018.zip")</f>
        <v>https://climate.onebuilding.org/WMO_Region_6_Europe/MNE_Montenegro/MNE_KL_Kolasin.134650_TMYx.2004-2018.zip</v>
      </c>
    </row>
    <row r="7837" spans="1:10" x14ac:dyDescent="0.25">
      <c r="A7837" t="s">
        <v>5787</v>
      </c>
      <c r="B7837" t="s">
        <v>5599</v>
      </c>
      <c r="C7837" t="s">
        <v>5808</v>
      </c>
      <c r="D7837">
        <v>134650</v>
      </c>
      <c r="E7837" t="s">
        <v>14</v>
      </c>
      <c r="F7837">
        <v>42.822299999999998</v>
      </c>
      <c r="G7837">
        <v>19.517900000000001</v>
      </c>
      <c r="H7837">
        <v>1</v>
      </c>
      <c r="I7837">
        <v>945</v>
      </c>
      <c r="J7837" t="str">
        <f>HYPERLINK("https://climate.onebuilding.org/WMO_Region_6_Europe/MNE_Montenegro/MNE_KL_Kolasin.134650_TMYx.zip")</f>
        <v>https://climate.onebuilding.org/WMO_Region_6_Europe/MNE_Montenegro/MNE_KL_Kolasin.134650_TMYx.zip</v>
      </c>
    </row>
    <row r="7838" spans="1:10" x14ac:dyDescent="0.25">
      <c r="A7838" t="s">
        <v>5810</v>
      </c>
      <c r="B7838" t="s">
        <v>730</v>
      </c>
      <c r="C7838" t="s">
        <v>5811</v>
      </c>
      <c r="D7838" s="1" t="s">
        <v>5812</v>
      </c>
      <c r="E7838" t="s">
        <v>14</v>
      </c>
      <c r="F7838">
        <v>52.033000000000001</v>
      </c>
      <c r="G7838">
        <v>4.3499999999999996</v>
      </c>
      <c r="H7838">
        <v>1</v>
      </c>
      <c r="I7838">
        <v>1</v>
      </c>
      <c r="J7838" t="str">
        <f>HYPERLINK("https://climate.onebuilding.org/WMO_Region_6_Europe/NLD_Netherlands/ZH_Zuid-Holland/NLD_ZH_Ypenburg.062000_TMYx.zip")</f>
        <v>https://climate.onebuilding.org/WMO_Region_6_Europe/NLD_Netherlands/ZH_Zuid-Holland/NLD_ZH_Ypenburg.062000_TMYx.zip</v>
      </c>
    </row>
    <row r="7839" spans="1:10" x14ac:dyDescent="0.25">
      <c r="A7839" t="s">
        <v>5810</v>
      </c>
      <c r="B7839" t="s">
        <v>730</v>
      </c>
      <c r="C7839" t="s">
        <v>5813</v>
      </c>
      <c r="D7839" s="1" t="s">
        <v>5814</v>
      </c>
      <c r="E7839" t="s">
        <v>5815</v>
      </c>
      <c r="F7839">
        <v>52.167000000000002</v>
      </c>
      <c r="G7839">
        <v>4.4329999999999998</v>
      </c>
      <c r="H7839">
        <v>1</v>
      </c>
      <c r="I7839">
        <v>1</v>
      </c>
      <c r="J7839" t="str">
        <f>HYPERLINK("https://climate.onebuilding.org/WMO_Region_6_Europe/NLD_Netherlands/ZH_Zuid-Holland/NLD_ZH_Valkenburg.AP.062100_TMYx.2004-2018.zip")</f>
        <v>https://climate.onebuilding.org/WMO_Region_6_Europe/NLD_Netherlands/ZH_Zuid-Holland/NLD_ZH_Valkenburg.AP.062100_TMYx.2004-2018.zip</v>
      </c>
    </row>
    <row r="7840" spans="1:10" x14ac:dyDescent="0.25">
      <c r="A7840" t="s">
        <v>5810</v>
      </c>
      <c r="B7840" t="s">
        <v>730</v>
      </c>
      <c r="C7840" t="s">
        <v>5813</v>
      </c>
      <c r="D7840" s="1" t="s">
        <v>5814</v>
      </c>
      <c r="E7840" t="s">
        <v>14</v>
      </c>
      <c r="F7840">
        <v>52.139699999999998</v>
      </c>
      <c r="G7840">
        <v>4.4363999999999999</v>
      </c>
      <c r="H7840">
        <v>1</v>
      </c>
      <c r="I7840">
        <v>1</v>
      </c>
      <c r="J7840" t="str">
        <f>HYPERLINK("https://climate.onebuilding.org/WMO_Region_6_Europe/NLD_Netherlands/ZH_Zuid-Holland/NLD_ZH_Valkenburg.AP.062100_TMYx.2007-2021.zip")</f>
        <v>https://climate.onebuilding.org/WMO_Region_6_Europe/NLD_Netherlands/ZH_Zuid-Holland/NLD_ZH_Valkenburg.AP.062100_TMYx.2007-2021.zip</v>
      </c>
    </row>
    <row r="7841" spans="1:10" x14ac:dyDescent="0.25">
      <c r="A7841" t="s">
        <v>5810</v>
      </c>
      <c r="B7841" t="s">
        <v>730</v>
      </c>
      <c r="C7841" t="s">
        <v>5813</v>
      </c>
      <c r="D7841" s="1" t="s">
        <v>5814</v>
      </c>
      <c r="E7841" t="s">
        <v>14</v>
      </c>
      <c r="F7841">
        <v>52.139699999999998</v>
      </c>
      <c r="G7841">
        <v>4.4363999999999999</v>
      </c>
      <c r="H7841">
        <v>1</v>
      </c>
      <c r="I7841">
        <v>1</v>
      </c>
      <c r="J7841" t="str">
        <f>HYPERLINK("https://climate.onebuilding.org/WMO_Region_6_Europe/NLD_Netherlands/ZH_Zuid-Holland/NLD_ZH_Valkenburg.AP.062100_TMYx.2009-2023.zip")</f>
        <v>https://climate.onebuilding.org/WMO_Region_6_Europe/NLD_Netherlands/ZH_Zuid-Holland/NLD_ZH_Valkenburg.AP.062100_TMYx.2009-2023.zip</v>
      </c>
    </row>
    <row r="7842" spans="1:10" x14ac:dyDescent="0.25">
      <c r="A7842" t="s">
        <v>5810</v>
      </c>
      <c r="B7842" t="s">
        <v>730</v>
      </c>
      <c r="C7842" t="s">
        <v>5813</v>
      </c>
      <c r="D7842" s="1" t="s">
        <v>5814</v>
      </c>
      <c r="E7842" t="s">
        <v>14</v>
      </c>
      <c r="F7842">
        <v>52.139699999999998</v>
      </c>
      <c r="G7842">
        <v>4.4363999999999999</v>
      </c>
      <c r="H7842">
        <v>1</v>
      </c>
      <c r="I7842">
        <v>1</v>
      </c>
      <c r="J7842" t="str">
        <f>HYPERLINK("https://climate.onebuilding.org/WMO_Region_6_Europe/NLD_Netherlands/ZH_Zuid-Holland/NLD_ZH_Valkenburg.AP.062100_TMYx.zip")</f>
        <v>https://climate.onebuilding.org/WMO_Region_6_Europe/NLD_Netherlands/ZH_Zuid-Holland/NLD_ZH_Valkenburg.AP.062100_TMYx.zip</v>
      </c>
    </row>
    <row r="7843" spans="1:10" x14ac:dyDescent="0.25">
      <c r="A7843" t="s">
        <v>5810</v>
      </c>
      <c r="B7843" t="s">
        <v>726</v>
      </c>
      <c r="C7843" t="s">
        <v>5816</v>
      </c>
      <c r="D7843" s="1" t="s">
        <v>5817</v>
      </c>
      <c r="E7843" t="s">
        <v>14</v>
      </c>
      <c r="F7843">
        <v>53.082999999999998</v>
      </c>
      <c r="G7843">
        <v>4.75</v>
      </c>
      <c r="H7843">
        <v>1</v>
      </c>
      <c r="I7843">
        <v>3</v>
      </c>
      <c r="J7843" t="str">
        <f>HYPERLINK("https://climate.onebuilding.org/WMO_Region_6_Europe/NLD_Netherlands/FR_Friesland/NLD_FR_Texel.Island.062200_TMYx.zip")</f>
        <v>https://climate.onebuilding.org/WMO_Region_6_Europe/NLD_Netherlands/FR_Friesland/NLD_FR_Texel.Island.062200_TMYx.zip</v>
      </c>
    </row>
    <row r="7844" spans="1:10" x14ac:dyDescent="0.25">
      <c r="A7844" t="s">
        <v>5810</v>
      </c>
      <c r="B7844" t="s">
        <v>5818</v>
      </c>
      <c r="C7844" t="s">
        <v>5819</v>
      </c>
      <c r="D7844" s="1" t="s">
        <v>5820</v>
      </c>
      <c r="E7844" t="s">
        <v>14</v>
      </c>
      <c r="F7844">
        <v>52.462200000000003</v>
      </c>
      <c r="G7844">
        <v>4.5549999999999997</v>
      </c>
      <c r="H7844">
        <v>1</v>
      </c>
      <c r="I7844">
        <v>4</v>
      </c>
      <c r="J7844" t="str">
        <f>HYPERLINK("https://climate.onebuilding.org/WMO_Region_6_Europe/NLD_Netherlands/NH_Noord-Holland/NLD_NH_Ijmuiden.062250_TMYx.zip")</f>
        <v>https://climate.onebuilding.org/WMO_Region_6_Europe/NLD_Netherlands/NH_Noord-Holland/NLD_NH_Ijmuiden.062250_TMYx.zip</v>
      </c>
    </row>
    <row r="7845" spans="1:10" x14ac:dyDescent="0.25">
      <c r="A7845" t="s">
        <v>5810</v>
      </c>
      <c r="B7845" t="s">
        <v>5818</v>
      </c>
      <c r="C7845" t="s">
        <v>5821</v>
      </c>
      <c r="D7845" s="1" t="s">
        <v>5822</v>
      </c>
      <c r="E7845" t="s">
        <v>5823</v>
      </c>
      <c r="F7845">
        <v>52.926900000000003</v>
      </c>
      <c r="G7845">
        <v>4.7811000000000003</v>
      </c>
      <c r="H7845">
        <v>1</v>
      </c>
      <c r="I7845">
        <v>1.1000000000000001</v>
      </c>
      <c r="J7845" t="str">
        <f>HYPERLINK("https://climate.onebuilding.org/WMO_Region_6_Europe/NLD_Netherlands/NH_Noord-Holland/NLD_NH_Den.Helder.AP.062350_TMYx.2004-2018.zip")</f>
        <v>https://climate.onebuilding.org/WMO_Region_6_Europe/NLD_Netherlands/NH_Noord-Holland/NLD_NH_Den.Helder.AP.062350_TMYx.2004-2018.zip</v>
      </c>
    </row>
    <row r="7846" spans="1:10" x14ac:dyDescent="0.25">
      <c r="A7846" t="s">
        <v>5810</v>
      </c>
      <c r="B7846" t="s">
        <v>5818</v>
      </c>
      <c r="C7846" t="s">
        <v>5821</v>
      </c>
      <c r="D7846" s="1" t="s">
        <v>5822</v>
      </c>
      <c r="E7846" t="s">
        <v>14</v>
      </c>
      <c r="F7846">
        <v>52.926900000000003</v>
      </c>
      <c r="G7846">
        <v>4.7811000000000003</v>
      </c>
      <c r="H7846">
        <v>1</v>
      </c>
      <c r="I7846">
        <v>1.1000000000000001</v>
      </c>
      <c r="J7846" t="str">
        <f>HYPERLINK("https://climate.onebuilding.org/WMO_Region_6_Europe/NLD_Netherlands/NH_Noord-Holland/NLD_NH_Den.Helder.AP.062350_TMYx.2007-2021.zip")</f>
        <v>https://climate.onebuilding.org/WMO_Region_6_Europe/NLD_Netherlands/NH_Noord-Holland/NLD_NH_Den.Helder.AP.062350_TMYx.2007-2021.zip</v>
      </c>
    </row>
    <row r="7847" spans="1:10" x14ac:dyDescent="0.25">
      <c r="A7847" t="s">
        <v>5810</v>
      </c>
      <c r="B7847" t="s">
        <v>5818</v>
      </c>
      <c r="C7847" t="s">
        <v>5821</v>
      </c>
      <c r="D7847" s="1" t="s">
        <v>5822</v>
      </c>
      <c r="E7847" t="s">
        <v>14</v>
      </c>
      <c r="F7847">
        <v>52.926900000000003</v>
      </c>
      <c r="G7847">
        <v>4.7811000000000003</v>
      </c>
      <c r="H7847">
        <v>1</v>
      </c>
      <c r="I7847">
        <v>1.1000000000000001</v>
      </c>
      <c r="J7847" t="str">
        <f>HYPERLINK("https://climate.onebuilding.org/WMO_Region_6_Europe/NLD_Netherlands/NH_Noord-Holland/NLD_NH_Den.Helder.AP.062350_TMYx.2009-2023.zip")</f>
        <v>https://climate.onebuilding.org/WMO_Region_6_Europe/NLD_Netherlands/NH_Noord-Holland/NLD_NH_Den.Helder.AP.062350_TMYx.2009-2023.zip</v>
      </c>
    </row>
    <row r="7848" spans="1:10" x14ac:dyDescent="0.25">
      <c r="A7848" t="s">
        <v>5810</v>
      </c>
      <c r="B7848" t="s">
        <v>5818</v>
      </c>
      <c r="C7848" t="s">
        <v>5821</v>
      </c>
      <c r="D7848" s="1" t="s">
        <v>5822</v>
      </c>
      <c r="E7848" t="s">
        <v>14</v>
      </c>
      <c r="F7848">
        <v>52.926900000000003</v>
      </c>
      <c r="G7848">
        <v>4.7811000000000003</v>
      </c>
      <c r="H7848">
        <v>1</v>
      </c>
      <c r="I7848">
        <v>1.1000000000000001</v>
      </c>
      <c r="J7848" t="str">
        <f>HYPERLINK("https://climate.onebuilding.org/WMO_Region_6_Europe/NLD_Netherlands/NH_Noord-Holland/NLD_NH_Den.Helder.AP.062350_TMYx.zip")</f>
        <v>https://climate.onebuilding.org/WMO_Region_6_Europe/NLD_Netherlands/NH_Noord-Holland/NLD_NH_Den.Helder.AP.062350_TMYx.zip</v>
      </c>
    </row>
    <row r="7849" spans="1:10" x14ac:dyDescent="0.25">
      <c r="A7849" t="s">
        <v>5810</v>
      </c>
      <c r="B7849" t="s">
        <v>5818</v>
      </c>
      <c r="C7849" t="s">
        <v>5824</v>
      </c>
      <c r="D7849" s="1" t="s">
        <v>5825</v>
      </c>
      <c r="E7849" t="s">
        <v>5826</v>
      </c>
      <c r="F7849">
        <v>52.3172</v>
      </c>
      <c r="G7849">
        <v>4.7896999999999998</v>
      </c>
      <c r="H7849">
        <v>1</v>
      </c>
      <c r="I7849">
        <v>-3.2</v>
      </c>
      <c r="J7849" t="str">
        <f>HYPERLINK("https://climate.onebuilding.org/WMO_Region_6_Europe/NLD_Netherlands/NH_Noord-Holland/NLD_NH_Amsterdam-Schipol.AP.062400_TMYx.2004-2018.zip")</f>
        <v>https://climate.onebuilding.org/WMO_Region_6_Europe/NLD_Netherlands/NH_Noord-Holland/NLD_NH_Amsterdam-Schipol.AP.062400_TMYx.2004-2018.zip</v>
      </c>
    </row>
    <row r="7850" spans="1:10" x14ac:dyDescent="0.25">
      <c r="A7850" t="s">
        <v>5810</v>
      </c>
      <c r="B7850" t="s">
        <v>5818</v>
      </c>
      <c r="C7850" t="s">
        <v>5824</v>
      </c>
      <c r="D7850" s="1" t="s">
        <v>5825</v>
      </c>
      <c r="E7850" t="s">
        <v>14</v>
      </c>
      <c r="F7850">
        <v>52.3172</v>
      </c>
      <c r="G7850">
        <v>4.7896999999999998</v>
      </c>
      <c r="H7850">
        <v>1</v>
      </c>
      <c r="I7850">
        <v>-3.2</v>
      </c>
      <c r="J7850" t="str">
        <f>HYPERLINK("https://climate.onebuilding.org/WMO_Region_6_Europe/NLD_Netherlands/NH_Noord-Holland/NLD_NH_Amsterdam-Schipol.AP.062400_TMYx.2007-2021.zip")</f>
        <v>https://climate.onebuilding.org/WMO_Region_6_Europe/NLD_Netherlands/NH_Noord-Holland/NLD_NH_Amsterdam-Schipol.AP.062400_TMYx.2007-2021.zip</v>
      </c>
    </row>
    <row r="7851" spans="1:10" x14ac:dyDescent="0.25">
      <c r="A7851" t="s">
        <v>5810</v>
      </c>
      <c r="B7851" t="s">
        <v>5818</v>
      </c>
      <c r="C7851" t="s">
        <v>5824</v>
      </c>
      <c r="D7851" s="1" t="s">
        <v>5825</v>
      </c>
      <c r="E7851" t="s">
        <v>14</v>
      </c>
      <c r="F7851">
        <v>52.3172</v>
      </c>
      <c r="G7851">
        <v>4.7896999999999998</v>
      </c>
      <c r="H7851">
        <v>1</v>
      </c>
      <c r="I7851">
        <v>-3.2</v>
      </c>
      <c r="J7851" t="str">
        <f>HYPERLINK("https://climate.onebuilding.org/WMO_Region_6_Europe/NLD_Netherlands/NH_Noord-Holland/NLD_NH_Amsterdam-Schipol.AP.062400_TMYx.2009-2023.zip")</f>
        <v>https://climate.onebuilding.org/WMO_Region_6_Europe/NLD_Netherlands/NH_Noord-Holland/NLD_NH_Amsterdam-Schipol.AP.062400_TMYx.2009-2023.zip</v>
      </c>
    </row>
    <row r="7852" spans="1:10" x14ac:dyDescent="0.25">
      <c r="A7852" t="s">
        <v>5810</v>
      </c>
      <c r="B7852" t="s">
        <v>5818</v>
      </c>
      <c r="C7852" t="s">
        <v>5824</v>
      </c>
      <c r="D7852" s="1" t="s">
        <v>5825</v>
      </c>
      <c r="E7852" t="s">
        <v>14</v>
      </c>
      <c r="F7852">
        <v>52.3172</v>
      </c>
      <c r="G7852">
        <v>4.7896999999999998</v>
      </c>
      <c r="H7852">
        <v>1</v>
      </c>
      <c r="I7852">
        <v>-3.2</v>
      </c>
      <c r="J7852" t="str">
        <f>HYPERLINK("https://climate.onebuilding.org/WMO_Region_6_Europe/NLD_Netherlands/NH_Noord-Holland/NLD_NH_Amsterdam-Schipol.AP.062400_TMYx.zip")</f>
        <v>https://climate.onebuilding.org/WMO_Region_6_Europe/NLD_Netherlands/NH_Noord-Holland/NLD_NH_Amsterdam-Schipol.AP.062400_TMYx.zip</v>
      </c>
    </row>
    <row r="7853" spans="1:10" x14ac:dyDescent="0.25">
      <c r="A7853" t="s">
        <v>5810</v>
      </c>
      <c r="B7853" t="s">
        <v>726</v>
      </c>
      <c r="C7853" t="s">
        <v>5827</v>
      </c>
      <c r="D7853" s="1" t="s">
        <v>5828</v>
      </c>
      <c r="E7853" t="s">
        <v>5829</v>
      </c>
      <c r="F7853">
        <v>53.24</v>
      </c>
      <c r="G7853">
        <v>4.9207999999999998</v>
      </c>
      <c r="H7853">
        <v>1</v>
      </c>
      <c r="I7853">
        <v>10.4</v>
      </c>
      <c r="J7853" t="str">
        <f>HYPERLINK("https://climate.onebuilding.org/WMO_Region_6_Europe/NLD_Netherlands/FR_Friesland/NLD_FR_Vlieland.Island.062420_TMYx.2004-2018.zip")</f>
        <v>https://climate.onebuilding.org/WMO_Region_6_Europe/NLD_Netherlands/FR_Friesland/NLD_FR_Vlieland.Island.062420_TMYx.2004-2018.zip</v>
      </c>
    </row>
    <row r="7854" spans="1:10" x14ac:dyDescent="0.25">
      <c r="A7854" t="s">
        <v>5810</v>
      </c>
      <c r="B7854" t="s">
        <v>726</v>
      </c>
      <c r="C7854" t="s">
        <v>5827</v>
      </c>
      <c r="D7854" s="1" t="s">
        <v>5828</v>
      </c>
      <c r="E7854" t="s">
        <v>14</v>
      </c>
      <c r="F7854">
        <v>53.24</v>
      </c>
      <c r="G7854">
        <v>4.9207999999999998</v>
      </c>
      <c r="H7854">
        <v>1</v>
      </c>
      <c r="I7854">
        <v>10.4</v>
      </c>
      <c r="J7854" t="str">
        <f>HYPERLINK("https://climate.onebuilding.org/WMO_Region_6_Europe/NLD_Netherlands/FR_Friesland/NLD_FR_Vlieland.Island.062420_TMYx.2007-2021.zip")</f>
        <v>https://climate.onebuilding.org/WMO_Region_6_Europe/NLD_Netherlands/FR_Friesland/NLD_FR_Vlieland.Island.062420_TMYx.2007-2021.zip</v>
      </c>
    </row>
    <row r="7855" spans="1:10" x14ac:dyDescent="0.25">
      <c r="A7855" t="s">
        <v>5810</v>
      </c>
      <c r="B7855" t="s">
        <v>726</v>
      </c>
      <c r="C7855" t="s">
        <v>5827</v>
      </c>
      <c r="D7855" s="1" t="s">
        <v>5828</v>
      </c>
      <c r="E7855" t="s">
        <v>14</v>
      </c>
      <c r="F7855">
        <v>53.24</v>
      </c>
      <c r="G7855">
        <v>4.9207999999999998</v>
      </c>
      <c r="H7855">
        <v>1</v>
      </c>
      <c r="I7855">
        <v>10.4</v>
      </c>
      <c r="J7855" t="str">
        <f>HYPERLINK("https://climate.onebuilding.org/WMO_Region_6_Europe/NLD_Netherlands/FR_Friesland/NLD_FR_Vlieland.Island.062420_TMYx.2009-2023.zip")</f>
        <v>https://climate.onebuilding.org/WMO_Region_6_Europe/NLD_Netherlands/FR_Friesland/NLD_FR_Vlieland.Island.062420_TMYx.2009-2023.zip</v>
      </c>
    </row>
    <row r="7856" spans="1:10" x14ac:dyDescent="0.25">
      <c r="A7856" t="s">
        <v>5810</v>
      </c>
      <c r="B7856" t="s">
        <v>726</v>
      </c>
      <c r="C7856" t="s">
        <v>5827</v>
      </c>
      <c r="D7856" s="1" t="s">
        <v>5828</v>
      </c>
      <c r="E7856" t="s">
        <v>14</v>
      </c>
      <c r="F7856">
        <v>53.24</v>
      </c>
      <c r="G7856">
        <v>4.9207999999999998</v>
      </c>
      <c r="H7856">
        <v>1</v>
      </c>
      <c r="I7856">
        <v>10.4</v>
      </c>
      <c r="J7856" t="str">
        <f>HYPERLINK("https://climate.onebuilding.org/WMO_Region_6_Europe/NLD_Netherlands/FR_Friesland/NLD_FR_Vlieland.Island.062420_TMYx.zip")</f>
        <v>https://climate.onebuilding.org/WMO_Region_6_Europe/NLD_Netherlands/FR_Friesland/NLD_FR_Vlieland.Island.062420_TMYx.zip</v>
      </c>
    </row>
    <row r="7857" spans="1:10" x14ac:dyDescent="0.25">
      <c r="A7857" t="s">
        <v>5810</v>
      </c>
      <c r="B7857" t="s">
        <v>5818</v>
      </c>
      <c r="C7857" t="s">
        <v>5830</v>
      </c>
      <c r="D7857" s="1" t="s">
        <v>5831</v>
      </c>
      <c r="E7857" t="s">
        <v>14</v>
      </c>
      <c r="F7857">
        <v>52.65</v>
      </c>
      <c r="G7857">
        <v>5.05</v>
      </c>
      <c r="H7857">
        <v>1</v>
      </c>
      <c r="I7857">
        <v>-1</v>
      </c>
      <c r="J7857" t="str">
        <f>HYPERLINK("https://climate.onebuilding.org/WMO_Region_6_Europe/NLD_Netherlands/NH_Noord-Holland/NLD_NH_Hooran.AWS.062440_TMYx.zip")</f>
        <v>https://climate.onebuilding.org/WMO_Region_6_Europe/NLD_Netherlands/NH_Noord-Holland/NLD_NH_Hooran.AWS.062440_TMYx.zip</v>
      </c>
    </row>
    <row r="7858" spans="1:10" x14ac:dyDescent="0.25">
      <c r="A7858" t="s">
        <v>5810</v>
      </c>
      <c r="B7858" t="s">
        <v>5818</v>
      </c>
      <c r="C7858" t="s">
        <v>5832</v>
      </c>
      <c r="D7858" s="1" t="s">
        <v>5833</v>
      </c>
      <c r="E7858" t="s">
        <v>14</v>
      </c>
      <c r="F7858">
        <v>52.3994</v>
      </c>
      <c r="G7858">
        <v>4.5461</v>
      </c>
      <c r="H7858">
        <v>1</v>
      </c>
      <c r="I7858">
        <v>18</v>
      </c>
      <c r="J7858" t="str">
        <f>HYPERLINK("https://climate.onebuilding.org/WMO_Region_6_Europe/NLD_Netherlands/NH_Noord-Holland/NLD_NH_Bloemendaal.062470_TMYx.zip")</f>
        <v>https://climate.onebuilding.org/WMO_Region_6_Europe/NLD_Netherlands/NH_Noord-Holland/NLD_NH_Bloemendaal.062470_TMYx.zip</v>
      </c>
    </row>
    <row r="7859" spans="1:10" x14ac:dyDescent="0.25">
      <c r="A7859" t="s">
        <v>5810</v>
      </c>
      <c r="B7859" t="s">
        <v>5818</v>
      </c>
      <c r="C7859" t="s">
        <v>5834</v>
      </c>
      <c r="D7859" s="1" t="s">
        <v>5835</v>
      </c>
      <c r="E7859" t="s">
        <v>78</v>
      </c>
      <c r="F7859">
        <v>52.6325</v>
      </c>
      <c r="G7859">
        <v>5.1736000000000004</v>
      </c>
      <c r="H7859">
        <v>1</v>
      </c>
      <c r="I7859">
        <v>0.8</v>
      </c>
      <c r="J7859" t="str">
        <f>HYPERLINK("https://climate.onebuilding.org/WMO_Region_6_Europe/NLD_Netherlands/NH_Noord-Holland/NLD_NH_Wijdenes.WP.062480_TMYx.2007-2021.zip")</f>
        <v>https://climate.onebuilding.org/WMO_Region_6_Europe/NLD_Netherlands/NH_Noord-Holland/NLD_NH_Wijdenes.WP.062480_TMYx.2007-2021.zip</v>
      </c>
    </row>
    <row r="7860" spans="1:10" x14ac:dyDescent="0.25">
      <c r="A7860" t="s">
        <v>5810</v>
      </c>
      <c r="B7860" t="s">
        <v>5818</v>
      </c>
      <c r="C7860" t="s">
        <v>5834</v>
      </c>
      <c r="D7860" s="1" t="s">
        <v>5835</v>
      </c>
      <c r="E7860" t="s">
        <v>78</v>
      </c>
      <c r="F7860">
        <v>52.6325</v>
      </c>
      <c r="G7860">
        <v>5.1736000000000004</v>
      </c>
      <c r="H7860">
        <v>1</v>
      </c>
      <c r="I7860">
        <v>0.8</v>
      </c>
      <c r="J7860" t="str">
        <f>HYPERLINK("https://climate.onebuilding.org/WMO_Region_6_Europe/NLD_Netherlands/NH_Noord-Holland/NLD_NH_Wijdenes.WP.062480_TMYx.2009-2023.zip")</f>
        <v>https://climate.onebuilding.org/WMO_Region_6_Europe/NLD_Netherlands/NH_Noord-Holland/NLD_NH_Wijdenes.WP.062480_TMYx.2009-2023.zip</v>
      </c>
    </row>
    <row r="7861" spans="1:10" x14ac:dyDescent="0.25">
      <c r="A7861" t="s">
        <v>5810</v>
      </c>
      <c r="B7861" t="s">
        <v>5818</v>
      </c>
      <c r="C7861" t="s">
        <v>5834</v>
      </c>
      <c r="D7861" s="1" t="s">
        <v>5835</v>
      </c>
      <c r="E7861" t="s">
        <v>78</v>
      </c>
      <c r="F7861">
        <v>52.6325</v>
      </c>
      <c r="G7861">
        <v>5.1736000000000004</v>
      </c>
      <c r="H7861">
        <v>1</v>
      </c>
      <c r="I7861">
        <v>0.8</v>
      </c>
      <c r="J7861" t="str">
        <f>HYPERLINK("https://climate.onebuilding.org/WMO_Region_6_Europe/NLD_Netherlands/NH_Noord-Holland/NLD_NH_Wijdenes.WP.062480_TMYx.zip")</f>
        <v>https://climate.onebuilding.org/WMO_Region_6_Europe/NLD_Netherlands/NH_Noord-Holland/NLD_NH_Wijdenes.WP.062480_TMYx.zip</v>
      </c>
    </row>
    <row r="7862" spans="1:10" x14ac:dyDescent="0.25">
      <c r="A7862" t="s">
        <v>5810</v>
      </c>
      <c r="B7862" t="s">
        <v>5818</v>
      </c>
      <c r="C7862" t="s">
        <v>5836</v>
      </c>
      <c r="D7862" s="1" t="s">
        <v>5837</v>
      </c>
      <c r="E7862" t="s">
        <v>5838</v>
      </c>
      <c r="F7862">
        <v>52.642800000000001</v>
      </c>
      <c r="G7862">
        <v>4.9789000000000003</v>
      </c>
      <c r="H7862">
        <v>1</v>
      </c>
      <c r="I7862">
        <v>-2.4</v>
      </c>
      <c r="J7862" t="str">
        <f>HYPERLINK("https://climate.onebuilding.org/WMO_Region_6_Europe/NLD_Netherlands/NH_Noord-Holland/NLD_NH_Berkhout.062490_TMYx.2004-2018.zip")</f>
        <v>https://climate.onebuilding.org/WMO_Region_6_Europe/NLD_Netherlands/NH_Noord-Holland/NLD_NH_Berkhout.062490_TMYx.2004-2018.zip</v>
      </c>
    </row>
    <row r="7863" spans="1:10" x14ac:dyDescent="0.25">
      <c r="A7863" t="s">
        <v>5810</v>
      </c>
      <c r="B7863" t="s">
        <v>5818</v>
      </c>
      <c r="C7863" t="s">
        <v>5836</v>
      </c>
      <c r="D7863" s="1" t="s">
        <v>5837</v>
      </c>
      <c r="E7863" t="s">
        <v>14</v>
      </c>
      <c r="F7863">
        <v>52.642800000000001</v>
      </c>
      <c r="G7863">
        <v>4.9789000000000003</v>
      </c>
      <c r="H7863">
        <v>1</v>
      </c>
      <c r="I7863">
        <v>-2.4</v>
      </c>
      <c r="J7863" t="str">
        <f>HYPERLINK("https://climate.onebuilding.org/WMO_Region_6_Europe/NLD_Netherlands/NH_Noord-Holland/NLD_NH_Berkhout.062490_TMYx.2007-2021.zip")</f>
        <v>https://climate.onebuilding.org/WMO_Region_6_Europe/NLD_Netherlands/NH_Noord-Holland/NLD_NH_Berkhout.062490_TMYx.2007-2021.zip</v>
      </c>
    </row>
    <row r="7864" spans="1:10" x14ac:dyDescent="0.25">
      <c r="A7864" t="s">
        <v>5810</v>
      </c>
      <c r="B7864" t="s">
        <v>5818</v>
      </c>
      <c r="C7864" t="s">
        <v>5836</v>
      </c>
      <c r="D7864" s="1" t="s">
        <v>5837</v>
      </c>
      <c r="E7864" t="s">
        <v>14</v>
      </c>
      <c r="F7864">
        <v>52.642800000000001</v>
      </c>
      <c r="G7864">
        <v>4.9789000000000003</v>
      </c>
      <c r="H7864">
        <v>1</v>
      </c>
      <c r="I7864">
        <v>-2.4</v>
      </c>
      <c r="J7864" t="str">
        <f>HYPERLINK("https://climate.onebuilding.org/WMO_Region_6_Europe/NLD_Netherlands/NH_Noord-Holland/NLD_NH_Berkhout.062490_TMYx.2009-2023.zip")</f>
        <v>https://climate.onebuilding.org/WMO_Region_6_Europe/NLD_Netherlands/NH_Noord-Holland/NLD_NH_Berkhout.062490_TMYx.2009-2023.zip</v>
      </c>
    </row>
    <row r="7865" spans="1:10" x14ac:dyDescent="0.25">
      <c r="A7865" t="s">
        <v>5810</v>
      </c>
      <c r="B7865" t="s">
        <v>5818</v>
      </c>
      <c r="C7865" t="s">
        <v>5836</v>
      </c>
      <c r="D7865" s="1" t="s">
        <v>5837</v>
      </c>
      <c r="E7865" t="s">
        <v>14</v>
      </c>
      <c r="F7865">
        <v>52.642800000000001</v>
      </c>
      <c r="G7865">
        <v>4.9789000000000003</v>
      </c>
      <c r="H7865">
        <v>1</v>
      </c>
      <c r="I7865">
        <v>-2.4</v>
      </c>
      <c r="J7865" t="str">
        <f>HYPERLINK("https://climate.onebuilding.org/WMO_Region_6_Europe/NLD_Netherlands/NH_Noord-Holland/NLD_NH_Berkhout.062490_TMYx.zip")</f>
        <v>https://climate.onebuilding.org/WMO_Region_6_Europe/NLD_Netherlands/NH_Noord-Holland/NLD_NH_Berkhout.062490_TMYx.zip</v>
      </c>
    </row>
    <row r="7866" spans="1:10" x14ac:dyDescent="0.25">
      <c r="A7866" t="s">
        <v>5810</v>
      </c>
      <c r="B7866" t="s">
        <v>726</v>
      </c>
      <c r="C7866" t="s">
        <v>5839</v>
      </c>
      <c r="D7866" s="1" t="s">
        <v>5840</v>
      </c>
      <c r="E7866" t="s">
        <v>14</v>
      </c>
      <c r="F7866">
        <v>53.366999999999997</v>
      </c>
      <c r="G7866">
        <v>5.2169999999999996</v>
      </c>
      <c r="H7866">
        <v>1</v>
      </c>
      <c r="I7866">
        <v>27</v>
      </c>
      <c r="J7866" t="str">
        <f>HYPERLINK("https://climate.onebuilding.org/WMO_Region_6_Europe/NLD_Netherlands/FR_Friesland/NLD_FR_West.Terschelling.062500_TMYx.zip")</f>
        <v>https://climate.onebuilding.org/WMO_Region_6_Europe/NLD_Netherlands/FR_Friesland/NLD_FR_West.Terschelling.062500_TMYx.zip</v>
      </c>
    </row>
    <row r="7867" spans="1:10" x14ac:dyDescent="0.25">
      <c r="A7867" t="s">
        <v>5810</v>
      </c>
      <c r="B7867" t="s">
        <v>726</v>
      </c>
      <c r="C7867" t="s">
        <v>5841</v>
      </c>
      <c r="D7867" s="1" t="s">
        <v>5842</v>
      </c>
      <c r="E7867" t="s">
        <v>5843</v>
      </c>
      <c r="F7867">
        <v>53.391100000000002</v>
      </c>
      <c r="G7867">
        <v>5.3457999999999997</v>
      </c>
      <c r="H7867">
        <v>1</v>
      </c>
      <c r="I7867">
        <v>2.2999999999999998</v>
      </c>
      <c r="J7867" t="str">
        <f>HYPERLINK("https://climate.onebuilding.org/WMO_Region_6_Europe/NLD_Netherlands/FR_Friesland/NLD_FR_Terschelling.Hoorn.062510_TMYx.2004-2018.zip")</f>
        <v>https://climate.onebuilding.org/WMO_Region_6_Europe/NLD_Netherlands/FR_Friesland/NLD_FR_Terschelling.Hoorn.062510_TMYx.2004-2018.zip</v>
      </c>
    </row>
    <row r="7868" spans="1:10" x14ac:dyDescent="0.25">
      <c r="A7868" t="s">
        <v>5810</v>
      </c>
      <c r="B7868" t="s">
        <v>726</v>
      </c>
      <c r="C7868" t="s">
        <v>5841</v>
      </c>
      <c r="D7868" s="1" t="s">
        <v>5842</v>
      </c>
      <c r="E7868" t="s">
        <v>14</v>
      </c>
      <c r="F7868">
        <v>53.391100000000002</v>
      </c>
      <c r="G7868">
        <v>5.3457999999999997</v>
      </c>
      <c r="H7868">
        <v>1</v>
      </c>
      <c r="I7868">
        <v>2.2999999999999998</v>
      </c>
      <c r="J7868" t="str">
        <f>HYPERLINK("https://climate.onebuilding.org/WMO_Region_6_Europe/NLD_Netherlands/FR_Friesland/NLD_FR_Terschelling.Hoorn.062510_TMYx.2007-2021.zip")</f>
        <v>https://climate.onebuilding.org/WMO_Region_6_Europe/NLD_Netherlands/FR_Friesland/NLD_FR_Terschelling.Hoorn.062510_TMYx.2007-2021.zip</v>
      </c>
    </row>
    <row r="7869" spans="1:10" x14ac:dyDescent="0.25">
      <c r="A7869" t="s">
        <v>5810</v>
      </c>
      <c r="B7869" t="s">
        <v>726</v>
      </c>
      <c r="C7869" t="s">
        <v>5841</v>
      </c>
      <c r="D7869" s="1" t="s">
        <v>5842</v>
      </c>
      <c r="E7869" t="s">
        <v>14</v>
      </c>
      <c r="F7869">
        <v>53.391100000000002</v>
      </c>
      <c r="G7869">
        <v>5.3457999999999997</v>
      </c>
      <c r="H7869">
        <v>1</v>
      </c>
      <c r="I7869">
        <v>2.2999999999999998</v>
      </c>
      <c r="J7869" t="str">
        <f>HYPERLINK("https://climate.onebuilding.org/WMO_Region_6_Europe/NLD_Netherlands/FR_Friesland/NLD_FR_Terschelling.Hoorn.062510_TMYx.2009-2023.zip")</f>
        <v>https://climate.onebuilding.org/WMO_Region_6_Europe/NLD_Netherlands/FR_Friesland/NLD_FR_Terschelling.Hoorn.062510_TMYx.2009-2023.zip</v>
      </c>
    </row>
    <row r="7870" spans="1:10" x14ac:dyDescent="0.25">
      <c r="A7870" t="s">
        <v>5810</v>
      </c>
      <c r="B7870" t="s">
        <v>726</v>
      </c>
      <c r="C7870" t="s">
        <v>5841</v>
      </c>
      <c r="D7870" s="1" t="s">
        <v>5842</v>
      </c>
      <c r="E7870" t="s">
        <v>14</v>
      </c>
      <c r="F7870">
        <v>53.391100000000002</v>
      </c>
      <c r="G7870">
        <v>5.3457999999999997</v>
      </c>
      <c r="H7870">
        <v>1</v>
      </c>
      <c r="I7870">
        <v>2.2999999999999998</v>
      </c>
      <c r="J7870" t="str">
        <f>HYPERLINK("https://climate.onebuilding.org/WMO_Region_6_Europe/NLD_Netherlands/FR_Friesland/NLD_FR_Terschelling.Hoorn.062510_TMYx.zip")</f>
        <v>https://climate.onebuilding.org/WMO_Region_6_Europe/NLD_Netherlands/FR_Friesland/NLD_FR_Terschelling.Hoorn.062510_TMYx.zip</v>
      </c>
    </row>
    <row r="7871" spans="1:10" x14ac:dyDescent="0.25">
      <c r="A7871" t="s">
        <v>5810</v>
      </c>
      <c r="B7871" t="s">
        <v>5818</v>
      </c>
      <c r="C7871" t="s">
        <v>5844</v>
      </c>
      <c r="D7871" s="1" t="s">
        <v>5845</v>
      </c>
      <c r="E7871" t="s">
        <v>5846</v>
      </c>
      <c r="F7871">
        <v>52.505299999999998</v>
      </c>
      <c r="G7871">
        <v>4.6031000000000004</v>
      </c>
      <c r="H7871">
        <v>1</v>
      </c>
      <c r="I7871">
        <v>8.5</v>
      </c>
      <c r="J7871" t="str">
        <f>HYPERLINK("https://climate.onebuilding.org/WMO_Region_6_Europe/NLD_Netherlands/NH_Noord-Holland/NLD_NH_Wijk.aan.Zee.062570_TMYx.2004-2018.zip")</f>
        <v>https://climate.onebuilding.org/WMO_Region_6_Europe/NLD_Netherlands/NH_Noord-Holland/NLD_NH_Wijk.aan.Zee.062570_TMYx.2004-2018.zip</v>
      </c>
    </row>
    <row r="7872" spans="1:10" x14ac:dyDescent="0.25">
      <c r="A7872" t="s">
        <v>5810</v>
      </c>
      <c r="B7872" t="s">
        <v>5818</v>
      </c>
      <c r="C7872" t="s">
        <v>5844</v>
      </c>
      <c r="D7872" s="1" t="s">
        <v>5845</v>
      </c>
      <c r="E7872" t="s">
        <v>14</v>
      </c>
      <c r="F7872">
        <v>52.505299999999998</v>
      </c>
      <c r="G7872">
        <v>4.6031000000000004</v>
      </c>
      <c r="H7872">
        <v>1</v>
      </c>
      <c r="I7872">
        <v>8.5</v>
      </c>
      <c r="J7872" t="str">
        <f>HYPERLINK("https://climate.onebuilding.org/WMO_Region_6_Europe/NLD_Netherlands/NH_Noord-Holland/NLD_NH_Wijk.aan.Zee.062570_TMYx.2007-2021.zip")</f>
        <v>https://climate.onebuilding.org/WMO_Region_6_Europe/NLD_Netherlands/NH_Noord-Holland/NLD_NH_Wijk.aan.Zee.062570_TMYx.2007-2021.zip</v>
      </c>
    </row>
    <row r="7873" spans="1:10" x14ac:dyDescent="0.25">
      <c r="A7873" t="s">
        <v>5810</v>
      </c>
      <c r="B7873" t="s">
        <v>5818</v>
      </c>
      <c r="C7873" t="s">
        <v>5844</v>
      </c>
      <c r="D7873" s="1" t="s">
        <v>5845</v>
      </c>
      <c r="E7873" t="s">
        <v>14</v>
      </c>
      <c r="F7873">
        <v>52.505299999999998</v>
      </c>
      <c r="G7873">
        <v>4.6031000000000004</v>
      </c>
      <c r="H7873">
        <v>1</v>
      </c>
      <c r="I7873">
        <v>8.5</v>
      </c>
      <c r="J7873" t="str">
        <f>HYPERLINK("https://climate.onebuilding.org/WMO_Region_6_Europe/NLD_Netherlands/NH_Noord-Holland/NLD_NH_Wijk.aan.Zee.062570_TMYx.2009-2023.zip")</f>
        <v>https://climate.onebuilding.org/WMO_Region_6_Europe/NLD_Netherlands/NH_Noord-Holland/NLD_NH_Wijk.aan.Zee.062570_TMYx.2009-2023.zip</v>
      </c>
    </row>
    <row r="7874" spans="1:10" x14ac:dyDescent="0.25">
      <c r="A7874" t="s">
        <v>5810</v>
      </c>
      <c r="B7874" t="s">
        <v>5818</v>
      </c>
      <c r="C7874" t="s">
        <v>5844</v>
      </c>
      <c r="D7874" s="1" t="s">
        <v>5845</v>
      </c>
      <c r="E7874" t="s">
        <v>14</v>
      </c>
      <c r="F7874">
        <v>52.505299999999998</v>
      </c>
      <c r="G7874">
        <v>4.6031000000000004</v>
      </c>
      <c r="H7874">
        <v>1</v>
      </c>
      <c r="I7874">
        <v>8.5</v>
      </c>
      <c r="J7874" t="str">
        <f>HYPERLINK("https://climate.onebuilding.org/WMO_Region_6_Europe/NLD_Netherlands/NH_Noord-Holland/NLD_NH_Wijk.aan.Zee.062570_TMYx.zip")</f>
        <v>https://climate.onebuilding.org/WMO_Region_6_Europe/NLD_Netherlands/NH_Noord-Holland/NLD_NH_Wijk.aan.Zee.062570_TMYx.zip</v>
      </c>
    </row>
    <row r="7875" spans="1:10" x14ac:dyDescent="0.25">
      <c r="A7875" t="s">
        <v>5810</v>
      </c>
      <c r="B7875" t="s">
        <v>5625</v>
      </c>
      <c r="C7875" t="s">
        <v>5847</v>
      </c>
      <c r="D7875" s="1" t="s">
        <v>5848</v>
      </c>
      <c r="E7875" t="s">
        <v>5849</v>
      </c>
      <c r="F7875">
        <v>52.0989</v>
      </c>
      <c r="G7875">
        <v>5.1797000000000004</v>
      </c>
      <c r="H7875">
        <v>1</v>
      </c>
      <c r="I7875">
        <v>3.5</v>
      </c>
      <c r="J7875" t="str">
        <f>HYPERLINK("https://climate.onebuilding.org/WMO_Region_6_Europe/NLD_Netherlands/UT_Utrecht/NLD_UT_De.Bilt.062600_TMYx.2004-2018.zip")</f>
        <v>https://climate.onebuilding.org/WMO_Region_6_Europe/NLD_Netherlands/UT_Utrecht/NLD_UT_De.Bilt.062600_TMYx.2004-2018.zip</v>
      </c>
    </row>
    <row r="7876" spans="1:10" x14ac:dyDescent="0.25">
      <c r="A7876" t="s">
        <v>5810</v>
      </c>
      <c r="B7876" t="s">
        <v>5625</v>
      </c>
      <c r="C7876" t="s">
        <v>5847</v>
      </c>
      <c r="D7876" s="1" t="s">
        <v>5848</v>
      </c>
      <c r="E7876" t="s">
        <v>14</v>
      </c>
      <c r="F7876">
        <v>52.0989</v>
      </c>
      <c r="G7876">
        <v>5.1797000000000004</v>
      </c>
      <c r="H7876">
        <v>1</v>
      </c>
      <c r="I7876">
        <v>3.5</v>
      </c>
      <c r="J7876" t="str">
        <f>HYPERLINK("https://climate.onebuilding.org/WMO_Region_6_Europe/NLD_Netherlands/UT_Utrecht/NLD_UT_De.Bilt.062600_TMYx.2007-2021.zip")</f>
        <v>https://climate.onebuilding.org/WMO_Region_6_Europe/NLD_Netherlands/UT_Utrecht/NLD_UT_De.Bilt.062600_TMYx.2007-2021.zip</v>
      </c>
    </row>
    <row r="7877" spans="1:10" x14ac:dyDescent="0.25">
      <c r="A7877" t="s">
        <v>5810</v>
      </c>
      <c r="B7877" t="s">
        <v>5625</v>
      </c>
      <c r="C7877" t="s">
        <v>5847</v>
      </c>
      <c r="D7877" s="1" t="s">
        <v>5848</v>
      </c>
      <c r="E7877" t="s">
        <v>14</v>
      </c>
      <c r="F7877">
        <v>52.0989</v>
      </c>
      <c r="G7877">
        <v>5.1797000000000004</v>
      </c>
      <c r="H7877">
        <v>1</v>
      </c>
      <c r="I7877">
        <v>3.5</v>
      </c>
      <c r="J7877" t="str">
        <f>HYPERLINK("https://climate.onebuilding.org/WMO_Region_6_Europe/NLD_Netherlands/UT_Utrecht/NLD_UT_De.Bilt.062600_TMYx.2009-2023.zip")</f>
        <v>https://climate.onebuilding.org/WMO_Region_6_Europe/NLD_Netherlands/UT_Utrecht/NLD_UT_De.Bilt.062600_TMYx.2009-2023.zip</v>
      </c>
    </row>
    <row r="7878" spans="1:10" x14ac:dyDescent="0.25">
      <c r="A7878" t="s">
        <v>5810</v>
      </c>
      <c r="B7878" t="s">
        <v>5625</v>
      </c>
      <c r="C7878" t="s">
        <v>5847</v>
      </c>
      <c r="D7878" s="1" t="s">
        <v>5848</v>
      </c>
      <c r="E7878" t="s">
        <v>14</v>
      </c>
      <c r="F7878">
        <v>52.0989</v>
      </c>
      <c r="G7878">
        <v>5.1797000000000004</v>
      </c>
      <c r="H7878">
        <v>1</v>
      </c>
      <c r="I7878">
        <v>3.5</v>
      </c>
      <c r="J7878" t="str">
        <f>HYPERLINK("https://climate.onebuilding.org/WMO_Region_6_Europe/NLD_Netherlands/UT_Utrecht/NLD_UT_De.Bilt.062600_TMYx.zip")</f>
        <v>https://climate.onebuilding.org/WMO_Region_6_Europe/NLD_Netherlands/UT_Utrecht/NLD_UT_De.Bilt.062600_TMYx.zip</v>
      </c>
    </row>
    <row r="7879" spans="1:10" x14ac:dyDescent="0.25">
      <c r="A7879" t="s">
        <v>5810</v>
      </c>
      <c r="B7879" t="s">
        <v>5625</v>
      </c>
      <c r="C7879" t="s">
        <v>5850</v>
      </c>
      <c r="D7879" s="1" t="s">
        <v>5851</v>
      </c>
      <c r="E7879" t="s">
        <v>5852</v>
      </c>
      <c r="F7879">
        <v>52.127000000000002</v>
      </c>
      <c r="G7879">
        <v>5.2759999999999998</v>
      </c>
      <c r="H7879">
        <v>1</v>
      </c>
      <c r="I7879">
        <v>20.100000000000001</v>
      </c>
      <c r="J7879" t="str">
        <f>HYPERLINK("https://climate.onebuilding.org/WMO_Region_6_Europe/NLD_Netherlands/UT_Utrecht/NLD_UT_Soesterberg.AB.062650_TMYx.2004-2018.zip")</f>
        <v>https://climate.onebuilding.org/WMO_Region_6_Europe/NLD_Netherlands/UT_Utrecht/NLD_UT_Soesterberg.AB.062650_TMYx.2004-2018.zip</v>
      </c>
    </row>
    <row r="7880" spans="1:10" x14ac:dyDescent="0.25">
      <c r="A7880" t="s">
        <v>5810</v>
      </c>
      <c r="B7880" t="s">
        <v>5625</v>
      </c>
      <c r="C7880" t="s">
        <v>5850</v>
      </c>
      <c r="D7880" s="1" t="s">
        <v>5851</v>
      </c>
      <c r="E7880" t="s">
        <v>14</v>
      </c>
      <c r="F7880">
        <v>52.127000000000002</v>
      </c>
      <c r="G7880">
        <v>5.2759999999999998</v>
      </c>
      <c r="H7880">
        <v>1</v>
      </c>
      <c r="I7880">
        <v>20.100000000000001</v>
      </c>
      <c r="J7880" t="str">
        <f>HYPERLINK("https://climate.onebuilding.org/WMO_Region_6_Europe/NLD_Netherlands/UT_Utrecht/NLD_UT_Soesterberg.AB.062650_TMYx.zip")</f>
        <v>https://climate.onebuilding.org/WMO_Region_6_Europe/NLD_Netherlands/UT_Utrecht/NLD_UT_Soesterberg.AB.062650_TMYx.zip</v>
      </c>
    </row>
    <row r="7881" spans="1:10" x14ac:dyDescent="0.25">
      <c r="A7881" t="s">
        <v>5810</v>
      </c>
      <c r="B7881" t="s">
        <v>726</v>
      </c>
      <c r="C7881" t="s">
        <v>5853</v>
      </c>
      <c r="D7881" s="1" t="s">
        <v>5854</v>
      </c>
      <c r="E7881" t="s">
        <v>5855</v>
      </c>
      <c r="F7881">
        <v>52.896700000000003</v>
      </c>
      <c r="G7881">
        <v>5.3833000000000002</v>
      </c>
      <c r="H7881">
        <v>1</v>
      </c>
      <c r="I7881">
        <v>-1.3</v>
      </c>
      <c r="J7881" t="str">
        <f>HYPERLINK("https://climate.onebuilding.org/WMO_Region_6_Europe/NLD_Netherlands/FR_Friesland/NLD_FR_Stavoren.062670_TMYx.2004-2018.zip")</f>
        <v>https://climate.onebuilding.org/WMO_Region_6_Europe/NLD_Netherlands/FR_Friesland/NLD_FR_Stavoren.062670_TMYx.2004-2018.zip</v>
      </c>
    </row>
    <row r="7882" spans="1:10" x14ac:dyDescent="0.25">
      <c r="A7882" t="s">
        <v>5810</v>
      </c>
      <c r="B7882" t="s">
        <v>726</v>
      </c>
      <c r="C7882" t="s">
        <v>5853</v>
      </c>
      <c r="D7882" s="1" t="s">
        <v>5854</v>
      </c>
      <c r="E7882" t="s">
        <v>14</v>
      </c>
      <c r="F7882">
        <v>52.896700000000003</v>
      </c>
      <c r="G7882">
        <v>5.3833000000000002</v>
      </c>
      <c r="H7882">
        <v>1</v>
      </c>
      <c r="I7882">
        <v>-1.3</v>
      </c>
      <c r="J7882" t="str">
        <f>HYPERLINK("https://climate.onebuilding.org/WMO_Region_6_Europe/NLD_Netherlands/FR_Friesland/NLD_FR_Stavoren.062670_TMYx.2007-2021.zip")</f>
        <v>https://climate.onebuilding.org/WMO_Region_6_Europe/NLD_Netherlands/FR_Friesland/NLD_FR_Stavoren.062670_TMYx.2007-2021.zip</v>
      </c>
    </row>
    <row r="7883" spans="1:10" x14ac:dyDescent="0.25">
      <c r="A7883" t="s">
        <v>5810</v>
      </c>
      <c r="B7883" t="s">
        <v>726</v>
      </c>
      <c r="C7883" t="s">
        <v>5853</v>
      </c>
      <c r="D7883" s="1" t="s">
        <v>5854</v>
      </c>
      <c r="E7883" t="s">
        <v>14</v>
      </c>
      <c r="F7883">
        <v>52.896700000000003</v>
      </c>
      <c r="G7883">
        <v>5.3833000000000002</v>
      </c>
      <c r="H7883">
        <v>1</v>
      </c>
      <c r="I7883">
        <v>-1.3</v>
      </c>
      <c r="J7883" t="str">
        <f>HYPERLINK("https://climate.onebuilding.org/WMO_Region_6_Europe/NLD_Netherlands/FR_Friesland/NLD_FR_Stavoren.062670_TMYx.2009-2023.zip")</f>
        <v>https://climate.onebuilding.org/WMO_Region_6_Europe/NLD_Netherlands/FR_Friesland/NLD_FR_Stavoren.062670_TMYx.2009-2023.zip</v>
      </c>
    </row>
    <row r="7884" spans="1:10" x14ac:dyDescent="0.25">
      <c r="A7884" t="s">
        <v>5810</v>
      </c>
      <c r="B7884" t="s">
        <v>726</v>
      </c>
      <c r="C7884" t="s">
        <v>5853</v>
      </c>
      <c r="D7884" s="1" t="s">
        <v>5854</v>
      </c>
      <c r="E7884" t="s">
        <v>14</v>
      </c>
      <c r="F7884">
        <v>52.896700000000003</v>
      </c>
      <c r="G7884">
        <v>5.3833000000000002</v>
      </c>
      <c r="H7884">
        <v>1</v>
      </c>
      <c r="I7884">
        <v>-1.3</v>
      </c>
      <c r="J7884" t="str">
        <f>HYPERLINK("https://climate.onebuilding.org/WMO_Region_6_Europe/NLD_Netherlands/FR_Friesland/NLD_FR_Stavoren.062670_TMYx.zip")</f>
        <v>https://climate.onebuilding.org/WMO_Region_6_Europe/NLD_Netherlands/FR_Friesland/NLD_FR_Stavoren.062670_TMYx.zip</v>
      </c>
    </row>
    <row r="7885" spans="1:10" x14ac:dyDescent="0.25">
      <c r="A7885" t="s">
        <v>5810</v>
      </c>
      <c r="B7885" t="s">
        <v>5710</v>
      </c>
      <c r="C7885" t="s">
        <v>5856</v>
      </c>
      <c r="D7885" s="1" t="s">
        <v>5857</v>
      </c>
      <c r="E7885" t="s">
        <v>14</v>
      </c>
      <c r="F7885">
        <v>52.533099999999997</v>
      </c>
      <c r="G7885">
        <v>5.4333999999999998</v>
      </c>
      <c r="H7885">
        <v>1</v>
      </c>
      <c r="I7885">
        <v>2</v>
      </c>
      <c r="J7885" t="str">
        <f>HYPERLINK("https://climate.onebuilding.org/WMO_Region_6_Europe/NLD_Netherlands/FL_Flevoland/NLD_FL_Houtrib.062680_TMYx.zip")</f>
        <v>https://climate.onebuilding.org/WMO_Region_6_Europe/NLD_Netherlands/FL_Flevoland/NLD_FL_Houtrib.062680_TMYx.zip</v>
      </c>
    </row>
    <row r="7886" spans="1:10" x14ac:dyDescent="0.25">
      <c r="A7886" t="s">
        <v>5810</v>
      </c>
      <c r="B7886" t="s">
        <v>5710</v>
      </c>
      <c r="C7886" t="s">
        <v>5858</v>
      </c>
      <c r="D7886" s="1" t="s">
        <v>5859</v>
      </c>
      <c r="E7886" t="s">
        <v>5860</v>
      </c>
      <c r="F7886">
        <v>52.4572</v>
      </c>
      <c r="G7886">
        <v>5.5197000000000003</v>
      </c>
      <c r="H7886">
        <v>1</v>
      </c>
      <c r="I7886">
        <v>-3.9</v>
      </c>
      <c r="J7886" t="str">
        <f>HYPERLINK("https://climate.onebuilding.org/WMO_Region_6_Europe/NLD_Netherlands/FL_Flevoland/NLD_FL_Lelystad.AP.062690_TMYx.2004-2018.zip")</f>
        <v>https://climate.onebuilding.org/WMO_Region_6_Europe/NLD_Netherlands/FL_Flevoland/NLD_FL_Lelystad.AP.062690_TMYx.2004-2018.zip</v>
      </c>
    </row>
    <row r="7887" spans="1:10" x14ac:dyDescent="0.25">
      <c r="A7887" t="s">
        <v>5810</v>
      </c>
      <c r="B7887" t="s">
        <v>5710</v>
      </c>
      <c r="C7887" t="s">
        <v>5858</v>
      </c>
      <c r="D7887" s="1" t="s">
        <v>5859</v>
      </c>
      <c r="E7887" t="s">
        <v>14</v>
      </c>
      <c r="F7887">
        <v>52.4572</v>
      </c>
      <c r="G7887">
        <v>5.5197000000000003</v>
      </c>
      <c r="H7887">
        <v>1</v>
      </c>
      <c r="I7887">
        <v>-3.9</v>
      </c>
      <c r="J7887" t="str">
        <f>HYPERLINK("https://climate.onebuilding.org/WMO_Region_6_Europe/NLD_Netherlands/FL_Flevoland/NLD_FL_Lelystad.AP.062690_TMYx.2007-2021.zip")</f>
        <v>https://climate.onebuilding.org/WMO_Region_6_Europe/NLD_Netherlands/FL_Flevoland/NLD_FL_Lelystad.AP.062690_TMYx.2007-2021.zip</v>
      </c>
    </row>
    <row r="7888" spans="1:10" x14ac:dyDescent="0.25">
      <c r="A7888" t="s">
        <v>5810</v>
      </c>
      <c r="B7888" t="s">
        <v>5710</v>
      </c>
      <c r="C7888" t="s">
        <v>5858</v>
      </c>
      <c r="D7888" s="1" t="s">
        <v>5859</v>
      </c>
      <c r="E7888" t="s">
        <v>14</v>
      </c>
      <c r="F7888">
        <v>52.4572</v>
      </c>
      <c r="G7888">
        <v>5.5197000000000003</v>
      </c>
      <c r="H7888">
        <v>1</v>
      </c>
      <c r="I7888">
        <v>-3.9</v>
      </c>
      <c r="J7888" t="str">
        <f>HYPERLINK("https://climate.onebuilding.org/WMO_Region_6_Europe/NLD_Netherlands/FL_Flevoland/NLD_FL_Lelystad.AP.062690_TMYx.2009-2023.zip")</f>
        <v>https://climate.onebuilding.org/WMO_Region_6_Europe/NLD_Netherlands/FL_Flevoland/NLD_FL_Lelystad.AP.062690_TMYx.2009-2023.zip</v>
      </c>
    </row>
    <row r="7889" spans="1:10" x14ac:dyDescent="0.25">
      <c r="A7889" t="s">
        <v>5810</v>
      </c>
      <c r="B7889" t="s">
        <v>5710</v>
      </c>
      <c r="C7889" t="s">
        <v>5858</v>
      </c>
      <c r="D7889" s="1" t="s">
        <v>5859</v>
      </c>
      <c r="E7889" t="s">
        <v>14</v>
      </c>
      <c r="F7889">
        <v>52.4572</v>
      </c>
      <c r="G7889">
        <v>5.5197000000000003</v>
      </c>
      <c r="H7889">
        <v>1</v>
      </c>
      <c r="I7889">
        <v>-3.9</v>
      </c>
      <c r="J7889" t="str">
        <f>HYPERLINK("https://climate.onebuilding.org/WMO_Region_6_Europe/NLD_Netherlands/FL_Flevoland/NLD_FL_Lelystad.AP.062690_TMYx.zip")</f>
        <v>https://climate.onebuilding.org/WMO_Region_6_Europe/NLD_Netherlands/FL_Flevoland/NLD_FL_Lelystad.AP.062690_TMYx.zip</v>
      </c>
    </row>
    <row r="7890" spans="1:10" x14ac:dyDescent="0.25">
      <c r="A7890" t="s">
        <v>5810</v>
      </c>
      <c r="B7890" t="s">
        <v>726</v>
      </c>
      <c r="C7890" t="s">
        <v>5861</v>
      </c>
      <c r="D7890" s="1" t="s">
        <v>5862</v>
      </c>
      <c r="E7890" t="s">
        <v>5863</v>
      </c>
      <c r="F7890">
        <v>53.223100000000002</v>
      </c>
      <c r="G7890">
        <v>5.7516999999999996</v>
      </c>
      <c r="H7890">
        <v>1</v>
      </c>
      <c r="I7890">
        <v>1</v>
      </c>
      <c r="J7890" t="str">
        <f>HYPERLINK("https://climate.onebuilding.org/WMO_Region_6_Europe/NLD_Netherlands/FR_Friesland/NLD_FR_Leeuwarden.AB.062700_TMYx.2004-2018.zip")</f>
        <v>https://climate.onebuilding.org/WMO_Region_6_Europe/NLD_Netherlands/FR_Friesland/NLD_FR_Leeuwarden.AB.062700_TMYx.2004-2018.zip</v>
      </c>
    </row>
    <row r="7891" spans="1:10" x14ac:dyDescent="0.25">
      <c r="A7891" t="s">
        <v>5810</v>
      </c>
      <c r="B7891" t="s">
        <v>726</v>
      </c>
      <c r="C7891" t="s">
        <v>5861</v>
      </c>
      <c r="D7891" s="1" t="s">
        <v>5862</v>
      </c>
      <c r="E7891" t="s">
        <v>14</v>
      </c>
      <c r="F7891">
        <v>53.223100000000002</v>
      </c>
      <c r="G7891">
        <v>5.7516999999999996</v>
      </c>
      <c r="H7891">
        <v>1</v>
      </c>
      <c r="I7891">
        <v>1</v>
      </c>
      <c r="J7891" t="str">
        <f>HYPERLINK("https://climate.onebuilding.org/WMO_Region_6_Europe/NLD_Netherlands/FR_Friesland/NLD_FR_Leeuwarden.AB.062700_TMYx.2007-2021.zip")</f>
        <v>https://climate.onebuilding.org/WMO_Region_6_Europe/NLD_Netherlands/FR_Friesland/NLD_FR_Leeuwarden.AB.062700_TMYx.2007-2021.zip</v>
      </c>
    </row>
    <row r="7892" spans="1:10" x14ac:dyDescent="0.25">
      <c r="A7892" t="s">
        <v>5810</v>
      </c>
      <c r="B7892" t="s">
        <v>726</v>
      </c>
      <c r="C7892" t="s">
        <v>5861</v>
      </c>
      <c r="D7892" s="1" t="s">
        <v>5862</v>
      </c>
      <c r="E7892" t="s">
        <v>14</v>
      </c>
      <c r="F7892">
        <v>53.223100000000002</v>
      </c>
      <c r="G7892">
        <v>5.7516999999999996</v>
      </c>
      <c r="H7892">
        <v>1</v>
      </c>
      <c r="I7892">
        <v>1</v>
      </c>
      <c r="J7892" t="str">
        <f>HYPERLINK("https://climate.onebuilding.org/WMO_Region_6_Europe/NLD_Netherlands/FR_Friesland/NLD_FR_Leeuwarden.AB.062700_TMYx.2009-2023.zip")</f>
        <v>https://climate.onebuilding.org/WMO_Region_6_Europe/NLD_Netherlands/FR_Friesland/NLD_FR_Leeuwarden.AB.062700_TMYx.2009-2023.zip</v>
      </c>
    </row>
    <row r="7893" spans="1:10" x14ac:dyDescent="0.25">
      <c r="A7893" t="s">
        <v>5810</v>
      </c>
      <c r="B7893" t="s">
        <v>726</v>
      </c>
      <c r="C7893" t="s">
        <v>5861</v>
      </c>
      <c r="D7893" s="1" t="s">
        <v>5862</v>
      </c>
      <c r="E7893" t="s">
        <v>14</v>
      </c>
      <c r="F7893">
        <v>53.223100000000002</v>
      </c>
      <c r="G7893">
        <v>5.7516999999999996</v>
      </c>
      <c r="H7893">
        <v>1</v>
      </c>
      <c r="I7893">
        <v>1</v>
      </c>
      <c r="J7893" t="str">
        <f>HYPERLINK("https://climate.onebuilding.org/WMO_Region_6_Europe/NLD_Netherlands/FR_Friesland/NLD_FR_Leeuwarden.AB.062700_TMYx.zip")</f>
        <v>https://climate.onebuilding.org/WMO_Region_6_Europe/NLD_Netherlands/FR_Friesland/NLD_FR_Leeuwarden.AB.062700_TMYx.zip</v>
      </c>
    </row>
    <row r="7894" spans="1:10" x14ac:dyDescent="0.25">
      <c r="A7894" t="s">
        <v>5810</v>
      </c>
      <c r="B7894" t="s">
        <v>5710</v>
      </c>
      <c r="C7894" t="s">
        <v>5864</v>
      </c>
      <c r="D7894" s="1" t="s">
        <v>5865</v>
      </c>
      <c r="E7894" t="s">
        <v>14</v>
      </c>
      <c r="F7894">
        <v>52.616999999999997</v>
      </c>
      <c r="G7894">
        <v>5.85</v>
      </c>
      <c r="H7894">
        <v>1</v>
      </c>
      <c r="I7894">
        <v>6</v>
      </c>
      <c r="J7894" t="str">
        <f>HYPERLINK("https://climate.onebuilding.org/WMO_Region_6_Europe/NLD_Netherlands/FL_Flevoland/NLD_FL_Ramspol.062720_TMYx.zip")</f>
        <v>https://climate.onebuilding.org/WMO_Region_6_Europe/NLD_Netherlands/FL_Flevoland/NLD_FL_Ramspol.062720_TMYx.zip</v>
      </c>
    </row>
    <row r="7895" spans="1:10" x14ac:dyDescent="0.25">
      <c r="A7895" t="s">
        <v>5810</v>
      </c>
      <c r="B7895" t="s">
        <v>5710</v>
      </c>
      <c r="C7895" t="s">
        <v>5866</v>
      </c>
      <c r="D7895" s="1" t="s">
        <v>5867</v>
      </c>
      <c r="E7895" t="s">
        <v>5868</v>
      </c>
      <c r="F7895">
        <v>52.701999999999998</v>
      </c>
      <c r="G7895">
        <v>5.8875000000000002</v>
      </c>
      <c r="H7895">
        <v>1</v>
      </c>
      <c r="I7895">
        <v>-3.4</v>
      </c>
      <c r="J7895" t="str">
        <f>HYPERLINK("https://climate.onebuilding.org/WMO_Region_6_Europe/NLD_Netherlands/FL_Flevoland/NLD_FL_Marknesse.062730_TMYx.2004-2018.zip")</f>
        <v>https://climate.onebuilding.org/WMO_Region_6_Europe/NLD_Netherlands/FL_Flevoland/NLD_FL_Marknesse.062730_TMYx.2004-2018.zip</v>
      </c>
    </row>
    <row r="7896" spans="1:10" x14ac:dyDescent="0.25">
      <c r="A7896" t="s">
        <v>5810</v>
      </c>
      <c r="B7896" t="s">
        <v>5710</v>
      </c>
      <c r="C7896" t="s">
        <v>5866</v>
      </c>
      <c r="D7896" s="1" t="s">
        <v>5867</v>
      </c>
      <c r="E7896" t="s">
        <v>14</v>
      </c>
      <c r="F7896">
        <v>52.701999999999998</v>
      </c>
      <c r="G7896">
        <v>5.8875000000000002</v>
      </c>
      <c r="H7896">
        <v>1</v>
      </c>
      <c r="I7896">
        <v>-3.4</v>
      </c>
      <c r="J7896" t="str">
        <f>HYPERLINK("https://climate.onebuilding.org/WMO_Region_6_Europe/NLD_Netherlands/FL_Flevoland/NLD_FL_Marknesse.062730_TMYx.2007-2021.zip")</f>
        <v>https://climate.onebuilding.org/WMO_Region_6_Europe/NLD_Netherlands/FL_Flevoland/NLD_FL_Marknesse.062730_TMYx.2007-2021.zip</v>
      </c>
    </row>
    <row r="7897" spans="1:10" x14ac:dyDescent="0.25">
      <c r="A7897" t="s">
        <v>5810</v>
      </c>
      <c r="B7897" t="s">
        <v>5710</v>
      </c>
      <c r="C7897" t="s">
        <v>5866</v>
      </c>
      <c r="D7897" s="1" t="s">
        <v>5867</v>
      </c>
      <c r="E7897" t="s">
        <v>14</v>
      </c>
      <c r="F7897">
        <v>52.701999999999998</v>
      </c>
      <c r="G7897">
        <v>5.8875000000000002</v>
      </c>
      <c r="H7897">
        <v>1</v>
      </c>
      <c r="I7897">
        <v>-3.4</v>
      </c>
      <c r="J7897" t="str">
        <f>HYPERLINK("https://climate.onebuilding.org/WMO_Region_6_Europe/NLD_Netherlands/FL_Flevoland/NLD_FL_Marknesse.062730_TMYx.2009-2023.zip")</f>
        <v>https://climate.onebuilding.org/WMO_Region_6_Europe/NLD_Netherlands/FL_Flevoland/NLD_FL_Marknesse.062730_TMYx.2009-2023.zip</v>
      </c>
    </row>
    <row r="7898" spans="1:10" x14ac:dyDescent="0.25">
      <c r="A7898" t="s">
        <v>5810</v>
      </c>
      <c r="B7898" t="s">
        <v>5710</v>
      </c>
      <c r="C7898" t="s">
        <v>5866</v>
      </c>
      <c r="D7898" s="1" t="s">
        <v>5867</v>
      </c>
      <c r="E7898" t="s">
        <v>14</v>
      </c>
      <c r="F7898">
        <v>52.701999999999998</v>
      </c>
      <c r="G7898">
        <v>5.8875000000000002</v>
      </c>
      <c r="H7898">
        <v>1</v>
      </c>
      <c r="I7898">
        <v>-3.4</v>
      </c>
      <c r="J7898" t="str">
        <f>HYPERLINK("https://climate.onebuilding.org/WMO_Region_6_Europe/NLD_Netherlands/FL_Flevoland/NLD_FL_Marknesse.062730_TMYx.zip")</f>
        <v>https://climate.onebuilding.org/WMO_Region_6_Europe/NLD_Netherlands/FL_Flevoland/NLD_FL_Marknesse.062730_TMYx.zip</v>
      </c>
    </row>
    <row r="7899" spans="1:10" x14ac:dyDescent="0.25">
      <c r="A7899" t="s">
        <v>5810</v>
      </c>
      <c r="B7899" t="s">
        <v>932</v>
      </c>
      <c r="C7899" t="s">
        <v>5869</v>
      </c>
      <c r="D7899" s="1" t="s">
        <v>5870</v>
      </c>
      <c r="E7899" t="s">
        <v>5871</v>
      </c>
      <c r="F7899">
        <v>52.054699999999997</v>
      </c>
      <c r="G7899">
        <v>5.8722000000000003</v>
      </c>
      <c r="H7899">
        <v>1</v>
      </c>
      <c r="I7899">
        <v>46.7</v>
      </c>
      <c r="J7899" t="str">
        <f>HYPERLINK("https://climate.onebuilding.org/WMO_Region_6_Europe/NLD_Netherlands/GE_Gelderland/NLD_GE_Deelen.AB.062750_TMYx.2004-2018.zip")</f>
        <v>https://climate.onebuilding.org/WMO_Region_6_Europe/NLD_Netherlands/GE_Gelderland/NLD_GE_Deelen.AB.062750_TMYx.2004-2018.zip</v>
      </c>
    </row>
    <row r="7900" spans="1:10" x14ac:dyDescent="0.25">
      <c r="A7900" t="s">
        <v>5810</v>
      </c>
      <c r="B7900" t="s">
        <v>932</v>
      </c>
      <c r="C7900" t="s">
        <v>5869</v>
      </c>
      <c r="D7900" s="1" t="s">
        <v>5870</v>
      </c>
      <c r="E7900" t="s">
        <v>14</v>
      </c>
      <c r="F7900">
        <v>52.054699999999997</v>
      </c>
      <c r="G7900">
        <v>5.8722000000000003</v>
      </c>
      <c r="H7900">
        <v>1</v>
      </c>
      <c r="I7900">
        <v>46.7</v>
      </c>
      <c r="J7900" t="str">
        <f>HYPERLINK("https://climate.onebuilding.org/WMO_Region_6_Europe/NLD_Netherlands/GE_Gelderland/NLD_GE_Deelen.AB.062750_TMYx.2007-2021.zip")</f>
        <v>https://climate.onebuilding.org/WMO_Region_6_Europe/NLD_Netherlands/GE_Gelderland/NLD_GE_Deelen.AB.062750_TMYx.2007-2021.zip</v>
      </c>
    </row>
    <row r="7901" spans="1:10" x14ac:dyDescent="0.25">
      <c r="A7901" t="s">
        <v>5810</v>
      </c>
      <c r="B7901" t="s">
        <v>932</v>
      </c>
      <c r="C7901" t="s">
        <v>5869</v>
      </c>
      <c r="D7901" s="1" t="s">
        <v>5870</v>
      </c>
      <c r="E7901" t="s">
        <v>14</v>
      </c>
      <c r="F7901">
        <v>52.054699999999997</v>
      </c>
      <c r="G7901">
        <v>5.8722000000000003</v>
      </c>
      <c r="H7901">
        <v>1</v>
      </c>
      <c r="I7901">
        <v>46.7</v>
      </c>
      <c r="J7901" t="str">
        <f>HYPERLINK("https://climate.onebuilding.org/WMO_Region_6_Europe/NLD_Netherlands/GE_Gelderland/NLD_GE_Deelen.AB.062750_TMYx.2009-2023.zip")</f>
        <v>https://climate.onebuilding.org/WMO_Region_6_Europe/NLD_Netherlands/GE_Gelderland/NLD_GE_Deelen.AB.062750_TMYx.2009-2023.zip</v>
      </c>
    </row>
    <row r="7902" spans="1:10" x14ac:dyDescent="0.25">
      <c r="A7902" t="s">
        <v>5810</v>
      </c>
      <c r="B7902" t="s">
        <v>932</v>
      </c>
      <c r="C7902" t="s">
        <v>5869</v>
      </c>
      <c r="D7902" s="1" t="s">
        <v>5870</v>
      </c>
      <c r="E7902" t="s">
        <v>14</v>
      </c>
      <c r="F7902">
        <v>52.054699999999997</v>
      </c>
      <c r="G7902">
        <v>5.8722000000000003</v>
      </c>
      <c r="H7902">
        <v>1</v>
      </c>
      <c r="I7902">
        <v>46.7</v>
      </c>
      <c r="J7902" t="str">
        <f>HYPERLINK("https://climate.onebuilding.org/WMO_Region_6_Europe/NLD_Netherlands/GE_Gelderland/NLD_GE_Deelen.AB.062750_TMYx.zip")</f>
        <v>https://climate.onebuilding.org/WMO_Region_6_Europe/NLD_Netherlands/GE_Gelderland/NLD_GE_Deelen.AB.062750_TMYx.zip</v>
      </c>
    </row>
    <row r="7903" spans="1:10" x14ac:dyDescent="0.25">
      <c r="A7903" t="s">
        <v>5810</v>
      </c>
      <c r="B7903" t="s">
        <v>1057</v>
      </c>
      <c r="C7903" t="s">
        <v>5872</v>
      </c>
      <c r="D7903" s="1" t="s">
        <v>5873</v>
      </c>
      <c r="E7903" t="s">
        <v>5874</v>
      </c>
      <c r="F7903">
        <v>53.411700000000003</v>
      </c>
      <c r="G7903">
        <v>6.1992000000000003</v>
      </c>
      <c r="H7903">
        <v>1</v>
      </c>
      <c r="I7903">
        <v>2.9</v>
      </c>
      <c r="J7903" t="str">
        <f>HYPERLINK("https://climate.onebuilding.org/WMO_Region_6_Europe/NLD_Netherlands/GR_Groningen/NLD_GR_Lauwersoog.062770_TMYx.2004-2018.zip")</f>
        <v>https://climate.onebuilding.org/WMO_Region_6_Europe/NLD_Netherlands/GR_Groningen/NLD_GR_Lauwersoog.062770_TMYx.2004-2018.zip</v>
      </c>
    </row>
    <row r="7904" spans="1:10" x14ac:dyDescent="0.25">
      <c r="A7904" t="s">
        <v>5810</v>
      </c>
      <c r="B7904" t="s">
        <v>1057</v>
      </c>
      <c r="C7904" t="s">
        <v>5872</v>
      </c>
      <c r="D7904" s="1" t="s">
        <v>5873</v>
      </c>
      <c r="E7904" t="s">
        <v>14</v>
      </c>
      <c r="F7904">
        <v>53.411700000000003</v>
      </c>
      <c r="G7904">
        <v>6.1992000000000003</v>
      </c>
      <c r="H7904">
        <v>1</v>
      </c>
      <c r="I7904">
        <v>2.9</v>
      </c>
      <c r="J7904" t="str">
        <f>HYPERLINK("https://climate.onebuilding.org/WMO_Region_6_Europe/NLD_Netherlands/GR_Groningen/NLD_GR_Lauwersoog.062770_TMYx.2007-2021.zip")</f>
        <v>https://climate.onebuilding.org/WMO_Region_6_Europe/NLD_Netherlands/GR_Groningen/NLD_GR_Lauwersoog.062770_TMYx.2007-2021.zip</v>
      </c>
    </row>
    <row r="7905" spans="1:10" x14ac:dyDescent="0.25">
      <c r="A7905" t="s">
        <v>5810</v>
      </c>
      <c r="B7905" t="s">
        <v>1057</v>
      </c>
      <c r="C7905" t="s">
        <v>5872</v>
      </c>
      <c r="D7905" s="1" t="s">
        <v>5873</v>
      </c>
      <c r="E7905" t="s">
        <v>14</v>
      </c>
      <c r="F7905">
        <v>53.411700000000003</v>
      </c>
      <c r="G7905">
        <v>6.1992000000000003</v>
      </c>
      <c r="H7905">
        <v>1</v>
      </c>
      <c r="I7905">
        <v>2.9</v>
      </c>
      <c r="J7905" t="str">
        <f>HYPERLINK("https://climate.onebuilding.org/WMO_Region_6_Europe/NLD_Netherlands/GR_Groningen/NLD_GR_Lauwersoog.062770_TMYx.2009-2023.zip")</f>
        <v>https://climate.onebuilding.org/WMO_Region_6_Europe/NLD_Netherlands/GR_Groningen/NLD_GR_Lauwersoog.062770_TMYx.2009-2023.zip</v>
      </c>
    </row>
    <row r="7906" spans="1:10" x14ac:dyDescent="0.25">
      <c r="A7906" t="s">
        <v>5810</v>
      </c>
      <c r="B7906" t="s">
        <v>1057</v>
      </c>
      <c r="C7906" t="s">
        <v>5872</v>
      </c>
      <c r="D7906" s="1" t="s">
        <v>5873</v>
      </c>
      <c r="E7906" t="s">
        <v>14</v>
      </c>
      <c r="F7906">
        <v>53.411700000000003</v>
      </c>
      <c r="G7906">
        <v>6.1992000000000003</v>
      </c>
      <c r="H7906">
        <v>1</v>
      </c>
      <c r="I7906">
        <v>2.9</v>
      </c>
      <c r="J7906" t="str">
        <f>HYPERLINK("https://climate.onebuilding.org/WMO_Region_6_Europe/NLD_Netherlands/GR_Groningen/NLD_GR_Lauwersoog.062770_TMYx.zip")</f>
        <v>https://climate.onebuilding.org/WMO_Region_6_Europe/NLD_Netherlands/GR_Groningen/NLD_GR_Lauwersoog.062770_TMYx.zip</v>
      </c>
    </row>
    <row r="7907" spans="1:10" x14ac:dyDescent="0.25">
      <c r="A7907" t="s">
        <v>5810</v>
      </c>
      <c r="B7907" t="s">
        <v>5875</v>
      </c>
      <c r="C7907" t="s">
        <v>5876</v>
      </c>
      <c r="D7907" s="1" t="s">
        <v>5877</v>
      </c>
      <c r="E7907" t="s">
        <v>5878</v>
      </c>
      <c r="F7907">
        <v>52.434399999999997</v>
      </c>
      <c r="G7907">
        <v>6.2588999999999997</v>
      </c>
      <c r="H7907">
        <v>1</v>
      </c>
      <c r="I7907">
        <v>3.6</v>
      </c>
      <c r="J7907" t="str">
        <f>HYPERLINK("https://climate.onebuilding.org/WMO_Region_6_Europe/NLD_Netherlands/OV_Overijssel/NLD_OV_Heino.062780_TMYx.2004-2018.zip")</f>
        <v>https://climate.onebuilding.org/WMO_Region_6_Europe/NLD_Netherlands/OV_Overijssel/NLD_OV_Heino.062780_TMYx.2004-2018.zip</v>
      </c>
    </row>
    <row r="7908" spans="1:10" x14ac:dyDescent="0.25">
      <c r="A7908" t="s">
        <v>5810</v>
      </c>
      <c r="B7908" t="s">
        <v>5875</v>
      </c>
      <c r="C7908" t="s">
        <v>5876</v>
      </c>
      <c r="D7908" s="1" t="s">
        <v>5877</v>
      </c>
      <c r="E7908" t="s">
        <v>14</v>
      </c>
      <c r="F7908">
        <v>52.434399999999997</v>
      </c>
      <c r="G7908">
        <v>6.2588999999999997</v>
      </c>
      <c r="H7908">
        <v>1</v>
      </c>
      <c r="I7908">
        <v>3.6</v>
      </c>
      <c r="J7908" t="str">
        <f>HYPERLINK("https://climate.onebuilding.org/WMO_Region_6_Europe/NLD_Netherlands/OV_Overijssel/NLD_OV_Heino.062780_TMYx.2007-2021.zip")</f>
        <v>https://climate.onebuilding.org/WMO_Region_6_Europe/NLD_Netherlands/OV_Overijssel/NLD_OV_Heino.062780_TMYx.2007-2021.zip</v>
      </c>
    </row>
    <row r="7909" spans="1:10" x14ac:dyDescent="0.25">
      <c r="A7909" t="s">
        <v>5810</v>
      </c>
      <c r="B7909" t="s">
        <v>5875</v>
      </c>
      <c r="C7909" t="s">
        <v>5876</v>
      </c>
      <c r="D7909" s="1" t="s">
        <v>5877</v>
      </c>
      <c r="E7909" t="s">
        <v>14</v>
      </c>
      <c r="F7909">
        <v>52.434399999999997</v>
      </c>
      <c r="G7909">
        <v>6.2588999999999997</v>
      </c>
      <c r="H7909">
        <v>1</v>
      </c>
      <c r="I7909">
        <v>3.6</v>
      </c>
      <c r="J7909" t="str">
        <f>HYPERLINK("https://climate.onebuilding.org/WMO_Region_6_Europe/NLD_Netherlands/OV_Overijssel/NLD_OV_Heino.062780_TMYx.2009-2023.zip")</f>
        <v>https://climate.onebuilding.org/WMO_Region_6_Europe/NLD_Netherlands/OV_Overijssel/NLD_OV_Heino.062780_TMYx.2009-2023.zip</v>
      </c>
    </row>
    <row r="7910" spans="1:10" x14ac:dyDescent="0.25">
      <c r="A7910" t="s">
        <v>5810</v>
      </c>
      <c r="B7910" t="s">
        <v>5875</v>
      </c>
      <c r="C7910" t="s">
        <v>5876</v>
      </c>
      <c r="D7910" s="1" t="s">
        <v>5877</v>
      </c>
      <c r="E7910" t="s">
        <v>14</v>
      </c>
      <c r="F7910">
        <v>52.434399999999997</v>
      </c>
      <c r="G7910">
        <v>6.2588999999999997</v>
      </c>
      <c r="H7910">
        <v>1</v>
      </c>
      <c r="I7910">
        <v>3.6</v>
      </c>
      <c r="J7910" t="str">
        <f>HYPERLINK("https://climate.onebuilding.org/WMO_Region_6_Europe/NLD_Netherlands/OV_Overijssel/NLD_OV_Heino.062780_TMYx.zip")</f>
        <v>https://climate.onebuilding.org/WMO_Region_6_Europe/NLD_Netherlands/OV_Overijssel/NLD_OV_Heino.062780_TMYx.zip</v>
      </c>
    </row>
    <row r="7911" spans="1:10" x14ac:dyDescent="0.25">
      <c r="A7911" t="s">
        <v>5810</v>
      </c>
      <c r="B7911" t="s">
        <v>5879</v>
      </c>
      <c r="C7911" t="s">
        <v>5880</v>
      </c>
      <c r="D7911" s="1" t="s">
        <v>5881</v>
      </c>
      <c r="E7911" t="s">
        <v>5882</v>
      </c>
      <c r="F7911">
        <v>52.748899999999999</v>
      </c>
      <c r="G7911">
        <v>6.5731000000000002</v>
      </c>
      <c r="H7911">
        <v>1</v>
      </c>
      <c r="I7911">
        <v>17.399999999999999</v>
      </c>
      <c r="J7911" t="str">
        <f>HYPERLINK("https://climate.onebuilding.org/WMO_Region_6_Europe/NLD_Netherlands/DR_Drenthe/NLD_DR_Hoogeveen.062790_TMYx.2004-2018.zip")</f>
        <v>https://climate.onebuilding.org/WMO_Region_6_Europe/NLD_Netherlands/DR_Drenthe/NLD_DR_Hoogeveen.062790_TMYx.2004-2018.zip</v>
      </c>
    </row>
    <row r="7912" spans="1:10" x14ac:dyDescent="0.25">
      <c r="A7912" t="s">
        <v>5810</v>
      </c>
      <c r="B7912" t="s">
        <v>5879</v>
      </c>
      <c r="C7912" t="s">
        <v>5880</v>
      </c>
      <c r="D7912" s="1" t="s">
        <v>5881</v>
      </c>
      <c r="E7912" t="s">
        <v>14</v>
      </c>
      <c r="F7912">
        <v>52.748899999999999</v>
      </c>
      <c r="G7912">
        <v>6.5731000000000002</v>
      </c>
      <c r="H7912">
        <v>1</v>
      </c>
      <c r="I7912">
        <v>17.399999999999999</v>
      </c>
      <c r="J7912" t="str">
        <f>HYPERLINK("https://climate.onebuilding.org/WMO_Region_6_Europe/NLD_Netherlands/DR_Drenthe/NLD_DR_Hoogeveen.062790_TMYx.2007-2021.zip")</f>
        <v>https://climate.onebuilding.org/WMO_Region_6_Europe/NLD_Netherlands/DR_Drenthe/NLD_DR_Hoogeveen.062790_TMYx.2007-2021.zip</v>
      </c>
    </row>
    <row r="7913" spans="1:10" x14ac:dyDescent="0.25">
      <c r="A7913" t="s">
        <v>5810</v>
      </c>
      <c r="B7913" t="s">
        <v>5879</v>
      </c>
      <c r="C7913" t="s">
        <v>5880</v>
      </c>
      <c r="D7913" s="1" t="s">
        <v>5881</v>
      </c>
      <c r="E7913" t="s">
        <v>14</v>
      </c>
      <c r="F7913">
        <v>52.748899999999999</v>
      </c>
      <c r="G7913">
        <v>6.5731000000000002</v>
      </c>
      <c r="H7913">
        <v>1</v>
      </c>
      <c r="I7913">
        <v>17.399999999999999</v>
      </c>
      <c r="J7913" t="str">
        <f>HYPERLINK("https://climate.onebuilding.org/WMO_Region_6_Europe/NLD_Netherlands/DR_Drenthe/NLD_DR_Hoogeveen.062790_TMYx.2009-2023.zip")</f>
        <v>https://climate.onebuilding.org/WMO_Region_6_Europe/NLD_Netherlands/DR_Drenthe/NLD_DR_Hoogeveen.062790_TMYx.2009-2023.zip</v>
      </c>
    </row>
    <row r="7914" spans="1:10" x14ac:dyDescent="0.25">
      <c r="A7914" t="s">
        <v>5810</v>
      </c>
      <c r="B7914" t="s">
        <v>5879</v>
      </c>
      <c r="C7914" t="s">
        <v>5880</v>
      </c>
      <c r="D7914" s="1" t="s">
        <v>5881</v>
      </c>
      <c r="E7914" t="s">
        <v>14</v>
      </c>
      <c r="F7914">
        <v>52.748899999999999</v>
      </c>
      <c r="G7914">
        <v>6.5731000000000002</v>
      </c>
      <c r="H7914">
        <v>1</v>
      </c>
      <c r="I7914">
        <v>17.399999999999999</v>
      </c>
      <c r="J7914" t="str">
        <f>HYPERLINK("https://climate.onebuilding.org/WMO_Region_6_Europe/NLD_Netherlands/DR_Drenthe/NLD_DR_Hoogeveen.062790_TMYx.zip")</f>
        <v>https://climate.onebuilding.org/WMO_Region_6_Europe/NLD_Netherlands/DR_Drenthe/NLD_DR_Hoogeveen.062790_TMYx.zip</v>
      </c>
    </row>
    <row r="7915" spans="1:10" x14ac:dyDescent="0.25">
      <c r="A7915" t="s">
        <v>5810</v>
      </c>
      <c r="B7915" t="s">
        <v>5879</v>
      </c>
      <c r="C7915" t="s">
        <v>5883</v>
      </c>
      <c r="D7915" s="1" t="s">
        <v>5884</v>
      </c>
      <c r="E7915" t="s">
        <v>5885</v>
      </c>
      <c r="F7915">
        <v>53.123600000000003</v>
      </c>
      <c r="G7915">
        <v>6.5846999999999998</v>
      </c>
      <c r="H7915">
        <v>1</v>
      </c>
      <c r="I7915">
        <v>4</v>
      </c>
      <c r="J7915" t="str">
        <f>HYPERLINK("https://climate.onebuilding.org/WMO_Region_6_Europe/NLD_Netherlands/DR_Drenthe/NLD_DR_Eelde-Groningen.AP.062800_TMYx.2004-2018.zip")</f>
        <v>https://climate.onebuilding.org/WMO_Region_6_Europe/NLD_Netherlands/DR_Drenthe/NLD_DR_Eelde-Groningen.AP.062800_TMYx.2004-2018.zip</v>
      </c>
    </row>
    <row r="7916" spans="1:10" x14ac:dyDescent="0.25">
      <c r="A7916" t="s">
        <v>5810</v>
      </c>
      <c r="B7916" t="s">
        <v>5879</v>
      </c>
      <c r="C7916" t="s">
        <v>5883</v>
      </c>
      <c r="D7916" s="1" t="s">
        <v>5884</v>
      </c>
      <c r="E7916" t="s">
        <v>14</v>
      </c>
      <c r="F7916">
        <v>53.123600000000003</v>
      </c>
      <c r="G7916">
        <v>6.5846999999999998</v>
      </c>
      <c r="H7916">
        <v>1</v>
      </c>
      <c r="I7916">
        <v>4</v>
      </c>
      <c r="J7916" t="str">
        <f>HYPERLINK("https://climate.onebuilding.org/WMO_Region_6_Europe/NLD_Netherlands/DR_Drenthe/NLD_DR_Eelde-Groningen.AP.062800_TMYx.2007-2021.zip")</f>
        <v>https://climate.onebuilding.org/WMO_Region_6_Europe/NLD_Netherlands/DR_Drenthe/NLD_DR_Eelde-Groningen.AP.062800_TMYx.2007-2021.zip</v>
      </c>
    </row>
    <row r="7917" spans="1:10" x14ac:dyDescent="0.25">
      <c r="A7917" t="s">
        <v>5810</v>
      </c>
      <c r="B7917" t="s">
        <v>5879</v>
      </c>
      <c r="C7917" t="s">
        <v>5883</v>
      </c>
      <c r="D7917" s="1" t="s">
        <v>5884</v>
      </c>
      <c r="E7917" t="s">
        <v>14</v>
      </c>
      <c r="F7917">
        <v>53.123600000000003</v>
      </c>
      <c r="G7917">
        <v>6.5846999999999998</v>
      </c>
      <c r="H7917">
        <v>1</v>
      </c>
      <c r="I7917">
        <v>4</v>
      </c>
      <c r="J7917" t="str">
        <f>HYPERLINK("https://climate.onebuilding.org/WMO_Region_6_Europe/NLD_Netherlands/DR_Drenthe/NLD_DR_Eelde-Groningen.AP.062800_TMYx.2009-2023.zip")</f>
        <v>https://climate.onebuilding.org/WMO_Region_6_Europe/NLD_Netherlands/DR_Drenthe/NLD_DR_Eelde-Groningen.AP.062800_TMYx.2009-2023.zip</v>
      </c>
    </row>
    <row r="7918" spans="1:10" x14ac:dyDescent="0.25">
      <c r="A7918" t="s">
        <v>5810</v>
      </c>
      <c r="B7918" t="s">
        <v>5879</v>
      </c>
      <c r="C7918" t="s">
        <v>5883</v>
      </c>
      <c r="D7918" s="1" t="s">
        <v>5884</v>
      </c>
      <c r="E7918" t="s">
        <v>14</v>
      </c>
      <c r="F7918">
        <v>53.123600000000003</v>
      </c>
      <c r="G7918">
        <v>6.5846999999999998</v>
      </c>
      <c r="H7918">
        <v>1</v>
      </c>
      <c r="I7918">
        <v>4</v>
      </c>
      <c r="J7918" t="str">
        <f>HYPERLINK("https://climate.onebuilding.org/WMO_Region_6_Europe/NLD_Netherlands/DR_Drenthe/NLD_DR_Eelde-Groningen.AP.062800_TMYx.zip")</f>
        <v>https://climate.onebuilding.org/WMO_Region_6_Europe/NLD_Netherlands/DR_Drenthe/NLD_DR_Eelde-Groningen.AP.062800_TMYx.zip</v>
      </c>
    </row>
    <row r="7919" spans="1:10" x14ac:dyDescent="0.25">
      <c r="A7919" t="s">
        <v>5810</v>
      </c>
      <c r="B7919" t="s">
        <v>932</v>
      </c>
      <c r="C7919" t="s">
        <v>5886</v>
      </c>
      <c r="D7919" s="1" t="s">
        <v>5887</v>
      </c>
      <c r="E7919" t="s">
        <v>5888</v>
      </c>
      <c r="F7919">
        <v>52.067799999999998</v>
      </c>
      <c r="G7919">
        <v>6.6566999999999998</v>
      </c>
      <c r="H7919">
        <v>1</v>
      </c>
      <c r="I7919">
        <v>29.1</v>
      </c>
      <c r="J7919" t="str">
        <f>HYPERLINK("https://climate.onebuilding.org/WMO_Region_6_Europe/NLD_Netherlands/GE_Gelderland/NLD_GE_Hupsel.062830_TMYx.2004-2018.zip")</f>
        <v>https://climate.onebuilding.org/WMO_Region_6_Europe/NLD_Netherlands/GE_Gelderland/NLD_GE_Hupsel.062830_TMYx.2004-2018.zip</v>
      </c>
    </row>
    <row r="7920" spans="1:10" x14ac:dyDescent="0.25">
      <c r="A7920" t="s">
        <v>5810</v>
      </c>
      <c r="B7920" t="s">
        <v>932</v>
      </c>
      <c r="C7920" t="s">
        <v>5886</v>
      </c>
      <c r="D7920" s="1" t="s">
        <v>5887</v>
      </c>
      <c r="E7920" t="s">
        <v>14</v>
      </c>
      <c r="F7920">
        <v>52.067799999999998</v>
      </c>
      <c r="G7920">
        <v>6.6566999999999998</v>
      </c>
      <c r="H7920">
        <v>1</v>
      </c>
      <c r="I7920">
        <v>29.1</v>
      </c>
      <c r="J7920" t="str">
        <f>HYPERLINK("https://climate.onebuilding.org/WMO_Region_6_Europe/NLD_Netherlands/GE_Gelderland/NLD_GE_Hupsel.062830_TMYx.2007-2021.zip")</f>
        <v>https://climate.onebuilding.org/WMO_Region_6_Europe/NLD_Netherlands/GE_Gelderland/NLD_GE_Hupsel.062830_TMYx.2007-2021.zip</v>
      </c>
    </row>
    <row r="7921" spans="1:10" x14ac:dyDescent="0.25">
      <c r="A7921" t="s">
        <v>5810</v>
      </c>
      <c r="B7921" t="s">
        <v>932</v>
      </c>
      <c r="C7921" t="s">
        <v>5886</v>
      </c>
      <c r="D7921" s="1" t="s">
        <v>5887</v>
      </c>
      <c r="E7921" t="s">
        <v>14</v>
      </c>
      <c r="F7921">
        <v>52.067799999999998</v>
      </c>
      <c r="G7921">
        <v>6.6566999999999998</v>
      </c>
      <c r="H7921">
        <v>1</v>
      </c>
      <c r="I7921">
        <v>29.1</v>
      </c>
      <c r="J7921" t="str">
        <f>HYPERLINK("https://climate.onebuilding.org/WMO_Region_6_Europe/NLD_Netherlands/GE_Gelderland/NLD_GE_Hupsel.062830_TMYx.2009-2023.zip")</f>
        <v>https://climate.onebuilding.org/WMO_Region_6_Europe/NLD_Netherlands/GE_Gelderland/NLD_GE_Hupsel.062830_TMYx.2009-2023.zip</v>
      </c>
    </row>
    <row r="7922" spans="1:10" x14ac:dyDescent="0.25">
      <c r="A7922" t="s">
        <v>5810</v>
      </c>
      <c r="B7922" t="s">
        <v>932</v>
      </c>
      <c r="C7922" t="s">
        <v>5886</v>
      </c>
      <c r="D7922" s="1" t="s">
        <v>5887</v>
      </c>
      <c r="E7922" t="s">
        <v>14</v>
      </c>
      <c r="F7922">
        <v>52.067799999999998</v>
      </c>
      <c r="G7922">
        <v>6.6566999999999998</v>
      </c>
      <c r="H7922">
        <v>1</v>
      </c>
      <c r="I7922">
        <v>29.1</v>
      </c>
      <c r="J7922" t="str">
        <f>HYPERLINK("https://climate.onebuilding.org/WMO_Region_6_Europe/NLD_Netherlands/GE_Gelderland/NLD_GE_Hupsel.062830_TMYx.zip")</f>
        <v>https://climate.onebuilding.org/WMO_Region_6_Europe/NLD_Netherlands/GE_Gelderland/NLD_GE_Hupsel.062830_TMYx.zip</v>
      </c>
    </row>
    <row r="7923" spans="1:10" x14ac:dyDescent="0.25">
      <c r="A7923" t="s">
        <v>5810</v>
      </c>
      <c r="B7923" t="s">
        <v>1057</v>
      </c>
      <c r="C7923" t="s">
        <v>5889</v>
      </c>
      <c r="D7923" s="1" t="s">
        <v>5890</v>
      </c>
      <c r="E7923" t="s">
        <v>5891</v>
      </c>
      <c r="F7923">
        <v>53.194499999999998</v>
      </c>
      <c r="G7923">
        <v>7.1492000000000004</v>
      </c>
      <c r="H7923">
        <v>1</v>
      </c>
      <c r="I7923">
        <v>-0.2</v>
      </c>
      <c r="J7923" t="str">
        <f>HYPERLINK("https://climate.onebuilding.org/WMO_Region_6_Europe/NLD_Netherlands/GR_Groningen/NLD_GR_Nieuw.Beerta.062860_TMYx.2004-2018.zip")</f>
        <v>https://climate.onebuilding.org/WMO_Region_6_Europe/NLD_Netherlands/GR_Groningen/NLD_GR_Nieuw.Beerta.062860_TMYx.2004-2018.zip</v>
      </c>
    </row>
    <row r="7924" spans="1:10" x14ac:dyDescent="0.25">
      <c r="A7924" t="s">
        <v>5810</v>
      </c>
      <c r="B7924" t="s">
        <v>1057</v>
      </c>
      <c r="C7924" t="s">
        <v>5889</v>
      </c>
      <c r="D7924" s="1" t="s">
        <v>5890</v>
      </c>
      <c r="E7924" t="s">
        <v>14</v>
      </c>
      <c r="F7924">
        <v>53.194499999999998</v>
      </c>
      <c r="G7924">
        <v>7.1492000000000004</v>
      </c>
      <c r="H7924">
        <v>1</v>
      </c>
      <c r="I7924">
        <v>-0.2</v>
      </c>
      <c r="J7924" t="str">
        <f>HYPERLINK("https://climate.onebuilding.org/WMO_Region_6_Europe/NLD_Netherlands/GR_Groningen/NLD_GR_Nieuw.Beerta.062860_TMYx.2007-2021.zip")</f>
        <v>https://climate.onebuilding.org/WMO_Region_6_Europe/NLD_Netherlands/GR_Groningen/NLD_GR_Nieuw.Beerta.062860_TMYx.2007-2021.zip</v>
      </c>
    </row>
    <row r="7925" spans="1:10" x14ac:dyDescent="0.25">
      <c r="A7925" t="s">
        <v>5810</v>
      </c>
      <c r="B7925" t="s">
        <v>1057</v>
      </c>
      <c r="C7925" t="s">
        <v>5889</v>
      </c>
      <c r="D7925" s="1" t="s">
        <v>5890</v>
      </c>
      <c r="E7925" t="s">
        <v>14</v>
      </c>
      <c r="F7925">
        <v>53.194499999999998</v>
      </c>
      <c r="G7925">
        <v>7.1492000000000004</v>
      </c>
      <c r="H7925">
        <v>1</v>
      </c>
      <c r="I7925">
        <v>-0.2</v>
      </c>
      <c r="J7925" t="str">
        <f>HYPERLINK("https://climate.onebuilding.org/WMO_Region_6_Europe/NLD_Netherlands/GR_Groningen/NLD_GR_Nieuw.Beerta.062860_TMYx.2009-2023.zip")</f>
        <v>https://climate.onebuilding.org/WMO_Region_6_Europe/NLD_Netherlands/GR_Groningen/NLD_GR_Nieuw.Beerta.062860_TMYx.2009-2023.zip</v>
      </c>
    </row>
    <row r="7926" spans="1:10" x14ac:dyDescent="0.25">
      <c r="A7926" t="s">
        <v>5810</v>
      </c>
      <c r="B7926" t="s">
        <v>1057</v>
      </c>
      <c r="C7926" t="s">
        <v>5889</v>
      </c>
      <c r="D7926" s="1" t="s">
        <v>5890</v>
      </c>
      <c r="E7926" t="s">
        <v>14</v>
      </c>
      <c r="F7926">
        <v>53.194499999999998</v>
      </c>
      <c r="G7926">
        <v>7.1492000000000004</v>
      </c>
      <c r="H7926">
        <v>1</v>
      </c>
      <c r="I7926">
        <v>-0.2</v>
      </c>
      <c r="J7926" t="str">
        <f>HYPERLINK("https://climate.onebuilding.org/WMO_Region_6_Europe/NLD_Netherlands/GR_Groningen/NLD_GR_Nieuw.Beerta.062860_TMYx.zip")</f>
        <v>https://climate.onebuilding.org/WMO_Region_6_Europe/NLD_Netherlands/GR_Groningen/NLD_GR_Nieuw.Beerta.062860_TMYx.zip</v>
      </c>
    </row>
    <row r="7927" spans="1:10" x14ac:dyDescent="0.25">
      <c r="A7927" t="s">
        <v>5810</v>
      </c>
      <c r="B7927" t="s">
        <v>5875</v>
      </c>
      <c r="C7927" t="s">
        <v>5892</v>
      </c>
      <c r="D7927" s="1" t="s">
        <v>5893</v>
      </c>
      <c r="E7927" t="s">
        <v>5894</v>
      </c>
      <c r="F7927">
        <v>52.273099999999999</v>
      </c>
      <c r="G7927">
        <v>6.8907999999999996</v>
      </c>
      <c r="H7927">
        <v>1</v>
      </c>
      <c r="I7927">
        <v>34.6</v>
      </c>
      <c r="J7927" t="str">
        <f>HYPERLINK("https://climate.onebuilding.org/WMO_Region_6_Europe/NLD_Netherlands/OV_Overijssel/NLD_OV_Twenthe-Enschede.AP.062900_TMYx.2004-2018.zip")</f>
        <v>https://climate.onebuilding.org/WMO_Region_6_Europe/NLD_Netherlands/OV_Overijssel/NLD_OV_Twenthe-Enschede.AP.062900_TMYx.2004-2018.zip</v>
      </c>
    </row>
    <row r="7928" spans="1:10" x14ac:dyDescent="0.25">
      <c r="A7928" t="s">
        <v>5810</v>
      </c>
      <c r="B7928" t="s">
        <v>5875</v>
      </c>
      <c r="C7928" t="s">
        <v>5892</v>
      </c>
      <c r="D7928" s="1" t="s">
        <v>5893</v>
      </c>
      <c r="E7928" t="s">
        <v>14</v>
      </c>
      <c r="F7928">
        <v>52.273099999999999</v>
      </c>
      <c r="G7928">
        <v>6.8907999999999996</v>
      </c>
      <c r="H7928">
        <v>1</v>
      </c>
      <c r="I7928">
        <v>34.6</v>
      </c>
      <c r="J7928" t="str">
        <f>HYPERLINK("https://climate.onebuilding.org/WMO_Region_6_Europe/NLD_Netherlands/OV_Overijssel/NLD_OV_Twenthe-Enschede.AP.062900_TMYx.2007-2021.zip")</f>
        <v>https://climate.onebuilding.org/WMO_Region_6_Europe/NLD_Netherlands/OV_Overijssel/NLD_OV_Twenthe-Enschede.AP.062900_TMYx.2007-2021.zip</v>
      </c>
    </row>
    <row r="7929" spans="1:10" x14ac:dyDescent="0.25">
      <c r="A7929" t="s">
        <v>5810</v>
      </c>
      <c r="B7929" t="s">
        <v>5875</v>
      </c>
      <c r="C7929" t="s">
        <v>5892</v>
      </c>
      <c r="D7929" s="1" t="s">
        <v>5893</v>
      </c>
      <c r="E7929" t="s">
        <v>14</v>
      </c>
      <c r="F7929">
        <v>52.273099999999999</v>
      </c>
      <c r="G7929">
        <v>6.8907999999999996</v>
      </c>
      <c r="H7929">
        <v>1</v>
      </c>
      <c r="I7929">
        <v>34.6</v>
      </c>
      <c r="J7929" t="str">
        <f>HYPERLINK("https://climate.onebuilding.org/WMO_Region_6_Europe/NLD_Netherlands/OV_Overijssel/NLD_OV_Twenthe-Enschede.AP.062900_TMYx.2009-2023.zip")</f>
        <v>https://climate.onebuilding.org/WMO_Region_6_Europe/NLD_Netherlands/OV_Overijssel/NLD_OV_Twenthe-Enschede.AP.062900_TMYx.2009-2023.zip</v>
      </c>
    </row>
    <row r="7930" spans="1:10" x14ac:dyDescent="0.25">
      <c r="A7930" t="s">
        <v>5810</v>
      </c>
      <c r="B7930" t="s">
        <v>5875</v>
      </c>
      <c r="C7930" t="s">
        <v>5892</v>
      </c>
      <c r="D7930" s="1" t="s">
        <v>5893</v>
      </c>
      <c r="E7930" t="s">
        <v>14</v>
      </c>
      <c r="F7930">
        <v>52.273099999999999</v>
      </c>
      <c r="G7930">
        <v>6.8907999999999996</v>
      </c>
      <c r="H7930">
        <v>1</v>
      </c>
      <c r="I7930">
        <v>34.6</v>
      </c>
      <c r="J7930" t="str">
        <f>HYPERLINK("https://climate.onebuilding.org/WMO_Region_6_Europe/NLD_Netherlands/OV_Overijssel/NLD_OV_Twenthe-Enschede.AP.062900_TMYx.zip")</f>
        <v>https://climate.onebuilding.org/WMO_Region_6_Europe/NLD_Netherlands/OV_Overijssel/NLD_OV_Twenthe-Enschede.AP.062900_TMYx.zip</v>
      </c>
    </row>
    <row r="7931" spans="1:10" x14ac:dyDescent="0.25">
      <c r="A7931" t="s">
        <v>5810</v>
      </c>
      <c r="B7931" t="s">
        <v>5895</v>
      </c>
      <c r="C7931" t="s">
        <v>5896</v>
      </c>
      <c r="D7931" s="1" t="s">
        <v>5897</v>
      </c>
      <c r="E7931" t="s">
        <v>14</v>
      </c>
      <c r="F7931">
        <v>51.65</v>
      </c>
      <c r="G7931">
        <v>2.5670000000000002</v>
      </c>
      <c r="H7931">
        <v>1</v>
      </c>
      <c r="I7931">
        <v>3</v>
      </c>
      <c r="J7931" t="str">
        <f>HYPERLINK("https://climate.onebuilding.org/WMO_Region_6_Europe/NLD_Netherlands/ZE_Zeeland/NLD_ZE_Noordhinder.Lightship.063000_TMYx.zip")</f>
        <v>https://climate.onebuilding.org/WMO_Region_6_Europe/NLD_Netherlands/ZE_Zeeland/NLD_ZE_Noordhinder.Lightship.063000_TMYx.zip</v>
      </c>
    </row>
    <row r="7932" spans="1:10" x14ac:dyDescent="0.25">
      <c r="A7932" t="s">
        <v>5810</v>
      </c>
      <c r="B7932" t="s">
        <v>5895</v>
      </c>
      <c r="C7932" t="s">
        <v>5898</v>
      </c>
      <c r="D7932" s="1" t="s">
        <v>5899</v>
      </c>
      <c r="E7932" t="s">
        <v>5900</v>
      </c>
      <c r="F7932">
        <v>51.441400000000002</v>
      </c>
      <c r="G7932">
        <v>3.5958000000000001</v>
      </c>
      <c r="H7932">
        <v>1</v>
      </c>
      <c r="I7932">
        <v>9.6999999999999993</v>
      </c>
      <c r="J7932" t="str">
        <f>HYPERLINK("https://climate.onebuilding.org/WMO_Region_6_Europe/NLD_Netherlands/ZE_Zeeland/NLD_ZE_Vlissingen.063100_TMYx.2004-2018.zip")</f>
        <v>https://climate.onebuilding.org/WMO_Region_6_Europe/NLD_Netherlands/ZE_Zeeland/NLD_ZE_Vlissingen.063100_TMYx.2004-2018.zip</v>
      </c>
    </row>
    <row r="7933" spans="1:10" x14ac:dyDescent="0.25">
      <c r="A7933" t="s">
        <v>5810</v>
      </c>
      <c r="B7933" t="s">
        <v>5895</v>
      </c>
      <c r="C7933" t="s">
        <v>5898</v>
      </c>
      <c r="D7933" s="1" t="s">
        <v>5899</v>
      </c>
      <c r="E7933" t="s">
        <v>14</v>
      </c>
      <c r="F7933">
        <v>51.441400000000002</v>
      </c>
      <c r="G7933">
        <v>3.5958000000000001</v>
      </c>
      <c r="H7933">
        <v>1</v>
      </c>
      <c r="I7933">
        <v>9.6999999999999993</v>
      </c>
      <c r="J7933" t="str">
        <f>HYPERLINK("https://climate.onebuilding.org/WMO_Region_6_Europe/NLD_Netherlands/ZE_Zeeland/NLD_ZE_Vlissingen.063100_TMYx.2007-2021.zip")</f>
        <v>https://climate.onebuilding.org/WMO_Region_6_Europe/NLD_Netherlands/ZE_Zeeland/NLD_ZE_Vlissingen.063100_TMYx.2007-2021.zip</v>
      </c>
    </row>
    <row r="7934" spans="1:10" x14ac:dyDescent="0.25">
      <c r="A7934" t="s">
        <v>5810</v>
      </c>
      <c r="B7934" t="s">
        <v>5895</v>
      </c>
      <c r="C7934" t="s">
        <v>5898</v>
      </c>
      <c r="D7934" s="1" t="s">
        <v>5899</v>
      </c>
      <c r="E7934" t="s">
        <v>14</v>
      </c>
      <c r="F7934">
        <v>51.441400000000002</v>
      </c>
      <c r="G7934">
        <v>3.5958000000000001</v>
      </c>
      <c r="H7934">
        <v>1</v>
      </c>
      <c r="I7934">
        <v>9.6999999999999993</v>
      </c>
      <c r="J7934" t="str">
        <f>HYPERLINK("https://climate.onebuilding.org/WMO_Region_6_Europe/NLD_Netherlands/ZE_Zeeland/NLD_ZE_Vlissingen.063100_TMYx.2009-2023.zip")</f>
        <v>https://climate.onebuilding.org/WMO_Region_6_Europe/NLD_Netherlands/ZE_Zeeland/NLD_ZE_Vlissingen.063100_TMYx.2009-2023.zip</v>
      </c>
    </row>
    <row r="7935" spans="1:10" x14ac:dyDescent="0.25">
      <c r="A7935" t="s">
        <v>5810</v>
      </c>
      <c r="B7935" t="s">
        <v>5895</v>
      </c>
      <c r="C7935" t="s">
        <v>5898</v>
      </c>
      <c r="D7935" s="1" t="s">
        <v>5899</v>
      </c>
      <c r="E7935" t="s">
        <v>14</v>
      </c>
      <c r="F7935">
        <v>51.441400000000002</v>
      </c>
      <c r="G7935">
        <v>3.5958000000000001</v>
      </c>
      <c r="H7935">
        <v>1</v>
      </c>
      <c r="I7935">
        <v>9.6999999999999993</v>
      </c>
      <c r="J7935" t="str">
        <f>HYPERLINK("https://climate.onebuilding.org/WMO_Region_6_Europe/NLD_Netherlands/ZE_Zeeland/NLD_ZE_Vlissingen.063100_TMYx.zip")</f>
        <v>https://climate.onebuilding.org/WMO_Region_6_Europe/NLD_Netherlands/ZE_Zeeland/NLD_ZE_Vlissingen.063100_TMYx.zip</v>
      </c>
    </row>
    <row r="7936" spans="1:10" x14ac:dyDescent="0.25">
      <c r="A7936" t="s">
        <v>5810</v>
      </c>
      <c r="B7936" t="s">
        <v>5895</v>
      </c>
      <c r="C7936" t="s">
        <v>5901</v>
      </c>
      <c r="D7936" s="1" t="s">
        <v>5902</v>
      </c>
      <c r="E7936" t="s">
        <v>78</v>
      </c>
      <c r="F7936">
        <v>51.448779999999999</v>
      </c>
      <c r="G7936">
        <v>3.99885</v>
      </c>
      <c r="H7936">
        <v>1</v>
      </c>
      <c r="I7936">
        <v>-1</v>
      </c>
      <c r="J7936" t="str">
        <f>HYPERLINK("https://climate.onebuilding.org/WMO_Region_6_Europe/NLD_Netherlands/ZE_Zeeland/NLD_ZE_Hansweert.063150_TMYx.2007-2021.zip")</f>
        <v>https://climate.onebuilding.org/WMO_Region_6_Europe/NLD_Netherlands/ZE_Zeeland/NLD_ZE_Hansweert.063150_TMYx.2007-2021.zip</v>
      </c>
    </row>
    <row r="7937" spans="1:10" x14ac:dyDescent="0.25">
      <c r="A7937" t="s">
        <v>5810</v>
      </c>
      <c r="B7937" t="s">
        <v>5895</v>
      </c>
      <c r="C7937" t="s">
        <v>5901</v>
      </c>
      <c r="D7937" s="1" t="s">
        <v>5902</v>
      </c>
      <c r="E7937" t="s">
        <v>78</v>
      </c>
      <c r="F7937">
        <v>51.448779999999999</v>
      </c>
      <c r="G7937">
        <v>3.99885</v>
      </c>
      <c r="H7937">
        <v>1</v>
      </c>
      <c r="I7937">
        <v>-1</v>
      </c>
      <c r="J7937" t="str">
        <f>HYPERLINK("https://climate.onebuilding.org/WMO_Region_6_Europe/NLD_Netherlands/ZE_Zeeland/NLD_ZE_Hansweert.063150_TMYx.2009-2023.zip")</f>
        <v>https://climate.onebuilding.org/WMO_Region_6_Europe/NLD_Netherlands/ZE_Zeeland/NLD_ZE_Hansweert.063150_TMYx.2009-2023.zip</v>
      </c>
    </row>
    <row r="7938" spans="1:10" x14ac:dyDescent="0.25">
      <c r="A7938" t="s">
        <v>5810</v>
      </c>
      <c r="B7938" t="s">
        <v>5895</v>
      </c>
      <c r="C7938" t="s">
        <v>5901</v>
      </c>
      <c r="D7938" s="1" t="s">
        <v>5902</v>
      </c>
      <c r="E7938" t="s">
        <v>78</v>
      </c>
      <c r="F7938">
        <v>51.448779999999999</v>
      </c>
      <c r="G7938">
        <v>3.99885</v>
      </c>
      <c r="H7938">
        <v>1</v>
      </c>
      <c r="I7938">
        <v>-1</v>
      </c>
      <c r="J7938" t="str">
        <f>HYPERLINK("https://climate.onebuilding.org/WMO_Region_6_Europe/NLD_Netherlands/ZE_Zeeland/NLD_ZE_Hansweert.063150_TMYx.zip")</f>
        <v>https://climate.onebuilding.org/WMO_Region_6_Europe/NLD_Netherlands/ZE_Zeeland/NLD_ZE_Hansweert.063150_TMYx.zip</v>
      </c>
    </row>
    <row r="7939" spans="1:10" x14ac:dyDescent="0.25">
      <c r="A7939" t="s">
        <v>5810</v>
      </c>
      <c r="B7939" t="s">
        <v>5895</v>
      </c>
      <c r="C7939" t="s">
        <v>5903</v>
      </c>
      <c r="D7939" s="1" t="s">
        <v>5904</v>
      </c>
      <c r="E7939" t="s">
        <v>78</v>
      </c>
      <c r="F7939">
        <v>51.655799999999999</v>
      </c>
      <c r="G7939">
        <v>3.6939000000000002</v>
      </c>
      <c r="H7939">
        <v>1</v>
      </c>
      <c r="I7939">
        <v>0</v>
      </c>
      <c r="J7939" t="str">
        <f>HYPERLINK("https://climate.onebuilding.org/WMO_Region_6_Europe/NLD_Netherlands/ZE_Zeeland/NLD_ZE_Oosterschelde-Delta.Park.Neeltje.Jans.063160_TMYx.2007-2021.zip")</f>
        <v>https://climate.onebuilding.org/WMO_Region_6_Europe/NLD_Netherlands/ZE_Zeeland/NLD_ZE_Oosterschelde-Delta.Park.Neeltje.Jans.063160_TMYx.2007-2021.zip</v>
      </c>
    </row>
    <row r="7940" spans="1:10" x14ac:dyDescent="0.25">
      <c r="A7940" t="s">
        <v>5810</v>
      </c>
      <c r="B7940" t="s">
        <v>5895</v>
      </c>
      <c r="C7940" t="s">
        <v>5903</v>
      </c>
      <c r="D7940" s="1" t="s">
        <v>5904</v>
      </c>
      <c r="E7940" t="s">
        <v>78</v>
      </c>
      <c r="F7940">
        <v>51.655799999999999</v>
      </c>
      <c r="G7940">
        <v>3.6939000000000002</v>
      </c>
      <c r="H7940">
        <v>1</v>
      </c>
      <c r="I7940">
        <v>0</v>
      </c>
      <c r="J7940" t="str">
        <f>HYPERLINK("https://climate.onebuilding.org/WMO_Region_6_Europe/NLD_Netherlands/ZE_Zeeland/NLD_ZE_Oosterschelde-Delta.Park.Neeltje.Jans.063160_TMYx.2009-2023.zip")</f>
        <v>https://climate.onebuilding.org/WMO_Region_6_Europe/NLD_Netherlands/ZE_Zeeland/NLD_ZE_Oosterschelde-Delta.Park.Neeltje.Jans.063160_TMYx.2009-2023.zip</v>
      </c>
    </row>
    <row r="7941" spans="1:10" x14ac:dyDescent="0.25">
      <c r="A7941" t="s">
        <v>5810</v>
      </c>
      <c r="B7941" t="s">
        <v>5895</v>
      </c>
      <c r="C7941" t="s">
        <v>5903</v>
      </c>
      <c r="D7941" s="1" t="s">
        <v>5904</v>
      </c>
      <c r="E7941" t="s">
        <v>78</v>
      </c>
      <c r="F7941">
        <v>51.655799999999999</v>
      </c>
      <c r="G7941">
        <v>3.6939000000000002</v>
      </c>
      <c r="H7941">
        <v>1</v>
      </c>
      <c r="I7941">
        <v>0</v>
      </c>
      <c r="J7941" t="str">
        <f>HYPERLINK("https://climate.onebuilding.org/WMO_Region_6_Europe/NLD_Netherlands/ZE_Zeeland/NLD_ZE_Oosterschelde-Delta.Park.Neeltje.Jans.063160_TMYx.zip")</f>
        <v>https://climate.onebuilding.org/WMO_Region_6_Europe/NLD_Netherlands/ZE_Zeeland/NLD_ZE_Oosterschelde-Delta.Park.Neeltje.Jans.063160_TMYx.zip</v>
      </c>
    </row>
    <row r="7942" spans="1:10" x14ac:dyDescent="0.25">
      <c r="A7942" t="s">
        <v>5810</v>
      </c>
      <c r="B7942" t="s">
        <v>5895</v>
      </c>
      <c r="C7942" t="s">
        <v>5905</v>
      </c>
      <c r="D7942" s="1" t="s">
        <v>5906</v>
      </c>
      <c r="E7942" t="s">
        <v>5907</v>
      </c>
      <c r="F7942">
        <v>51.224699999999999</v>
      </c>
      <c r="G7942">
        <v>3.8611</v>
      </c>
      <c r="H7942">
        <v>1</v>
      </c>
      <c r="I7942">
        <v>3.1</v>
      </c>
      <c r="J7942" t="str">
        <f>HYPERLINK("https://climate.onebuilding.org/WMO_Region_6_Europe/NLD_Netherlands/ZE_Zeeland/NLD_ZE_Westdorpe.063190_TMYx.2004-2018.zip")</f>
        <v>https://climate.onebuilding.org/WMO_Region_6_Europe/NLD_Netherlands/ZE_Zeeland/NLD_ZE_Westdorpe.063190_TMYx.2004-2018.zip</v>
      </c>
    </row>
    <row r="7943" spans="1:10" x14ac:dyDescent="0.25">
      <c r="A7943" t="s">
        <v>5810</v>
      </c>
      <c r="B7943" t="s">
        <v>5895</v>
      </c>
      <c r="C7943" t="s">
        <v>5905</v>
      </c>
      <c r="D7943" s="1" t="s">
        <v>5906</v>
      </c>
      <c r="E7943" t="s">
        <v>14</v>
      </c>
      <c r="F7943">
        <v>51.224699999999999</v>
      </c>
      <c r="G7943">
        <v>3.8611</v>
      </c>
      <c r="H7943">
        <v>1</v>
      </c>
      <c r="I7943">
        <v>3.1</v>
      </c>
      <c r="J7943" t="str">
        <f>HYPERLINK("https://climate.onebuilding.org/WMO_Region_6_Europe/NLD_Netherlands/ZE_Zeeland/NLD_ZE_Westdorpe.063190_TMYx.2007-2021.zip")</f>
        <v>https://climate.onebuilding.org/WMO_Region_6_Europe/NLD_Netherlands/ZE_Zeeland/NLD_ZE_Westdorpe.063190_TMYx.2007-2021.zip</v>
      </c>
    </row>
    <row r="7944" spans="1:10" x14ac:dyDescent="0.25">
      <c r="A7944" t="s">
        <v>5810</v>
      </c>
      <c r="B7944" t="s">
        <v>5895</v>
      </c>
      <c r="C7944" t="s">
        <v>5905</v>
      </c>
      <c r="D7944" s="1" t="s">
        <v>5906</v>
      </c>
      <c r="E7944" t="s">
        <v>14</v>
      </c>
      <c r="F7944">
        <v>51.224699999999999</v>
      </c>
      <c r="G7944">
        <v>3.8611</v>
      </c>
      <c r="H7944">
        <v>1</v>
      </c>
      <c r="I7944">
        <v>3.1</v>
      </c>
      <c r="J7944" t="str">
        <f>HYPERLINK("https://climate.onebuilding.org/WMO_Region_6_Europe/NLD_Netherlands/ZE_Zeeland/NLD_ZE_Westdorpe.063190_TMYx.2009-2023.zip")</f>
        <v>https://climate.onebuilding.org/WMO_Region_6_Europe/NLD_Netherlands/ZE_Zeeland/NLD_ZE_Westdorpe.063190_TMYx.2009-2023.zip</v>
      </c>
    </row>
    <row r="7945" spans="1:10" x14ac:dyDescent="0.25">
      <c r="A7945" t="s">
        <v>5810</v>
      </c>
      <c r="B7945" t="s">
        <v>5895</v>
      </c>
      <c r="C7945" t="s">
        <v>5905</v>
      </c>
      <c r="D7945" s="1" t="s">
        <v>5906</v>
      </c>
      <c r="E7945" t="s">
        <v>14</v>
      </c>
      <c r="F7945">
        <v>51.224699999999999</v>
      </c>
      <c r="G7945">
        <v>3.8611</v>
      </c>
      <c r="H7945">
        <v>1</v>
      </c>
      <c r="I7945">
        <v>3.1</v>
      </c>
      <c r="J7945" t="str">
        <f>HYPERLINK("https://climate.onebuilding.org/WMO_Region_6_Europe/NLD_Netherlands/ZE_Zeeland/NLD_ZE_Westdorpe.063190_TMYx.zip")</f>
        <v>https://climate.onebuilding.org/WMO_Region_6_Europe/NLD_Netherlands/ZE_Zeeland/NLD_ZE_Westdorpe.063190_TMYx.zip</v>
      </c>
    </row>
    <row r="7946" spans="1:10" x14ac:dyDescent="0.25">
      <c r="A7946" t="s">
        <v>5810</v>
      </c>
      <c r="B7946" t="s">
        <v>730</v>
      </c>
      <c r="C7946" t="s">
        <v>5908</v>
      </c>
      <c r="D7946" s="1" t="s">
        <v>5909</v>
      </c>
      <c r="E7946" t="s">
        <v>5910</v>
      </c>
      <c r="F7946">
        <v>51.925800000000002</v>
      </c>
      <c r="G7946">
        <v>3.67</v>
      </c>
      <c r="H7946">
        <v>1</v>
      </c>
      <c r="I7946">
        <v>19.2</v>
      </c>
      <c r="J7946" t="str">
        <f>HYPERLINK("https://climate.onebuilding.org/WMO_Region_6_Europe/NLD_Netherlands/ZH_Zuid-Holland/NLD_ZH_Lichteiland.Goeree.Platform.063200_TMYx.2004-2018.zip")</f>
        <v>https://climate.onebuilding.org/WMO_Region_6_Europe/NLD_Netherlands/ZH_Zuid-Holland/NLD_ZH_Lichteiland.Goeree.Platform.063200_TMYx.2004-2018.zip</v>
      </c>
    </row>
    <row r="7947" spans="1:10" x14ac:dyDescent="0.25">
      <c r="A7947" t="s">
        <v>5810</v>
      </c>
      <c r="B7947" t="s">
        <v>730</v>
      </c>
      <c r="C7947" t="s">
        <v>5908</v>
      </c>
      <c r="D7947" s="1" t="s">
        <v>5909</v>
      </c>
      <c r="E7947" t="s">
        <v>14</v>
      </c>
      <c r="F7947">
        <v>51.925800000000002</v>
      </c>
      <c r="G7947">
        <v>3.67</v>
      </c>
      <c r="H7947">
        <v>1</v>
      </c>
      <c r="I7947">
        <v>19.2</v>
      </c>
      <c r="J7947" t="str">
        <f>HYPERLINK("https://climate.onebuilding.org/WMO_Region_6_Europe/NLD_Netherlands/ZH_Zuid-Holland/NLD_ZH_Lichteiland.Goeree.Platform.063200_TMYx.2007-2021.zip")</f>
        <v>https://climate.onebuilding.org/WMO_Region_6_Europe/NLD_Netherlands/ZH_Zuid-Holland/NLD_ZH_Lichteiland.Goeree.Platform.063200_TMYx.2007-2021.zip</v>
      </c>
    </row>
    <row r="7948" spans="1:10" x14ac:dyDescent="0.25">
      <c r="A7948" t="s">
        <v>5810</v>
      </c>
      <c r="B7948" t="s">
        <v>730</v>
      </c>
      <c r="C7948" t="s">
        <v>5908</v>
      </c>
      <c r="D7948" s="1" t="s">
        <v>5909</v>
      </c>
      <c r="E7948" t="s">
        <v>14</v>
      </c>
      <c r="F7948">
        <v>51.925800000000002</v>
      </c>
      <c r="G7948">
        <v>3.67</v>
      </c>
      <c r="H7948">
        <v>1</v>
      </c>
      <c r="I7948">
        <v>19.2</v>
      </c>
      <c r="J7948" t="str">
        <f>HYPERLINK("https://climate.onebuilding.org/WMO_Region_6_Europe/NLD_Netherlands/ZH_Zuid-Holland/NLD_ZH_Lichteiland.Goeree.Platform.063200_TMYx.2009-2023.zip")</f>
        <v>https://climate.onebuilding.org/WMO_Region_6_Europe/NLD_Netherlands/ZH_Zuid-Holland/NLD_ZH_Lichteiland.Goeree.Platform.063200_TMYx.2009-2023.zip</v>
      </c>
    </row>
    <row r="7949" spans="1:10" x14ac:dyDescent="0.25">
      <c r="A7949" t="s">
        <v>5810</v>
      </c>
      <c r="B7949" t="s">
        <v>730</v>
      </c>
      <c r="C7949" t="s">
        <v>5908</v>
      </c>
      <c r="D7949" s="1" t="s">
        <v>5909</v>
      </c>
      <c r="E7949" t="s">
        <v>14</v>
      </c>
      <c r="F7949">
        <v>51.925800000000002</v>
      </c>
      <c r="G7949">
        <v>3.67</v>
      </c>
      <c r="H7949">
        <v>1</v>
      </c>
      <c r="I7949">
        <v>19.2</v>
      </c>
      <c r="J7949" t="str">
        <f>HYPERLINK("https://climate.onebuilding.org/WMO_Region_6_Europe/NLD_Netherlands/ZH_Zuid-Holland/NLD_ZH_Lichteiland.Goeree.Platform.063200_TMYx.zip")</f>
        <v>https://climate.onebuilding.org/WMO_Region_6_Europe/NLD_Netherlands/ZH_Zuid-Holland/NLD_ZH_Lichteiland.Goeree.Platform.063200_TMYx.zip</v>
      </c>
    </row>
    <row r="7950" spans="1:10" x14ac:dyDescent="0.25">
      <c r="A7950" t="s">
        <v>5810</v>
      </c>
      <c r="B7950" t="s">
        <v>5895</v>
      </c>
      <c r="C7950" t="s">
        <v>5911</v>
      </c>
      <c r="D7950" s="1" t="s">
        <v>5912</v>
      </c>
      <c r="E7950" t="s">
        <v>5913</v>
      </c>
      <c r="F7950">
        <v>51.525799999999997</v>
      </c>
      <c r="G7950">
        <v>3.8835999999999999</v>
      </c>
      <c r="H7950">
        <v>1</v>
      </c>
      <c r="I7950">
        <v>1</v>
      </c>
      <c r="J7950" t="str">
        <f>HYPERLINK("https://climate.onebuilding.org/WMO_Region_6_Europe/NLD_Netherlands/ZE_Zeeland/NLD_ZE_Wilhelminadorp.063230_TMYx.2004-2018.zip")</f>
        <v>https://climate.onebuilding.org/WMO_Region_6_Europe/NLD_Netherlands/ZE_Zeeland/NLD_ZE_Wilhelminadorp.063230_TMYx.2004-2018.zip</v>
      </c>
    </row>
    <row r="7951" spans="1:10" x14ac:dyDescent="0.25">
      <c r="A7951" t="s">
        <v>5810</v>
      </c>
      <c r="B7951" t="s">
        <v>5895</v>
      </c>
      <c r="C7951" t="s">
        <v>5911</v>
      </c>
      <c r="D7951" s="1" t="s">
        <v>5912</v>
      </c>
      <c r="E7951" t="s">
        <v>14</v>
      </c>
      <c r="F7951">
        <v>51.525799999999997</v>
      </c>
      <c r="G7951">
        <v>3.8835999999999999</v>
      </c>
      <c r="H7951">
        <v>1</v>
      </c>
      <c r="I7951">
        <v>1</v>
      </c>
      <c r="J7951" t="str">
        <f>HYPERLINK("https://climate.onebuilding.org/WMO_Region_6_Europe/NLD_Netherlands/ZE_Zeeland/NLD_ZE_Wilhelminadorp.063230_TMYx.2007-2021.zip")</f>
        <v>https://climate.onebuilding.org/WMO_Region_6_Europe/NLD_Netherlands/ZE_Zeeland/NLD_ZE_Wilhelminadorp.063230_TMYx.2007-2021.zip</v>
      </c>
    </row>
    <row r="7952" spans="1:10" x14ac:dyDescent="0.25">
      <c r="A7952" t="s">
        <v>5810</v>
      </c>
      <c r="B7952" t="s">
        <v>5895</v>
      </c>
      <c r="C7952" t="s">
        <v>5911</v>
      </c>
      <c r="D7952" s="1" t="s">
        <v>5912</v>
      </c>
      <c r="E7952" t="s">
        <v>14</v>
      </c>
      <c r="F7952">
        <v>51.525799999999997</v>
      </c>
      <c r="G7952">
        <v>3.8835999999999999</v>
      </c>
      <c r="H7952">
        <v>1</v>
      </c>
      <c r="I7952">
        <v>1</v>
      </c>
      <c r="J7952" t="str">
        <f>HYPERLINK("https://climate.onebuilding.org/WMO_Region_6_Europe/NLD_Netherlands/ZE_Zeeland/NLD_ZE_Wilhelminadorp.063230_TMYx.2009-2023.zip")</f>
        <v>https://climate.onebuilding.org/WMO_Region_6_Europe/NLD_Netherlands/ZE_Zeeland/NLD_ZE_Wilhelminadorp.063230_TMYx.2009-2023.zip</v>
      </c>
    </row>
    <row r="7953" spans="1:10" x14ac:dyDescent="0.25">
      <c r="A7953" t="s">
        <v>5810</v>
      </c>
      <c r="B7953" t="s">
        <v>5895</v>
      </c>
      <c r="C7953" t="s">
        <v>5911</v>
      </c>
      <c r="D7953" s="1" t="s">
        <v>5912</v>
      </c>
      <c r="E7953" t="s">
        <v>14</v>
      </c>
      <c r="F7953">
        <v>51.525799999999997</v>
      </c>
      <c r="G7953">
        <v>3.8835999999999999</v>
      </c>
      <c r="H7953">
        <v>1</v>
      </c>
      <c r="I7953">
        <v>1</v>
      </c>
      <c r="J7953" t="str">
        <f>HYPERLINK("https://climate.onebuilding.org/WMO_Region_6_Europe/NLD_Netherlands/ZE_Zeeland/NLD_ZE_Wilhelminadorp.063230_TMYx.zip")</f>
        <v>https://climate.onebuilding.org/WMO_Region_6_Europe/NLD_Netherlands/ZE_Zeeland/NLD_ZE_Wilhelminadorp.063230_TMYx.zip</v>
      </c>
    </row>
    <row r="7954" spans="1:10" x14ac:dyDescent="0.25">
      <c r="A7954" t="s">
        <v>5810</v>
      </c>
      <c r="B7954" t="s">
        <v>5895</v>
      </c>
      <c r="C7954" t="s">
        <v>5914</v>
      </c>
      <c r="D7954" s="1" t="s">
        <v>5915</v>
      </c>
      <c r="E7954" t="s">
        <v>78</v>
      </c>
      <c r="F7954">
        <v>51.595599999999997</v>
      </c>
      <c r="G7954">
        <v>4.0061</v>
      </c>
      <c r="H7954">
        <v>1</v>
      </c>
      <c r="I7954">
        <v>0</v>
      </c>
      <c r="J7954" t="str">
        <f>HYPERLINK("https://climate.onebuilding.org/WMO_Region_6_Europe/NLD_Netherlands/ZE_Zeeland/NLD_ZE_Stavenisse.Nature.Preserve.063240_TMYx.2007-2021.zip")</f>
        <v>https://climate.onebuilding.org/WMO_Region_6_Europe/NLD_Netherlands/ZE_Zeeland/NLD_ZE_Stavenisse.Nature.Preserve.063240_TMYx.2007-2021.zip</v>
      </c>
    </row>
    <row r="7955" spans="1:10" x14ac:dyDescent="0.25">
      <c r="A7955" t="s">
        <v>5810</v>
      </c>
      <c r="B7955" t="s">
        <v>5895</v>
      </c>
      <c r="C7955" t="s">
        <v>5914</v>
      </c>
      <c r="D7955" s="1" t="s">
        <v>5915</v>
      </c>
      <c r="E7955" t="s">
        <v>78</v>
      </c>
      <c r="F7955">
        <v>51.595599999999997</v>
      </c>
      <c r="G7955">
        <v>4.0061</v>
      </c>
      <c r="H7955">
        <v>1</v>
      </c>
      <c r="I7955">
        <v>0</v>
      </c>
      <c r="J7955" t="str">
        <f>HYPERLINK("https://climate.onebuilding.org/WMO_Region_6_Europe/NLD_Netherlands/ZE_Zeeland/NLD_ZE_Stavenisse.Nature.Preserve.063240_TMYx.2009-2023.zip")</f>
        <v>https://climate.onebuilding.org/WMO_Region_6_Europe/NLD_Netherlands/ZE_Zeeland/NLD_ZE_Stavenisse.Nature.Preserve.063240_TMYx.2009-2023.zip</v>
      </c>
    </row>
    <row r="7956" spans="1:10" x14ac:dyDescent="0.25">
      <c r="A7956" t="s">
        <v>5810</v>
      </c>
      <c r="B7956" t="s">
        <v>5895</v>
      </c>
      <c r="C7956" t="s">
        <v>5914</v>
      </c>
      <c r="D7956" s="1" t="s">
        <v>5915</v>
      </c>
      <c r="E7956" t="s">
        <v>78</v>
      </c>
      <c r="F7956">
        <v>51.595599999999997</v>
      </c>
      <c r="G7956">
        <v>4.0061</v>
      </c>
      <c r="H7956">
        <v>1</v>
      </c>
      <c r="I7956">
        <v>0</v>
      </c>
      <c r="J7956" t="str">
        <f>HYPERLINK("https://climate.onebuilding.org/WMO_Region_6_Europe/NLD_Netherlands/ZE_Zeeland/NLD_ZE_Stavenisse.Nature.Preserve.063240_TMYx.zip")</f>
        <v>https://climate.onebuilding.org/WMO_Region_6_Europe/NLD_Netherlands/ZE_Zeeland/NLD_ZE_Stavenisse.Nature.Preserve.063240_TMYx.zip</v>
      </c>
    </row>
    <row r="7957" spans="1:10" x14ac:dyDescent="0.25">
      <c r="A7957" t="s">
        <v>5810</v>
      </c>
      <c r="B7957" t="s">
        <v>5895</v>
      </c>
      <c r="C7957" t="s">
        <v>5916</v>
      </c>
      <c r="D7957" s="1" t="s">
        <v>5917</v>
      </c>
      <c r="E7957" t="s">
        <v>14</v>
      </c>
      <c r="F7957">
        <v>51.65</v>
      </c>
      <c r="G7957">
        <v>3.9329999999999998</v>
      </c>
      <c r="H7957">
        <v>1</v>
      </c>
      <c r="I7957">
        <v>1</v>
      </c>
      <c r="J7957" t="str">
        <f>HYPERLINK("https://climate.onebuilding.org/WMO_Region_6_Europe/NLD_Netherlands/ZE_Zeeland/NLD_ZE_Zierikzee.063250_TMYx.zip")</f>
        <v>https://climate.onebuilding.org/WMO_Region_6_Europe/NLD_Netherlands/ZE_Zeeland/NLD_ZE_Zierikzee.063250_TMYx.zip</v>
      </c>
    </row>
    <row r="7958" spans="1:10" x14ac:dyDescent="0.25">
      <c r="A7958" t="s">
        <v>5810</v>
      </c>
      <c r="B7958" t="s">
        <v>730</v>
      </c>
      <c r="C7958" t="s">
        <v>5918</v>
      </c>
      <c r="D7958" s="1" t="s">
        <v>5919</v>
      </c>
      <c r="E7958" t="s">
        <v>5920</v>
      </c>
      <c r="F7958">
        <v>51.991100000000003</v>
      </c>
      <c r="G7958">
        <v>4.1216999999999997</v>
      </c>
      <c r="H7958">
        <v>1</v>
      </c>
      <c r="I7958">
        <v>14</v>
      </c>
      <c r="J7958" t="str">
        <f>HYPERLINK("https://climate.onebuilding.org/WMO_Region_6_Europe/NLD_Netherlands/ZH_Zuid-Holland/NLD_ZH_Hoek.van.Holland.063300_TMYx.2004-2018.zip")</f>
        <v>https://climate.onebuilding.org/WMO_Region_6_Europe/NLD_Netherlands/ZH_Zuid-Holland/NLD_ZH_Hoek.van.Holland.063300_TMYx.2004-2018.zip</v>
      </c>
    </row>
    <row r="7959" spans="1:10" x14ac:dyDescent="0.25">
      <c r="A7959" t="s">
        <v>5810</v>
      </c>
      <c r="B7959" t="s">
        <v>730</v>
      </c>
      <c r="C7959" t="s">
        <v>5918</v>
      </c>
      <c r="D7959" s="1" t="s">
        <v>5919</v>
      </c>
      <c r="E7959" t="s">
        <v>14</v>
      </c>
      <c r="F7959">
        <v>51.991100000000003</v>
      </c>
      <c r="G7959">
        <v>4.1216999999999997</v>
      </c>
      <c r="H7959">
        <v>1</v>
      </c>
      <c r="I7959">
        <v>14</v>
      </c>
      <c r="J7959" t="str">
        <f>HYPERLINK("https://climate.onebuilding.org/WMO_Region_6_Europe/NLD_Netherlands/ZH_Zuid-Holland/NLD_ZH_Hoek.van.Holland.063300_TMYx.2007-2021.zip")</f>
        <v>https://climate.onebuilding.org/WMO_Region_6_Europe/NLD_Netherlands/ZH_Zuid-Holland/NLD_ZH_Hoek.van.Holland.063300_TMYx.2007-2021.zip</v>
      </c>
    </row>
    <row r="7960" spans="1:10" x14ac:dyDescent="0.25">
      <c r="A7960" t="s">
        <v>5810</v>
      </c>
      <c r="B7960" t="s">
        <v>730</v>
      </c>
      <c r="C7960" t="s">
        <v>5918</v>
      </c>
      <c r="D7960" s="1" t="s">
        <v>5919</v>
      </c>
      <c r="E7960" t="s">
        <v>14</v>
      </c>
      <c r="F7960">
        <v>51.991100000000003</v>
      </c>
      <c r="G7960">
        <v>4.1216999999999997</v>
      </c>
      <c r="H7960">
        <v>1</v>
      </c>
      <c r="I7960">
        <v>14</v>
      </c>
      <c r="J7960" t="str">
        <f>HYPERLINK("https://climate.onebuilding.org/WMO_Region_6_Europe/NLD_Netherlands/ZH_Zuid-Holland/NLD_ZH_Hoek.van.Holland.063300_TMYx.2009-2023.zip")</f>
        <v>https://climate.onebuilding.org/WMO_Region_6_Europe/NLD_Netherlands/ZH_Zuid-Holland/NLD_ZH_Hoek.van.Holland.063300_TMYx.2009-2023.zip</v>
      </c>
    </row>
    <row r="7961" spans="1:10" x14ac:dyDescent="0.25">
      <c r="A7961" t="s">
        <v>5810</v>
      </c>
      <c r="B7961" t="s">
        <v>730</v>
      </c>
      <c r="C7961" t="s">
        <v>5918</v>
      </c>
      <c r="D7961" s="1" t="s">
        <v>5919</v>
      </c>
      <c r="E7961" t="s">
        <v>14</v>
      </c>
      <c r="F7961">
        <v>51.991100000000003</v>
      </c>
      <c r="G7961">
        <v>4.1216999999999997</v>
      </c>
      <c r="H7961">
        <v>1</v>
      </c>
      <c r="I7961">
        <v>14</v>
      </c>
      <c r="J7961" t="str">
        <f>HYPERLINK("https://climate.onebuilding.org/WMO_Region_6_Europe/NLD_Netherlands/ZH_Zuid-Holland/NLD_ZH_Hoek.van.Holland.063300_TMYx.zip")</f>
        <v>https://climate.onebuilding.org/WMO_Region_6_Europe/NLD_Netherlands/ZH_Zuid-Holland/NLD_ZH_Hoek.van.Holland.063300_TMYx.zip</v>
      </c>
    </row>
    <row r="7962" spans="1:10" x14ac:dyDescent="0.25">
      <c r="A7962" t="s">
        <v>5810</v>
      </c>
      <c r="B7962" t="s">
        <v>5921</v>
      </c>
      <c r="C7962" t="s">
        <v>5922</v>
      </c>
      <c r="D7962" s="1" t="s">
        <v>5923</v>
      </c>
      <c r="E7962" t="s">
        <v>5924</v>
      </c>
      <c r="F7962">
        <v>51.447800000000001</v>
      </c>
      <c r="G7962">
        <v>4.3418999999999999</v>
      </c>
      <c r="H7962">
        <v>1</v>
      </c>
      <c r="I7962">
        <v>15.6</v>
      </c>
      <c r="J7962" t="str">
        <f>HYPERLINK("https://climate.onebuilding.org/WMO_Region_6_Europe/NLD_Netherlands/NB_Noord-Brabant/NLD_NB_Woensdrecht.AB.063400_TMYx.2004-2018.zip")</f>
        <v>https://climate.onebuilding.org/WMO_Region_6_Europe/NLD_Netherlands/NB_Noord-Brabant/NLD_NB_Woensdrecht.AB.063400_TMYx.2004-2018.zip</v>
      </c>
    </row>
    <row r="7963" spans="1:10" x14ac:dyDescent="0.25">
      <c r="A7963" t="s">
        <v>5810</v>
      </c>
      <c r="B7963" t="s">
        <v>5921</v>
      </c>
      <c r="C7963" t="s">
        <v>5922</v>
      </c>
      <c r="D7963" s="1" t="s">
        <v>5923</v>
      </c>
      <c r="E7963" t="s">
        <v>14</v>
      </c>
      <c r="F7963">
        <v>51.447800000000001</v>
      </c>
      <c r="G7963">
        <v>4.3418999999999999</v>
      </c>
      <c r="H7963">
        <v>1</v>
      </c>
      <c r="I7963">
        <v>15.6</v>
      </c>
      <c r="J7963" t="str">
        <f>HYPERLINK("https://climate.onebuilding.org/WMO_Region_6_Europe/NLD_Netherlands/NB_Noord-Brabant/NLD_NB_Woensdrecht.AB.063400_TMYx.2007-2021.zip")</f>
        <v>https://climate.onebuilding.org/WMO_Region_6_Europe/NLD_Netherlands/NB_Noord-Brabant/NLD_NB_Woensdrecht.AB.063400_TMYx.2007-2021.zip</v>
      </c>
    </row>
    <row r="7964" spans="1:10" x14ac:dyDescent="0.25">
      <c r="A7964" t="s">
        <v>5810</v>
      </c>
      <c r="B7964" t="s">
        <v>5921</v>
      </c>
      <c r="C7964" t="s">
        <v>5922</v>
      </c>
      <c r="D7964" s="1" t="s">
        <v>5923</v>
      </c>
      <c r="E7964" t="s">
        <v>14</v>
      </c>
      <c r="F7964">
        <v>51.447800000000001</v>
      </c>
      <c r="G7964">
        <v>4.3418999999999999</v>
      </c>
      <c r="H7964">
        <v>1</v>
      </c>
      <c r="I7964">
        <v>15.6</v>
      </c>
      <c r="J7964" t="str">
        <f>HYPERLINK("https://climate.onebuilding.org/WMO_Region_6_Europe/NLD_Netherlands/NB_Noord-Brabant/NLD_NB_Woensdrecht.AB.063400_TMYx.2009-2023.zip")</f>
        <v>https://climate.onebuilding.org/WMO_Region_6_Europe/NLD_Netherlands/NB_Noord-Brabant/NLD_NB_Woensdrecht.AB.063400_TMYx.2009-2023.zip</v>
      </c>
    </row>
    <row r="7965" spans="1:10" x14ac:dyDescent="0.25">
      <c r="A7965" t="s">
        <v>5810</v>
      </c>
      <c r="B7965" t="s">
        <v>5921</v>
      </c>
      <c r="C7965" t="s">
        <v>5922</v>
      </c>
      <c r="D7965" s="1" t="s">
        <v>5923</v>
      </c>
      <c r="E7965" t="s">
        <v>14</v>
      </c>
      <c r="F7965">
        <v>51.447800000000001</v>
      </c>
      <c r="G7965">
        <v>4.3418999999999999</v>
      </c>
      <c r="H7965">
        <v>1</v>
      </c>
      <c r="I7965">
        <v>15.6</v>
      </c>
      <c r="J7965" t="str">
        <f>HYPERLINK("https://climate.onebuilding.org/WMO_Region_6_Europe/NLD_Netherlands/NB_Noord-Brabant/NLD_NB_Woensdrecht.AB.063400_TMYx.zip")</f>
        <v>https://climate.onebuilding.org/WMO_Region_6_Europe/NLD_Netherlands/NB_Noord-Brabant/NLD_NB_Woensdrecht.AB.063400_TMYx.zip</v>
      </c>
    </row>
    <row r="7966" spans="1:10" x14ac:dyDescent="0.25">
      <c r="A7966" t="s">
        <v>5810</v>
      </c>
      <c r="B7966" t="s">
        <v>730</v>
      </c>
      <c r="C7966" t="s">
        <v>5925</v>
      </c>
      <c r="D7966" s="1" t="s">
        <v>5926</v>
      </c>
      <c r="E7966" t="s">
        <v>14</v>
      </c>
      <c r="F7966">
        <v>51.890949999999997</v>
      </c>
      <c r="G7966">
        <v>4.3115899999999998</v>
      </c>
      <c r="H7966">
        <v>1</v>
      </c>
      <c r="I7966">
        <v>3.5</v>
      </c>
      <c r="J7966" t="str">
        <f>HYPERLINK("https://climate.onebuilding.org/WMO_Region_6_Europe/NLD_Netherlands/ZH_Zuid-Holland/NLD_ZH_Rotterdam.Geulhaven.AWS.063430_TMYx.zip")</f>
        <v>https://climate.onebuilding.org/WMO_Region_6_Europe/NLD_Netherlands/ZH_Zuid-Holland/NLD_ZH_Rotterdam.Geulhaven.AWS.063430_TMYx.zip</v>
      </c>
    </row>
    <row r="7967" spans="1:10" x14ac:dyDescent="0.25">
      <c r="A7967" t="s">
        <v>5810</v>
      </c>
      <c r="B7967" t="s">
        <v>730</v>
      </c>
      <c r="C7967" t="s">
        <v>5927</v>
      </c>
      <c r="D7967" s="1" t="s">
        <v>5928</v>
      </c>
      <c r="E7967" t="s">
        <v>5929</v>
      </c>
      <c r="F7967">
        <v>51.960599999999999</v>
      </c>
      <c r="G7967">
        <v>4.4469000000000003</v>
      </c>
      <c r="H7967">
        <v>1</v>
      </c>
      <c r="I7967">
        <v>-4.5</v>
      </c>
      <c r="J7967" t="str">
        <f>HYPERLINK("https://climate.onebuilding.org/WMO_Region_6_Europe/NLD_Netherlands/ZH_Zuid-Holland/NLD_ZH_Rotterdam.The.Hague.AP.063440_TMYx.2004-2018.zip")</f>
        <v>https://climate.onebuilding.org/WMO_Region_6_Europe/NLD_Netherlands/ZH_Zuid-Holland/NLD_ZH_Rotterdam.The.Hague.AP.063440_TMYx.2004-2018.zip</v>
      </c>
    </row>
    <row r="7968" spans="1:10" x14ac:dyDescent="0.25">
      <c r="A7968" t="s">
        <v>5810</v>
      </c>
      <c r="B7968" t="s">
        <v>730</v>
      </c>
      <c r="C7968" t="s">
        <v>5927</v>
      </c>
      <c r="D7968" s="1" t="s">
        <v>5928</v>
      </c>
      <c r="E7968" t="s">
        <v>14</v>
      </c>
      <c r="F7968">
        <v>51.960599999999999</v>
      </c>
      <c r="G7968">
        <v>4.4469000000000003</v>
      </c>
      <c r="H7968">
        <v>1</v>
      </c>
      <c r="I7968">
        <v>-4.5</v>
      </c>
      <c r="J7968" t="str">
        <f>HYPERLINK("https://climate.onebuilding.org/WMO_Region_6_Europe/NLD_Netherlands/ZH_Zuid-Holland/NLD_ZH_Rotterdam.The.Hague.AP.063440_TMYx.2007-2021.zip")</f>
        <v>https://climate.onebuilding.org/WMO_Region_6_Europe/NLD_Netherlands/ZH_Zuid-Holland/NLD_ZH_Rotterdam.The.Hague.AP.063440_TMYx.2007-2021.zip</v>
      </c>
    </row>
    <row r="7969" spans="1:10" x14ac:dyDescent="0.25">
      <c r="A7969" t="s">
        <v>5810</v>
      </c>
      <c r="B7969" t="s">
        <v>730</v>
      </c>
      <c r="C7969" t="s">
        <v>5927</v>
      </c>
      <c r="D7969" s="1" t="s">
        <v>5928</v>
      </c>
      <c r="E7969" t="s">
        <v>14</v>
      </c>
      <c r="F7969">
        <v>51.960599999999999</v>
      </c>
      <c r="G7969">
        <v>4.4469000000000003</v>
      </c>
      <c r="H7969">
        <v>1</v>
      </c>
      <c r="I7969">
        <v>-4.5</v>
      </c>
      <c r="J7969" t="str">
        <f>HYPERLINK("https://climate.onebuilding.org/WMO_Region_6_Europe/NLD_Netherlands/ZH_Zuid-Holland/NLD_ZH_Rotterdam.The.Hague.AP.063440_TMYx.2009-2023.zip")</f>
        <v>https://climate.onebuilding.org/WMO_Region_6_Europe/NLD_Netherlands/ZH_Zuid-Holland/NLD_ZH_Rotterdam.The.Hague.AP.063440_TMYx.2009-2023.zip</v>
      </c>
    </row>
    <row r="7970" spans="1:10" x14ac:dyDescent="0.25">
      <c r="A7970" t="s">
        <v>5810</v>
      </c>
      <c r="B7970" t="s">
        <v>730</v>
      </c>
      <c r="C7970" t="s">
        <v>5927</v>
      </c>
      <c r="D7970" s="1" t="s">
        <v>5928</v>
      </c>
      <c r="E7970" t="s">
        <v>14</v>
      </c>
      <c r="F7970">
        <v>51.960599999999999</v>
      </c>
      <c r="G7970">
        <v>4.4469000000000003</v>
      </c>
      <c r="H7970">
        <v>1</v>
      </c>
      <c r="I7970">
        <v>-4.5</v>
      </c>
      <c r="J7970" t="str">
        <f>HYPERLINK("https://climate.onebuilding.org/WMO_Region_6_Europe/NLD_Netherlands/ZH_Zuid-Holland/NLD_ZH_Rotterdam.The.Hague.AP.063440_TMYx.zip")</f>
        <v>https://climate.onebuilding.org/WMO_Region_6_Europe/NLD_Netherlands/ZH_Zuid-Holland/NLD_ZH_Rotterdam.The.Hague.AP.063440_TMYx.zip</v>
      </c>
    </row>
    <row r="7971" spans="1:10" x14ac:dyDescent="0.25">
      <c r="A7971" t="s">
        <v>5810</v>
      </c>
      <c r="B7971" t="s">
        <v>5625</v>
      </c>
      <c r="C7971" t="s">
        <v>5930</v>
      </c>
      <c r="D7971" s="1" t="s">
        <v>5931</v>
      </c>
      <c r="E7971" t="s">
        <v>5932</v>
      </c>
      <c r="F7971">
        <v>51.969200000000001</v>
      </c>
      <c r="G7971">
        <v>4.9257999999999997</v>
      </c>
      <c r="H7971">
        <v>1</v>
      </c>
      <c r="I7971">
        <v>0.9</v>
      </c>
      <c r="J7971" t="str">
        <f>HYPERLINK("https://climate.onebuilding.org/WMO_Region_6_Europe/NLD_Netherlands/UT_Utrecht/NLD_UT_Cabauw.Tower.063480_TMYx.2004-2018.zip")</f>
        <v>https://climate.onebuilding.org/WMO_Region_6_Europe/NLD_Netherlands/UT_Utrecht/NLD_UT_Cabauw.Tower.063480_TMYx.2004-2018.zip</v>
      </c>
    </row>
    <row r="7972" spans="1:10" x14ac:dyDescent="0.25">
      <c r="A7972" t="s">
        <v>5810</v>
      </c>
      <c r="B7972" t="s">
        <v>5625</v>
      </c>
      <c r="C7972" t="s">
        <v>5930</v>
      </c>
      <c r="D7972" s="1" t="s">
        <v>5931</v>
      </c>
      <c r="E7972" t="s">
        <v>14</v>
      </c>
      <c r="F7972">
        <v>51.970300000000002</v>
      </c>
      <c r="G7972">
        <v>4.9263000000000003</v>
      </c>
      <c r="H7972">
        <v>1</v>
      </c>
      <c r="I7972">
        <v>0.9</v>
      </c>
      <c r="J7972" t="str">
        <f>HYPERLINK("https://climate.onebuilding.org/WMO_Region_6_Europe/NLD_Netherlands/UT_Utrecht/NLD_UT_Cabauw.Tower.063480_TMYx.2007-2021.zip")</f>
        <v>https://climate.onebuilding.org/WMO_Region_6_Europe/NLD_Netherlands/UT_Utrecht/NLD_UT_Cabauw.Tower.063480_TMYx.2007-2021.zip</v>
      </c>
    </row>
    <row r="7973" spans="1:10" x14ac:dyDescent="0.25">
      <c r="A7973" t="s">
        <v>5810</v>
      </c>
      <c r="B7973" t="s">
        <v>5625</v>
      </c>
      <c r="C7973" t="s">
        <v>5930</v>
      </c>
      <c r="D7973" s="1" t="s">
        <v>5931</v>
      </c>
      <c r="E7973" t="s">
        <v>14</v>
      </c>
      <c r="F7973">
        <v>51.970300000000002</v>
      </c>
      <c r="G7973">
        <v>4.9263000000000003</v>
      </c>
      <c r="H7973">
        <v>1</v>
      </c>
      <c r="I7973">
        <v>0.9</v>
      </c>
      <c r="J7973" t="str">
        <f>HYPERLINK("https://climate.onebuilding.org/WMO_Region_6_Europe/NLD_Netherlands/UT_Utrecht/NLD_UT_Cabauw.Tower.063480_TMYx.2009-2023.zip")</f>
        <v>https://climate.onebuilding.org/WMO_Region_6_Europe/NLD_Netherlands/UT_Utrecht/NLD_UT_Cabauw.Tower.063480_TMYx.2009-2023.zip</v>
      </c>
    </row>
    <row r="7974" spans="1:10" x14ac:dyDescent="0.25">
      <c r="A7974" t="s">
        <v>5810</v>
      </c>
      <c r="B7974" t="s">
        <v>5625</v>
      </c>
      <c r="C7974" t="s">
        <v>5930</v>
      </c>
      <c r="D7974" s="1" t="s">
        <v>5931</v>
      </c>
      <c r="E7974" t="s">
        <v>14</v>
      </c>
      <c r="F7974">
        <v>51.970300000000002</v>
      </c>
      <c r="G7974">
        <v>4.9263000000000003</v>
      </c>
      <c r="H7974">
        <v>1</v>
      </c>
      <c r="I7974">
        <v>0.9</v>
      </c>
      <c r="J7974" t="str">
        <f>HYPERLINK("https://climate.onebuilding.org/WMO_Region_6_Europe/NLD_Netherlands/UT_Utrecht/NLD_UT_Cabauw.Tower.063480_TMYx.zip")</f>
        <v>https://climate.onebuilding.org/WMO_Region_6_Europe/NLD_Netherlands/UT_Utrecht/NLD_UT_Cabauw.Tower.063480_TMYx.zip</v>
      </c>
    </row>
    <row r="7975" spans="1:10" x14ac:dyDescent="0.25">
      <c r="A7975" t="s">
        <v>5810</v>
      </c>
      <c r="B7975" t="s">
        <v>5921</v>
      </c>
      <c r="C7975" t="s">
        <v>5933</v>
      </c>
      <c r="D7975" s="1" t="s">
        <v>5934</v>
      </c>
      <c r="E7975" t="s">
        <v>5935</v>
      </c>
      <c r="F7975">
        <v>51.564999999999998</v>
      </c>
      <c r="G7975">
        <v>4.9352999999999998</v>
      </c>
      <c r="H7975">
        <v>1</v>
      </c>
      <c r="I7975">
        <v>12.7</v>
      </c>
      <c r="J7975" t="str">
        <f>HYPERLINK("https://climate.onebuilding.org/WMO_Region_6_Europe/NLD_Netherlands/NB_Noord-Brabant/NLD_NB_Gilze-Rijen.AB.063500_TMYx.2004-2018.zip")</f>
        <v>https://climate.onebuilding.org/WMO_Region_6_Europe/NLD_Netherlands/NB_Noord-Brabant/NLD_NB_Gilze-Rijen.AB.063500_TMYx.2004-2018.zip</v>
      </c>
    </row>
    <row r="7976" spans="1:10" x14ac:dyDescent="0.25">
      <c r="A7976" t="s">
        <v>5810</v>
      </c>
      <c r="B7976" t="s">
        <v>5921</v>
      </c>
      <c r="C7976" t="s">
        <v>5933</v>
      </c>
      <c r="D7976" s="1" t="s">
        <v>5934</v>
      </c>
      <c r="E7976" t="s">
        <v>14</v>
      </c>
      <c r="F7976">
        <v>51.564999999999998</v>
      </c>
      <c r="G7976">
        <v>4.9352999999999998</v>
      </c>
      <c r="H7976">
        <v>1</v>
      </c>
      <c r="I7976">
        <v>12.7</v>
      </c>
      <c r="J7976" t="str">
        <f>HYPERLINK("https://climate.onebuilding.org/WMO_Region_6_Europe/NLD_Netherlands/NB_Noord-Brabant/NLD_NB_Gilze-Rijen.AB.063500_TMYx.2007-2021.zip")</f>
        <v>https://climate.onebuilding.org/WMO_Region_6_Europe/NLD_Netherlands/NB_Noord-Brabant/NLD_NB_Gilze-Rijen.AB.063500_TMYx.2007-2021.zip</v>
      </c>
    </row>
    <row r="7977" spans="1:10" x14ac:dyDescent="0.25">
      <c r="A7977" t="s">
        <v>5810</v>
      </c>
      <c r="B7977" t="s">
        <v>5921</v>
      </c>
      <c r="C7977" t="s">
        <v>5933</v>
      </c>
      <c r="D7977" s="1" t="s">
        <v>5934</v>
      </c>
      <c r="E7977" t="s">
        <v>14</v>
      </c>
      <c r="F7977">
        <v>51.564999999999998</v>
      </c>
      <c r="G7977">
        <v>4.9352999999999998</v>
      </c>
      <c r="H7977">
        <v>1</v>
      </c>
      <c r="I7977">
        <v>12.7</v>
      </c>
      <c r="J7977" t="str">
        <f>HYPERLINK("https://climate.onebuilding.org/WMO_Region_6_Europe/NLD_Netherlands/NB_Noord-Brabant/NLD_NB_Gilze-Rijen.AB.063500_TMYx.2009-2023.zip")</f>
        <v>https://climate.onebuilding.org/WMO_Region_6_Europe/NLD_Netherlands/NB_Noord-Brabant/NLD_NB_Gilze-Rijen.AB.063500_TMYx.2009-2023.zip</v>
      </c>
    </row>
    <row r="7978" spans="1:10" x14ac:dyDescent="0.25">
      <c r="A7978" t="s">
        <v>5810</v>
      </c>
      <c r="B7978" t="s">
        <v>5921</v>
      </c>
      <c r="C7978" t="s">
        <v>5933</v>
      </c>
      <c r="D7978" s="1" t="s">
        <v>5934</v>
      </c>
      <c r="E7978" t="s">
        <v>14</v>
      </c>
      <c r="F7978">
        <v>51.564999999999998</v>
      </c>
      <c r="G7978">
        <v>4.9352999999999998</v>
      </c>
      <c r="H7978">
        <v>1</v>
      </c>
      <c r="I7978">
        <v>12.7</v>
      </c>
      <c r="J7978" t="str">
        <f>HYPERLINK("https://climate.onebuilding.org/WMO_Region_6_Europe/NLD_Netherlands/NB_Noord-Brabant/NLD_NB_Gilze-Rijen.AB.063500_TMYx.zip")</f>
        <v>https://climate.onebuilding.org/WMO_Region_6_Europe/NLD_Netherlands/NB_Noord-Brabant/NLD_NB_Gilze-Rijen.AB.063500_TMYx.zip</v>
      </c>
    </row>
    <row r="7979" spans="1:10" x14ac:dyDescent="0.25">
      <c r="A7979" t="s">
        <v>5810</v>
      </c>
      <c r="B7979" t="s">
        <v>932</v>
      </c>
      <c r="C7979" t="s">
        <v>5936</v>
      </c>
      <c r="D7979" s="1" t="s">
        <v>5937</v>
      </c>
      <c r="E7979" t="s">
        <v>5938</v>
      </c>
      <c r="F7979">
        <v>51.857799999999997</v>
      </c>
      <c r="G7979">
        <v>5.1452999999999998</v>
      </c>
      <c r="H7979">
        <v>1</v>
      </c>
      <c r="I7979">
        <v>2.6</v>
      </c>
      <c r="J7979" t="str">
        <f>HYPERLINK("https://climate.onebuilding.org/WMO_Region_6_Europe/NLD_Netherlands/GE_Gelderland/NLD_GE_Herwijnen.063560_TMYx.2004-2018.zip")</f>
        <v>https://climate.onebuilding.org/WMO_Region_6_Europe/NLD_Netherlands/GE_Gelderland/NLD_GE_Herwijnen.063560_TMYx.2004-2018.zip</v>
      </c>
    </row>
    <row r="7980" spans="1:10" x14ac:dyDescent="0.25">
      <c r="A7980" t="s">
        <v>5810</v>
      </c>
      <c r="B7980" t="s">
        <v>932</v>
      </c>
      <c r="C7980" t="s">
        <v>5936</v>
      </c>
      <c r="D7980" s="1" t="s">
        <v>5937</v>
      </c>
      <c r="E7980" t="s">
        <v>14</v>
      </c>
      <c r="F7980">
        <v>51.857799999999997</v>
      </c>
      <c r="G7980">
        <v>5.1452999999999998</v>
      </c>
      <c r="H7980">
        <v>1</v>
      </c>
      <c r="I7980">
        <v>2.6</v>
      </c>
      <c r="J7980" t="str">
        <f>HYPERLINK("https://climate.onebuilding.org/WMO_Region_6_Europe/NLD_Netherlands/GE_Gelderland/NLD_GE_Herwijnen.063560_TMYx.2007-2021.zip")</f>
        <v>https://climate.onebuilding.org/WMO_Region_6_Europe/NLD_Netherlands/GE_Gelderland/NLD_GE_Herwijnen.063560_TMYx.2007-2021.zip</v>
      </c>
    </row>
    <row r="7981" spans="1:10" x14ac:dyDescent="0.25">
      <c r="A7981" t="s">
        <v>5810</v>
      </c>
      <c r="B7981" t="s">
        <v>932</v>
      </c>
      <c r="C7981" t="s">
        <v>5936</v>
      </c>
      <c r="D7981" s="1" t="s">
        <v>5937</v>
      </c>
      <c r="E7981" t="s">
        <v>14</v>
      </c>
      <c r="F7981">
        <v>51.857799999999997</v>
      </c>
      <c r="G7981">
        <v>5.1452999999999998</v>
      </c>
      <c r="H7981">
        <v>1</v>
      </c>
      <c r="I7981">
        <v>2.6</v>
      </c>
      <c r="J7981" t="str">
        <f>HYPERLINK("https://climate.onebuilding.org/WMO_Region_6_Europe/NLD_Netherlands/GE_Gelderland/NLD_GE_Herwijnen.063560_TMYx.2009-2023.zip")</f>
        <v>https://climate.onebuilding.org/WMO_Region_6_Europe/NLD_Netherlands/GE_Gelderland/NLD_GE_Herwijnen.063560_TMYx.2009-2023.zip</v>
      </c>
    </row>
    <row r="7982" spans="1:10" x14ac:dyDescent="0.25">
      <c r="A7982" t="s">
        <v>5810</v>
      </c>
      <c r="B7982" t="s">
        <v>932</v>
      </c>
      <c r="C7982" t="s">
        <v>5936</v>
      </c>
      <c r="D7982" s="1" t="s">
        <v>5937</v>
      </c>
      <c r="E7982" t="s">
        <v>14</v>
      </c>
      <c r="F7982">
        <v>51.857799999999997</v>
      </c>
      <c r="G7982">
        <v>5.1452999999999998</v>
      </c>
      <c r="H7982">
        <v>1</v>
      </c>
      <c r="I7982">
        <v>2.6</v>
      </c>
      <c r="J7982" t="str">
        <f>HYPERLINK("https://climate.onebuilding.org/WMO_Region_6_Europe/NLD_Netherlands/GE_Gelderland/NLD_GE_Herwijnen.063560_TMYx.zip")</f>
        <v>https://climate.onebuilding.org/WMO_Region_6_Europe/NLD_Netherlands/GE_Gelderland/NLD_GE_Herwijnen.063560_TMYx.zip</v>
      </c>
    </row>
    <row r="7983" spans="1:10" x14ac:dyDescent="0.25">
      <c r="A7983" t="s">
        <v>5810</v>
      </c>
      <c r="B7983" t="s">
        <v>5921</v>
      </c>
      <c r="C7983" t="s">
        <v>5939</v>
      </c>
      <c r="D7983" s="1" t="s">
        <v>5940</v>
      </c>
      <c r="E7983" t="s">
        <v>5941</v>
      </c>
      <c r="F7983">
        <v>51.4497</v>
      </c>
      <c r="G7983">
        <v>5.3769</v>
      </c>
      <c r="H7983">
        <v>1</v>
      </c>
      <c r="I7983">
        <v>22.4</v>
      </c>
      <c r="J7983" t="str">
        <f>HYPERLINK("https://climate.onebuilding.org/WMO_Region_6_Europe/NLD_Netherlands/NB_Noord-Brabant/NLD_NB_Eindhoven.AP.063700_TMYx.2004-2018.zip")</f>
        <v>https://climate.onebuilding.org/WMO_Region_6_Europe/NLD_Netherlands/NB_Noord-Brabant/NLD_NB_Eindhoven.AP.063700_TMYx.2004-2018.zip</v>
      </c>
    </row>
    <row r="7984" spans="1:10" x14ac:dyDescent="0.25">
      <c r="A7984" t="s">
        <v>5810</v>
      </c>
      <c r="B7984" t="s">
        <v>5921</v>
      </c>
      <c r="C7984" t="s">
        <v>5939</v>
      </c>
      <c r="D7984" s="1" t="s">
        <v>5940</v>
      </c>
      <c r="E7984" t="s">
        <v>14</v>
      </c>
      <c r="F7984">
        <v>51.4497</v>
      </c>
      <c r="G7984">
        <v>5.3769</v>
      </c>
      <c r="H7984">
        <v>1</v>
      </c>
      <c r="I7984">
        <v>22.4</v>
      </c>
      <c r="J7984" t="str">
        <f>HYPERLINK("https://climate.onebuilding.org/WMO_Region_6_Europe/NLD_Netherlands/NB_Noord-Brabant/NLD_NB_Eindhoven.AP.063700_TMYx.2007-2021.zip")</f>
        <v>https://climate.onebuilding.org/WMO_Region_6_Europe/NLD_Netherlands/NB_Noord-Brabant/NLD_NB_Eindhoven.AP.063700_TMYx.2007-2021.zip</v>
      </c>
    </row>
    <row r="7985" spans="1:10" x14ac:dyDescent="0.25">
      <c r="A7985" t="s">
        <v>5810</v>
      </c>
      <c r="B7985" t="s">
        <v>5921</v>
      </c>
      <c r="C7985" t="s">
        <v>5939</v>
      </c>
      <c r="D7985" s="1" t="s">
        <v>5940</v>
      </c>
      <c r="E7985" t="s">
        <v>14</v>
      </c>
      <c r="F7985">
        <v>51.4497</v>
      </c>
      <c r="G7985">
        <v>5.3769</v>
      </c>
      <c r="H7985">
        <v>1</v>
      </c>
      <c r="I7985">
        <v>22.4</v>
      </c>
      <c r="J7985" t="str">
        <f>HYPERLINK("https://climate.onebuilding.org/WMO_Region_6_Europe/NLD_Netherlands/NB_Noord-Brabant/NLD_NB_Eindhoven.AP.063700_TMYx.2009-2023.zip")</f>
        <v>https://climate.onebuilding.org/WMO_Region_6_Europe/NLD_Netherlands/NB_Noord-Brabant/NLD_NB_Eindhoven.AP.063700_TMYx.2009-2023.zip</v>
      </c>
    </row>
    <row r="7986" spans="1:10" x14ac:dyDescent="0.25">
      <c r="A7986" t="s">
        <v>5810</v>
      </c>
      <c r="B7986" t="s">
        <v>5921</v>
      </c>
      <c r="C7986" t="s">
        <v>5939</v>
      </c>
      <c r="D7986" s="1" t="s">
        <v>5940</v>
      </c>
      <c r="E7986" t="s">
        <v>14</v>
      </c>
      <c r="F7986">
        <v>51.4497</v>
      </c>
      <c r="G7986">
        <v>5.3769</v>
      </c>
      <c r="H7986">
        <v>1</v>
      </c>
      <c r="I7986">
        <v>22.4</v>
      </c>
      <c r="J7986" t="str">
        <f>HYPERLINK("https://climate.onebuilding.org/WMO_Region_6_Europe/NLD_Netherlands/NB_Noord-Brabant/NLD_NB_Eindhoven.AP.063700_TMYx.zip")</f>
        <v>https://climate.onebuilding.org/WMO_Region_6_Europe/NLD_Netherlands/NB_Noord-Brabant/NLD_NB_Eindhoven.AP.063700_TMYx.zip</v>
      </c>
    </row>
    <row r="7987" spans="1:10" x14ac:dyDescent="0.25">
      <c r="A7987" t="s">
        <v>5810</v>
      </c>
      <c r="B7987" t="s">
        <v>5921</v>
      </c>
      <c r="C7987" t="s">
        <v>5942</v>
      </c>
      <c r="D7987" s="1" t="s">
        <v>5943</v>
      </c>
      <c r="E7987" t="s">
        <v>5944</v>
      </c>
      <c r="F7987">
        <v>51.6586</v>
      </c>
      <c r="G7987">
        <v>5.7066999999999997</v>
      </c>
      <c r="H7987">
        <v>1</v>
      </c>
      <c r="I7987">
        <v>21.4</v>
      </c>
      <c r="J7987" t="str">
        <f>HYPERLINK("https://climate.onebuilding.org/WMO_Region_6_Europe/NLD_Netherlands/NB_Noord-Brabant/NLD_NB_Volkel.AB.063750_TMYx.2004-2018.zip")</f>
        <v>https://climate.onebuilding.org/WMO_Region_6_Europe/NLD_Netherlands/NB_Noord-Brabant/NLD_NB_Volkel.AB.063750_TMYx.2004-2018.zip</v>
      </c>
    </row>
    <row r="7988" spans="1:10" x14ac:dyDescent="0.25">
      <c r="A7988" t="s">
        <v>5810</v>
      </c>
      <c r="B7988" t="s">
        <v>5921</v>
      </c>
      <c r="C7988" t="s">
        <v>5942</v>
      </c>
      <c r="D7988" s="1" t="s">
        <v>5943</v>
      </c>
      <c r="E7988" t="s">
        <v>14</v>
      </c>
      <c r="F7988">
        <v>51.6586</v>
      </c>
      <c r="G7988">
        <v>5.7066999999999997</v>
      </c>
      <c r="H7988">
        <v>1</v>
      </c>
      <c r="I7988">
        <v>21.4</v>
      </c>
      <c r="J7988" t="str">
        <f>HYPERLINK("https://climate.onebuilding.org/WMO_Region_6_Europe/NLD_Netherlands/NB_Noord-Brabant/NLD_NB_Volkel.AB.063750_TMYx.2007-2021.zip")</f>
        <v>https://climate.onebuilding.org/WMO_Region_6_Europe/NLD_Netherlands/NB_Noord-Brabant/NLD_NB_Volkel.AB.063750_TMYx.2007-2021.zip</v>
      </c>
    </row>
    <row r="7989" spans="1:10" x14ac:dyDescent="0.25">
      <c r="A7989" t="s">
        <v>5810</v>
      </c>
      <c r="B7989" t="s">
        <v>5921</v>
      </c>
      <c r="C7989" t="s">
        <v>5942</v>
      </c>
      <c r="D7989" s="1" t="s">
        <v>5943</v>
      </c>
      <c r="E7989" t="s">
        <v>14</v>
      </c>
      <c r="F7989">
        <v>51.6586</v>
      </c>
      <c r="G7989">
        <v>5.7066999999999997</v>
      </c>
      <c r="H7989">
        <v>1</v>
      </c>
      <c r="I7989">
        <v>21.4</v>
      </c>
      <c r="J7989" t="str">
        <f>HYPERLINK("https://climate.onebuilding.org/WMO_Region_6_Europe/NLD_Netherlands/NB_Noord-Brabant/NLD_NB_Volkel.AB.063750_TMYx.2009-2023.zip")</f>
        <v>https://climate.onebuilding.org/WMO_Region_6_Europe/NLD_Netherlands/NB_Noord-Brabant/NLD_NB_Volkel.AB.063750_TMYx.2009-2023.zip</v>
      </c>
    </row>
    <row r="7990" spans="1:10" x14ac:dyDescent="0.25">
      <c r="A7990" t="s">
        <v>5810</v>
      </c>
      <c r="B7990" t="s">
        <v>5921</v>
      </c>
      <c r="C7990" t="s">
        <v>5942</v>
      </c>
      <c r="D7990" s="1" t="s">
        <v>5943</v>
      </c>
      <c r="E7990" t="s">
        <v>14</v>
      </c>
      <c r="F7990">
        <v>51.6586</v>
      </c>
      <c r="G7990">
        <v>5.7066999999999997</v>
      </c>
      <c r="H7990">
        <v>1</v>
      </c>
      <c r="I7990">
        <v>21.4</v>
      </c>
      <c r="J7990" t="str">
        <f>HYPERLINK("https://climate.onebuilding.org/WMO_Region_6_Europe/NLD_Netherlands/NB_Noord-Brabant/NLD_NB_Volkel.AB.063750_TMYx.zip")</f>
        <v>https://climate.onebuilding.org/WMO_Region_6_Europe/NLD_Netherlands/NB_Noord-Brabant/NLD_NB_Volkel.AB.063750_TMYx.zip</v>
      </c>
    </row>
    <row r="7991" spans="1:10" x14ac:dyDescent="0.25">
      <c r="A7991" t="s">
        <v>5810</v>
      </c>
      <c r="B7991" t="s">
        <v>1176</v>
      </c>
      <c r="C7991" t="s">
        <v>5945</v>
      </c>
      <c r="D7991" s="1" t="s">
        <v>5946</v>
      </c>
      <c r="E7991" t="s">
        <v>5947</v>
      </c>
      <c r="F7991">
        <v>51.1967</v>
      </c>
      <c r="G7991">
        <v>5.7625000000000002</v>
      </c>
      <c r="H7991">
        <v>1</v>
      </c>
      <c r="I7991">
        <v>30</v>
      </c>
      <c r="J7991" t="str">
        <f>HYPERLINK("https://climate.onebuilding.org/WMO_Region_6_Europe/NLD_Netherlands/LI_Limburg/NLD_LI_Ell.063770_TMYx.2004-2018.zip")</f>
        <v>https://climate.onebuilding.org/WMO_Region_6_Europe/NLD_Netherlands/LI_Limburg/NLD_LI_Ell.063770_TMYx.2004-2018.zip</v>
      </c>
    </row>
    <row r="7992" spans="1:10" x14ac:dyDescent="0.25">
      <c r="A7992" t="s">
        <v>5810</v>
      </c>
      <c r="B7992" t="s">
        <v>1176</v>
      </c>
      <c r="C7992" t="s">
        <v>5945</v>
      </c>
      <c r="D7992" s="1" t="s">
        <v>5946</v>
      </c>
      <c r="E7992" t="s">
        <v>14</v>
      </c>
      <c r="F7992">
        <v>51.1967</v>
      </c>
      <c r="G7992">
        <v>5.7625000000000002</v>
      </c>
      <c r="H7992">
        <v>1</v>
      </c>
      <c r="I7992">
        <v>30</v>
      </c>
      <c r="J7992" t="str">
        <f>HYPERLINK("https://climate.onebuilding.org/WMO_Region_6_Europe/NLD_Netherlands/LI_Limburg/NLD_LI_Ell.063770_TMYx.2007-2021.zip")</f>
        <v>https://climate.onebuilding.org/WMO_Region_6_Europe/NLD_Netherlands/LI_Limburg/NLD_LI_Ell.063770_TMYx.2007-2021.zip</v>
      </c>
    </row>
    <row r="7993" spans="1:10" x14ac:dyDescent="0.25">
      <c r="A7993" t="s">
        <v>5810</v>
      </c>
      <c r="B7993" t="s">
        <v>1176</v>
      </c>
      <c r="C7993" t="s">
        <v>5945</v>
      </c>
      <c r="D7993" s="1" t="s">
        <v>5946</v>
      </c>
      <c r="E7993" t="s">
        <v>14</v>
      </c>
      <c r="F7993">
        <v>51.1967</v>
      </c>
      <c r="G7993">
        <v>5.7625000000000002</v>
      </c>
      <c r="H7993">
        <v>1</v>
      </c>
      <c r="I7993">
        <v>30</v>
      </c>
      <c r="J7993" t="str">
        <f>HYPERLINK("https://climate.onebuilding.org/WMO_Region_6_Europe/NLD_Netherlands/LI_Limburg/NLD_LI_Ell.063770_TMYx.2009-2023.zip")</f>
        <v>https://climate.onebuilding.org/WMO_Region_6_Europe/NLD_Netherlands/LI_Limburg/NLD_LI_Ell.063770_TMYx.2009-2023.zip</v>
      </c>
    </row>
    <row r="7994" spans="1:10" x14ac:dyDescent="0.25">
      <c r="A7994" t="s">
        <v>5810</v>
      </c>
      <c r="B7994" t="s">
        <v>1176</v>
      </c>
      <c r="C7994" t="s">
        <v>5945</v>
      </c>
      <c r="D7994" s="1" t="s">
        <v>5946</v>
      </c>
      <c r="E7994" t="s">
        <v>14</v>
      </c>
      <c r="F7994">
        <v>51.1967</v>
      </c>
      <c r="G7994">
        <v>5.7625000000000002</v>
      </c>
      <c r="H7994">
        <v>1</v>
      </c>
      <c r="I7994">
        <v>30</v>
      </c>
      <c r="J7994" t="str">
        <f>HYPERLINK("https://climate.onebuilding.org/WMO_Region_6_Europe/NLD_Netherlands/LI_Limburg/NLD_LI_Ell.063770_TMYx.zip")</f>
        <v>https://climate.onebuilding.org/WMO_Region_6_Europe/NLD_Netherlands/LI_Limburg/NLD_LI_Ell.063770_TMYx.zip</v>
      </c>
    </row>
    <row r="7995" spans="1:10" x14ac:dyDescent="0.25">
      <c r="A7995" t="s">
        <v>5810</v>
      </c>
      <c r="B7995" t="s">
        <v>1176</v>
      </c>
      <c r="C7995" t="s">
        <v>5948</v>
      </c>
      <c r="D7995" s="1" t="s">
        <v>5949</v>
      </c>
      <c r="E7995" t="s">
        <v>5950</v>
      </c>
      <c r="F7995">
        <v>50.905299999999997</v>
      </c>
      <c r="G7995">
        <v>5.7618999999999998</v>
      </c>
      <c r="H7995">
        <v>1</v>
      </c>
      <c r="I7995">
        <v>113.4</v>
      </c>
      <c r="J7995" t="str">
        <f>HYPERLINK("https://climate.onebuilding.org/WMO_Region_6_Europe/NLD_Netherlands/LI_Limburg/NLD_LI_Maastricht.Aachen.AP.063800_TMYx.2004-2018.zip")</f>
        <v>https://climate.onebuilding.org/WMO_Region_6_Europe/NLD_Netherlands/LI_Limburg/NLD_LI_Maastricht.Aachen.AP.063800_TMYx.2004-2018.zip</v>
      </c>
    </row>
    <row r="7996" spans="1:10" x14ac:dyDescent="0.25">
      <c r="A7996" t="s">
        <v>5810</v>
      </c>
      <c r="B7996" t="s">
        <v>1176</v>
      </c>
      <c r="C7996" t="s">
        <v>5948</v>
      </c>
      <c r="D7996" s="1" t="s">
        <v>5949</v>
      </c>
      <c r="E7996" t="s">
        <v>14</v>
      </c>
      <c r="F7996">
        <v>50.905299999999997</v>
      </c>
      <c r="G7996">
        <v>5.7618999999999998</v>
      </c>
      <c r="H7996">
        <v>1</v>
      </c>
      <c r="I7996">
        <v>113.4</v>
      </c>
      <c r="J7996" t="str">
        <f>HYPERLINK("https://climate.onebuilding.org/WMO_Region_6_Europe/NLD_Netherlands/LI_Limburg/NLD_LI_Maastricht.Aachen.AP.063800_TMYx.2007-2021.zip")</f>
        <v>https://climate.onebuilding.org/WMO_Region_6_Europe/NLD_Netherlands/LI_Limburg/NLD_LI_Maastricht.Aachen.AP.063800_TMYx.2007-2021.zip</v>
      </c>
    </row>
    <row r="7997" spans="1:10" x14ac:dyDescent="0.25">
      <c r="A7997" t="s">
        <v>5810</v>
      </c>
      <c r="B7997" t="s">
        <v>1176</v>
      </c>
      <c r="C7997" t="s">
        <v>5948</v>
      </c>
      <c r="D7997" s="1" t="s">
        <v>5949</v>
      </c>
      <c r="E7997" t="s">
        <v>14</v>
      </c>
      <c r="F7997">
        <v>50.905299999999997</v>
      </c>
      <c r="G7997">
        <v>5.7618999999999998</v>
      </c>
      <c r="H7997">
        <v>1</v>
      </c>
      <c r="I7997">
        <v>113.4</v>
      </c>
      <c r="J7997" t="str">
        <f>HYPERLINK("https://climate.onebuilding.org/WMO_Region_6_Europe/NLD_Netherlands/LI_Limburg/NLD_LI_Maastricht.Aachen.AP.063800_TMYx.2009-2023.zip")</f>
        <v>https://climate.onebuilding.org/WMO_Region_6_Europe/NLD_Netherlands/LI_Limburg/NLD_LI_Maastricht.Aachen.AP.063800_TMYx.2009-2023.zip</v>
      </c>
    </row>
    <row r="7998" spans="1:10" x14ac:dyDescent="0.25">
      <c r="A7998" t="s">
        <v>5810</v>
      </c>
      <c r="B7998" t="s">
        <v>1176</v>
      </c>
      <c r="C7998" t="s">
        <v>5948</v>
      </c>
      <c r="D7998" s="1" t="s">
        <v>5949</v>
      </c>
      <c r="E7998" t="s">
        <v>14</v>
      </c>
      <c r="F7998">
        <v>50.905299999999997</v>
      </c>
      <c r="G7998">
        <v>5.7618999999999998</v>
      </c>
      <c r="H7998">
        <v>1</v>
      </c>
      <c r="I7998">
        <v>113.4</v>
      </c>
      <c r="J7998" t="str">
        <f>HYPERLINK("https://climate.onebuilding.org/WMO_Region_6_Europe/NLD_Netherlands/LI_Limburg/NLD_LI_Maastricht.Aachen.AP.063800_TMYx.zip")</f>
        <v>https://climate.onebuilding.org/WMO_Region_6_Europe/NLD_Netherlands/LI_Limburg/NLD_LI_Maastricht.Aachen.AP.063800_TMYx.zip</v>
      </c>
    </row>
    <row r="7999" spans="1:10" x14ac:dyDescent="0.25">
      <c r="A7999" t="s">
        <v>5810</v>
      </c>
      <c r="B7999" t="s">
        <v>1176</v>
      </c>
      <c r="C7999" t="s">
        <v>5951</v>
      </c>
      <c r="D7999" s="1" t="s">
        <v>5952</v>
      </c>
      <c r="E7999" t="s">
        <v>14</v>
      </c>
      <c r="F7999">
        <v>51.537799999999997</v>
      </c>
      <c r="G7999">
        <v>5.8529</v>
      </c>
      <c r="H7999">
        <v>1</v>
      </c>
      <c r="I7999">
        <v>40</v>
      </c>
      <c r="J7999" t="str">
        <f>HYPERLINK("https://climate.onebuilding.org/WMO_Region_6_Europe/NLD_Netherlands/LI_Limburg/NLD_LI_De.Peel.AFB.063850_TMYx.zip")</f>
        <v>https://climate.onebuilding.org/WMO_Region_6_Europe/NLD_Netherlands/LI_Limburg/NLD_LI_De.Peel.AFB.063850_TMYx.zip</v>
      </c>
    </row>
    <row r="8000" spans="1:10" x14ac:dyDescent="0.25">
      <c r="A8000" t="s">
        <v>5810</v>
      </c>
      <c r="B8000" t="s">
        <v>1176</v>
      </c>
      <c r="C8000" t="s">
        <v>5953</v>
      </c>
      <c r="D8000" s="1" t="s">
        <v>5954</v>
      </c>
      <c r="E8000" t="s">
        <v>5955</v>
      </c>
      <c r="F8000">
        <v>51.497199999999999</v>
      </c>
      <c r="G8000">
        <v>6.1961000000000004</v>
      </c>
      <c r="H8000">
        <v>1</v>
      </c>
      <c r="I8000">
        <v>19.5</v>
      </c>
      <c r="J8000" t="str">
        <f>HYPERLINK("https://climate.onebuilding.org/WMO_Region_6_Europe/NLD_Netherlands/LI_Limburg/NLD_LI_Arcen.063910_TMYx.2004-2018.zip")</f>
        <v>https://climate.onebuilding.org/WMO_Region_6_Europe/NLD_Netherlands/LI_Limburg/NLD_LI_Arcen.063910_TMYx.2004-2018.zip</v>
      </c>
    </row>
    <row r="8001" spans="1:10" x14ac:dyDescent="0.25">
      <c r="A8001" t="s">
        <v>5810</v>
      </c>
      <c r="B8001" t="s">
        <v>1176</v>
      </c>
      <c r="C8001" t="s">
        <v>5953</v>
      </c>
      <c r="D8001" s="1" t="s">
        <v>5954</v>
      </c>
      <c r="E8001" t="s">
        <v>14</v>
      </c>
      <c r="F8001">
        <v>51.497199999999999</v>
      </c>
      <c r="G8001">
        <v>6.1961000000000004</v>
      </c>
      <c r="H8001">
        <v>1</v>
      </c>
      <c r="I8001">
        <v>19.5</v>
      </c>
      <c r="J8001" t="str">
        <f>HYPERLINK("https://climate.onebuilding.org/WMO_Region_6_Europe/NLD_Netherlands/LI_Limburg/NLD_LI_Arcen.063910_TMYx.2007-2021.zip")</f>
        <v>https://climate.onebuilding.org/WMO_Region_6_Europe/NLD_Netherlands/LI_Limburg/NLD_LI_Arcen.063910_TMYx.2007-2021.zip</v>
      </c>
    </row>
    <row r="8002" spans="1:10" x14ac:dyDescent="0.25">
      <c r="A8002" t="s">
        <v>5810</v>
      </c>
      <c r="B8002" t="s">
        <v>1176</v>
      </c>
      <c r="C8002" t="s">
        <v>5953</v>
      </c>
      <c r="D8002" s="1" t="s">
        <v>5954</v>
      </c>
      <c r="E8002" t="s">
        <v>14</v>
      </c>
      <c r="F8002">
        <v>51.497199999999999</v>
      </c>
      <c r="G8002">
        <v>6.1961000000000004</v>
      </c>
      <c r="H8002">
        <v>1</v>
      </c>
      <c r="I8002">
        <v>19.5</v>
      </c>
      <c r="J8002" t="str">
        <f>HYPERLINK("https://climate.onebuilding.org/WMO_Region_6_Europe/NLD_Netherlands/LI_Limburg/NLD_LI_Arcen.063910_TMYx.2009-2023.zip")</f>
        <v>https://climate.onebuilding.org/WMO_Region_6_Europe/NLD_Netherlands/LI_Limburg/NLD_LI_Arcen.063910_TMYx.2009-2023.zip</v>
      </c>
    </row>
    <row r="8003" spans="1:10" x14ac:dyDescent="0.25">
      <c r="A8003" t="s">
        <v>5810</v>
      </c>
      <c r="B8003" t="s">
        <v>1176</v>
      </c>
      <c r="C8003" t="s">
        <v>5953</v>
      </c>
      <c r="D8003" s="1" t="s">
        <v>5954</v>
      </c>
      <c r="E8003" t="s">
        <v>14</v>
      </c>
      <c r="F8003">
        <v>51.497199999999999</v>
      </c>
      <c r="G8003">
        <v>6.1961000000000004</v>
      </c>
      <c r="H8003">
        <v>1</v>
      </c>
      <c r="I8003">
        <v>19.5</v>
      </c>
      <c r="J8003" t="str">
        <f>HYPERLINK("https://climate.onebuilding.org/WMO_Region_6_Europe/NLD_Netherlands/LI_Limburg/NLD_LI_Arcen.063910_TMYx.zip")</f>
        <v>https://climate.onebuilding.org/WMO_Region_6_Europe/NLD_Netherlands/LI_Limburg/NLD_LI_Arcen.063910_TMYx.zip</v>
      </c>
    </row>
    <row r="8004" spans="1:10" x14ac:dyDescent="0.25">
      <c r="A8004" t="s">
        <v>4974</v>
      </c>
      <c r="B8004" t="s">
        <v>681</v>
      </c>
      <c r="C8004" t="s">
        <v>5956</v>
      </c>
      <c r="D8004" s="1" t="s">
        <v>5957</v>
      </c>
      <c r="E8004" t="s">
        <v>14</v>
      </c>
      <c r="F8004">
        <v>59.792000000000002</v>
      </c>
      <c r="G8004">
        <v>5.3410000000000002</v>
      </c>
      <c r="H8004">
        <v>0</v>
      </c>
      <c r="I8004">
        <v>48.8</v>
      </c>
      <c r="J8004" t="str">
        <f>HYPERLINK("https://climate.onebuilding.org/WMO_Region_6_Europe/NOR_Norway/HO_Hordaland/NOR_HO_Sorstokken-Stord.AP.010014_TMYx.2007-2021.zip")</f>
        <v>https://climate.onebuilding.org/WMO_Region_6_Europe/NOR_Norway/HO_Hordaland/NOR_HO_Sorstokken-Stord.AP.010014_TMYx.2007-2021.zip</v>
      </c>
    </row>
    <row r="8005" spans="1:10" x14ac:dyDescent="0.25">
      <c r="A8005" t="s">
        <v>4974</v>
      </c>
      <c r="B8005" t="s">
        <v>681</v>
      </c>
      <c r="C8005" t="s">
        <v>5956</v>
      </c>
      <c r="D8005" s="1" t="s">
        <v>5957</v>
      </c>
      <c r="E8005" t="s">
        <v>14</v>
      </c>
      <c r="F8005">
        <v>59.792000000000002</v>
      </c>
      <c r="G8005">
        <v>5.3410000000000002</v>
      </c>
      <c r="H8005">
        <v>0</v>
      </c>
      <c r="I8005">
        <v>48.8</v>
      </c>
      <c r="J8005" t="str">
        <f>HYPERLINK("https://climate.onebuilding.org/WMO_Region_6_Europe/NOR_Norway/HO_Hordaland/NOR_HO_Sorstokken-Stord.AP.010014_TMYx.2009-2023.zip")</f>
        <v>https://climate.onebuilding.org/WMO_Region_6_Europe/NOR_Norway/HO_Hordaland/NOR_HO_Sorstokken-Stord.AP.010014_TMYx.2009-2023.zip</v>
      </c>
    </row>
    <row r="8006" spans="1:10" x14ac:dyDescent="0.25">
      <c r="A8006" t="s">
        <v>4974</v>
      </c>
      <c r="B8006" t="s">
        <v>681</v>
      </c>
      <c r="C8006" t="s">
        <v>5956</v>
      </c>
      <c r="D8006" s="1" t="s">
        <v>5957</v>
      </c>
      <c r="E8006" t="s">
        <v>14</v>
      </c>
      <c r="F8006">
        <v>59.792000000000002</v>
      </c>
      <c r="G8006">
        <v>5.3410000000000002</v>
      </c>
      <c r="H8006">
        <v>0</v>
      </c>
      <c r="I8006">
        <v>48.8</v>
      </c>
      <c r="J8006" t="str">
        <f>HYPERLINK("https://climate.onebuilding.org/WMO_Region_6_Europe/NOR_Norway/HO_Hordaland/NOR_HO_Sorstokken-Stord.AP.010014_TMYx.zip")</f>
        <v>https://climate.onebuilding.org/WMO_Region_6_Europe/NOR_Norway/HO_Hordaland/NOR_HO_Sorstokken-Stord.AP.010014_TMYx.zip</v>
      </c>
    </row>
    <row r="8007" spans="1:10" x14ac:dyDescent="0.25">
      <c r="A8007" t="s">
        <v>4974</v>
      </c>
      <c r="B8007" t="s">
        <v>527</v>
      </c>
      <c r="C8007" t="s">
        <v>5958</v>
      </c>
      <c r="D8007" s="1" t="s">
        <v>5959</v>
      </c>
      <c r="E8007" t="s">
        <v>14</v>
      </c>
      <c r="F8007">
        <v>61.383000000000003</v>
      </c>
      <c r="G8007">
        <v>5.867</v>
      </c>
      <c r="H8007">
        <v>0</v>
      </c>
      <c r="I8007">
        <v>327</v>
      </c>
      <c r="J8007" t="str">
        <f>HYPERLINK("https://climate.onebuilding.org/WMO_Region_6_Europe/NOR_Norway/SF_Sogn_og_Fjordane/NOR_SF_Bringeland-Forde.AP.010015_TMYx.2007-2021.zip")</f>
        <v>https://climate.onebuilding.org/WMO_Region_6_Europe/NOR_Norway/SF_Sogn_og_Fjordane/NOR_SF_Bringeland-Forde.AP.010015_TMYx.2007-2021.zip</v>
      </c>
    </row>
    <row r="8008" spans="1:10" x14ac:dyDescent="0.25">
      <c r="A8008" t="s">
        <v>4974</v>
      </c>
      <c r="B8008" t="s">
        <v>527</v>
      </c>
      <c r="C8008" t="s">
        <v>5958</v>
      </c>
      <c r="D8008" s="1" t="s">
        <v>5959</v>
      </c>
      <c r="E8008" t="s">
        <v>14</v>
      </c>
      <c r="F8008">
        <v>61.383000000000003</v>
      </c>
      <c r="G8008">
        <v>5.867</v>
      </c>
      <c r="H8008">
        <v>0</v>
      </c>
      <c r="I8008">
        <v>327</v>
      </c>
      <c r="J8008" t="str">
        <f>HYPERLINK("https://climate.onebuilding.org/WMO_Region_6_Europe/NOR_Norway/SF_Sogn_og_Fjordane/NOR_SF_Bringeland-Forde.AP.010015_TMYx.zip")</f>
        <v>https://climate.onebuilding.org/WMO_Region_6_Europe/NOR_Norway/SF_Sogn_og_Fjordane/NOR_SF_Bringeland-Forde.AP.010015_TMYx.zip</v>
      </c>
    </row>
    <row r="8009" spans="1:10" x14ac:dyDescent="0.25">
      <c r="A8009" t="s">
        <v>4974</v>
      </c>
      <c r="B8009" t="s">
        <v>155</v>
      </c>
      <c r="C8009" t="s">
        <v>5960</v>
      </c>
      <c r="D8009" s="1" t="s">
        <v>5961</v>
      </c>
      <c r="E8009" t="s">
        <v>5962</v>
      </c>
      <c r="F8009">
        <v>69.307199999999995</v>
      </c>
      <c r="G8009">
        <v>16.130800000000001</v>
      </c>
      <c r="H8009">
        <v>1</v>
      </c>
      <c r="I8009">
        <v>13.1</v>
      </c>
      <c r="J8009" t="str">
        <f>HYPERLINK("https://climate.onebuilding.org/WMO_Region_6_Europe/NOR_Norway/TR_Troms/NOR_TR_Andoya.AP.010100_TMYx.2004-2018.zip")</f>
        <v>https://climate.onebuilding.org/WMO_Region_6_Europe/NOR_Norway/TR_Troms/NOR_TR_Andoya.AP.010100_TMYx.2004-2018.zip</v>
      </c>
    </row>
    <row r="8010" spans="1:10" x14ac:dyDescent="0.25">
      <c r="A8010" t="s">
        <v>4974</v>
      </c>
      <c r="B8010" t="s">
        <v>155</v>
      </c>
      <c r="C8010" t="s">
        <v>5960</v>
      </c>
      <c r="D8010" s="1" t="s">
        <v>5961</v>
      </c>
      <c r="E8010" t="s">
        <v>14</v>
      </c>
      <c r="F8010">
        <v>69.293000000000006</v>
      </c>
      <c r="G8010">
        <v>16.143999999999998</v>
      </c>
      <c r="H8010">
        <v>1</v>
      </c>
      <c r="I8010">
        <v>13.1</v>
      </c>
      <c r="J8010" t="str">
        <f>HYPERLINK("https://climate.onebuilding.org/WMO_Region_6_Europe/NOR_Norway/TR_Troms/NOR_TR_Andoya.AP.010100_TMYx.2007-2021.zip")</f>
        <v>https://climate.onebuilding.org/WMO_Region_6_Europe/NOR_Norway/TR_Troms/NOR_TR_Andoya.AP.010100_TMYx.2007-2021.zip</v>
      </c>
    </row>
    <row r="8011" spans="1:10" x14ac:dyDescent="0.25">
      <c r="A8011" t="s">
        <v>4974</v>
      </c>
      <c r="B8011" t="s">
        <v>155</v>
      </c>
      <c r="C8011" t="s">
        <v>5960</v>
      </c>
      <c r="D8011" s="1" t="s">
        <v>5961</v>
      </c>
      <c r="E8011" t="s">
        <v>14</v>
      </c>
      <c r="F8011">
        <v>69.293000000000006</v>
      </c>
      <c r="G8011">
        <v>16.143999999999998</v>
      </c>
      <c r="H8011">
        <v>1</v>
      </c>
      <c r="I8011">
        <v>13.1</v>
      </c>
      <c r="J8011" t="str">
        <f>HYPERLINK("https://climate.onebuilding.org/WMO_Region_6_Europe/NOR_Norway/TR_Troms/NOR_TR_Andoya.AP.010100_TMYx.2009-2023.zip")</f>
        <v>https://climate.onebuilding.org/WMO_Region_6_Europe/NOR_Norway/TR_Troms/NOR_TR_Andoya.AP.010100_TMYx.2009-2023.zip</v>
      </c>
    </row>
    <row r="8012" spans="1:10" x14ac:dyDescent="0.25">
      <c r="A8012" t="s">
        <v>4974</v>
      </c>
      <c r="B8012" t="s">
        <v>155</v>
      </c>
      <c r="C8012" t="s">
        <v>5960</v>
      </c>
      <c r="D8012" s="1" t="s">
        <v>5961</v>
      </c>
      <c r="E8012" t="s">
        <v>14</v>
      </c>
      <c r="F8012">
        <v>69.293000000000006</v>
      </c>
      <c r="G8012">
        <v>16.143999999999998</v>
      </c>
      <c r="H8012">
        <v>1</v>
      </c>
      <c r="I8012">
        <v>13.1</v>
      </c>
      <c r="J8012" t="str">
        <f>HYPERLINK("https://climate.onebuilding.org/WMO_Region_6_Europe/NOR_Norway/TR_Troms/NOR_TR_Andoya.AP.010100_TMYx.zip")</f>
        <v>https://climate.onebuilding.org/WMO_Region_6_Europe/NOR_Norway/TR_Troms/NOR_TR_Andoya.AP.010100_TMYx.zip</v>
      </c>
    </row>
    <row r="8013" spans="1:10" x14ac:dyDescent="0.25">
      <c r="A8013" t="s">
        <v>4974</v>
      </c>
      <c r="B8013" t="s">
        <v>155</v>
      </c>
      <c r="C8013" t="s">
        <v>5963</v>
      </c>
      <c r="D8013" s="1" t="s">
        <v>5964</v>
      </c>
      <c r="E8013" t="s">
        <v>5965</v>
      </c>
      <c r="F8013">
        <v>69.234099999999998</v>
      </c>
      <c r="G8013">
        <v>17.899899999999999</v>
      </c>
      <c r="H8013">
        <v>1</v>
      </c>
      <c r="I8013">
        <v>9</v>
      </c>
      <c r="J8013" t="str">
        <f>HYPERLINK("https://climate.onebuilding.org/WMO_Region_6_Europe/NOR_Norway/TR_Troms/NOR_TR_Senja.Laukhella.010140_TMYx.2004-2018.zip")</f>
        <v>https://climate.onebuilding.org/WMO_Region_6_Europe/NOR_Norway/TR_Troms/NOR_TR_Senja.Laukhella.010140_TMYx.2004-2018.zip</v>
      </c>
    </row>
    <row r="8014" spans="1:10" x14ac:dyDescent="0.25">
      <c r="A8014" t="s">
        <v>4974</v>
      </c>
      <c r="B8014" t="s">
        <v>155</v>
      </c>
      <c r="C8014" t="s">
        <v>5963</v>
      </c>
      <c r="D8014" s="1" t="s">
        <v>5964</v>
      </c>
      <c r="E8014" t="s">
        <v>14</v>
      </c>
      <c r="F8014">
        <v>69.234099999999998</v>
      </c>
      <c r="G8014">
        <v>17.899899999999999</v>
      </c>
      <c r="H8014">
        <v>1</v>
      </c>
      <c r="I8014">
        <v>9</v>
      </c>
      <c r="J8014" t="str">
        <f>HYPERLINK("https://climate.onebuilding.org/WMO_Region_6_Europe/NOR_Norway/TR_Troms/NOR_TR_Senja.Laukhella.010140_TMYx.2007-2021.zip")</f>
        <v>https://climate.onebuilding.org/WMO_Region_6_Europe/NOR_Norway/TR_Troms/NOR_TR_Senja.Laukhella.010140_TMYx.2007-2021.zip</v>
      </c>
    </row>
    <row r="8015" spans="1:10" x14ac:dyDescent="0.25">
      <c r="A8015" t="s">
        <v>4974</v>
      </c>
      <c r="B8015" t="s">
        <v>155</v>
      </c>
      <c r="C8015" t="s">
        <v>5963</v>
      </c>
      <c r="D8015" s="1" t="s">
        <v>5964</v>
      </c>
      <c r="E8015" t="s">
        <v>14</v>
      </c>
      <c r="F8015">
        <v>69.234099999999998</v>
      </c>
      <c r="G8015">
        <v>17.899899999999999</v>
      </c>
      <c r="H8015">
        <v>1</v>
      </c>
      <c r="I8015">
        <v>9</v>
      </c>
      <c r="J8015" t="str">
        <f>HYPERLINK("https://climate.onebuilding.org/WMO_Region_6_Europe/NOR_Norway/TR_Troms/NOR_TR_Senja.Laukhella.010140_TMYx.zip")</f>
        <v>https://climate.onebuilding.org/WMO_Region_6_Europe/NOR_Norway/TR_Troms/NOR_TR_Senja.Laukhella.010140_TMYx.zip</v>
      </c>
    </row>
    <row r="8016" spans="1:10" x14ac:dyDescent="0.25">
      <c r="A8016" t="s">
        <v>4974</v>
      </c>
      <c r="B8016" t="s">
        <v>155</v>
      </c>
      <c r="C8016" t="s">
        <v>5966</v>
      </c>
      <c r="D8016" s="1" t="s">
        <v>5967</v>
      </c>
      <c r="E8016" t="s">
        <v>5968</v>
      </c>
      <c r="F8016">
        <v>69.601600000000005</v>
      </c>
      <c r="G8016">
        <v>17.829799999999999</v>
      </c>
      <c r="H8016">
        <v>1</v>
      </c>
      <c r="I8016">
        <v>14</v>
      </c>
      <c r="J8016" t="str">
        <f>HYPERLINK("https://climate.onebuilding.org/WMO_Region_6_Europe/NOR_Norway/TR_Troms/NOR_TR_Hekkingen.Lighthouse.010150_TMYx.2004-2018.zip")</f>
        <v>https://climate.onebuilding.org/WMO_Region_6_Europe/NOR_Norway/TR_Troms/NOR_TR_Hekkingen.Lighthouse.010150_TMYx.2004-2018.zip</v>
      </c>
    </row>
    <row r="8017" spans="1:10" x14ac:dyDescent="0.25">
      <c r="A8017" t="s">
        <v>4974</v>
      </c>
      <c r="B8017" t="s">
        <v>155</v>
      </c>
      <c r="C8017" t="s">
        <v>5966</v>
      </c>
      <c r="D8017" s="1" t="s">
        <v>5967</v>
      </c>
      <c r="E8017" t="s">
        <v>14</v>
      </c>
      <c r="F8017">
        <v>69.601600000000005</v>
      </c>
      <c r="G8017">
        <v>17.829799999999999</v>
      </c>
      <c r="H8017">
        <v>1</v>
      </c>
      <c r="I8017">
        <v>14</v>
      </c>
      <c r="J8017" t="str">
        <f>HYPERLINK("https://climate.onebuilding.org/WMO_Region_6_Europe/NOR_Norway/TR_Troms/NOR_TR_Hekkingen.Lighthouse.010150_TMYx.2007-2021.zip")</f>
        <v>https://climate.onebuilding.org/WMO_Region_6_Europe/NOR_Norway/TR_Troms/NOR_TR_Hekkingen.Lighthouse.010150_TMYx.2007-2021.zip</v>
      </c>
    </row>
    <row r="8018" spans="1:10" x14ac:dyDescent="0.25">
      <c r="A8018" t="s">
        <v>4974</v>
      </c>
      <c r="B8018" t="s">
        <v>155</v>
      </c>
      <c r="C8018" t="s">
        <v>5966</v>
      </c>
      <c r="D8018" s="1" t="s">
        <v>5967</v>
      </c>
      <c r="E8018" t="s">
        <v>14</v>
      </c>
      <c r="F8018">
        <v>69.601600000000005</v>
      </c>
      <c r="G8018">
        <v>17.829799999999999</v>
      </c>
      <c r="H8018">
        <v>1</v>
      </c>
      <c r="I8018">
        <v>14</v>
      </c>
      <c r="J8018" t="str">
        <f>HYPERLINK("https://climate.onebuilding.org/WMO_Region_6_Europe/NOR_Norway/TR_Troms/NOR_TR_Hekkingen.Lighthouse.010150_TMYx.2009-2023.zip")</f>
        <v>https://climate.onebuilding.org/WMO_Region_6_Europe/NOR_Norway/TR_Troms/NOR_TR_Hekkingen.Lighthouse.010150_TMYx.2009-2023.zip</v>
      </c>
    </row>
    <row r="8019" spans="1:10" x14ac:dyDescent="0.25">
      <c r="A8019" t="s">
        <v>4974</v>
      </c>
      <c r="B8019" t="s">
        <v>155</v>
      </c>
      <c r="C8019" t="s">
        <v>5966</v>
      </c>
      <c r="D8019" s="1" t="s">
        <v>5967</v>
      </c>
      <c r="E8019" t="s">
        <v>14</v>
      </c>
      <c r="F8019">
        <v>69.601600000000005</v>
      </c>
      <c r="G8019">
        <v>17.829799999999999</v>
      </c>
      <c r="H8019">
        <v>1</v>
      </c>
      <c r="I8019">
        <v>14</v>
      </c>
      <c r="J8019" t="str">
        <f>HYPERLINK("https://climate.onebuilding.org/WMO_Region_6_Europe/NOR_Norway/TR_Troms/NOR_TR_Hekkingen.Lighthouse.010150_TMYx.zip")</f>
        <v>https://climate.onebuilding.org/WMO_Region_6_Europe/NOR_Norway/TR_Troms/NOR_TR_Hekkingen.Lighthouse.010150_TMYx.zip</v>
      </c>
    </row>
    <row r="8020" spans="1:10" x14ac:dyDescent="0.25">
      <c r="A8020" t="s">
        <v>4974</v>
      </c>
      <c r="B8020" t="s">
        <v>155</v>
      </c>
      <c r="C8020" t="s">
        <v>5969</v>
      </c>
      <c r="D8020" s="1" t="s">
        <v>5970</v>
      </c>
      <c r="E8020" t="s">
        <v>5971</v>
      </c>
      <c r="F8020">
        <v>69.058899999999994</v>
      </c>
      <c r="G8020">
        <v>18.54</v>
      </c>
      <c r="H8020">
        <v>1</v>
      </c>
      <c r="I8020">
        <v>76.8</v>
      </c>
      <c r="J8020" t="str">
        <f>HYPERLINK("https://climate.onebuilding.org/WMO_Region_6_Europe/NOR_Norway/TR_Troms/NOR_TR_Bardufoss.AP.010230_TMYx.2004-2018.zip")</f>
        <v>https://climate.onebuilding.org/WMO_Region_6_Europe/NOR_Norway/TR_Troms/NOR_TR_Bardufoss.AP.010230_TMYx.2004-2018.zip</v>
      </c>
    </row>
    <row r="8021" spans="1:10" x14ac:dyDescent="0.25">
      <c r="A8021" t="s">
        <v>4974</v>
      </c>
      <c r="B8021" t="s">
        <v>155</v>
      </c>
      <c r="C8021" t="s">
        <v>5969</v>
      </c>
      <c r="D8021" s="1" t="s">
        <v>5970</v>
      </c>
      <c r="E8021" t="s">
        <v>14</v>
      </c>
      <c r="F8021">
        <v>69.055999999999997</v>
      </c>
      <c r="G8021">
        <v>18.54</v>
      </c>
      <c r="H8021">
        <v>1</v>
      </c>
      <c r="I8021">
        <v>76.8</v>
      </c>
      <c r="J8021" t="str">
        <f>HYPERLINK("https://climate.onebuilding.org/WMO_Region_6_Europe/NOR_Norway/TR_Troms/NOR_TR_Bardufoss.AP.010230_TMYx.2007-2021.zip")</f>
        <v>https://climate.onebuilding.org/WMO_Region_6_Europe/NOR_Norway/TR_Troms/NOR_TR_Bardufoss.AP.010230_TMYx.2007-2021.zip</v>
      </c>
    </row>
    <row r="8022" spans="1:10" x14ac:dyDescent="0.25">
      <c r="A8022" t="s">
        <v>4974</v>
      </c>
      <c r="B8022" t="s">
        <v>155</v>
      </c>
      <c r="C8022" t="s">
        <v>5969</v>
      </c>
      <c r="D8022" s="1" t="s">
        <v>5970</v>
      </c>
      <c r="E8022" t="s">
        <v>14</v>
      </c>
      <c r="F8022">
        <v>69.055999999999997</v>
      </c>
      <c r="G8022">
        <v>18.54</v>
      </c>
      <c r="H8022">
        <v>1</v>
      </c>
      <c r="I8022">
        <v>76.8</v>
      </c>
      <c r="J8022" t="str">
        <f>HYPERLINK("https://climate.onebuilding.org/WMO_Region_6_Europe/NOR_Norway/TR_Troms/NOR_TR_Bardufoss.AP.010230_TMYx.2009-2023.zip")</f>
        <v>https://climate.onebuilding.org/WMO_Region_6_Europe/NOR_Norway/TR_Troms/NOR_TR_Bardufoss.AP.010230_TMYx.2009-2023.zip</v>
      </c>
    </row>
    <row r="8023" spans="1:10" x14ac:dyDescent="0.25">
      <c r="A8023" t="s">
        <v>4974</v>
      </c>
      <c r="B8023" t="s">
        <v>155</v>
      </c>
      <c r="C8023" t="s">
        <v>5969</v>
      </c>
      <c r="D8023" s="1" t="s">
        <v>5970</v>
      </c>
      <c r="E8023" t="s">
        <v>14</v>
      </c>
      <c r="F8023">
        <v>69.055999999999997</v>
      </c>
      <c r="G8023">
        <v>18.54</v>
      </c>
      <c r="H8023">
        <v>1</v>
      </c>
      <c r="I8023">
        <v>76.8</v>
      </c>
      <c r="J8023" t="str">
        <f>HYPERLINK("https://climate.onebuilding.org/WMO_Region_6_Europe/NOR_Norway/TR_Troms/NOR_TR_Bardufoss.AP.010230_TMYx.zip")</f>
        <v>https://climate.onebuilding.org/WMO_Region_6_Europe/NOR_Norway/TR_Troms/NOR_TR_Bardufoss.AP.010230_TMYx.zip</v>
      </c>
    </row>
    <row r="8024" spans="1:10" x14ac:dyDescent="0.25">
      <c r="A8024" t="s">
        <v>4974</v>
      </c>
      <c r="B8024" t="s">
        <v>155</v>
      </c>
      <c r="C8024" t="s">
        <v>5972</v>
      </c>
      <c r="D8024" s="1" t="s">
        <v>5973</v>
      </c>
      <c r="E8024" t="s">
        <v>5974</v>
      </c>
      <c r="F8024">
        <v>69.676699999999997</v>
      </c>
      <c r="G8024">
        <v>18.9131</v>
      </c>
      <c r="H8024">
        <v>1</v>
      </c>
      <c r="I8024">
        <v>8.8000000000000007</v>
      </c>
      <c r="J8024" t="str">
        <f>HYPERLINK("https://climate.onebuilding.org/WMO_Region_6_Europe/NOR_Norway/TR_Troms/NOR_TR_Tromso.AP-Langnes.010250_TMYx.2004-2018.zip")</f>
        <v>https://climate.onebuilding.org/WMO_Region_6_Europe/NOR_Norway/TR_Troms/NOR_TR_Tromso.AP-Langnes.010250_TMYx.2004-2018.zip</v>
      </c>
    </row>
    <row r="8025" spans="1:10" x14ac:dyDescent="0.25">
      <c r="A8025" t="s">
        <v>4974</v>
      </c>
      <c r="B8025" t="s">
        <v>155</v>
      </c>
      <c r="C8025" t="s">
        <v>5972</v>
      </c>
      <c r="D8025" s="1" t="s">
        <v>5973</v>
      </c>
      <c r="E8025" t="s">
        <v>14</v>
      </c>
      <c r="F8025">
        <v>69.683000000000007</v>
      </c>
      <c r="G8025">
        <v>18.919</v>
      </c>
      <c r="H8025">
        <v>1</v>
      </c>
      <c r="I8025">
        <v>8.8000000000000007</v>
      </c>
      <c r="J8025" t="str">
        <f>HYPERLINK("https://climate.onebuilding.org/WMO_Region_6_Europe/NOR_Norway/TR_Troms/NOR_TR_Tromso.AP-Langnes.010250_TMYx.2007-2021.zip")</f>
        <v>https://climate.onebuilding.org/WMO_Region_6_Europe/NOR_Norway/TR_Troms/NOR_TR_Tromso.AP-Langnes.010250_TMYx.2007-2021.zip</v>
      </c>
    </row>
    <row r="8026" spans="1:10" x14ac:dyDescent="0.25">
      <c r="A8026" t="s">
        <v>4974</v>
      </c>
      <c r="B8026" t="s">
        <v>155</v>
      </c>
      <c r="C8026" t="s">
        <v>5972</v>
      </c>
      <c r="D8026" s="1" t="s">
        <v>5973</v>
      </c>
      <c r="E8026" t="s">
        <v>14</v>
      </c>
      <c r="F8026">
        <v>69.683000000000007</v>
      </c>
      <c r="G8026">
        <v>18.919</v>
      </c>
      <c r="H8026">
        <v>1</v>
      </c>
      <c r="I8026">
        <v>8.8000000000000007</v>
      </c>
      <c r="J8026" t="str">
        <f>HYPERLINK("https://climate.onebuilding.org/WMO_Region_6_Europe/NOR_Norway/TR_Troms/NOR_TR_Tromso.AP-Langnes.010250_TMYx.2009-2023.zip")</f>
        <v>https://climate.onebuilding.org/WMO_Region_6_Europe/NOR_Norway/TR_Troms/NOR_TR_Tromso.AP-Langnes.010250_TMYx.2009-2023.zip</v>
      </c>
    </row>
    <row r="8027" spans="1:10" x14ac:dyDescent="0.25">
      <c r="A8027" t="s">
        <v>4974</v>
      </c>
      <c r="B8027" t="s">
        <v>155</v>
      </c>
      <c r="C8027" t="s">
        <v>5972</v>
      </c>
      <c r="D8027" s="1" t="s">
        <v>5973</v>
      </c>
      <c r="E8027" t="s">
        <v>14</v>
      </c>
      <c r="F8027">
        <v>69.683000000000007</v>
      </c>
      <c r="G8027">
        <v>18.919</v>
      </c>
      <c r="H8027">
        <v>1</v>
      </c>
      <c r="I8027">
        <v>8.8000000000000007</v>
      </c>
      <c r="J8027" t="str">
        <f>HYPERLINK("https://climate.onebuilding.org/WMO_Region_6_Europe/NOR_Norway/TR_Troms/NOR_TR_Tromso.AP-Langnes.010250_TMYx.zip")</f>
        <v>https://climate.onebuilding.org/WMO_Region_6_Europe/NOR_Norway/TR_Troms/NOR_TR_Tromso.AP-Langnes.010250_TMYx.zip</v>
      </c>
    </row>
    <row r="8028" spans="1:10" x14ac:dyDescent="0.25">
      <c r="A8028" t="s">
        <v>4974</v>
      </c>
      <c r="B8028" t="s">
        <v>155</v>
      </c>
      <c r="C8028" t="s">
        <v>5975</v>
      </c>
      <c r="D8028" s="1" t="s">
        <v>5976</v>
      </c>
      <c r="E8028" t="s">
        <v>5977</v>
      </c>
      <c r="F8028">
        <v>69.653599999999997</v>
      </c>
      <c r="G8028">
        <v>18.936699999999998</v>
      </c>
      <c r="H8028">
        <v>1</v>
      </c>
      <c r="I8028">
        <v>114.5</v>
      </c>
      <c r="J8028" t="str">
        <f>HYPERLINK("https://climate.onebuilding.org/WMO_Region_6_Europe/NOR_Norway/TR_Troms/NOR_TR_Tromso.010260_TMYx.2004-2018.zip")</f>
        <v>https://climate.onebuilding.org/WMO_Region_6_Europe/NOR_Norway/TR_Troms/NOR_TR_Tromso.010260_TMYx.2004-2018.zip</v>
      </c>
    </row>
    <row r="8029" spans="1:10" x14ac:dyDescent="0.25">
      <c r="A8029" t="s">
        <v>4974</v>
      </c>
      <c r="B8029" t="s">
        <v>155</v>
      </c>
      <c r="C8029" t="s">
        <v>5975</v>
      </c>
      <c r="D8029" s="1" t="s">
        <v>5976</v>
      </c>
      <c r="E8029" t="s">
        <v>14</v>
      </c>
      <c r="F8029">
        <v>69.653599999999997</v>
      </c>
      <c r="G8029">
        <v>18.936699999999998</v>
      </c>
      <c r="H8029">
        <v>1</v>
      </c>
      <c r="I8029">
        <v>114.5</v>
      </c>
      <c r="J8029" t="str">
        <f>HYPERLINK("https://climate.onebuilding.org/WMO_Region_6_Europe/NOR_Norway/TR_Troms/NOR_TR_Tromso.010260_TMYx.2007-2021.zip")</f>
        <v>https://climate.onebuilding.org/WMO_Region_6_Europe/NOR_Norway/TR_Troms/NOR_TR_Tromso.010260_TMYx.2007-2021.zip</v>
      </c>
    </row>
    <row r="8030" spans="1:10" x14ac:dyDescent="0.25">
      <c r="A8030" t="s">
        <v>4974</v>
      </c>
      <c r="B8030" t="s">
        <v>155</v>
      </c>
      <c r="C8030" t="s">
        <v>5975</v>
      </c>
      <c r="D8030" s="1" t="s">
        <v>5976</v>
      </c>
      <c r="E8030" t="s">
        <v>14</v>
      </c>
      <c r="F8030">
        <v>69.653599999999997</v>
      </c>
      <c r="G8030">
        <v>18.936699999999998</v>
      </c>
      <c r="H8030">
        <v>1</v>
      </c>
      <c r="I8030">
        <v>114.5</v>
      </c>
      <c r="J8030" t="str">
        <f>HYPERLINK("https://climate.onebuilding.org/WMO_Region_6_Europe/NOR_Norway/TR_Troms/NOR_TR_Tromso.010260_TMYx.2009-2023.zip")</f>
        <v>https://climate.onebuilding.org/WMO_Region_6_Europe/NOR_Norway/TR_Troms/NOR_TR_Tromso.010260_TMYx.2009-2023.zip</v>
      </c>
    </row>
    <row r="8031" spans="1:10" x14ac:dyDescent="0.25">
      <c r="A8031" t="s">
        <v>4974</v>
      </c>
      <c r="B8031" t="s">
        <v>155</v>
      </c>
      <c r="C8031" t="s">
        <v>5975</v>
      </c>
      <c r="D8031" s="1" t="s">
        <v>5976</v>
      </c>
      <c r="E8031" t="s">
        <v>14</v>
      </c>
      <c r="F8031">
        <v>69.653599999999997</v>
      </c>
      <c r="G8031">
        <v>18.936699999999998</v>
      </c>
      <c r="H8031">
        <v>1</v>
      </c>
      <c r="I8031">
        <v>114.5</v>
      </c>
      <c r="J8031" t="str">
        <f>HYPERLINK("https://climate.onebuilding.org/WMO_Region_6_Europe/NOR_Norway/TR_Troms/NOR_TR_Tromso.010260_TMYx.zip")</f>
        <v>https://climate.onebuilding.org/WMO_Region_6_Europe/NOR_Norway/TR_Troms/NOR_TR_Tromso.010260_TMYx.zip</v>
      </c>
    </row>
    <row r="8032" spans="1:10" x14ac:dyDescent="0.25">
      <c r="A8032" t="s">
        <v>4974</v>
      </c>
      <c r="B8032" t="s">
        <v>155</v>
      </c>
      <c r="C8032" t="s">
        <v>5978</v>
      </c>
      <c r="D8032" s="1" t="s">
        <v>5979</v>
      </c>
      <c r="E8032" t="s">
        <v>5980</v>
      </c>
      <c r="F8032">
        <v>69.652199999999993</v>
      </c>
      <c r="G8032">
        <v>18.9056</v>
      </c>
      <c r="H8032">
        <v>1</v>
      </c>
      <c r="I8032">
        <v>20</v>
      </c>
      <c r="J8032" t="str">
        <f>HYPERLINK("https://climate.onebuilding.org/WMO_Region_6_Europe/NOR_Norway/TR_Troms/NOR_TR_Tromso-Holt.010270_TMYx.2004-2018.zip")</f>
        <v>https://climate.onebuilding.org/WMO_Region_6_Europe/NOR_Norway/TR_Troms/NOR_TR_Tromso-Holt.010270_TMYx.2004-2018.zip</v>
      </c>
    </row>
    <row r="8033" spans="1:10" x14ac:dyDescent="0.25">
      <c r="A8033" t="s">
        <v>4974</v>
      </c>
      <c r="B8033" t="s">
        <v>155</v>
      </c>
      <c r="C8033" t="s">
        <v>5978</v>
      </c>
      <c r="D8033" s="1" t="s">
        <v>5979</v>
      </c>
      <c r="E8033" t="s">
        <v>14</v>
      </c>
      <c r="F8033">
        <v>69.652199999999993</v>
      </c>
      <c r="G8033">
        <v>18.9056</v>
      </c>
      <c r="H8033">
        <v>1</v>
      </c>
      <c r="I8033">
        <v>20</v>
      </c>
      <c r="J8033" t="str">
        <f>HYPERLINK("https://climate.onebuilding.org/WMO_Region_6_Europe/NOR_Norway/TR_Troms/NOR_TR_Tromso-Holt.010270_TMYx.2007-2021.zip")</f>
        <v>https://climate.onebuilding.org/WMO_Region_6_Europe/NOR_Norway/TR_Troms/NOR_TR_Tromso-Holt.010270_TMYx.2007-2021.zip</v>
      </c>
    </row>
    <row r="8034" spans="1:10" x14ac:dyDescent="0.25">
      <c r="A8034" t="s">
        <v>4974</v>
      </c>
      <c r="B8034" t="s">
        <v>155</v>
      </c>
      <c r="C8034" t="s">
        <v>5978</v>
      </c>
      <c r="D8034" s="1" t="s">
        <v>5979</v>
      </c>
      <c r="E8034" t="s">
        <v>14</v>
      </c>
      <c r="F8034">
        <v>69.652199999999993</v>
      </c>
      <c r="G8034">
        <v>18.9056</v>
      </c>
      <c r="H8034">
        <v>1</v>
      </c>
      <c r="I8034">
        <v>20</v>
      </c>
      <c r="J8034" t="str">
        <f>HYPERLINK("https://climate.onebuilding.org/WMO_Region_6_Europe/NOR_Norway/TR_Troms/NOR_TR_Tromso-Holt.010270_TMYx.2009-2023.zip")</f>
        <v>https://climate.onebuilding.org/WMO_Region_6_Europe/NOR_Norway/TR_Troms/NOR_TR_Tromso-Holt.010270_TMYx.2009-2023.zip</v>
      </c>
    </row>
    <row r="8035" spans="1:10" x14ac:dyDescent="0.25">
      <c r="A8035" t="s">
        <v>4974</v>
      </c>
      <c r="B8035" t="s">
        <v>155</v>
      </c>
      <c r="C8035" t="s">
        <v>5978</v>
      </c>
      <c r="D8035" s="1" t="s">
        <v>5979</v>
      </c>
      <c r="E8035" t="s">
        <v>14</v>
      </c>
      <c r="F8035">
        <v>69.652199999999993</v>
      </c>
      <c r="G8035">
        <v>18.9056</v>
      </c>
      <c r="H8035">
        <v>1</v>
      </c>
      <c r="I8035">
        <v>20</v>
      </c>
      <c r="J8035" t="str">
        <f>HYPERLINK("https://climate.onebuilding.org/WMO_Region_6_Europe/NOR_Norway/TR_Troms/NOR_TR_Tromso-Holt.010270_TMYx.zip")</f>
        <v>https://climate.onebuilding.org/WMO_Region_6_Europe/NOR_Norway/TR_Troms/NOR_TR_Tromso-Holt.010270_TMYx.zip</v>
      </c>
    </row>
    <row r="8036" spans="1:10" x14ac:dyDescent="0.25">
      <c r="A8036" t="s">
        <v>4974</v>
      </c>
      <c r="B8036" t="s">
        <v>155</v>
      </c>
      <c r="C8036" t="s">
        <v>5981</v>
      </c>
      <c r="D8036" s="1" t="s">
        <v>5982</v>
      </c>
      <c r="E8036" t="s">
        <v>14</v>
      </c>
      <c r="F8036">
        <v>69.289699999999996</v>
      </c>
      <c r="G8036">
        <v>18.128900000000002</v>
      </c>
      <c r="H8036">
        <v>1</v>
      </c>
      <c r="I8036">
        <v>982</v>
      </c>
      <c r="J8036" t="str">
        <f>HYPERLINK("https://climate.onebuilding.org/WMO_Region_6_Europe/NOR_Norway/TR_Troms/NOR_TR_Kistefjell.010300_TMYx.2007-2021.zip")</f>
        <v>https://climate.onebuilding.org/WMO_Region_6_Europe/NOR_Norway/TR_Troms/NOR_TR_Kistefjell.010300_TMYx.2007-2021.zip</v>
      </c>
    </row>
    <row r="8037" spans="1:10" x14ac:dyDescent="0.25">
      <c r="A8037" t="s">
        <v>4974</v>
      </c>
      <c r="B8037" t="s">
        <v>155</v>
      </c>
      <c r="C8037" t="s">
        <v>5981</v>
      </c>
      <c r="D8037" s="1" t="s">
        <v>5982</v>
      </c>
      <c r="E8037" t="s">
        <v>14</v>
      </c>
      <c r="F8037">
        <v>69.289699999999996</v>
      </c>
      <c r="G8037">
        <v>18.128900000000002</v>
      </c>
      <c r="H8037">
        <v>1</v>
      </c>
      <c r="I8037">
        <v>982</v>
      </c>
      <c r="J8037" t="str">
        <f>HYPERLINK("https://climate.onebuilding.org/WMO_Region_6_Europe/NOR_Norway/TR_Troms/NOR_TR_Kistefjell.010300_TMYx.2009-2023.zip")</f>
        <v>https://climate.onebuilding.org/WMO_Region_6_Europe/NOR_Norway/TR_Troms/NOR_TR_Kistefjell.010300_TMYx.2009-2023.zip</v>
      </c>
    </row>
    <row r="8038" spans="1:10" x14ac:dyDescent="0.25">
      <c r="A8038" t="s">
        <v>4974</v>
      </c>
      <c r="B8038" t="s">
        <v>155</v>
      </c>
      <c r="C8038" t="s">
        <v>5981</v>
      </c>
      <c r="D8038" s="1" t="s">
        <v>5982</v>
      </c>
      <c r="E8038" t="s">
        <v>14</v>
      </c>
      <c r="F8038">
        <v>69.289699999999996</v>
      </c>
      <c r="G8038">
        <v>18.128900000000002</v>
      </c>
      <c r="H8038">
        <v>1</v>
      </c>
      <c r="I8038">
        <v>982</v>
      </c>
      <c r="J8038" t="str">
        <f>HYPERLINK("https://climate.onebuilding.org/WMO_Region_6_Europe/NOR_Norway/TR_Troms/NOR_TR_Kistefjell.010300_TMYx.zip")</f>
        <v>https://climate.onebuilding.org/WMO_Region_6_Europe/NOR_Norway/TR_Troms/NOR_TR_Kistefjell.010300_TMYx.zip</v>
      </c>
    </row>
    <row r="8039" spans="1:10" x14ac:dyDescent="0.25">
      <c r="A8039" t="s">
        <v>4974</v>
      </c>
      <c r="B8039" t="s">
        <v>155</v>
      </c>
      <c r="C8039" t="s">
        <v>5983</v>
      </c>
      <c r="D8039" s="1" t="s">
        <v>5984</v>
      </c>
      <c r="E8039" t="s">
        <v>14</v>
      </c>
      <c r="F8039">
        <v>69.016999999999996</v>
      </c>
      <c r="G8039">
        <v>19.283000000000001</v>
      </c>
      <c r="H8039">
        <v>1</v>
      </c>
      <c r="I8039">
        <v>78</v>
      </c>
      <c r="J8039" t="str">
        <f>HYPERLINK("https://climate.onebuilding.org/WMO_Region_6_Europe/NOR_Norway/TR_Troms/NOR_TR_Overbygd.010320_TMYx.zip")</f>
        <v>https://climate.onebuilding.org/WMO_Region_6_Europe/NOR_Norway/TR_Troms/NOR_TR_Overbygd.010320_TMYx.zip</v>
      </c>
    </row>
    <row r="8040" spans="1:10" x14ac:dyDescent="0.25">
      <c r="A8040" t="s">
        <v>4974</v>
      </c>
      <c r="B8040" t="s">
        <v>155</v>
      </c>
      <c r="C8040" t="s">
        <v>5985</v>
      </c>
      <c r="D8040" s="1" t="s">
        <v>5986</v>
      </c>
      <c r="E8040" t="s">
        <v>5987</v>
      </c>
      <c r="F8040">
        <v>70.245599999999996</v>
      </c>
      <c r="G8040">
        <v>19.500299999999999</v>
      </c>
      <c r="H8040">
        <v>1</v>
      </c>
      <c r="I8040">
        <v>24.1</v>
      </c>
      <c r="J8040" t="str">
        <f>HYPERLINK("https://climate.onebuilding.org/WMO_Region_6_Europe/NOR_Norway/TR_Troms/NOR_TR_Torsvag.Lighthouse.010330_TMYx.2004-2018.zip")</f>
        <v>https://climate.onebuilding.org/WMO_Region_6_Europe/NOR_Norway/TR_Troms/NOR_TR_Torsvag.Lighthouse.010330_TMYx.2004-2018.zip</v>
      </c>
    </row>
    <row r="8041" spans="1:10" x14ac:dyDescent="0.25">
      <c r="A8041" t="s">
        <v>4974</v>
      </c>
      <c r="B8041" t="s">
        <v>155</v>
      </c>
      <c r="C8041" t="s">
        <v>5985</v>
      </c>
      <c r="D8041" s="1" t="s">
        <v>5986</v>
      </c>
      <c r="E8041" t="s">
        <v>14</v>
      </c>
      <c r="F8041">
        <v>70.245599999999996</v>
      </c>
      <c r="G8041">
        <v>19.500299999999999</v>
      </c>
      <c r="H8041">
        <v>1</v>
      </c>
      <c r="I8041">
        <v>24.1</v>
      </c>
      <c r="J8041" t="str">
        <f>HYPERLINK("https://climate.onebuilding.org/WMO_Region_6_Europe/NOR_Norway/TR_Troms/NOR_TR_Torsvag.Lighthouse.010330_TMYx.2007-2021.zip")</f>
        <v>https://climate.onebuilding.org/WMO_Region_6_Europe/NOR_Norway/TR_Troms/NOR_TR_Torsvag.Lighthouse.010330_TMYx.2007-2021.zip</v>
      </c>
    </row>
    <row r="8042" spans="1:10" x14ac:dyDescent="0.25">
      <c r="A8042" t="s">
        <v>4974</v>
      </c>
      <c r="B8042" t="s">
        <v>155</v>
      </c>
      <c r="C8042" t="s">
        <v>5985</v>
      </c>
      <c r="D8042" s="1" t="s">
        <v>5986</v>
      </c>
      <c r="E8042" t="s">
        <v>14</v>
      </c>
      <c r="F8042">
        <v>70.245599999999996</v>
      </c>
      <c r="G8042">
        <v>19.500299999999999</v>
      </c>
      <c r="H8042">
        <v>1</v>
      </c>
      <c r="I8042">
        <v>24.1</v>
      </c>
      <c r="J8042" t="str">
        <f>HYPERLINK("https://climate.onebuilding.org/WMO_Region_6_Europe/NOR_Norway/TR_Troms/NOR_TR_Torsvag.Lighthouse.010330_TMYx.2009-2023.zip")</f>
        <v>https://climate.onebuilding.org/WMO_Region_6_Europe/NOR_Norway/TR_Troms/NOR_TR_Torsvag.Lighthouse.010330_TMYx.2009-2023.zip</v>
      </c>
    </row>
    <row r="8043" spans="1:10" x14ac:dyDescent="0.25">
      <c r="A8043" t="s">
        <v>4974</v>
      </c>
      <c r="B8043" t="s">
        <v>155</v>
      </c>
      <c r="C8043" t="s">
        <v>5985</v>
      </c>
      <c r="D8043" s="1" t="s">
        <v>5986</v>
      </c>
      <c r="E8043" t="s">
        <v>14</v>
      </c>
      <c r="F8043">
        <v>70.245599999999996</v>
      </c>
      <c r="G8043">
        <v>19.500299999999999</v>
      </c>
      <c r="H8043">
        <v>1</v>
      </c>
      <c r="I8043">
        <v>24.1</v>
      </c>
      <c r="J8043" t="str">
        <f>HYPERLINK("https://climate.onebuilding.org/WMO_Region_6_Europe/NOR_Norway/TR_Troms/NOR_TR_Torsvag.Lighthouse.010330_TMYx.zip")</f>
        <v>https://climate.onebuilding.org/WMO_Region_6_Europe/NOR_Norway/TR_Troms/NOR_TR_Torsvag.Lighthouse.010330_TMYx.zip</v>
      </c>
    </row>
    <row r="8044" spans="1:10" x14ac:dyDescent="0.25">
      <c r="A8044" t="s">
        <v>4974</v>
      </c>
      <c r="B8044" t="s">
        <v>5988</v>
      </c>
      <c r="C8044" t="s">
        <v>5989</v>
      </c>
      <c r="D8044" s="1" t="s">
        <v>5990</v>
      </c>
      <c r="E8044" t="s">
        <v>14</v>
      </c>
      <c r="F8044">
        <v>70.316599999999994</v>
      </c>
      <c r="G8044">
        <v>20.154</v>
      </c>
      <c r="H8044">
        <v>1</v>
      </c>
      <c r="I8044">
        <v>10</v>
      </c>
      <c r="J8044" t="str">
        <f>HYPERLINK("https://climate.onebuilding.org/WMO_Region_6_Europe/NOR_Norway/FI_Finnmark/NOR_FI_Fugloykalven.Lighthouse.010340_TMYx.zip")</f>
        <v>https://climate.onebuilding.org/WMO_Region_6_Europe/NOR_Norway/FI_Finnmark/NOR_FI_Fugloykalven.Lighthouse.010340_TMYx.zip</v>
      </c>
    </row>
    <row r="8045" spans="1:10" x14ac:dyDescent="0.25">
      <c r="A8045" t="s">
        <v>4974</v>
      </c>
      <c r="B8045" t="s">
        <v>155</v>
      </c>
      <c r="C8045" t="s">
        <v>5991</v>
      </c>
      <c r="D8045" s="1" t="s">
        <v>5992</v>
      </c>
      <c r="E8045" t="s">
        <v>5993</v>
      </c>
      <c r="F8045">
        <v>69.558899999999994</v>
      </c>
      <c r="G8045">
        <v>20.093900000000001</v>
      </c>
      <c r="H8045">
        <v>1</v>
      </c>
      <c r="I8045">
        <v>710</v>
      </c>
      <c r="J8045" t="str">
        <f>HYPERLINK("https://climate.onebuilding.org/WMO_Region_6_Europe/NOR_Norway/TR_Troms/NOR_TR_Lyngen-Gjerdvassbu.010350_TMYx.2004-2018.zip")</f>
        <v>https://climate.onebuilding.org/WMO_Region_6_Europe/NOR_Norway/TR_Troms/NOR_TR_Lyngen-Gjerdvassbu.010350_TMYx.2004-2018.zip</v>
      </c>
    </row>
    <row r="8046" spans="1:10" x14ac:dyDescent="0.25">
      <c r="A8046" t="s">
        <v>4974</v>
      </c>
      <c r="B8046" t="s">
        <v>155</v>
      </c>
      <c r="C8046" t="s">
        <v>5991</v>
      </c>
      <c r="D8046" s="1" t="s">
        <v>5992</v>
      </c>
      <c r="E8046" t="s">
        <v>14</v>
      </c>
      <c r="F8046">
        <v>69.558899999999994</v>
      </c>
      <c r="G8046">
        <v>20.093900000000001</v>
      </c>
      <c r="H8046">
        <v>1</v>
      </c>
      <c r="I8046">
        <v>710</v>
      </c>
      <c r="J8046" t="str">
        <f>HYPERLINK("https://climate.onebuilding.org/WMO_Region_6_Europe/NOR_Norway/TR_Troms/NOR_TR_Lyngen-Gjerdvassbu.010350_TMYx.2007-2021.zip")</f>
        <v>https://climate.onebuilding.org/WMO_Region_6_Europe/NOR_Norway/TR_Troms/NOR_TR_Lyngen-Gjerdvassbu.010350_TMYx.2007-2021.zip</v>
      </c>
    </row>
    <row r="8047" spans="1:10" x14ac:dyDescent="0.25">
      <c r="A8047" t="s">
        <v>4974</v>
      </c>
      <c r="B8047" t="s">
        <v>155</v>
      </c>
      <c r="C8047" t="s">
        <v>5991</v>
      </c>
      <c r="D8047" s="1" t="s">
        <v>5992</v>
      </c>
      <c r="E8047" t="s">
        <v>14</v>
      </c>
      <c r="F8047">
        <v>69.558899999999994</v>
      </c>
      <c r="G8047">
        <v>20.093900000000001</v>
      </c>
      <c r="H8047">
        <v>1</v>
      </c>
      <c r="I8047">
        <v>710</v>
      </c>
      <c r="J8047" t="str">
        <f>HYPERLINK("https://climate.onebuilding.org/WMO_Region_6_Europe/NOR_Norway/TR_Troms/NOR_TR_Lyngen-Gjerdvassbu.010350_TMYx.2009-2023.zip")</f>
        <v>https://climate.onebuilding.org/WMO_Region_6_Europe/NOR_Norway/TR_Troms/NOR_TR_Lyngen-Gjerdvassbu.010350_TMYx.2009-2023.zip</v>
      </c>
    </row>
    <row r="8048" spans="1:10" x14ac:dyDescent="0.25">
      <c r="A8048" t="s">
        <v>4974</v>
      </c>
      <c r="B8048" t="s">
        <v>155</v>
      </c>
      <c r="C8048" t="s">
        <v>5991</v>
      </c>
      <c r="D8048" s="1" t="s">
        <v>5992</v>
      </c>
      <c r="E8048" t="s">
        <v>14</v>
      </c>
      <c r="F8048">
        <v>69.558899999999994</v>
      </c>
      <c r="G8048">
        <v>20.093900000000001</v>
      </c>
      <c r="H8048">
        <v>1</v>
      </c>
      <c r="I8048">
        <v>710</v>
      </c>
      <c r="J8048" t="str">
        <f>HYPERLINK("https://climate.onebuilding.org/WMO_Region_6_Europe/NOR_Norway/TR_Troms/NOR_TR_Lyngen-Gjerdvassbu.010350_TMYx.zip")</f>
        <v>https://climate.onebuilding.org/WMO_Region_6_Europe/NOR_Norway/TR_Troms/NOR_TR_Lyngen-Gjerdvassbu.010350_TMYx.zip</v>
      </c>
    </row>
    <row r="8049" spans="1:10" x14ac:dyDescent="0.25">
      <c r="A8049" t="s">
        <v>4974</v>
      </c>
      <c r="B8049" t="s">
        <v>155</v>
      </c>
      <c r="C8049" t="s">
        <v>5994</v>
      </c>
      <c r="D8049" s="1" t="s">
        <v>5995</v>
      </c>
      <c r="E8049" t="s">
        <v>14</v>
      </c>
      <c r="F8049">
        <v>69.573899999999995</v>
      </c>
      <c r="G8049">
        <v>20.4253</v>
      </c>
      <c r="H8049">
        <v>1</v>
      </c>
      <c r="I8049">
        <v>710</v>
      </c>
      <c r="J8049" t="str">
        <f>HYPERLINK("https://climate.onebuilding.org/WMO_Region_6_Europe/NOR_Norway/TR_Troms/NOR_TR_Nordnesfjellet.010360_TMYx.2007-2021.zip")</f>
        <v>https://climate.onebuilding.org/WMO_Region_6_Europe/NOR_Norway/TR_Troms/NOR_TR_Nordnesfjellet.010360_TMYx.2007-2021.zip</v>
      </c>
    </row>
    <row r="8050" spans="1:10" x14ac:dyDescent="0.25">
      <c r="A8050" t="s">
        <v>4974</v>
      </c>
      <c r="B8050" t="s">
        <v>155</v>
      </c>
      <c r="C8050" t="s">
        <v>5994</v>
      </c>
      <c r="D8050" s="1" t="s">
        <v>5995</v>
      </c>
      <c r="E8050" t="s">
        <v>14</v>
      </c>
      <c r="F8050">
        <v>69.573899999999995</v>
      </c>
      <c r="G8050">
        <v>20.4253</v>
      </c>
      <c r="H8050">
        <v>1</v>
      </c>
      <c r="I8050">
        <v>710</v>
      </c>
      <c r="J8050" t="str">
        <f>HYPERLINK("https://climate.onebuilding.org/WMO_Region_6_Europe/NOR_Norway/TR_Troms/NOR_TR_Nordnesfjellet.010360_TMYx.2009-2023.zip")</f>
        <v>https://climate.onebuilding.org/WMO_Region_6_Europe/NOR_Norway/TR_Troms/NOR_TR_Nordnesfjellet.010360_TMYx.2009-2023.zip</v>
      </c>
    </row>
    <row r="8051" spans="1:10" x14ac:dyDescent="0.25">
      <c r="A8051" t="s">
        <v>4974</v>
      </c>
      <c r="B8051" t="s">
        <v>155</v>
      </c>
      <c r="C8051" t="s">
        <v>5994</v>
      </c>
      <c r="D8051" s="1" t="s">
        <v>5995</v>
      </c>
      <c r="E8051" t="s">
        <v>14</v>
      </c>
      <c r="F8051">
        <v>69.573899999999995</v>
      </c>
      <c r="G8051">
        <v>20.4253</v>
      </c>
      <c r="H8051">
        <v>1</v>
      </c>
      <c r="I8051">
        <v>710</v>
      </c>
      <c r="J8051" t="str">
        <f>HYPERLINK("https://climate.onebuilding.org/WMO_Region_6_Europe/NOR_Norway/TR_Troms/NOR_TR_Nordnesfjellet.010360_TMYx.zip")</f>
        <v>https://climate.onebuilding.org/WMO_Region_6_Europe/NOR_Norway/TR_Troms/NOR_TR_Nordnesfjellet.010360_TMYx.zip</v>
      </c>
    </row>
    <row r="8052" spans="1:10" x14ac:dyDescent="0.25">
      <c r="A8052" t="s">
        <v>4974</v>
      </c>
      <c r="B8052" t="s">
        <v>155</v>
      </c>
      <c r="C8052" t="s">
        <v>5996</v>
      </c>
      <c r="D8052" s="1" t="s">
        <v>5997</v>
      </c>
      <c r="E8052" t="s">
        <v>5998</v>
      </c>
      <c r="F8052">
        <v>69.387500000000003</v>
      </c>
      <c r="G8052">
        <v>20.2822</v>
      </c>
      <c r="H8052">
        <v>1</v>
      </c>
      <c r="I8052">
        <v>20</v>
      </c>
      <c r="J8052" t="str">
        <f>HYPERLINK("https://climate.onebuilding.org/WMO_Region_6_Europe/NOR_Norway/TR_Troms/NOR_TR_Skibotn.010370_TMYx.2004-2018.zip")</f>
        <v>https://climate.onebuilding.org/WMO_Region_6_Europe/NOR_Norway/TR_Troms/NOR_TR_Skibotn.010370_TMYx.2004-2018.zip</v>
      </c>
    </row>
    <row r="8053" spans="1:10" x14ac:dyDescent="0.25">
      <c r="A8053" t="s">
        <v>4974</v>
      </c>
      <c r="B8053" t="s">
        <v>155</v>
      </c>
      <c r="C8053" t="s">
        <v>5996</v>
      </c>
      <c r="D8053" s="1" t="s">
        <v>5997</v>
      </c>
      <c r="E8053" t="s">
        <v>14</v>
      </c>
      <c r="F8053">
        <v>69.387500000000003</v>
      </c>
      <c r="G8053">
        <v>20.2822</v>
      </c>
      <c r="H8053">
        <v>1</v>
      </c>
      <c r="I8053">
        <v>20</v>
      </c>
      <c r="J8053" t="str">
        <f>HYPERLINK("https://climate.onebuilding.org/WMO_Region_6_Europe/NOR_Norway/TR_Troms/NOR_TR_Skibotn.010370_TMYx.2007-2021.zip")</f>
        <v>https://climate.onebuilding.org/WMO_Region_6_Europe/NOR_Norway/TR_Troms/NOR_TR_Skibotn.010370_TMYx.2007-2021.zip</v>
      </c>
    </row>
    <row r="8054" spans="1:10" x14ac:dyDescent="0.25">
      <c r="A8054" t="s">
        <v>4974</v>
      </c>
      <c r="B8054" t="s">
        <v>155</v>
      </c>
      <c r="C8054" t="s">
        <v>5996</v>
      </c>
      <c r="D8054" s="1" t="s">
        <v>5997</v>
      </c>
      <c r="E8054" t="s">
        <v>14</v>
      </c>
      <c r="F8054">
        <v>69.387500000000003</v>
      </c>
      <c r="G8054">
        <v>20.2822</v>
      </c>
      <c r="H8054">
        <v>1</v>
      </c>
      <c r="I8054">
        <v>20</v>
      </c>
      <c r="J8054" t="str">
        <f>HYPERLINK("https://climate.onebuilding.org/WMO_Region_6_Europe/NOR_Norway/TR_Troms/NOR_TR_Skibotn.010370_TMYx.2009-2023.zip")</f>
        <v>https://climate.onebuilding.org/WMO_Region_6_Europe/NOR_Norway/TR_Troms/NOR_TR_Skibotn.010370_TMYx.2009-2023.zip</v>
      </c>
    </row>
    <row r="8055" spans="1:10" x14ac:dyDescent="0.25">
      <c r="A8055" t="s">
        <v>4974</v>
      </c>
      <c r="B8055" t="s">
        <v>155</v>
      </c>
      <c r="C8055" t="s">
        <v>5996</v>
      </c>
      <c r="D8055" s="1" t="s">
        <v>5997</v>
      </c>
      <c r="E8055" t="s">
        <v>14</v>
      </c>
      <c r="F8055">
        <v>69.387500000000003</v>
      </c>
      <c r="G8055">
        <v>20.2822</v>
      </c>
      <c r="H8055">
        <v>1</v>
      </c>
      <c r="I8055">
        <v>20</v>
      </c>
      <c r="J8055" t="str">
        <f>HYPERLINK("https://climate.onebuilding.org/WMO_Region_6_Europe/NOR_Norway/TR_Troms/NOR_TR_Skibotn.010370_TMYx.zip")</f>
        <v>https://climate.onebuilding.org/WMO_Region_6_Europe/NOR_Norway/TR_Troms/NOR_TR_Skibotn.010370_TMYx.zip</v>
      </c>
    </row>
    <row r="8056" spans="1:10" x14ac:dyDescent="0.25">
      <c r="A8056" t="s">
        <v>4974</v>
      </c>
      <c r="B8056" t="s">
        <v>155</v>
      </c>
      <c r="C8056" t="s">
        <v>5999</v>
      </c>
      <c r="D8056" s="1" t="s">
        <v>6000</v>
      </c>
      <c r="E8056" t="s">
        <v>14</v>
      </c>
      <c r="F8056">
        <v>69.768299999999996</v>
      </c>
      <c r="G8056">
        <v>21.0259</v>
      </c>
      <c r="H8056">
        <v>1</v>
      </c>
      <c r="I8056">
        <v>5</v>
      </c>
      <c r="J8056" t="str">
        <f>HYPERLINK("https://climate.onebuilding.org/WMO_Region_6_Europe/NOR_Norway/TR_Troms/NOR_TR_Nordreisa-Oyeng.010410_TMYx.zip")</f>
        <v>https://climate.onebuilding.org/WMO_Region_6_Europe/NOR_Norway/TR_Troms/NOR_TR_Nordreisa-Oyeng.010410_TMYx.zip</v>
      </c>
    </row>
    <row r="8057" spans="1:10" x14ac:dyDescent="0.25">
      <c r="A8057" t="s">
        <v>4974</v>
      </c>
      <c r="B8057" t="s">
        <v>5988</v>
      </c>
      <c r="C8057" t="s">
        <v>6001</v>
      </c>
      <c r="D8057" s="1" t="s">
        <v>6002</v>
      </c>
      <c r="E8057" t="s">
        <v>6003</v>
      </c>
      <c r="F8057">
        <v>70.606899999999996</v>
      </c>
      <c r="G8057">
        <v>22.442799999999998</v>
      </c>
      <c r="H8057">
        <v>1</v>
      </c>
      <c r="I8057">
        <v>438</v>
      </c>
      <c r="J8057" t="str">
        <f>HYPERLINK("https://climate.onebuilding.org/WMO_Region_6_Europe/NOR_Norway/FI_Finnmark/NOR_FI_Hasvik-Sluskfjellet.010420_TMYx.2004-2018.zip")</f>
        <v>https://climate.onebuilding.org/WMO_Region_6_Europe/NOR_Norway/FI_Finnmark/NOR_FI_Hasvik-Sluskfjellet.010420_TMYx.2004-2018.zip</v>
      </c>
    </row>
    <row r="8058" spans="1:10" x14ac:dyDescent="0.25">
      <c r="A8058" t="s">
        <v>4974</v>
      </c>
      <c r="B8058" t="s">
        <v>5988</v>
      </c>
      <c r="C8058" t="s">
        <v>6001</v>
      </c>
      <c r="D8058" s="1" t="s">
        <v>6002</v>
      </c>
      <c r="E8058" t="s">
        <v>14</v>
      </c>
      <c r="F8058">
        <v>70.606899999999996</v>
      </c>
      <c r="G8058">
        <v>22.442799999999998</v>
      </c>
      <c r="H8058">
        <v>1</v>
      </c>
      <c r="I8058">
        <v>438</v>
      </c>
      <c r="J8058" t="str">
        <f>HYPERLINK("https://climate.onebuilding.org/WMO_Region_6_Europe/NOR_Norway/FI_Finnmark/NOR_FI_Hasvik-Sluskfjellet.010420_TMYx.2007-2021.zip")</f>
        <v>https://climate.onebuilding.org/WMO_Region_6_Europe/NOR_Norway/FI_Finnmark/NOR_FI_Hasvik-Sluskfjellet.010420_TMYx.2007-2021.zip</v>
      </c>
    </row>
    <row r="8059" spans="1:10" x14ac:dyDescent="0.25">
      <c r="A8059" t="s">
        <v>4974</v>
      </c>
      <c r="B8059" t="s">
        <v>5988</v>
      </c>
      <c r="C8059" t="s">
        <v>6001</v>
      </c>
      <c r="D8059" s="1" t="s">
        <v>6002</v>
      </c>
      <c r="E8059" t="s">
        <v>14</v>
      </c>
      <c r="F8059">
        <v>70.606899999999996</v>
      </c>
      <c r="G8059">
        <v>22.442799999999998</v>
      </c>
      <c r="H8059">
        <v>1</v>
      </c>
      <c r="I8059">
        <v>438</v>
      </c>
      <c r="J8059" t="str">
        <f>HYPERLINK("https://climate.onebuilding.org/WMO_Region_6_Europe/NOR_Norway/FI_Finnmark/NOR_FI_Hasvik-Sluskfjellet.010420_TMYx.2009-2023.zip")</f>
        <v>https://climate.onebuilding.org/WMO_Region_6_Europe/NOR_Norway/FI_Finnmark/NOR_FI_Hasvik-Sluskfjellet.010420_TMYx.2009-2023.zip</v>
      </c>
    </row>
    <row r="8060" spans="1:10" x14ac:dyDescent="0.25">
      <c r="A8060" t="s">
        <v>4974</v>
      </c>
      <c r="B8060" t="s">
        <v>5988</v>
      </c>
      <c r="C8060" t="s">
        <v>6001</v>
      </c>
      <c r="D8060" s="1" t="s">
        <v>6002</v>
      </c>
      <c r="E8060" t="s">
        <v>14</v>
      </c>
      <c r="F8060">
        <v>70.606899999999996</v>
      </c>
      <c r="G8060">
        <v>22.442799999999998</v>
      </c>
      <c r="H8060">
        <v>1</v>
      </c>
      <c r="I8060">
        <v>438</v>
      </c>
      <c r="J8060" t="str">
        <f>HYPERLINK("https://climate.onebuilding.org/WMO_Region_6_Europe/NOR_Norway/FI_Finnmark/NOR_FI_Hasvik-Sluskfjellet.010420_TMYx.zip")</f>
        <v>https://climate.onebuilding.org/WMO_Region_6_Europe/NOR_Norway/FI_Finnmark/NOR_FI_Hasvik-Sluskfjellet.010420_TMYx.zip</v>
      </c>
    </row>
    <row r="8061" spans="1:10" x14ac:dyDescent="0.25">
      <c r="A8061" t="s">
        <v>4974</v>
      </c>
      <c r="B8061" t="s">
        <v>5988</v>
      </c>
      <c r="C8061" t="s">
        <v>6004</v>
      </c>
      <c r="D8061" s="1" t="s">
        <v>6005</v>
      </c>
      <c r="E8061" t="s">
        <v>6006</v>
      </c>
      <c r="F8061">
        <v>70.410300000000007</v>
      </c>
      <c r="G8061">
        <v>22.819400000000002</v>
      </c>
      <c r="H8061">
        <v>2</v>
      </c>
      <c r="I8061">
        <v>10</v>
      </c>
      <c r="J8061" t="str">
        <f>HYPERLINK("https://climate.onebuilding.org/WMO_Region_6_Europe/NOR_Norway/FI_Finnmark/NOR_FI_Rognsundet.010430_TMYx.2004-2018.zip")</f>
        <v>https://climate.onebuilding.org/WMO_Region_6_Europe/NOR_Norway/FI_Finnmark/NOR_FI_Rognsundet.010430_TMYx.2004-2018.zip</v>
      </c>
    </row>
    <row r="8062" spans="1:10" x14ac:dyDescent="0.25">
      <c r="A8062" t="s">
        <v>4974</v>
      </c>
      <c r="B8062" t="s">
        <v>5988</v>
      </c>
      <c r="C8062" t="s">
        <v>6004</v>
      </c>
      <c r="D8062" s="1" t="s">
        <v>6005</v>
      </c>
      <c r="E8062" t="s">
        <v>14</v>
      </c>
      <c r="F8062">
        <v>70.410300000000007</v>
      </c>
      <c r="G8062">
        <v>22.819400000000002</v>
      </c>
      <c r="H8062">
        <v>2</v>
      </c>
      <c r="I8062">
        <v>10</v>
      </c>
      <c r="J8062" t="str">
        <f>HYPERLINK("https://climate.onebuilding.org/WMO_Region_6_Europe/NOR_Norway/FI_Finnmark/NOR_FI_Rognsundet.010430_TMYx.2007-2021.zip")</f>
        <v>https://climate.onebuilding.org/WMO_Region_6_Europe/NOR_Norway/FI_Finnmark/NOR_FI_Rognsundet.010430_TMYx.2007-2021.zip</v>
      </c>
    </row>
    <row r="8063" spans="1:10" x14ac:dyDescent="0.25">
      <c r="A8063" t="s">
        <v>4974</v>
      </c>
      <c r="B8063" t="s">
        <v>5988</v>
      </c>
      <c r="C8063" t="s">
        <v>6004</v>
      </c>
      <c r="D8063" s="1" t="s">
        <v>6005</v>
      </c>
      <c r="E8063" t="s">
        <v>14</v>
      </c>
      <c r="F8063">
        <v>70.410300000000007</v>
      </c>
      <c r="G8063">
        <v>22.819400000000002</v>
      </c>
      <c r="H8063">
        <v>2</v>
      </c>
      <c r="I8063">
        <v>10</v>
      </c>
      <c r="J8063" t="str">
        <f>HYPERLINK("https://climate.onebuilding.org/WMO_Region_6_Europe/NOR_Norway/FI_Finnmark/NOR_FI_Rognsundet.010430_TMYx.2009-2023.zip")</f>
        <v>https://climate.onebuilding.org/WMO_Region_6_Europe/NOR_Norway/FI_Finnmark/NOR_FI_Rognsundet.010430_TMYx.2009-2023.zip</v>
      </c>
    </row>
    <row r="8064" spans="1:10" x14ac:dyDescent="0.25">
      <c r="A8064" t="s">
        <v>4974</v>
      </c>
      <c r="B8064" t="s">
        <v>5988</v>
      </c>
      <c r="C8064" t="s">
        <v>6004</v>
      </c>
      <c r="D8064" s="1" t="s">
        <v>6005</v>
      </c>
      <c r="E8064" t="s">
        <v>14</v>
      </c>
      <c r="F8064">
        <v>70.410300000000007</v>
      </c>
      <c r="G8064">
        <v>22.819400000000002</v>
      </c>
      <c r="H8064">
        <v>2</v>
      </c>
      <c r="I8064">
        <v>10</v>
      </c>
      <c r="J8064" t="str">
        <f>HYPERLINK("https://climate.onebuilding.org/WMO_Region_6_Europe/NOR_Norway/FI_Finnmark/NOR_FI_Rognsundet.010430_TMYx.zip")</f>
        <v>https://climate.onebuilding.org/WMO_Region_6_Europe/NOR_Norway/FI_Finnmark/NOR_FI_Rognsundet.010430_TMYx.zip</v>
      </c>
    </row>
    <row r="8065" spans="1:10" x14ac:dyDescent="0.25">
      <c r="A8065" t="s">
        <v>4974</v>
      </c>
      <c r="B8065" t="s">
        <v>5988</v>
      </c>
      <c r="C8065" t="s">
        <v>6007</v>
      </c>
      <c r="D8065" s="1" t="s">
        <v>6008</v>
      </c>
      <c r="E8065" t="s">
        <v>6009</v>
      </c>
      <c r="F8065">
        <v>70.486099999999993</v>
      </c>
      <c r="G8065">
        <v>22.146100000000001</v>
      </c>
      <c r="H8065">
        <v>1</v>
      </c>
      <c r="I8065">
        <v>6.4</v>
      </c>
      <c r="J8065" t="str">
        <f>HYPERLINK("https://climate.onebuilding.org/WMO_Region_6_Europe/NOR_Norway/FI_Finnmark/NOR_FI_Hasvik.AP.010440_TMYx.2004-2018.zip")</f>
        <v>https://climate.onebuilding.org/WMO_Region_6_Europe/NOR_Norway/FI_Finnmark/NOR_FI_Hasvik.AP.010440_TMYx.2004-2018.zip</v>
      </c>
    </row>
    <row r="8066" spans="1:10" x14ac:dyDescent="0.25">
      <c r="A8066" t="s">
        <v>4974</v>
      </c>
      <c r="B8066" t="s">
        <v>5988</v>
      </c>
      <c r="C8066" t="s">
        <v>6007</v>
      </c>
      <c r="D8066" s="1" t="s">
        <v>6008</v>
      </c>
      <c r="E8066" t="s">
        <v>14</v>
      </c>
      <c r="F8066">
        <v>70.486099999999993</v>
      </c>
      <c r="G8066">
        <v>22.146100000000001</v>
      </c>
      <c r="H8066">
        <v>1</v>
      </c>
      <c r="I8066">
        <v>6.4</v>
      </c>
      <c r="J8066" t="str">
        <f>HYPERLINK("https://climate.onebuilding.org/WMO_Region_6_Europe/NOR_Norway/FI_Finnmark/NOR_FI_Hasvik.AP.010440_TMYx.2007-2021.zip")</f>
        <v>https://climate.onebuilding.org/WMO_Region_6_Europe/NOR_Norway/FI_Finnmark/NOR_FI_Hasvik.AP.010440_TMYx.2007-2021.zip</v>
      </c>
    </row>
    <row r="8067" spans="1:10" x14ac:dyDescent="0.25">
      <c r="A8067" t="s">
        <v>4974</v>
      </c>
      <c r="B8067" t="s">
        <v>5988</v>
      </c>
      <c r="C8067" t="s">
        <v>6007</v>
      </c>
      <c r="D8067" s="1" t="s">
        <v>6008</v>
      </c>
      <c r="E8067" t="s">
        <v>14</v>
      </c>
      <c r="F8067">
        <v>70.486099999999993</v>
      </c>
      <c r="G8067">
        <v>22.146100000000001</v>
      </c>
      <c r="H8067">
        <v>1</v>
      </c>
      <c r="I8067">
        <v>6.4</v>
      </c>
      <c r="J8067" t="str">
        <f>HYPERLINK("https://climate.onebuilding.org/WMO_Region_6_Europe/NOR_Norway/FI_Finnmark/NOR_FI_Hasvik.AP.010440_TMYx.2009-2023.zip")</f>
        <v>https://climate.onebuilding.org/WMO_Region_6_Europe/NOR_Norway/FI_Finnmark/NOR_FI_Hasvik.AP.010440_TMYx.2009-2023.zip</v>
      </c>
    </row>
    <row r="8068" spans="1:10" x14ac:dyDescent="0.25">
      <c r="A8068" t="s">
        <v>4974</v>
      </c>
      <c r="B8068" t="s">
        <v>5988</v>
      </c>
      <c r="C8068" t="s">
        <v>6007</v>
      </c>
      <c r="D8068" s="1" t="s">
        <v>6008</v>
      </c>
      <c r="E8068" t="s">
        <v>14</v>
      </c>
      <c r="F8068">
        <v>70.486099999999993</v>
      </c>
      <c r="G8068">
        <v>22.146100000000001</v>
      </c>
      <c r="H8068">
        <v>1</v>
      </c>
      <c r="I8068">
        <v>6.4</v>
      </c>
      <c r="J8068" t="str">
        <f>HYPERLINK("https://climate.onebuilding.org/WMO_Region_6_Europe/NOR_Norway/FI_Finnmark/NOR_FI_Hasvik.AP.010440_TMYx.zip")</f>
        <v>https://climate.onebuilding.org/WMO_Region_6_Europe/NOR_Norway/FI_Finnmark/NOR_FI_Hasvik.AP.010440_TMYx.zip</v>
      </c>
    </row>
    <row r="8069" spans="1:10" x14ac:dyDescent="0.25">
      <c r="A8069" t="s">
        <v>4974</v>
      </c>
      <c r="B8069" t="s">
        <v>155</v>
      </c>
      <c r="C8069" t="s">
        <v>6010</v>
      </c>
      <c r="D8069" s="1" t="s">
        <v>6011</v>
      </c>
      <c r="E8069" t="s">
        <v>6012</v>
      </c>
      <c r="F8069">
        <v>69.834699999999998</v>
      </c>
      <c r="G8069">
        <v>21.892499999999998</v>
      </c>
      <c r="H8069">
        <v>1</v>
      </c>
      <c r="I8069">
        <v>6</v>
      </c>
      <c r="J8069" t="str">
        <f>HYPERLINK("https://climate.onebuilding.org/WMO_Region_6_Europe/NOR_Norway/TR_Troms/NOR_TR_Nordstraum-Kvaenangen.010450_TMYx.2004-2018.zip")</f>
        <v>https://climate.onebuilding.org/WMO_Region_6_Europe/NOR_Norway/TR_Troms/NOR_TR_Nordstraum-Kvaenangen.010450_TMYx.2004-2018.zip</v>
      </c>
    </row>
    <row r="8070" spans="1:10" x14ac:dyDescent="0.25">
      <c r="A8070" t="s">
        <v>4974</v>
      </c>
      <c r="B8070" t="s">
        <v>155</v>
      </c>
      <c r="C8070" t="s">
        <v>6010</v>
      </c>
      <c r="D8070" s="1" t="s">
        <v>6011</v>
      </c>
      <c r="E8070" t="s">
        <v>14</v>
      </c>
      <c r="F8070">
        <v>69.834699999999998</v>
      </c>
      <c r="G8070">
        <v>21.892499999999998</v>
      </c>
      <c r="H8070">
        <v>1</v>
      </c>
      <c r="I8070">
        <v>6</v>
      </c>
      <c r="J8070" t="str">
        <f>HYPERLINK("https://climate.onebuilding.org/WMO_Region_6_Europe/NOR_Norway/TR_Troms/NOR_TR_Nordstraum-Kvaenangen.010450_TMYx.2007-2021.zip")</f>
        <v>https://climate.onebuilding.org/WMO_Region_6_Europe/NOR_Norway/TR_Troms/NOR_TR_Nordstraum-Kvaenangen.010450_TMYx.2007-2021.zip</v>
      </c>
    </row>
    <row r="8071" spans="1:10" x14ac:dyDescent="0.25">
      <c r="A8071" t="s">
        <v>4974</v>
      </c>
      <c r="B8071" t="s">
        <v>155</v>
      </c>
      <c r="C8071" t="s">
        <v>6010</v>
      </c>
      <c r="D8071" s="1" t="s">
        <v>6011</v>
      </c>
      <c r="E8071" t="s">
        <v>14</v>
      </c>
      <c r="F8071">
        <v>69.834699999999998</v>
      </c>
      <c r="G8071">
        <v>21.892499999999998</v>
      </c>
      <c r="H8071">
        <v>1</v>
      </c>
      <c r="I8071">
        <v>6</v>
      </c>
      <c r="J8071" t="str">
        <f>HYPERLINK("https://climate.onebuilding.org/WMO_Region_6_Europe/NOR_Norway/TR_Troms/NOR_TR_Nordstraum-Kvaenangen.010450_TMYx.2009-2023.zip")</f>
        <v>https://climate.onebuilding.org/WMO_Region_6_Europe/NOR_Norway/TR_Troms/NOR_TR_Nordstraum-Kvaenangen.010450_TMYx.2009-2023.zip</v>
      </c>
    </row>
    <row r="8072" spans="1:10" x14ac:dyDescent="0.25">
      <c r="A8072" t="s">
        <v>4974</v>
      </c>
      <c r="B8072" t="s">
        <v>155</v>
      </c>
      <c r="C8072" t="s">
        <v>6010</v>
      </c>
      <c r="D8072" s="1" t="s">
        <v>6011</v>
      </c>
      <c r="E8072" t="s">
        <v>14</v>
      </c>
      <c r="F8072">
        <v>69.834699999999998</v>
      </c>
      <c r="G8072">
        <v>21.892499999999998</v>
      </c>
      <c r="H8072">
        <v>1</v>
      </c>
      <c r="I8072">
        <v>6</v>
      </c>
      <c r="J8072" t="str">
        <f>HYPERLINK("https://climate.onebuilding.org/WMO_Region_6_Europe/NOR_Norway/TR_Troms/NOR_TR_Nordstraum-Kvaenangen.010450_TMYx.zip")</f>
        <v>https://climate.onebuilding.org/WMO_Region_6_Europe/NOR_Norway/TR_Troms/NOR_TR_Nordstraum-Kvaenangen.010450_TMYx.zip</v>
      </c>
    </row>
    <row r="8073" spans="1:10" x14ac:dyDescent="0.25">
      <c r="A8073" t="s">
        <v>4974</v>
      </c>
      <c r="B8073" t="s">
        <v>155</v>
      </c>
      <c r="C8073" t="s">
        <v>6013</v>
      </c>
      <c r="D8073" s="1" t="s">
        <v>6014</v>
      </c>
      <c r="E8073" t="s">
        <v>6015</v>
      </c>
      <c r="F8073">
        <v>69.788600000000002</v>
      </c>
      <c r="G8073">
        <v>20.955300000000001</v>
      </c>
      <c r="H8073">
        <v>1</v>
      </c>
      <c r="I8073">
        <v>4.9000000000000004</v>
      </c>
      <c r="J8073" t="str">
        <f>HYPERLINK("https://climate.onebuilding.org/WMO_Region_6_Europe/NOR_Norway/TR_Troms/NOR_TR_Sorkjosen.AP.010460_TMYx.2004-2018.zip")</f>
        <v>https://climate.onebuilding.org/WMO_Region_6_Europe/NOR_Norway/TR_Troms/NOR_TR_Sorkjosen.AP.010460_TMYx.2004-2018.zip</v>
      </c>
    </row>
    <row r="8074" spans="1:10" x14ac:dyDescent="0.25">
      <c r="A8074" t="s">
        <v>4974</v>
      </c>
      <c r="B8074" t="s">
        <v>155</v>
      </c>
      <c r="C8074" t="s">
        <v>6013</v>
      </c>
      <c r="D8074" s="1" t="s">
        <v>6014</v>
      </c>
      <c r="E8074" t="s">
        <v>14</v>
      </c>
      <c r="F8074">
        <v>69.788600000000002</v>
      </c>
      <c r="G8074">
        <v>20.955300000000001</v>
      </c>
      <c r="H8074">
        <v>1</v>
      </c>
      <c r="I8074">
        <v>4.9000000000000004</v>
      </c>
      <c r="J8074" t="str">
        <f>HYPERLINK("https://climate.onebuilding.org/WMO_Region_6_Europe/NOR_Norway/TR_Troms/NOR_TR_Sorkjosen.AP.010460_TMYx.2007-2021.zip")</f>
        <v>https://climate.onebuilding.org/WMO_Region_6_Europe/NOR_Norway/TR_Troms/NOR_TR_Sorkjosen.AP.010460_TMYx.2007-2021.zip</v>
      </c>
    </row>
    <row r="8075" spans="1:10" x14ac:dyDescent="0.25">
      <c r="A8075" t="s">
        <v>4974</v>
      </c>
      <c r="B8075" t="s">
        <v>155</v>
      </c>
      <c r="C8075" t="s">
        <v>6013</v>
      </c>
      <c r="D8075" s="1" t="s">
        <v>6014</v>
      </c>
      <c r="E8075" t="s">
        <v>14</v>
      </c>
      <c r="F8075">
        <v>69.788600000000002</v>
      </c>
      <c r="G8075">
        <v>20.955300000000001</v>
      </c>
      <c r="H8075">
        <v>1</v>
      </c>
      <c r="I8075">
        <v>4.9000000000000004</v>
      </c>
      <c r="J8075" t="str">
        <f>HYPERLINK("https://climate.onebuilding.org/WMO_Region_6_Europe/NOR_Norway/TR_Troms/NOR_TR_Sorkjosen.AP.010460_TMYx.2009-2023.zip")</f>
        <v>https://climate.onebuilding.org/WMO_Region_6_Europe/NOR_Norway/TR_Troms/NOR_TR_Sorkjosen.AP.010460_TMYx.2009-2023.zip</v>
      </c>
    </row>
    <row r="8076" spans="1:10" x14ac:dyDescent="0.25">
      <c r="A8076" t="s">
        <v>4974</v>
      </c>
      <c r="B8076" t="s">
        <v>155</v>
      </c>
      <c r="C8076" t="s">
        <v>6013</v>
      </c>
      <c r="D8076" s="1" t="s">
        <v>6014</v>
      </c>
      <c r="E8076" t="s">
        <v>14</v>
      </c>
      <c r="F8076">
        <v>69.788600000000002</v>
      </c>
      <c r="G8076">
        <v>20.955300000000001</v>
      </c>
      <c r="H8076">
        <v>1</v>
      </c>
      <c r="I8076">
        <v>4.9000000000000004</v>
      </c>
      <c r="J8076" t="str">
        <f>HYPERLINK("https://climate.onebuilding.org/WMO_Region_6_Europe/NOR_Norway/TR_Troms/NOR_TR_Sorkjosen.AP.010460_TMYx.zip")</f>
        <v>https://climate.onebuilding.org/WMO_Region_6_Europe/NOR_Norway/TR_Troms/NOR_TR_Sorkjosen.AP.010460_TMYx.zip</v>
      </c>
    </row>
    <row r="8077" spans="1:10" x14ac:dyDescent="0.25">
      <c r="A8077" t="s">
        <v>4974</v>
      </c>
      <c r="B8077" t="s">
        <v>5988</v>
      </c>
      <c r="C8077" t="s">
        <v>6016</v>
      </c>
      <c r="D8077" s="1" t="s">
        <v>6017</v>
      </c>
      <c r="E8077" t="s">
        <v>6018</v>
      </c>
      <c r="F8077">
        <v>68.996700000000004</v>
      </c>
      <c r="G8077">
        <v>23.033300000000001</v>
      </c>
      <c r="H8077">
        <v>2</v>
      </c>
      <c r="I8077">
        <v>307</v>
      </c>
      <c r="J8077" t="str">
        <f>HYPERLINK("https://climate.onebuilding.org/WMO_Region_6_Europe/NOR_Norway/FI_Finnmark/NOR_FI_Kautokeino.010470_TMYx.2004-2018.zip")</f>
        <v>https://climate.onebuilding.org/WMO_Region_6_Europe/NOR_Norway/FI_Finnmark/NOR_FI_Kautokeino.010470_TMYx.2004-2018.zip</v>
      </c>
    </row>
    <row r="8078" spans="1:10" x14ac:dyDescent="0.25">
      <c r="A8078" t="s">
        <v>4974</v>
      </c>
      <c r="B8078" t="s">
        <v>5988</v>
      </c>
      <c r="C8078" t="s">
        <v>6016</v>
      </c>
      <c r="D8078" s="1" t="s">
        <v>6017</v>
      </c>
      <c r="E8078" t="s">
        <v>14</v>
      </c>
      <c r="F8078">
        <v>68.996700000000004</v>
      </c>
      <c r="G8078">
        <v>23.033300000000001</v>
      </c>
      <c r="H8078">
        <v>2</v>
      </c>
      <c r="I8078">
        <v>307</v>
      </c>
      <c r="J8078" t="str">
        <f>HYPERLINK("https://climate.onebuilding.org/WMO_Region_6_Europe/NOR_Norway/FI_Finnmark/NOR_FI_Kautokeino.010470_TMYx.2007-2021.zip")</f>
        <v>https://climate.onebuilding.org/WMO_Region_6_Europe/NOR_Norway/FI_Finnmark/NOR_FI_Kautokeino.010470_TMYx.2007-2021.zip</v>
      </c>
    </row>
    <row r="8079" spans="1:10" x14ac:dyDescent="0.25">
      <c r="A8079" t="s">
        <v>4974</v>
      </c>
      <c r="B8079" t="s">
        <v>5988</v>
      </c>
      <c r="C8079" t="s">
        <v>6016</v>
      </c>
      <c r="D8079" s="1" t="s">
        <v>6017</v>
      </c>
      <c r="E8079" t="s">
        <v>14</v>
      </c>
      <c r="F8079">
        <v>68.996700000000004</v>
      </c>
      <c r="G8079">
        <v>23.033300000000001</v>
      </c>
      <c r="H8079">
        <v>2</v>
      </c>
      <c r="I8079">
        <v>307</v>
      </c>
      <c r="J8079" t="str">
        <f>HYPERLINK("https://climate.onebuilding.org/WMO_Region_6_Europe/NOR_Norway/FI_Finnmark/NOR_FI_Kautokeino.010470_TMYx.2009-2023.zip")</f>
        <v>https://climate.onebuilding.org/WMO_Region_6_Europe/NOR_Norway/FI_Finnmark/NOR_FI_Kautokeino.010470_TMYx.2009-2023.zip</v>
      </c>
    </row>
    <row r="8080" spans="1:10" x14ac:dyDescent="0.25">
      <c r="A8080" t="s">
        <v>4974</v>
      </c>
      <c r="B8080" t="s">
        <v>5988</v>
      </c>
      <c r="C8080" t="s">
        <v>6016</v>
      </c>
      <c r="D8080" s="1" t="s">
        <v>6017</v>
      </c>
      <c r="E8080" t="s">
        <v>14</v>
      </c>
      <c r="F8080">
        <v>68.996700000000004</v>
      </c>
      <c r="G8080">
        <v>23.033300000000001</v>
      </c>
      <c r="H8080">
        <v>2</v>
      </c>
      <c r="I8080">
        <v>307</v>
      </c>
      <c r="J8080" t="str">
        <f>HYPERLINK("https://climate.onebuilding.org/WMO_Region_6_Europe/NOR_Norway/FI_Finnmark/NOR_FI_Kautokeino.010470_TMYx.zip")</f>
        <v>https://climate.onebuilding.org/WMO_Region_6_Europe/NOR_Norway/FI_Finnmark/NOR_FI_Kautokeino.010470_TMYx.zip</v>
      </c>
    </row>
    <row r="8081" spans="1:10" x14ac:dyDescent="0.25">
      <c r="A8081" t="s">
        <v>4974</v>
      </c>
      <c r="B8081" t="s">
        <v>5988</v>
      </c>
      <c r="C8081" t="s">
        <v>6019</v>
      </c>
      <c r="D8081" s="1" t="s">
        <v>6020</v>
      </c>
      <c r="E8081" t="s">
        <v>6021</v>
      </c>
      <c r="F8081">
        <v>69.977500000000006</v>
      </c>
      <c r="G8081">
        <v>23.3581</v>
      </c>
      <c r="H8081">
        <v>2</v>
      </c>
      <c r="I8081">
        <v>2.7</v>
      </c>
      <c r="J8081" t="str">
        <f>HYPERLINK("https://climate.onebuilding.org/WMO_Region_6_Europe/NOR_Norway/FI_Finnmark/NOR_FI_Alta.AP.010490_TMYx.2004-2018.zip")</f>
        <v>https://climate.onebuilding.org/WMO_Region_6_Europe/NOR_Norway/FI_Finnmark/NOR_FI_Alta.AP.010490_TMYx.2004-2018.zip</v>
      </c>
    </row>
    <row r="8082" spans="1:10" x14ac:dyDescent="0.25">
      <c r="A8082" t="s">
        <v>4974</v>
      </c>
      <c r="B8082" t="s">
        <v>5988</v>
      </c>
      <c r="C8082" t="s">
        <v>6019</v>
      </c>
      <c r="D8082" s="1" t="s">
        <v>6020</v>
      </c>
      <c r="E8082" t="s">
        <v>14</v>
      </c>
      <c r="F8082">
        <v>69.975999999999999</v>
      </c>
      <c r="G8082">
        <v>23.372</v>
      </c>
      <c r="H8082">
        <v>2</v>
      </c>
      <c r="I8082">
        <v>2.7</v>
      </c>
      <c r="J8082" t="str">
        <f>HYPERLINK("https://climate.onebuilding.org/WMO_Region_6_Europe/NOR_Norway/FI_Finnmark/NOR_FI_Alta.AP.010490_TMYx.2007-2021.zip")</f>
        <v>https://climate.onebuilding.org/WMO_Region_6_Europe/NOR_Norway/FI_Finnmark/NOR_FI_Alta.AP.010490_TMYx.2007-2021.zip</v>
      </c>
    </row>
    <row r="8083" spans="1:10" x14ac:dyDescent="0.25">
      <c r="A8083" t="s">
        <v>4974</v>
      </c>
      <c r="B8083" t="s">
        <v>5988</v>
      </c>
      <c r="C8083" t="s">
        <v>6019</v>
      </c>
      <c r="D8083" s="1" t="s">
        <v>6020</v>
      </c>
      <c r="E8083" t="s">
        <v>14</v>
      </c>
      <c r="F8083">
        <v>69.975999999999999</v>
      </c>
      <c r="G8083">
        <v>23.372</v>
      </c>
      <c r="H8083">
        <v>2</v>
      </c>
      <c r="I8083">
        <v>2.7</v>
      </c>
      <c r="J8083" t="str">
        <f>HYPERLINK("https://climate.onebuilding.org/WMO_Region_6_Europe/NOR_Norway/FI_Finnmark/NOR_FI_Alta.AP.010490_TMYx.2009-2023.zip")</f>
        <v>https://climate.onebuilding.org/WMO_Region_6_Europe/NOR_Norway/FI_Finnmark/NOR_FI_Alta.AP.010490_TMYx.2009-2023.zip</v>
      </c>
    </row>
    <row r="8084" spans="1:10" x14ac:dyDescent="0.25">
      <c r="A8084" t="s">
        <v>4974</v>
      </c>
      <c r="B8084" t="s">
        <v>5988</v>
      </c>
      <c r="C8084" t="s">
        <v>6019</v>
      </c>
      <c r="D8084" s="1" t="s">
        <v>6020</v>
      </c>
      <c r="E8084" t="s">
        <v>14</v>
      </c>
      <c r="F8084">
        <v>69.975999999999999</v>
      </c>
      <c r="G8084">
        <v>23.372</v>
      </c>
      <c r="H8084">
        <v>2</v>
      </c>
      <c r="I8084">
        <v>2.7</v>
      </c>
      <c r="J8084" t="str">
        <f>HYPERLINK("https://climate.onebuilding.org/WMO_Region_6_Europe/NOR_Norway/FI_Finnmark/NOR_FI_Alta.AP.010490_TMYx.zip")</f>
        <v>https://climate.onebuilding.org/WMO_Region_6_Europe/NOR_Norway/FI_Finnmark/NOR_FI_Alta.AP.010490_TMYx.zip</v>
      </c>
    </row>
    <row r="8085" spans="1:10" x14ac:dyDescent="0.25">
      <c r="A8085" t="s">
        <v>4974</v>
      </c>
      <c r="B8085" t="s">
        <v>5988</v>
      </c>
      <c r="C8085" t="s">
        <v>6022</v>
      </c>
      <c r="D8085" s="1" t="s">
        <v>6023</v>
      </c>
      <c r="E8085" t="s">
        <v>6024</v>
      </c>
      <c r="F8085">
        <v>70.680499999999995</v>
      </c>
      <c r="G8085">
        <v>23.6769</v>
      </c>
      <c r="H8085">
        <v>2</v>
      </c>
      <c r="I8085">
        <v>79.2</v>
      </c>
      <c r="J8085" t="str">
        <f>HYPERLINK("https://climate.onebuilding.org/WMO_Region_6_Europe/NOR_Norway/FI_Finnmark/NOR_FI_Hammerfest.AP.010520_TMYx.2004-2018.zip")</f>
        <v>https://climate.onebuilding.org/WMO_Region_6_Europe/NOR_Norway/FI_Finnmark/NOR_FI_Hammerfest.AP.010520_TMYx.2004-2018.zip</v>
      </c>
    </row>
    <row r="8086" spans="1:10" x14ac:dyDescent="0.25">
      <c r="A8086" t="s">
        <v>4974</v>
      </c>
      <c r="B8086" t="s">
        <v>5988</v>
      </c>
      <c r="C8086" t="s">
        <v>6022</v>
      </c>
      <c r="D8086" s="1" t="s">
        <v>6023</v>
      </c>
      <c r="E8086" t="s">
        <v>14</v>
      </c>
      <c r="F8086">
        <v>70.680499999999995</v>
      </c>
      <c r="G8086">
        <v>23.6769</v>
      </c>
      <c r="H8086">
        <v>2</v>
      </c>
      <c r="I8086">
        <v>79.2</v>
      </c>
      <c r="J8086" t="str">
        <f>HYPERLINK("https://climate.onebuilding.org/WMO_Region_6_Europe/NOR_Norway/FI_Finnmark/NOR_FI_Hammerfest.AP.010520_TMYx.2007-2021.zip")</f>
        <v>https://climate.onebuilding.org/WMO_Region_6_Europe/NOR_Norway/FI_Finnmark/NOR_FI_Hammerfest.AP.010520_TMYx.2007-2021.zip</v>
      </c>
    </row>
    <row r="8087" spans="1:10" x14ac:dyDescent="0.25">
      <c r="A8087" t="s">
        <v>4974</v>
      </c>
      <c r="B8087" t="s">
        <v>5988</v>
      </c>
      <c r="C8087" t="s">
        <v>6022</v>
      </c>
      <c r="D8087" s="1" t="s">
        <v>6023</v>
      </c>
      <c r="E8087" t="s">
        <v>14</v>
      </c>
      <c r="F8087">
        <v>70.680499999999995</v>
      </c>
      <c r="G8087">
        <v>23.6769</v>
      </c>
      <c r="H8087">
        <v>2</v>
      </c>
      <c r="I8087">
        <v>79.2</v>
      </c>
      <c r="J8087" t="str">
        <f>HYPERLINK("https://climate.onebuilding.org/WMO_Region_6_Europe/NOR_Norway/FI_Finnmark/NOR_FI_Hammerfest.AP.010520_TMYx.2009-2023.zip")</f>
        <v>https://climate.onebuilding.org/WMO_Region_6_Europe/NOR_Norway/FI_Finnmark/NOR_FI_Hammerfest.AP.010520_TMYx.2009-2023.zip</v>
      </c>
    </row>
    <row r="8088" spans="1:10" x14ac:dyDescent="0.25">
      <c r="A8088" t="s">
        <v>4974</v>
      </c>
      <c r="B8088" t="s">
        <v>5988</v>
      </c>
      <c r="C8088" t="s">
        <v>6022</v>
      </c>
      <c r="D8088" s="1" t="s">
        <v>6023</v>
      </c>
      <c r="E8088" t="s">
        <v>14</v>
      </c>
      <c r="F8088">
        <v>70.680499999999995</v>
      </c>
      <c r="G8088">
        <v>23.6769</v>
      </c>
      <c r="H8088">
        <v>2</v>
      </c>
      <c r="I8088">
        <v>79.2</v>
      </c>
      <c r="J8088" t="str">
        <f>HYPERLINK("https://climate.onebuilding.org/WMO_Region_6_Europe/NOR_Norway/FI_Finnmark/NOR_FI_Hammerfest.AP.010520_TMYx.zip")</f>
        <v>https://climate.onebuilding.org/WMO_Region_6_Europe/NOR_Norway/FI_Finnmark/NOR_FI_Hammerfest.AP.010520_TMYx.zip</v>
      </c>
    </row>
    <row r="8089" spans="1:10" x14ac:dyDescent="0.25">
      <c r="A8089" t="s">
        <v>4974</v>
      </c>
      <c r="B8089" t="s">
        <v>5988</v>
      </c>
      <c r="C8089" t="s">
        <v>6025</v>
      </c>
      <c r="D8089" s="1" t="s">
        <v>6026</v>
      </c>
      <c r="E8089" t="s">
        <v>6027</v>
      </c>
      <c r="F8089">
        <v>71.093299999999999</v>
      </c>
      <c r="G8089">
        <v>23.9817</v>
      </c>
      <c r="H8089">
        <v>2</v>
      </c>
      <c r="I8089">
        <v>14.2</v>
      </c>
      <c r="J8089" t="str">
        <f>HYPERLINK("https://climate.onebuilding.org/WMO_Region_6_Europe/NOR_Norway/FI_Finnmark/NOR_FI_Fruholmen.Lighthouse.010550_TMYx.2004-2018.zip")</f>
        <v>https://climate.onebuilding.org/WMO_Region_6_Europe/NOR_Norway/FI_Finnmark/NOR_FI_Fruholmen.Lighthouse.010550_TMYx.2004-2018.zip</v>
      </c>
    </row>
    <row r="8090" spans="1:10" x14ac:dyDescent="0.25">
      <c r="A8090" t="s">
        <v>4974</v>
      </c>
      <c r="B8090" t="s">
        <v>5988</v>
      </c>
      <c r="C8090" t="s">
        <v>6025</v>
      </c>
      <c r="D8090" s="1" t="s">
        <v>6026</v>
      </c>
      <c r="E8090" t="s">
        <v>14</v>
      </c>
      <c r="F8090">
        <v>71.093299999999999</v>
      </c>
      <c r="G8090">
        <v>23.9817</v>
      </c>
      <c r="H8090">
        <v>2</v>
      </c>
      <c r="I8090">
        <v>14.2</v>
      </c>
      <c r="J8090" t="str">
        <f>HYPERLINK("https://climate.onebuilding.org/WMO_Region_6_Europe/NOR_Norway/FI_Finnmark/NOR_FI_Fruholmen.Lighthouse.010550_TMYx.2007-2021.zip")</f>
        <v>https://climate.onebuilding.org/WMO_Region_6_Europe/NOR_Norway/FI_Finnmark/NOR_FI_Fruholmen.Lighthouse.010550_TMYx.2007-2021.zip</v>
      </c>
    </row>
    <row r="8091" spans="1:10" x14ac:dyDescent="0.25">
      <c r="A8091" t="s">
        <v>4974</v>
      </c>
      <c r="B8091" t="s">
        <v>5988</v>
      </c>
      <c r="C8091" t="s">
        <v>6025</v>
      </c>
      <c r="D8091" s="1" t="s">
        <v>6026</v>
      </c>
      <c r="E8091" t="s">
        <v>14</v>
      </c>
      <c r="F8091">
        <v>71.093299999999999</v>
      </c>
      <c r="G8091">
        <v>23.9817</v>
      </c>
      <c r="H8091">
        <v>2</v>
      </c>
      <c r="I8091">
        <v>14.2</v>
      </c>
      <c r="J8091" t="str">
        <f>HYPERLINK("https://climate.onebuilding.org/WMO_Region_6_Europe/NOR_Norway/FI_Finnmark/NOR_FI_Fruholmen.Lighthouse.010550_TMYx.2009-2023.zip")</f>
        <v>https://climate.onebuilding.org/WMO_Region_6_Europe/NOR_Norway/FI_Finnmark/NOR_FI_Fruholmen.Lighthouse.010550_TMYx.2009-2023.zip</v>
      </c>
    </row>
    <row r="8092" spans="1:10" x14ac:dyDescent="0.25">
      <c r="A8092" t="s">
        <v>4974</v>
      </c>
      <c r="B8092" t="s">
        <v>5988</v>
      </c>
      <c r="C8092" t="s">
        <v>6025</v>
      </c>
      <c r="D8092" s="1" t="s">
        <v>6026</v>
      </c>
      <c r="E8092" t="s">
        <v>14</v>
      </c>
      <c r="F8092">
        <v>71.093299999999999</v>
      </c>
      <c r="G8092">
        <v>23.9817</v>
      </c>
      <c r="H8092">
        <v>2</v>
      </c>
      <c r="I8092">
        <v>14.2</v>
      </c>
      <c r="J8092" t="str">
        <f>HYPERLINK("https://climate.onebuilding.org/WMO_Region_6_Europe/NOR_Norway/FI_Finnmark/NOR_FI_Fruholmen.Lighthouse.010550_TMYx.zip")</f>
        <v>https://climate.onebuilding.org/WMO_Region_6_Europe/NOR_Norway/FI_Finnmark/NOR_FI_Fruholmen.Lighthouse.010550_TMYx.zip</v>
      </c>
    </row>
    <row r="8093" spans="1:10" x14ac:dyDescent="0.25">
      <c r="A8093" t="s">
        <v>4974</v>
      </c>
      <c r="B8093" t="s">
        <v>5988</v>
      </c>
      <c r="C8093" t="s">
        <v>6028</v>
      </c>
      <c r="D8093" s="1" t="s">
        <v>6029</v>
      </c>
      <c r="E8093" t="s">
        <v>6030</v>
      </c>
      <c r="F8093">
        <v>69.366900000000001</v>
      </c>
      <c r="G8093">
        <v>24.4331</v>
      </c>
      <c r="H8093">
        <v>2</v>
      </c>
      <c r="I8093">
        <v>286</v>
      </c>
      <c r="J8093" t="str">
        <f>HYPERLINK("https://climate.onebuilding.org/WMO_Region_6_Europe/NOR_Norway/FI_Finnmark/NOR_FI_Cuovddatmohkki.010570_TMYx.2004-2018.zip")</f>
        <v>https://climate.onebuilding.org/WMO_Region_6_Europe/NOR_Norway/FI_Finnmark/NOR_FI_Cuovddatmohkki.010570_TMYx.2004-2018.zip</v>
      </c>
    </row>
    <row r="8094" spans="1:10" x14ac:dyDescent="0.25">
      <c r="A8094" t="s">
        <v>4974</v>
      </c>
      <c r="B8094" t="s">
        <v>5988</v>
      </c>
      <c r="C8094" t="s">
        <v>6028</v>
      </c>
      <c r="D8094" s="1" t="s">
        <v>6029</v>
      </c>
      <c r="E8094" t="s">
        <v>14</v>
      </c>
      <c r="F8094">
        <v>69.366900000000001</v>
      </c>
      <c r="G8094">
        <v>24.4331</v>
      </c>
      <c r="H8094">
        <v>2</v>
      </c>
      <c r="I8094">
        <v>286</v>
      </c>
      <c r="J8094" t="str">
        <f>HYPERLINK("https://climate.onebuilding.org/WMO_Region_6_Europe/NOR_Norway/FI_Finnmark/NOR_FI_Cuovddatmohkki.010570_TMYx.2007-2021.zip")</f>
        <v>https://climate.onebuilding.org/WMO_Region_6_Europe/NOR_Norway/FI_Finnmark/NOR_FI_Cuovddatmohkki.010570_TMYx.2007-2021.zip</v>
      </c>
    </row>
    <row r="8095" spans="1:10" x14ac:dyDescent="0.25">
      <c r="A8095" t="s">
        <v>4974</v>
      </c>
      <c r="B8095" t="s">
        <v>5988</v>
      </c>
      <c r="C8095" t="s">
        <v>6028</v>
      </c>
      <c r="D8095" s="1" t="s">
        <v>6029</v>
      </c>
      <c r="E8095" t="s">
        <v>14</v>
      </c>
      <c r="F8095">
        <v>69.366900000000001</v>
      </c>
      <c r="G8095">
        <v>24.4331</v>
      </c>
      <c r="H8095">
        <v>2</v>
      </c>
      <c r="I8095">
        <v>286</v>
      </c>
      <c r="J8095" t="str">
        <f>HYPERLINK("https://climate.onebuilding.org/WMO_Region_6_Europe/NOR_Norway/FI_Finnmark/NOR_FI_Cuovddatmohkki.010570_TMYx.2009-2023.zip")</f>
        <v>https://climate.onebuilding.org/WMO_Region_6_Europe/NOR_Norway/FI_Finnmark/NOR_FI_Cuovddatmohkki.010570_TMYx.2009-2023.zip</v>
      </c>
    </row>
    <row r="8096" spans="1:10" x14ac:dyDescent="0.25">
      <c r="A8096" t="s">
        <v>4974</v>
      </c>
      <c r="B8096" t="s">
        <v>5988</v>
      </c>
      <c r="C8096" t="s">
        <v>6028</v>
      </c>
      <c r="D8096" s="1" t="s">
        <v>6029</v>
      </c>
      <c r="E8096" t="s">
        <v>14</v>
      </c>
      <c r="F8096">
        <v>69.366900000000001</v>
      </c>
      <c r="G8096">
        <v>24.4331</v>
      </c>
      <c r="H8096">
        <v>2</v>
      </c>
      <c r="I8096">
        <v>286</v>
      </c>
      <c r="J8096" t="str">
        <f>HYPERLINK("https://climate.onebuilding.org/WMO_Region_6_Europe/NOR_Norway/FI_Finnmark/NOR_FI_Cuovddatmohkki.010570_TMYx.zip")</f>
        <v>https://climate.onebuilding.org/WMO_Region_6_Europe/NOR_Norway/FI_Finnmark/NOR_FI_Cuovddatmohkki.010570_TMYx.zip</v>
      </c>
    </row>
    <row r="8097" spans="1:10" x14ac:dyDescent="0.25">
      <c r="A8097" t="s">
        <v>4974</v>
      </c>
      <c r="B8097" t="s">
        <v>5988</v>
      </c>
      <c r="C8097" t="s">
        <v>6031</v>
      </c>
      <c r="D8097" s="1" t="s">
        <v>6032</v>
      </c>
      <c r="E8097" t="s">
        <v>6033</v>
      </c>
      <c r="F8097">
        <v>69.579400000000007</v>
      </c>
      <c r="G8097">
        <v>23.534400000000002</v>
      </c>
      <c r="H8097">
        <v>2</v>
      </c>
      <c r="I8097">
        <v>381</v>
      </c>
      <c r="J8097" t="str">
        <f>HYPERLINK("https://climate.onebuilding.org/WMO_Region_6_Europe/NOR_Norway/FI_Finnmark/NOR_FI_Suolovuopmi-Lulit.010580_TMYx.2004-2018.zip")</f>
        <v>https://climate.onebuilding.org/WMO_Region_6_Europe/NOR_Norway/FI_Finnmark/NOR_FI_Suolovuopmi-Lulit.010580_TMYx.2004-2018.zip</v>
      </c>
    </row>
    <row r="8098" spans="1:10" x14ac:dyDescent="0.25">
      <c r="A8098" t="s">
        <v>4974</v>
      </c>
      <c r="B8098" t="s">
        <v>5988</v>
      </c>
      <c r="C8098" t="s">
        <v>6031</v>
      </c>
      <c r="D8098" s="1" t="s">
        <v>6032</v>
      </c>
      <c r="E8098" t="s">
        <v>14</v>
      </c>
      <c r="F8098">
        <v>69.579400000000007</v>
      </c>
      <c r="G8098">
        <v>23.534400000000002</v>
      </c>
      <c r="H8098">
        <v>2</v>
      </c>
      <c r="I8098">
        <v>381</v>
      </c>
      <c r="J8098" t="str">
        <f>HYPERLINK("https://climate.onebuilding.org/WMO_Region_6_Europe/NOR_Norway/FI_Finnmark/NOR_FI_Suolovuopmi-Lulit.010580_TMYx.2007-2021.zip")</f>
        <v>https://climate.onebuilding.org/WMO_Region_6_Europe/NOR_Norway/FI_Finnmark/NOR_FI_Suolovuopmi-Lulit.010580_TMYx.2007-2021.zip</v>
      </c>
    </row>
    <row r="8099" spans="1:10" x14ac:dyDescent="0.25">
      <c r="A8099" t="s">
        <v>4974</v>
      </c>
      <c r="B8099" t="s">
        <v>5988</v>
      </c>
      <c r="C8099" t="s">
        <v>6031</v>
      </c>
      <c r="D8099" s="1" t="s">
        <v>6032</v>
      </c>
      <c r="E8099" t="s">
        <v>14</v>
      </c>
      <c r="F8099">
        <v>69.579400000000007</v>
      </c>
      <c r="G8099">
        <v>23.534400000000002</v>
      </c>
      <c r="H8099">
        <v>2</v>
      </c>
      <c r="I8099">
        <v>381</v>
      </c>
      <c r="J8099" t="str">
        <f>HYPERLINK("https://climate.onebuilding.org/WMO_Region_6_Europe/NOR_Norway/FI_Finnmark/NOR_FI_Suolovuopmi-Lulit.010580_TMYx.2009-2023.zip")</f>
        <v>https://climate.onebuilding.org/WMO_Region_6_Europe/NOR_Norway/FI_Finnmark/NOR_FI_Suolovuopmi-Lulit.010580_TMYx.2009-2023.zip</v>
      </c>
    </row>
    <row r="8100" spans="1:10" x14ac:dyDescent="0.25">
      <c r="A8100" t="s">
        <v>4974</v>
      </c>
      <c r="B8100" t="s">
        <v>5988</v>
      </c>
      <c r="C8100" t="s">
        <v>6031</v>
      </c>
      <c r="D8100" s="1" t="s">
        <v>6032</v>
      </c>
      <c r="E8100" t="s">
        <v>14</v>
      </c>
      <c r="F8100">
        <v>69.579400000000007</v>
      </c>
      <c r="G8100">
        <v>23.534400000000002</v>
      </c>
      <c r="H8100">
        <v>2</v>
      </c>
      <c r="I8100">
        <v>381</v>
      </c>
      <c r="J8100" t="str">
        <f>HYPERLINK("https://climate.onebuilding.org/WMO_Region_6_Europe/NOR_Norway/FI_Finnmark/NOR_FI_Suolovuopmi-Lulit.010580_TMYx.zip")</f>
        <v>https://climate.onebuilding.org/WMO_Region_6_Europe/NOR_Norway/FI_Finnmark/NOR_FI_Suolovuopmi-Lulit.010580_TMYx.zip</v>
      </c>
    </row>
    <row r="8101" spans="1:10" x14ac:dyDescent="0.25">
      <c r="A8101" t="s">
        <v>4974</v>
      </c>
      <c r="B8101" t="s">
        <v>5988</v>
      </c>
      <c r="C8101" t="s">
        <v>6034</v>
      </c>
      <c r="D8101" s="1" t="s">
        <v>6035</v>
      </c>
      <c r="E8101" t="s">
        <v>6036</v>
      </c>
      <c r="F8101">
        <v>70.067300000000003</v>
      </c>
      <c r="G8101">
        <v>24.979399999999998</v>
      </c>
      <c r="H8101">
        <v>2</v>
      </c>
      <c r="I8101">
        <v>7.6</v>
      </c>
      <c r="J8101" t="str">
        <f>HYPERLINK("https://climate.onebuilding.org/WMO_Region_6_Europe/NOR_Norway/FI_Finnmark/NOR_FI_Banak-Lakselv.AP.010590_TMYx.2004-2018.zip")</f>
        <v>https://climate.onebuilding.org/WMO_Region_6_Europe/NOR_Norway/FI_Finnmark/NOR_FI_Banak-Lakselv.AP.010590_TMYx.2004-2018.zip</v>
      </c>
    </row>
    <row r="8102" spans="1:10" x14ac:dyDescent="0.25">
      <c r="A8102" t="s">
        <v>4974</v>
      </c>
      <c r="B8102" t="s">
        <v>5988</v>
      </c>
      <c r="C8102" t="s">
        <v>6034</v>
      </c>
      <c r="D8102" s="1" t="s">
        <v>6035</v>
      </c>
      <c r="E8102" t="s">
        <v>14</v>
      </c>
      <c r="F8102">
        <v>70.069000000000003</v>
      </c>
      <c r="G8102">
        <v>24.972999999999999</v>
      </c>
      <c r="H8102">
        <v>2</v>
      </c>
      <c r="I8102">
        <v>7.6</v>
      </c>
      <c r="J8102" t="str">
        <f>HYPERLINK("https://climate.onebuilding.org/WMO_Region_6_Europe/NOR_Norway/FI_Finnmark/NOR_FI_Banak-Lakselv.AP.010590_TMYx.2007-2021.zip")</f>
        <v>https://climate.onebuilding.org/WMO_Region_6_Europe/NOR_Norway/FI_Finnmark/NOR_FI_Banak-Lakselv.AP.010590_TMYx.2007-2021.zip</v>
      </c>
    </row>
    <row r="8103" spans="1:10" x14ac:dyDescent="0.25">
      <c r="A8103" t="s">
        <v>4974</v>
      </c>
      <c r="B8103" t="s">
        <v>5988</v>
      </c>
      <c r="C8103" t="s">
        <v>6034</v>
      </c>
      <c r="D8103" s="1" t="s">
        <v>6035</v>
      </c>
      <c r="E8103" t="s">
        <v>14</v>
      </c>
      <c r="F8103">
        <v>70.069000000000003</v>
      </c>
      <c r="G8103">
        <v>24.972999999999999</v>
      </c>
      <c r="H8103">
        <v>2</v>
      </c>
      <c r="I8103">
        <v>7.6</v>
      </c>
      <c r="J8103" t="str">
        <f>HYPERLINK("https://climate.onebuilding.org/WMO_Region_6_Europe/NOR_Norway/FI_Finnmark/NOR_FI_Banak-Lakselv.AP.010590_TMYx.2009-2023.zip")</f>
        <v>https://climate.onebuilding.org/WMO_Region_6_Europe/NOR_Norway/FI_Finnmark/NOR_FI_Banak-Lakselv.AP.010590_TMYx.2009-2023.zip</v>
      </c>
    </row>
    <row r="8104" spans="1:10" x14ac:dyDescent="0.25">
      <c r="A8104" t="s">
        <v>4974</v>
      </c>
      <c r="B8104" t="s">
        <v>5988</v>
      </c>
      <c r="C8104" t="s">
        <v>6034</v>
      </c>
      <c r="D8104" s="1" t="s">
        <v>6035</v>
      </c>
      <c r="E8104" t="s">
        <v>14</v>
      </c>
      <c r="F8104">
        <v>70.069000000000003</v>
      </c>
      <c r="G8104">
        <v>24.972999999999999</v>
      </c>
      <c r="H8104">
        <v>2</v>
      </c>
      <c r="I8104">
        <v>7.6</v>
      </c>
      <c r="J8104" t="str">
        <f>HYPERLINK("https://climate.onebuilding.org/WMO_Region_6_Europe/NOR_Norway/FI_Finnmark/NOR_FI_Banak-Lakselv.AP.010590_TMYx.zip")</f>
        <v>https://climate.onebuilding.org/WMO_Region_6_Europe/NOR_Norway/FI_Finnmark/NOR_FI_Banak-Lakselv.AP.010590_TMYx.zip</v>
      </c>
    </row>
    <row r="8105" spans="1:10" x14ac:dyDescent="0.25">
      <c r="A8105" t="s">
        <v>4974</v>
      </c>
      <c r="B8105" t="s">
        <v>5988</v>
      </c>
      <c r="C8105" t="s">
        <v>6037</v>
      </c>
      <c r="D8105" s="1" t="s">
        <v>6038</v>
      </c>
      <c r="E8105" t="s">
        <v>14</v>
      </c>
      <c r="F8105">
        <v>70.45</v>
      </c>
      <c r="G8105">
        <v>25.216999999999999</v>
      </c>
      <c r="H8105">
        <v>2</v>
      </c>
      <c r="I8105">
        <v>6</v>
      </c>
      <c r="J8105" t="str">
        <f>HYPERLINK("https://climate.onebuilding.org/WMO_Region_6_Europe/NOR_Norway/FI_Finnmark/NOR_FI_Kistrand.010630_TMYx.zip")</f>
        <v>https://climate.onebuilding.org/WMO_Region_6_Europe/NOR_Norway/FI_Finnmark/NOR_FI_Kistrand.010630_TMYx.zip</v>
      </c>
    </row>
    <row r="8106" spans="1:10" x14ac:dyDescent="0.25">
      <c r="A8106" t="s">
        <v>4974</v>
      </c>
      <c r="B8106" t="s">
        <v>5988</v>
      </c>
      <c r="C8106" t="s">
        <v>6039</v>
      </c>
      <c r="D8106" s="1" t="s">
        <v>6040</v>
      </c>
      <c r="E8106" t="s">
        <v>6041</v>
      </c>
      <c r="F8106">
        <v>69.463300000000004</v>
      </c>
      <c r="G8106">
        <v>25.502199999999998</v>
      </c>
      <c r="H8106">
        <v>2</v>
      </c>
      <c r="I8106">
        <v>130.80000000000001</v>
      </c>
      <c r="J8106" t="str">
        <f>HYPERLINK("https://climate.onebuilding.org/WMO_Region_6_Europe/NOR_Norway/FI_Finnmark/NOR_FI_Karasjok.010650_TMYx.2004-2018.zip")</f>
        <v>https://climate.onebuilding.org/WMO_Region_6_Europe/NOR_Norway/FI_Finnmark/NOR_FI_Karasjok.010650_TMYx.2004-2018.zip</v>
      </c>
    </row>
    <row r="8107" spans="1:10" x14ac:dyDescent="0.25">
      <c r="A8107" t="s">
        <v>4974</v>
      </c>
      <c r="B8107" t="s">
        <v>5988</v>
      </c>
      <c r="C8107" t="s">
        <v>6039</v>
      </c>
      <c r="D8107" s="1" t="s">
        <v>6040</v>
      </c>
      <c r="E8107" t="s">
        <v>14</v>
      </c>
      <c r="F8107">
        <v>69.463300000000004</v>
      </c>
      <c r="G8107">
        <v>25.502199999999998</v>
      </c>
      <c r="H8107">
        <v>2</v>
      </c>
      <c r="I8107">
        <v>130.80000000000001</v>
      </c>
      <c r="J8107" t="str">
        <f>HYPERLINK("https://climate.onebuilding.org/WMO_Region_6_Europe/NOR_Norway/FI_Finnmark/NOR_FI_Karasjok.010650_TMYx.2007-2021.zip")</f>
        <v>https://climate.onebuilding.org/WMO_Region_6_Europe/NOR_Norway/FI_Finnmark/NOR_FI_Karasjok.010650_TMYx.2007-2021.zip</v>
      </c>
    </row>
    <row r="8108" spans="1:10" x14ac:dyDescent="0.25">
      <c r="A8108" t="s">
        <v>4974</v>
      </c>
      <c r="B8108" t="s">
        <v>5988</v>
      </c>
      <c r="C8108" t="s">
        <v>6039</v>
      </c>
      <c r="D8108" s="1" t="s">
        <v>6040</v>
      </c>
      <c r="E8108" t="s">
        <v>14</v>
      </c>
      <c r="F8108">
        <v>69.463300000000004</v>
      </c>
      <c r="G8108">
        <v>25.502199999999998</v>
      </c>
      <c r="H8108">
        <v>2</v>
      </c>
      <c r="I8108">
        <v>130.80000000000001</v>
      </c>
      <c r="J8108" t="str">
        <f>HYPERLINK("https://climate.onebuilding.org/WMO_Region_6_Europe/NOR_Norway/FI_Finnmark/NOR_FI_Karasjok.010650_TMYx.2009-2023.zip")</f>
        <v>https://climate.onebuilding.org/WMO_Region_6_Europe/NOR_Norway/FI_Finnmark/NOR_FI_Karasjok.010650_TMYx.2009-2023.zip</v>
      </c>
    </row>
    <row r="8109" spans="1:10" x14ac:dyDescent="0.25">
      <c r="A8109" t="s">
        <v>4974</v>
      </c>
      <c r="B8109" t="s">
        <v>5988</v>
      </c>
      <c r="C8109" t="s">
        <v>6039</v>
      </c>
      <c r="D8109" s="1" t="s">
        <v>6040</v>
      </c>
      <c r="E8109" t="s">
        <v>14</v>
      </c>
      <c r="F8109">
        <v>69.463300000000004</v>
      </c>
      <c r="G8109">
        <v>25.502199999999998</v>
      </c>
      <c r="H8109">
        <v>2</v>
      </c>
      <c r="I8109">
        <v>130.80000000000001</v>
      </c>
      <c r="J8109" t="str">
        <f>HYPERLINK("https://climate.onebuilding.org/WMO_Region_6_Europe/NOR_Norway/FI_Finnmark/NOR_FI_Karasjok.010650_TMYx.zip")</f>
        <v>https://climate.onebuilding.org/WMO_Region_6_Europe/NOR_Norway/FI_Finnmark/NOR_FI_Karasjok.010650_TMYx.zip</v>
      </c>
    </row>
    <row r="8110" spans="1:10" x14ac:dyDescent="0.25">
      <c r="A8110" t="s">
        <v>4974</v>
      </c>
      <c r="B8110" t="s">
        <v>5988</v>
      </c>
      <c r="C8110" t="s">
        <v>6042</v>
      </c>
      <c r="D8110" s="1" t="s">
        <v>6043</v>
      </c>
      <c r="E8110" t="s">
        <v>14</v>
      </c>
      <c r="F8110">
        <v>71.061700000000002</v>
      </c>
      <c r="G8110">
        <v>26.2226</v>
      </c>
      <c r="H8110">
        <v>2</v>
      </c>
      <c r="I8110">
        <v>33</v>
      </c>
      <c r="J8110" t="str">
        <f>HYPERLINK("https://climate.onebuilding.org/WMO_Region_6_Europe/NOR_Norway/FI_Finnmark/NOR_FI_Helnes.Lighthouse.010660_TMYx.zip")</f>
        <v>https://climate.onebuilding.org/WMO_Region_6_Europe/NOR_Norway/FI_Finnmark/NOR_FI_Helnes.Lighthouse.010660_TMYx.zip</v>
      </c>
    </row>
    <row r="8111" spans="1:10" x14ac:dyDescent="0.25">
      <c r="A8111" t="s">
        <v>4974</v>
      </c>
      <c r="B8111" t="s">
        <v>5988</v>
      </c>
      <c r="C8111" t="s">
        <v>6044</v>
      </c>
      <c r="D8111" s="1" t="s">
        <v>6045</v>
      </c>
      <c r="E8111" t="s">
        <v>6046</v>
      </c>
      <c r="F8111">
        <v>71.010599999999997</v>
      </c>
      <c r="G8111">
        <v>25.978100000000001</v>
      </c>
      <c r="H8111">
        <v>2</v>
      </c>
      <c r="I8111">
        <v>14</v>
      </c>
      <c r="J8111" t="str">
        <f>HYPERLINK("https://climate.onebuilding.org/WMO_Region_6_Europe/NOR_Norway/FI_Finnmark/NOR_FI_Honningsvag.AP.010680_TMYx.2004-2018.zip")</f>
        <v>https://climate.onebuilding.org/WMO_Region_6_Europe/NOR_Norway/FI_Finnmark/NOR_FI_Honningsvag.AP.010680_TMYx.2004-2018.zip</v>
      </c>
    </row>
    <row r="8112" spans="1:10" x14ac:dyDescent="0.25">
      <c r="A8112" t="s">
        <v>4974</v>
      </c>
      <c r="B8112" t="s">
        <v>5988</v>
      </c>
      <c r="C8112" t="s">
        <v>6044</v>
      </c>
      <c r="D8112" s="1" t="s">
        <v>6045</v>
      </c>
      <c r="E8112" t="s">
        <v>14</v>
      </c>
      <c r="F8112">
        <v>71.010599999999997</v>
      </c>
      <c r="G8112">
        <v>25.978100000000001</v>
      </c>
      <c r="H8112">
        <v>2</v>
      </c>
      <c r="I8112">
        <v>14</v>
      </c>
      <c r="J8112" t="str">
        <f>HYPERLINK("https://climate.onebuilding.org/WMO_Region_6_Europe/NOR_Norway/FI_Finnmark/NOR_FI_Honningsvag.AP.010680_TMYx.2007-2021.zip")</f>
        <v>https://climate.onebuilding.org/WMO_Region_6_Europe/NOR_Norway/FI_Finnmark/NOR_FI_Honningsvag.AP.010680_TMYx.2007-2021.zip</v>
      </c>
    </row>
    <row r="8113" spans="1:10" x14ac:dyDescent="0.25">
      <c r="A8113" t="s">
        <v>4974</v>
      </c>
      <c r="B8113" t="s">
        <v>5988</v>
      </c>
      <c r="C8113" t="s">
        <v>6044</v>
      </c>
      <c r="D8113" s="1" t="s">
        <v>6045</v>
      </c>
      <c r="E8113" t="s">
        <v>14</v>
      </c>
      <c r="F8113">
        <v>71.010599999999997</v>
      </c>
      <c r="G8113">
        <v>25.978100000000001</v>
      </c>
      <c r="H8113">
        <v>2</v>
      </c>
      <c r="I8113">
        <v>14</v>
      </c>
      <c r="J8113" t="str">
        <f>HYPERLINK("https://climate.onebuilding.org/WMO_Region_6_Europe/NOR_Norway/FI_Finnmark/NOR_FI_Honningsvag.AP.010680_TMYx.2009-2023.zip")</f>
        <v>https://climate.onebuilding.org/WMO_Region_6_Europe/NOR_Norway/FI_Finnmark/NOR_FI_Honningsvag.AP.010680_TMYx.2009-2023.zip</v>
      </c>
    </row>
    <row r="8114" spans="1:10" x14ac:dyDescent="0.25">
      <c r="A8114" t="s">
        <v>4974</v>
      </c>
      <c r="B8114" t="s">
        <v>5988</v>
      </c>
      <c r="C8114" t="s">
        <v>6044</v>
      </c>
      <c r="D8114" s="1" t="s">
        <v>6045</v>
      </c>
      <c r="E8114" t="s">
        <v>14</v>
      </c>
      <c r="F8114">
        <v>71.010599999999997</v>
      </c>
      <c r="G8114">
        <v>25.978100000000001</v>
      </c>
      <c r="H8114">
        <v>2</v>
      </c>
      <c r="I8114">
        <v>14</v>
      </c>
      <c r="J8114" t="str">
        <f>HYPERLINK("https://climate.onebuilding.org/WMO_Region_6_Europe/NOR_Norway/FI_Finnmark/NOR_FI_Honningsvag.AP.010680_TMYx.zip")</f>
        <v>https://climate.onebuilding.org/WMO_Region_6_Europe/NOR_Norway/FI_Finnmark/NOR_FI_Honningsvag.AP.010680_TMYx.zip</v>
      </c>
    </row>
    <row r="8115" spans="1:10" x14ac:dyDescent="0.25">
      <c r="A8115" t="s">
        <v>4974</v>
      </c>
      <c r="B8115" t="s">
        <v>5988</v>
      </c>
      <c r="C8115" t="s">
        <v>6047</v>
      </c>
      <c r="D8115" s="1" t="s">
        <v>6048</v>
      </c>
      <c r="E8115" t="s">
        <v>6049</v>
      </c>
      <c r="F8115">
        <v>71.033100000000005</v>
      </c>
      <c r="G8115">
        <v>27.829699999999999</v>
      </c>
      <c r="H8115">
        <v>2</v>
      </c>
      <c r="I8115">
        <v>11.9</v>
      </c>
      <c r="J8115" t="str">
        <f>HYPERLINK("https://climate.onebuilding.org/WMO_Region_6_Europe/NOR_Norway/FI_Finnmark/NOR_FI_Mehamn.AP.010740_TMYx.2004-2018.zip")</f>
        <v>https://climate.onebuilding.org/WMO_Region_6_Europe/NOR_Norway/FI_Finnmark/NOR_FI_Mehamn.AP.010740_TMYx.2004-2018.zip</v>
      </c>
    </row>
    <row r="8116" spans="1:10" x14ac:dyDescent="0.25">
      <c r="A8116" t="s">
        <v>4974</v>
      </c>
      <c r="B8116" t="s">
        <v>5988</v>
      </c>
      <c r="C8116" t="s">
        <v>6047</v>
      </c>
      <c r="D8116" s="1" t="s">
        <v>6048</v>
      </c>
      <c r="E8116" t="s">
        <v>14</v>
      </c>
      <c r="F8116">
        <v>71.033100000000005</v>
      </c>
      <c r="G8116">
        <v>27.829699999999999</v>
      </c>
      <c r="H8116">
        <v>2</v>
      </c>
      <c r="I8116">
        <v>11.9</v>
      </c>
      <c r="J8116" t="str">
        <f>HYPERLINK("https://climate.onebuilding.org/WMO_Region_6_Europe/NOR_Norway/FI_Finnmark/NOR_FI_Mehamn.AP.010740_TMYx.2007-2021.zip")</f>
        <v>https://climate.onebuilding.org/WMO_Region_6_Europe/NOR_Norway/FI_Finnmark/NOR_FI_Mehamn.AP.010740_TMYx.2007-2021.zip</v>
      </c>
    </row>
    <row r="8117" spans="1:10" x14ac:dyDescent="0.25">
      <c r="A8117" t="s">
        <v>4974</v>
      </c>
      <c r="B8117" t="s">
        <v>5988</v>
      </c>
      <c r="C8117" t="s">
        <v>6047</v>
      </c>
      <c r="D8117" s="1" t="s">
        <v>6048</v>
      </c>
      <c r="E8117" t="s">
        <v>14</v>
      </c>
      <c r="F8117">
        <v>71.033100000000005</v>
      </c>
      <c r="G8117">
        <v>27.829699999999999</v>
      </c>
      <c r="H8117">
        <v>2</v>
      </c>
      <c r="I8117">
        <v>11.9</v>
      </c>
      <c r="J8117" t="str">
        <f>HYPERLINK("https://climate.onebuilding.org/WMO_Region_6_Europe/NOR_Norway/FI_Finnmark/NOR_FI_Mehamn.AP.010740_TMYx.2009-2023.zip")</f>
        <v>https://climate.onebuilding.org/WMO_Region_6_Europe/NOR_Norway/FI_Finnmark/NOR_FI_Mehamn.AP.010740_TMYx.2009-2023.zip</v>
      </c>
    </row>
    <row r="8118" spans="1:10" x14ac:dyDescent="0.25">
      <c r="A8118" t="s">
        <v>4974</v>
      </c>
      <c r="B8118" t="s">
        <v>5988</v>
      </c>
      <c r="C8118" t="s">
        <v>6047</v>
      </c>
      <c r="D8118" s="1" t="s">
        <v>6048</v>
      </c>
      <c r="E8118" t="s">
        <v>14</v>
      </c>
      <c r="F8118">
        <v>71.033100000000005</v>
      </c>
      <c r="G8118">
        <v>27.829699999999999</v>
      </c>
      <c r="H8118">
        <v>2</v>
      </c>
      <c r="I8118">
        <v>11.9</v>
      </c>
      <c r="J8118" t="str">
        <f>HYPERLINK("https://climate.onebuilding.org/WMO_Region_6_Europe/NOR_Norway/FI_Finnmark/NOR_FI_Mehamn.AP.010740_TMYx.zip")</f>
        <v>https://climate.onebuilding.org/WMO_Region_6_Europe/NOR_Norway/FI_Finnmark/NOR_FI_Mehamn.AP.010740_TMYx.zip</v>
      </c>
    </row>
    <row r="8119" spans="1:10" x14ac:dyDescent="0.25">
      <c r="A8119" t="s">
        <v>4974</v>
      </c>
      <c r="B8119" t="s">
        <v>5988</v>
      </c>
      <c r="C8119" t="s">
        <v>6050</v>
      </c>
      <c r="D8119" s="1" t="s">
        <v>6051</v>
      </c>
      <c r="E8119" t="s">
        <v>6052</v>
      </c>
      <c r="F8119">
        <v>70.399500000000003</v>
      </c>
      <c r="G8119">
        <v>28.1938</v>
      </c>
      <c r="H8119">
        <v>2</v>
      </c>
      <c r="I8119">
        <v>11.2</v>
      </c>
      <c r="J8119" t="str">
        <f>HYPERLINK("https://climate.onebuilding.org/WMO_Region_6_Europe/NOR_Norway/FI_Finnmark/NOR_FI_Rustefjelbma.010750_TMYx.2004-2018.zip")</f>
        <v>https://climate.onebuilding.org/WMO_Region_6_Europe/NOR_Norway/FI_Finnmark/NOR_FI_Rustefjelbma.010750_TMYx.2004-2018.zip</v>
      </c>
    </row>
    <row r="8120" spans="1:10" x14ac:dyDescent="0.25">
      <c r="A8120" t="s">
        <v>4974</v>
      </c>
      <c r="B8120" t="s">
        <v>5988</v>
      </c>
      <c r="C8120" t="s">
        <v>6050</v>
      </c>
      <c r="D8120" s="1" t="s">
        <v>6051</v>
      </c>
      <c r="E8120" t="s">
        <v>14</v>
      </c>
      <c r="F8120">
        <v>70.399500000000003</v>
      </c>
      <c r="G8120">
        <v>28.1938</v>
      </c>
      <c r="H8120">
        <v>2</v>
      </c>
      <c r="I8120">
        <v>11.2</v>
      </c>
      <c r="J8120" t="str">
        <f>HYPERLINK("https://climate.onebuilding.org/WMO_Region_6_Europe/NOR_Norway/FI_Finnmark/NOR_FI_Rustefjelbma.010750_TMYx.2007-2021.zip")</f>
        <v>https://climate.onebuilding.org/WMO_Region_6_Europe/NOR_Norway/FI_Finnmark/NOR_FI_Rustefjelbma.010750_TMYx.2007-2021.zip</v>
      </c>
    </row>
    <row r="8121" spans="1:10" x14ac:dyDescent="0.25">
      <c r="A8121" t="s">
        <v>4974</v>
      </c>
      <c r="B8121" t="s">
        <v>5988</v>
      </c>
      <c r="C8121" t="s">
        <v>6050</v>
      </c>
      <c r="D8121" s="1" t="s">
        <v>6051</v>
      </c>
      <c r="E8121" t="s">
        <v>14</v>
      </c>
      <c r="F8121">
        <v>70.399500000000003</v>
      </c>
      <c r="G8121">
        <v>28.1938</v>
      </c>
      <c r="H8121">
        <v>2</v>
      </c>
      <c r="I8121">
        <v>11.2</v>
      </c>
      <c r="J8121" t="str">
        <f>HYPERLINK("https://climate.onebuilding.org/WMO_Region_6_Europe/NOR_Norway/FI_Finnmark/NOR_FI_Rustefjelbma.010750_TMYx.2009-2023.zip")</f>
        <v>https://climate.onebuilding.org/WMO_Region_6_Europe/NOR_Norway/FI_Finnmark/NOR_FI_Rustefjelbma.010750_TMYx.2009-2023.zip</v>
      </c>
    </row>
    <row r="8122" spans="1:10" x14ac:dyDescent="0.25">
      <c r="A8122" t="s">
        <v>4974</v>
      </c>
      <c r="B8122" t="s">
        <v>5988</v>
      </c>
      <c r="C8122" t="s">
        <v>6050</v>
      </c>
      <c r="D8122" s="1" t="s">
        <v>6051</v>
      </c>
      <c r="E8122" t="s">
        <v>14</v>
      </c>
      <c r="F8122">
        <v>70.399500000000003</v>
      </c>
      <c r="G8122">
        <v>28.1938</v>
      </c>
      <c r="H8122">
        <v>2</v>
      </c>
      <c r="I8122">
        <v>11.2</v>
      </c>
      <c r="J8122" t="str">
        <f>HYPERLINK("https://climate.onebuilding.org/WMO_Region_6_Europe/NOR_Norway/FI_Finnmark/NOR_FI_Rustefjelbma.010750_TMYx.zip")</f>
        <v>https://climate.onebuilding.org/WMO_Region_6_Europe/NOR_Norway/FI_Finnmark/NOR_FI_Rustefjelbma.010750_TMYx.zip</v>
      </c>
    </row>
    <row r="8123" spans="1:10" x14ac:dyDescent="0.25">
      <c r="A8123" t="s">
        <v>4974</v>
      </c>
      <c r="B8123" t="s">
        <v>5988</v>
      </c>
      <c r="C8123" t="s">
        <v>6053</v>
      </c>
      <c r="D8123" s="1" t="s">
        <v>6054</v>
      </c>
      <c r="E8123" t="s">
        <v>6055</v>
      </c>
      <c r="F8123">
        <v>70.212199999999996</v>
      </c>
      <c r="G8123">
        <v>28.1586</v>
      </c>
      <c r="H8123">
        <v>2</v>
      </c>
      <c r="I8123">
        <v>32</v>
      </c>
      <c r="J8123" t="str">
        <f>HYPERLINK("https://climate.onebuilding.org/WMO_Region_6_Europe/NOR_Norway/FI_Finnmark/NOR_FI_Tanabru.010760_TMYx.2004-2018.zip")</f>
        <v>https://climate.onebuilding.org/WMO_Region_6_Europe/NOR_Norway/FI_Finnmark/NOR_FI_Tanabru.010760_TMYx.2004-2018.zip</v>
      </c>
    </row>
    <row r="8124" spans="1:10" x14ac:dyDescent="0.25">
      <c r="A8124" t="s">
        <v>4974</v>
      </c>
      <c r="B8124" t="s">
        <v>5988</v>
      </c>
      <c r="C8124" t="s">
        <v>6053</v>
      </c>
      <c r="D8124" s="1" t="s">
        <v>6054</v>
      </c>
      <c r="E8124" t="s">
        <v>14</v>
      </c>
      <c r="F8124">
        <v>70.212199999999996</v>
      </c>
      <c r="G8124">
        <v>28.1586</v>
      </c>
      <c r="H8124">
        <v>2</v>
      </c>
      <c r="I8124">
        <v>32</v>
      </c>
      <c r="J8124" t="str">
        <f>HYPERLINK("https://climate.onebuilding.org/WMO_Region_6_Europe/NOR_Norway/FI_Finnmark/NOR_FI_Tanabru.010760_TMYx.2007-2021.zip")</f>
        <v>https://climate.onebuilding.org/WMO_Region_6_Europe/NOR_Norway/FI_Finnmark/NOR_FI_Tanabru.010760_TMYx.2007-2021.zip</v>
      </c>
    </row>
    <row r="8125" spans="1:10" x14ac:dyDescent="0.25">
      <c r="A8125" t="s">
        <v>4974</v>
      </c>
      <c r="B8125" t="s">
        <v>5988</v>
      </c>
      <c r="C8125" t="s">
        <v>6053</v>
      </c>
      <c r="D8125" s="1" t="s">
        <v>6054</v>
      </c>
      <c r="E8125" t="s">
        <v>14</v>
      </c>
      <c r="F8125">
        <v>70.212199999999996</v>
      </c>
      <c r="G8125">
        <v>28.1586</v>
      </c>
      <c r="H8125">
        <v>2</v>
      </c>
      <c r="I8125">
        <v>32</v>
      </c>
      <c r="J8125" t="str">
        <f>HYPERLINK("https://climate.onebuilding.org/WMO_Region_6_Europe/NOR_Norway/FI_Finnmark/NOR_FI_Tanabru.010760_TMYx.2009-2023.zip")</f>
        <v>https://climate.onebuilding.org/WMO_Region_6_Europe/NOR_Norway/FI_Finnmark/NOR_FI_Tanabru.010760_TMYx.2009-2023.zip</v>
      </c>
    </row>
    <row r="8126" spans="1:10" x14ac:dyDescent="0.25">
      <c r="A8126" t="s">
        <v>4974</v>
      </c>
      <c r="B8126" t="s">
        <v>5988</v>
      </c>
      <c r="C8126" t="s">
        <v>6053</v>
      </c>
      <c r="D8126" s="1" t="s">
        <v>6054</v>
      </c>
      <c r="E8126" t="s">
        <v>14</v>
      </c>
      <c r="F8126">
        <v>70.212199999999996</v>
      </c>
      <c r="G8126">
        <v>28.1586</v>
      </c>
      <c r="H8126">
        <v>2</v>
      </c>
      <c r="I8126">
        <v>32</v>
      </c>
      <c r="J8126" t="str">
        <f>HYPERLINK("https://climate.onebuilding.org/WMO_Region_6_Europe/NOR_Norway/FI_Finnmark/NOR_FI_Tanabru.010760_TMYx.zip")</f>
        <v>https://climate.onebuilding.org/WMO_Region_6_Europe/NOR_Norway/FI_Finnmark/NOR_FI_Tanabru.010760_TMYx.zip</v>
      </c>
    </row>
    <row r="8127" spans="1:10" x14ac:dyDescent="0.25">
      <c r="A8127" t="s">
        <v>4974</v>
      </c>
      <c r="B8127" t="s">
        <v>5988</v>
      </c>
      <c r="C8127" t="s">
        <v>6056</v>
      </c>
      <c r="D8127" s="1" t="s">
        <v>6057</v>
      </c>
      <c r="E8127" t="s">
        <v>6058</v>
      </c>
      <c r="F8127">
        <v>71.088899999999995</v>
      </c>
      <c r="G8127">
        <v>28.216899999999999</v>
      </c>
      <c r="H8127">
        <v>2</v>
      </c>
      <c r="I8127">
        <v>10</v>
      </c>
      <c r="J8127" t="str">
        <f>HYPERLINK("https://climate.onebuilding.org/WMO_Region_6_Europe/NOR_Norway/FI_Finnmark/NOR_FI_Slettnes.Lighthouse.010780_TMYx.2004-2018.zip")</f>
        <v>https://climate.onebuilding.org/WMO_Region_6_Europe/NOR_Norway/FI_Finnmark/NOR_FI_Slettnes.Lighthouse.010780_TMYx.2004-2018.zip</v>
      </c>
    </row>
    <row r="8128" spans="1:10" x14ac:dyDescent="0.25">
      <c r="A8128" t="s">
        <v>4974</v>
      </c>
      <c r="B8128" t="s">
        <v>5988</v>
      </c>
      <c r="C8128" t="s">
        <v>6056</v>
      </c>
      <c r="D8128" s="1" t="s">
        <v>6057</v>
      </c>
      <c r="E8128" t="s">
        <v>14</v>
      </c>
      <c r="F8128">
        <v>71.088899999999995</v>
      </c>
      <c r="G8128">
        <v>28.216899999999999</v>
      </c>
      <c r="H8128">
        <v>2</v>
      </c>
      <c r="I8128">
        <v>10</v>
      </c>
      <c r="J8128" t="str">
        <f>HYPERLINK("https://climate.onebuilding.org/WMO_Region_6_Europe/NOR_Norway/FI_Finnmark/NOR_FI_Slettnes.Lighthouse.010780_TMYx.2007-2021.zip")</f>
        <v>https://climate.onebuilding.org/WMO_Region_6_Europe/NOR_Norway/FI_Finnmark/NOR_FI_Slettnes.Lighthouse.010780_TMYx.2007-2021.zip</v>
      </c>
    </row>
    <row r="8129" spans="1:10" x14ac:dyDescent="0.25">
      <c r="A8129" t="s">
        <v>4974</v>
      </c>
      <c r="B8129" t="s">
        <v>5988</v>
      </c>
      <c r="C8129" t="s">
        <v>6056</v>
      </c>
      <c r="D8129" s="1" t="s">
        <v>6057</v>
      </c>
      <c r="E8129" t="s">
        <v>14</v>
      </c>
      <c r="F8129">
        <v>71.088899999999995</v>
      </c>
      <c r="G8129">
        <v>28.216899999999999</v>
      </c>
      <c r="H8129">
        <v>2</v>
      </c>
      <c r="I8129">
        <v>10</v>
      </c>
      <c r="J8129" t="str">
        <f>HYPERLINK("https://climate.onebuilding.org/WMO_Region_6_Europe/NOR_Norway/FI_Finnmark/NOR_FI_Slettnes.Lighthouse.010780_TMYx.2009-2023.zip")</f>
        <v>https://climate.onebuilding.org/WMO_Region_6_Europe/NOR_Norway/FI_Finnmark/NOR_FI_Slettnes.Lighthouse.010780_TMYx.2009-2023.zip</v>
      </c>
    </row>
    <row r="8130" spans="1:10" x14ac:dyDescent="0.25">
      <c r="A8130" t="s">
        <v>4974</v>
      </c>
      <c r="B8130" t="s">
        <v>5988</v>
      </c>
      <c r="C8130" t="s">
        <v>6056</v>
      </c>
      <c r="D8130" s="1" t="s">
        <v>6057</v>
      </c>
      <c r="E8130" t="s">
        <v>14</v>
      </c>
      <c r="F8130">
        <v>71.088899999999995</v>
      </c>
      <c r="G8130">
        <v>28.216899999999999</v>
      </c>
      <c r="H8130">
        <v>2</v>
      </c>
      <c r="I8130">
        <v>10</v>
      </c>
      <c r="J8130" t="str">
        <f>HYPERLINK("https://climate.onebuilding.org/WMO_Region_6_Europe/NOR_Norway/FI_Finnmark/NOR_FI_Slettnes.Lighthouse.010780_TMYx.zip")</f>
        <v>https://climate.onebuilding.org/WMO_Region_6_Europe/NOR_Norway/FI_Finnmark/NOR_FI_Slettnes.Lighthouse.010780_TMYx.zip</v>
      </c>
    </row>
    <row r="8131" spans="1:10" x14ac:dyDescent="0.25">
      <c r="A8131" t="s">
        <v>4974</v>
      </c>
      <c r="B8131" t="s">
        <v>5988</v>
      </c>
      <c r="C8131" t="s">
        <v>6059</v>
      </c>
      <c r="D8131" s="1" t="s">
        <v>6060</v>
      </c>
      <c r="E8131" t="s">
        <v>6061</v>
      </c>
      <c r="F8131">
        <v>69.146900000000002</v>
      </c>
      <c r="G8131">
        <v>29.2439</v>
      </c>
      <c r="H8131">
        <v>2</v>
      </c>
      <c r="I8131">
        <v>54.9</v>
      </c>
      <c r="J8131" t="str">
        <f>HYPERLINK("https://climate.onebuilding.org/WMO_Region_6_Europe/NOR_Norway/FI_Finnmark/NOR_FI_Nyrud.010820_TMYx.2004-2018.zip")</f>
        <v>https://climate.onebuilding.org/WMO_Region_6_Europe/NOR_Norway/FI_Finnmark/NOR_FI_Nyrud.010820_TMYx.2004-2018.zip</v>
      </c>
    </row>
    <row r="8132" spans="1:10" x14ac:dyDescent="0.25">
      <c r="A8132" t="s">
        <v>4974</v>
      </c>
      <c r="B8132" t="s">
        <v>5988</v>
      </c>
      <c r="C8132" t="s">
        <v>6059</v>
      </c>
      <c r="D8132" s="1" t="s">
        <v>6060</v>
      </c>
      <c r="E8132" t="s">
        <v>14</v>
      </c>
      <c r="F8132">
        <v>69.146900000000002</v>
      </c>
      <c r="G8132">
        <v>29.2439</v>
      </c>
      <c r="H8132">
        <v>2</v>
      </c>
      <c r="I8132">
        <v>54.9</v>
      </c>
      <c r="J8132" t="str">
        <f>HYPERLINK("https://climate.onebuilding.org/WMO_Region_6_Europe/NOR_Norway/FI_Finnmark/NOR_FI_Nyrud.010820_TMYx.2007-2021.zip")</f>
        <v>https://climate.onebuilding.org/WMO_Region_6_Europe/NOR_Norway/FI_Finnmark/NOR_FI_Nyrud.010820_TMYx.2007-2021.zip</v>
      </c>
    </row>
    <row r="8133" spans="1:10" x14ac:dyDescent="0.25">
      <c r="A8133" t="s">
        <v>4974</v>
      </c>
      <c r="B8133" t="s">
        <v>5988</v>
      </c>
      <c r="C8133" t="s">
        <v>6059</v>
      </c>
      <c r="D8133" s="1" t="s">
        <v>6060</v>
      </c>
      <c r="E8133" t="s">
        <v>14</v>
      </c>
      <c r="F8133">
        <v>69.146900000000002</v>
      </c>
      <c r="G8133">
        <v>29.2439</v>
      </c>
      <c r="H8133">
        <v>2</v>
      </c>
      <c r="I8133">
        <v>54.9</v>
      </c>
      <c r="J8133" t="str">
        <f>HYPERLINK("https://climate.onebuilding.org/WMO_Region_6_Europe/NOR_Norway/FI_Finnmark/NOR_FI_Nyrud.010820_TMYx.2009-2023.zip")</f>
        <v>https://climate.onebuilding.org/WMO_Region_6_Europe/NOR_Norway/FI_Finnmark/NOR_FI_Nyrud.010820_TMYx.2009-2023.zip</v>
      </c>
    </row>
    <row r="8134" spans="1:10" x14ac:dyDescent="0.25">
      <c r="A8134" t="s">
        <v>4974</v>
      </c>
      <c r="B8134" t="s">
        <v>5988</v>
      </c>
      <c r="C8134" t="s">
        <v>6059</v>
      </c>
      <c r="D8134" s="1" t="s">
        <v>6060</v>
      </c>
      <c r="E8134" t="s">
        <v>14</v>
      </c>
      <c r="F8134">
        <v>69.146900000000002</v>
      </c>
      <c r="G8134">
        <v>29.2439</v>
      </c>
      <c r="H8134">
        <v>2</v>
      </c>
      <c r="I8134">
        <v>54.9</v>
      </c>
      <c r="J8134" t="str">
        <f>HYPERLINK("https://climate.onebuilding.org/WMO_Region_6_Europe/NOR_Norway/FI_Finnmark/NOR_FI_Nyrud.010820_TMYx.zip")</f>
        <v>https://climate.onebuilding.org/WMO_Region_6_Europe/NOR_Norway/FI_Finnmark/NOR_FI_Nyrud.010820_TMYx.zip</v>
      </c>
    </row>
    <row r="8135" spans="1:10" x14ac:dyDescent="0.25">
      <c r="A8135" t="s">
        <v>4974</v>
      </c>
      <c r="B8135" t="s">
        <v>5988</v>
      </c>
      <c r="C8135" t="s">
        <v>6062</v>
      </c>
      <c r="D8135" s="1" t="s">
        <v>6063</v>
      </c>
      <c r="E8135" t="s">
        <v>6064</v>
      </c>
      <c r="F8135">
        <v>70.870800000000003</v>
      </c>
      <c r="G8135">
        <v>29.034700000000001</v>
      </c>
      <c r="H8135">
        <v>2</v>
      </c>
      <c r="I8135">
        <v>12.8</v>
      </c>
      <c r="J8135" t="str">
        <f>HYPERLINK("https://climate.onebuilding.org/WMO_Region_6_Europe/NOR_Norway/FI_Finnmark/NOR_FI_Berlevag.AP.010830_TMYx.2004-2018.zip")</f>
        <v>https://climate.onebuilding.org/WMO_Region_6_Europe/NOR_Norway/FI_Finnmark/NOR_FI_Berlevag.AP.010830_TMYx.2004-2018.zip</v>
      </c>
    </row>
    <row r="8136" spans="1:10" x14ac:dyDescent="0.25">
      <c r="A8136" t="s">
        <v>4974</v>
      </c>
      <c r="B8136" t="s">
        <v>5988</v>
      </c>
      <c r="C8136" t="s">
        <v>6062</v>
      </c>
      <c r="D8136" s="1" t="s">
        <v>6063</v>
      </c>
      <c r="E8136" t="s">
        <v>14</v>
      </c>
      <c r="F8136">
        <v>70.870800000000003</v>
      </c>
      <c r="G8136">
        <v>29.034700000000001</v>
      </c>
      <c r="H8136">
        <v>2</v>
      </c>
      <c r="I8136">
        <v>12.8</v>
      </c>
      <c r="J8136" t="str">
        <f>HYPERLINK("https://climate.onebuilding.org/WMO_Region_6_Europe/NOR_Norway/FI_Finnmark/NOR_FI_Berlevag.AP.010830_TMYx.2007-2021.zip")</f>
        <v>https://climate.onebuilding.org/WMO_Region_6_Europe/NOR_Norway/FI_Finnmark/NOR_FI_Berlevag.AP.010830_TMYx.2007-2021.zip</v>
      </c>
    </row>
    <row r="8137" spans="1:10" x14ac:dyDescent="0.25">
      <c r="A8137" t="s">
        <v>4974</v>
      </c>
      <c r="B8137" t="s">
        <v>5988</v>
      </c>
      <c r="C8137" t="s">
        <v>6062</v>
      </c>
      <c r="D8137" s="1" t="s">
        <v>6063</v>
      </c>
      <c r="E8137" t="s">
        <v>14</v>
      </c>
      <c r="F8137">
        <v>70.870800000000003</v>
      </c>
      <c r="G8137">
        <v>29.034700000000001</v>
      </c>
      <c r="H8137">
        <v>2</v>
      </c>
      <c r="I8137">
        <v>12.8</v>
      </c>
      <c r="J8137" t="str">
        <f>HYPERLINK("https://climate.onebuilding.org/WMO_Region_6_Europe/NOR_Norway/FI_Finnmark/NOR_FI_Berlevag.AP.010830_TMYx.2009-2023.zip")</f>
        <v>https://climate.onebuilding.org/WMO_Region_6_Europe/NOR_Norway/FI_Finnmark/NOR_FI_Berlevag.AP.010830_TMYx.2009-2023.zip</v>
      </c>
    </row>
    <row r="8138" spans="1:10" x14ac:dyDescent="0.25">
      <c r="A8138" t="s">
        <v>4974</v>
      </c>
      <c r="B8138" t="s">
        <v>5988</v>
      </c>
      <c r="C8138" t="s">
        <v>6062</v>
      </c>
      <c r="D8138" s="1" t="s">
        <v>6063</v>
      </c>
      <c r="E8138" t="s">
        <v>14</v>
      </c>
      <c r="F8138">
        <v>70.870800000000003</v>
      </c>
      <c r="G8138">
        <v>29.034700000000001</v>
      </c>
      <c r="H8138">
        <v>2</v>
      </c>
      <c r="I8138">
        <v>12.8</v>
      </c>
      <c r="J8138" t="str">
        <f>HYPERLINK("https://climate.onebuilding.org/WMO_Region_6_Europe/NOR_Norway/FI_Finnmark/NOR_FI_Berlevag.AP.010830_TMYx.zip")</f>
        <v>https://climate.onebuilding.org/WMO_Region_6_Europe/NOR_Norway/FI_Finnmark/NOR_FI_Berlevag.AP.010830_TMYx.zip</v>
      </c>
    </row>
    <row r="8139" spans="1:10" x14ac:dyDescent="0.25">
      <c r="A8139" t="s">
        <v>4974</v>
      </c>
      <c r="B8139" t="s">
        <v>5988</v>
      </c>
      <c r="C8139" t="s">
        <v>6065</v>
      </c>
      <c r="D8139" s="1" t="s">
        <v>6066</v>
      </c>
      <c r="E8139" t="s">
        <v>6067</v>
      </c>
      <c r="F8139">
        <v>69.455299999999994</v>
      </c>
      <c r="G8139">
        <v>30.0411</v>
      </c>
      <c r="H8139">
        <v>2</v>
      </c>
      <c r="I8139">
        <v>27</v>
      </c>
      <c r="J8139" t="str">
        <f>HYPERLINK("https://climate.onebuilding.org/WMO_Region_6_Europe/NOR_Norway/FI_Finnmark/NOR_FI_Pasvik.010840_TMYx.2004-2018.zip")</f>
        <v>https://climate.onebuilding.org/WMO_Region_6_Europe/NOR_Norway/FI_Finnmark/NOR_FI_Pasvik.010840_TMYx.2004-2018.zip</v>
      </c>
    </row>
    <row r="8140" spans="1:10" x14ac:dyDescent="0.25">
      <c r="A8140" t="s">
        <v>4974</v>
      </c>
      <c r="B8140" t="s">
        <v>5988</v>
      </c>
      <c r="C8140" t="s">
        <v>6065</v>
      </c>
      <c r="D8140" s="1" t="s">
        <v>6066</v>
      </c>
      <c r="E8140" t="s">
        <v>14</v>
      </c>
      <c r="F8140">
        <v>69.455299999999994</v>
      </c>
      <c r="G8140">
        <v>30.0411</v>
      </c>
      <c r="H8140">
        <v>2</v>
      </c>
      <c r="I8140">
        <v>27</v>
      </c>
      <c r="J8140" t="str">
        <f>HYPERLINK("https://climate.onebuilding.org/WMO_Region_6_Europe/NOR_Norway/FI_Finnmark/NOR_FI_Pasvik.010840_TMYx.2007-2021.zip")</f>
        <v>https://climate.onebuilding.org/WMO_Region_6_Europe/NOR_Norway/FI_Finnmark/NOR_FI_Pasvik.010840_TMYx.2007-2021.zip</v>
      </c>
    </row>
    <row r="8141" spans="1:10" x14ac:dyDescent="0.25">
      <c r="A8141" t="s">
        <v>4974</v>
      </c>
      <c r="B8141" t="s">
        <v>5988</v>
      </c>
      <c r="C8141" t="s">
        <v>6065</v>
      </c>
      <c r="D8141" s="1" t="s">
        <v>6066</v>
      </c>
      <c r="E8141" t="s">
        <v>14</v>
      </c>
      <c r="F8141">
        <v>69.455299999999994</v>
      </c>
      <c r="G8141">
        <v>30.0411</v>
      </c>
      <c r="H8141">
        <v>2</v>
      </c>
      <c r="I8141">
        <v>27</v>
      </c>
      <c r="J8141" t="str">
        <f>HYPERLINK("https://climate.onebuilding.org/WMO_Region_6_Europe/NOR_Norway/FI_Finnmark/NOR_FI_Pasvik.010840_TMYx.2009-2023.zip")</f>
        <v>https://climate.onebuilding.org/WMO_Region_6_Europe/NOR_Norway/FI_Finnmark/NOR_FI_Pasvik.010840_TMYx.2009-2023.zip</v>
      </c>
    </row>
    <row r="8142" spans="1:10" x14ac:dyDescent="0.25">
      <c r="A8142" t="s">
        <v>4974</v>
      </c>
      <c r="B8142" t="s">
        <v>5988</v>
      </c>
      <c r="C8142" t="s">
        <v>6065</v>
      </c>
      <c r="D8142" s="1" t="s">
        <v>6066</v>
      </c>
      <c r="E8142" t="s">
        <v>14</v>
      </c>
      <c r="F8142">
        <v>69.455299999999994</v>
      </c>
      <c r="G8142">
        <v>30.0411</v>
      </c>
      <c r="H8142">
        <v>2</v>
      </c>
      <c r="I8142">
        <v>27</v>
      </c>
      <c r="J8142" t="str">
        <f>HYPERLINK("https://climate.onebuilding.org/WMO_Region_6_Europe/NOR_Norway/FI_Finnmark/NOR_FI_Pasvik.010840_TMYx.zip")</f>
        <v>https://climate.onebuilding.org/WMO_Region_6_Europe/NOR_Norway/FI_Finnmark/NOR_FI_Pasvik.010840_TMYx.zip</v>
      </c>
    </row>
    <row r="8143" spans="1:10" x14ac:dyDescent="0.25">
      <c r="A8143" t="s">
        <v>4974</v>
      </c>
      <c r="B8143" t="s">
        <v>5988</v>
      </c>
      <c r="C8143" t="s">
        <v>6068</v>
      </c>
      <c r="D8143" s="1" t="s">
        <v>6069</v>
      </c>
      <c r="E8143" t="s">
        <v>6070</v>
      </c>
      <c r="F8143">
        <v>70.602800000000002</v>
      </c>
      <c r="G8143">
        <v>29.7</v>
      </c>
      <c r="H8143">
        <v>2</v>
      </c>
      <c r="I8143">
        <v>149.4</v>
      </c>
      <c r="J8143" t="str">
        <f>HYPERLINK("https://climate.onebuilding.org/WMO_Region_6_Europe/NOR_Norway/FI_Finnmark/NOR_FI_Batsfjord.AP.010860_TMYx.2004-2018.zip")</f>
        <v>https://climate.onebuilding.org/WMO_Region_6_Europe/NOR_Norway/FI_Finnmark/NOR_FI_Batsfjord.AP.010860_TMYx.2004-2018.zip</v>
      </c>
    </row>
    <row r="8144" spans="1:10" x14ac:dyDescent="0.25">
      <c r="A8144" t="s">
        <v>4974</v>
      </c>
      <c r="B8144" t="s">
        <v>5988</v>
      </c>
      <c r="C8144" t="s">
        <v>6068</v>
      </c>
      <c r="D8144" s="1" t="s">
        <v>6069</v>
      </c>
      <c r="E8144" t="s">
        <v>14</v>
      </c>
      <c r="F8144">
        <v>70.602800000000002</v>
      </c>
      <c r="G8144">
        <v>29.7</v>
      </c>
      <c r="H8144">
        <v>2</v>
      </c>
      <c r="I8144">
        <v>149.4</v>
      </c>
      <c r="J8144" t="str">
        <f>HYPERLINK("https://climate.onebuilding.org/WMO_Region_6_Europe/NOR_Norway/FI_Finnmark/NOR_FI_Batsfjord.AP.010860_TMYx.2007-2021.zip")</f>
        <v>https://climate.onebuilding.org/WMO_Region_6_Europe/NOR_Norway/FI_Finnmark/NOR_FI_Batsfjord.AP.010860_TMYx.2007-2021.zip</v>
      </c>
    </row>
    <row r="8145" spans="1:10" x14ac:dyDescent="0.25">
      <c r="A8145" t="s">
        <v>4974</v>
      </c>
      <c r="B8145" t="s">
        <v>5988</v>
      </c>
      <c r="C8145" t="s">
        <v>6068</v>
      </c>
      <c r="D8145" s="1" t="s">
        <v>6069</v>
      </c>
      <c r="E8145" t="s">
        <v>14</v>
      </c>
      <c r="F8145">
        <v>70.602800000000002</v>
      </c>
      <c r="G8145">
        <v>29.7</v>
      </c>
      <c r="H8145">
        <v>2</v>
      </c>
      <c r="I8145">
        <v>149.4</v>
      </c>
      <c r="J8145" t="str">
        <f>HYPERLINK("https://climate.onebuilding.org/WMO_Region_6_Europe/NOR_Norway/FI_Finnmark/NOR_FI_Batsfjord.AP.010860_TMYx.2009-2023.zip")</f>
        <v>https://climate.onebuilding.org/WMO_Region_6_Europe/NOR_Norway/FI_Finnmark/NOR_FI_Batsfjord.AP.010860_TMYx.2009-2023.zip</v>
      </c>
    </row>
    <row r="8146" spans="1:10" x14ac:dyDescent="0.25">
      <c r="A8146" t="s">
        <v>4974</v>
      </c>
      <c r="B8146" t="s">
        <v>5988</v>
      </c>
      <c r="C8146" t="s">
        <v>6068</v>
      </c>
      <c r="D8146" s="1" t="s">
        <v>6069</v>
      </c>
      <c r="E8146" t="s">
        <v>14</v>
      </c>
      <c r="F8146">
        <v>70.602800000000002</v>
      </c>
      <c r="G8146">
        <v>29.7</v>
      </c>
      <c r="H8146">
        <v>2</v>
      </c>
      <c r="I8146">
        <v>149.4</v>
      </c>
      <c r="J8146" t="str">
        <f>HYPERLINK("https://climate.onebuilding.org/WMO_Region_6_Europe/NOR_Norway/FI_Finnmark/NOR_FI_Batsfjord.AP.010860_TMYx.zip")</f>
        <v>https://climate.onebuilding.org/WMO_Region_6_Europe/NOR_Norway/FI_Finnmark/NOR_FI_Batsfjord.AP.010860_TMYx.zip</v>
      </c>
    </row>
    <row r="8147" spans="1:10" x14ac:dyDescent="0.25">
      <c r="A8147" t="s">
        <v>4974</v>
      </c>
      <c r="B8147" t="s">
        <v>5988</v>
      </c>
      <c r="C8147" t="s">
        <v>6071</v>
      </c>
      <c r="D8147" s="1" t="s">
        <v>6072</v>
      </c>
      <c r="E8147" t="s">
        <v>6073</v>
      </c>
      <c r="F8147">
        <v>70.065299999999993</v>
      </c>
      <c r="G8147">
        <v>29.8353</v>
      </c>
      <c r="H8147">
        <v>2</v>
      </c>
      <c r="I8147">
        <v>38.700000000000003</v>
      </c>
      <c r="J8147" t="str">
        <f>HYPERLINK("https://climate.onebuilding.org/WMO_Region_6_Europe/NOR_Norway/FI_Finnmark/NOR_FI_Vadso.AP.010880_TMYx.2004-2018.zip")</f>
        <v>https://climate.onebuilding.org/WMO_Region_6_Europe/NOR_Norway/FI_Finnmark/NOR_FI_Vadso.AP.010880_TMYx.2004-2018.zip</v>
      </c>
    </row>
    <row r="8148" spans="1:10" x14ac:dyDescent="0.25">
      <c r="A8148" t="s">
        <v>4974</v>
      </c>
      <c r="B8148" t="s">
        <v>5988</v>
      </c>
      <c r="C8148" t="s">
        <v>6071</v>
      </c>
      <c r="D8148" s="1" t="s">
        <v>6072</v>
      </c>
      <c r="E8148" t="s">
        <v>14</v>
      </c>
      <c r="F8148">
        <v>70.065299999999993</v>
      </c>
      <c r="G8148">
        <v>29.8353</v>
      </c>
      <c r="H8148">
        <v>2</v>
      </c>
      <c r="I8148">
        <v>38.700000000000003</v>
      </c>
      <c r="J8148" t="str">
        <f>HYPERLINK("https://climate.onebuilding.org/WMO_Region_6_Europe/NOR_Norway/FI_Finnmark/NOR_FI_Vadso.AP.010880_TMYx.2007-2021.zip")</f>
        <v>https://climate.onebuilding.org/WMO_Region_6_Europe/NOR_Norway/FI_Finnmark/NOR_FI_Vadso.AP.010880_TMYx.2007-2021.zip</v>
      </c>
    </row>
    <row r="8149" spans="1:10" x14ac:dyDescent="0.25">
      <c r="A8149" t="s">
        <v>4974</v>
      </c>
      <c r="B8149" t="s">
        <v>5988</v>
      </c>
      <c r="C8149" t="s">
        <v>6071</v>
      </c>
      <c r="D8149" s="1" t="s">
        <v>6072</v>
      </c>
      <c r="E8149" t="s">
        <v>14</v>
      </c>
      <c r="F8149">
        <v>70.065299999999993</v>
      </c>
      <c r="G8149">
        <v>29.8353</v>
      </c>
      <c r="H8149">
        <v>2</v>
      </c>
      <c r="I8149">
        <v>38.700000000000003</v>
      </c>
      <c r="J8149" t="str">
        <f>HYPERLINK("https://climate.onebuilding.org/WMO_Region_6_Europe/NOR_Norway/FI_Finnmark/NOR_FI_Vadso.AP.010880_TMYx.2009-2023.zip")</f>
        <v>https://climate.onebuilding.org/WMO_Region_6_Europe/NOR_Norway/FI_Finnmark/NOR_FI_Vadso.AP.010880_TMYx.2009-2023.zip</v>
      </c>
    </row>
    <row r="8150" spans="1:10" x14ac:dyDescent="0.25">
      <c r="A8150" t="s">
        <v>4974</v>
      </c>
      <c r="B8150" t="s">
        <v>5988</v>
      </c>
      <c r="C8150" t="s">
        <v>6071</v>
      </c>
      <c r="D8150" s="1" t="s">
        <v>6072</v>
      </c>
      <c r="E8150" t="s">
        <v>14</v>
      </c>
      <c r="F8150">
        <v>70.065299999999993</v>
      </c>
      <c r="G8150">
        <v>29.8353</v>
      </c>
      <c r="H8150">
        <v>2</v>
      </c>
      <c r="I8150">
        <v>38.700000000000003</v>
      </c>
      <c r="J8150" t="str">
        <f>HYPERLINK("https://climate.onebuilding.org/WMO_Region_6_Europe/NOR_Norway/FI_Finnmark/NOR_FI_Vadso.AP.010880_TMYx.zip")</f>
        <v>https://climate.onebuilding.org/WMO_Region_6_Europe/NOR_Norway/FI_Finnmark/NOR_FI_Vadso.AP.010880_TMYx.zip</v>
      </c>
    </row>
    <row r="8151" spans="1:10" x14ac:dyDescent="0.25">
      <c r="A8151" t="s">
        <v>4974</v>
      </c>
      <c r="B8151" t="s">
        <v>5988</v>
      </c>
      <c r="C8151" t="s">
        <v>6074</v>
      </c>
      <c r="D8151" s="1" t="s">
        <v>6075</v>
      </c>
      <c r="E8151" t="s">
        <v>6076</v>
      </c>
      <c r="F8151">
        <v>69.725300000000004</v>
      </c>
      <c r="G8151">
        <v>29.897500000000001</v>
      </c>
      <c r="H8151">
        <v>2</v>
      </c>
      <c r="I8151">
        <v>86.3</v>
      </c>
      <c r="J8151" t="str">
        <f>HYPERLINK("https://climate.onebuilding.org/WMO_Region_6_Europe/NOR_Norway/FI_Finnmark/NOR_FI_Kirkenes.AP-Hoybuktmoen.010890_TMYx.2004-2018.zip")</f>
        <v>https://climate.onebuilding.org/WMO_Region_6_Europe/NOR_Norway/FI_Finnmark/NOR_FI_Kirkenes.AP-Hoybuktmoen.010890_TMYx.2004-2018.zip</v>
      </c>
    </row>
    <row r="8152" spans="1:10" x14ac:dyDescent="0.25">
      <c r="A8152" t="s">
        <v>4974</v>
      </c>
      <c r="B8152" t="s">
        <v>5988</v>
      </c>
      <c r="C8152" t="s">
        <v>6074</v>
      </c>
      <c r="D8152" s="1" t="s">
        <v>6075</v>
      </c>
      <c r="E8152" t="s">
        <v>14</v>
      </c>
      <c r="F8152">
        <v>69.725300000000004</v>
      </c>
      <c r="G8152">
        <v>29.897500000000001</v>
      </c>
      <c r="H8152">
        <v>2</v>
      </c>
      <c r="I8152">
        <v>86.3</v>
      </c>
      <c r="J8152" t="str">
        <f>HYPERLINK("https://climate.onebuilding.org/WMO_Region_6_Europe/NOR_Norway/FI_Finnmark/NOR_FI_Kirkenes.AP-Hoybuktmoen.010890_TMYx.2007-2021.zip")</f>
        <v>https://climate.onebuilding.org/WMO_Region_6_Europe/NOR_Norway/FI_Finnmark/NOR_FI_Kirkenes.AP-Hoybuktmoen.010890_TMYx.2007-2021.zip</v>
      </c>
    </row>
    <row r="8153" spans="1:10" x14ac:dyDescent="0.25">
      <c r="A8153" t="s">
        <v>4974</v>
      </c>
      <c r="B8153" t="s">
        <v>5988</v>
      </c>
      <c r="C8153" t="s">
        <v>6074</v>
      </c>
      <c r="D8153" s="1" t="s">
        <v>6075</v>
      </c>
      <c r="E8153" t="s">
        <v>14</v>
      </c>
      <c r="F8153">
        <v>69.725300000000004</v>
      </c>
      <c r="G8153">
        <v>29.897500000000001</v>
      </c>
      <c r="H8153">
        <v>2</v>
      </c>
      <c r="I8153">
        <v>86.3</v>
      </c>
      <c r="J8153" t="str">
        <f>HYPERLINK("https://climate.onebuilding.org/WMO_Region_6_Europe/NOR_Norway/FI_Finnmark/NOR_FI_Kirkenes.AP-Hoybuktmoen.010890_TMYx.2009-2023.zip")</f>
        <v>https://climate.onebuilding.org/WMO_Region_6_Europe/NOR_Norway/FI_Finnmark/NOR_FI_Kirkenes.AP-Hoybuktmoen.010890_TMYx.2009-2023.zip</v>
      </c>
    </row>
    <row r="8154" spans="1:10" x14ac:dyDescent="0.25">
      <c r="A8154" t="s">
        <v>4974</v>
      </c>
      <c r="B8154" t="s">
        <v>5988</v>
      </c>
      <c r="C8154" t="s">
        <v>6074</v>
      </c>
      <c r="D8154" s="1" t="s">
        <v>6075</v>
      </c>
      <c r="E8154" t="s">
        <v>14</v>
      </c>
      <c r="F8154">
        <v>69.725300000000004</v>
      </c>
      <c r="G8154">
        <v>29.897500000000001</v>
      </c>
      <c r="H8154">
        <v>2</v>
      </c>
      <c r="I8154">
        <v>86.3</v>
      </c>
      <c r="J8154" t="str">
        <f>HYPERLINK("https://climate.onebuilding.org/WMO_Region_6_Europe/NOR_Norway/FI_Finnmark/NOR_FI_Kirkenes.AP-Hoybuktmoen.010890_TMYx.zip")</f>
        <v>https://climate.onebuilding.org/WMO_Region_6_Europe/NOR_Norway/FI_Finnmark/NOR_FI_Kirkenes.AP-Hoybuktmoen.010890_TMYx.zip</v>
      </c>
    </row>
    <row r="8155" spans="1:10" x14ac:dyDescent="0.25">
      <c r="A8155" t="s">
        <v>4974</v>
      </c>
      <c r="B8155" t="s">
        <v>5988</v>
      </c>
      <c r="C8155" t="s">
        <v>6077</v>
      </c>
      <c r="D8155" s="1" t="s">
        <v>6078</v>
      </c>
      <c r="E8155" t="s">
        <v>6079</v>
      </c>
      <c r="F8155">
        <v>70.707300000000004</v>
      </c>
      <c r="G8155">
        <v>30.078800000000001</v>
      </c>
      <c r="H8155">
        <v>2</v>
      </c>
      <c r="I8155">
        <v>9</v>
      </c>
      <c r="J8155" t="str">
        <f>HYPERLINK("https://climate.onebuilding.org/WMO_Region_6_Europe/NOR_Norway/FI_Finnmark/NOR_FI_Makkaur.Lighthouse.010920_TMYx.2004-2018.zip")</f>
        <v>https://climate.onebuilding.org/WMO_Region_6_Europe/NOR_Norway/FI_Finnmark/NOR_FI_Makkaur.Lighthouse.010920_TMYx.2004-2018.zip</v>
      </c>
    </row>
    <row r="8156" spans="1:10" x14ac:dyDescent="0.25">
      <c r="A8156" t="s">
        <v>4974</v>
      </c>
      <c r="B8156" t="s">
        <v>5988</v>
      </c>
      <c r="C8156" t="s">
        <v>6077</v>
      </c>
      <c r="D8156" s="1" t="s">
        <v>6078</v>
      </c>
      <c r="E8156" t="s">
        <v>14</v>
      </c>
      <c r="F8156">
        <v>70.707300000000004</v>
      </c>
      <c r="G8156">
        <v>30.078800000000001</v>
      </c>
      <c r="H8156">
        <v>2</v>
      </c>
      <c r="I8156">
        <v>9</v>
      </c>
      <c r="J8156" t="str">
        <f>HYPERLINK("https://climate.onebuilding.org/WMO_Region_6_Europe/NOR_Norway/FI_Finnmark/NOR_FI_Makkaur.Lighthouse.010920_TMYx.2007-2021.zip")</f>
        <v>https://climate.onebuilding.org/WMO_Region_6_Europe/NOR_Norway/FI_Finnmark/NOR_FI_Makkaur.Lighthouse.010920_TMYx.2007-2021.zip</v>
      </c>
    </row>
    <row r="8157" spans="1:10" x14ac:dyDescent="0.25">
      <c r="A8157" t="s">
        <v>4974</v>
      </c>
      <c r="B8157" t="s">
        <v>5988</v>
      </c>
      <c r="C8157" t="s">
        <v>6077</v>
      </c>
      <c r="D8157" s="1" t="s">
        <v>6078</v>
      </c>
      <c r="E8157" t="s">
        <v>14</v>
      </c>
      <c r="F8157">
        <v>70.707300000000004</v>
      </c>
      <c r="G8157">
        <v>30.078800000000001</v>
      </c>
      <c r="H8157">
        <v>2</v>
      </c>
      <c r="I8157">
        <v>9</v>
      </c>
      <c r="J8157" t="str">
        <f>HYPERLINK("https://climate.onebuilding.org/WMO_Region_6_Europe/NOR_Norway/FI_Finnmark/NOR_FI_Makkaur.Lighthouse.010920_TMYx.2009-2023.zip")</f>
        <v>https://climate.onebuilding.org/WMO_Region_6_Europe/NOR_Norway/FI_Finnmark/NOR_FI_Makkaur.Lighthouse.010920_TMYx.2009-2023.zip</v>
      </c>
    </row>
    <row r="8158" spans="1:10" x14ac:dyDescent="0.25">
      <c r="A8158" t="s">
        <v>4974</v>
      </c>
      <c r="B8158" t="s">
        <v>5988</v>
      </c>
      <c r="C8158" t="s">
        <v>6077</v>
      </c>
      <c r="D8158" s="1" t="s">
        <v>6078</v>
      </c>
      <c r="E8158" t="s">
        <v>14</v>
      </c>
      <c r="F8158">
        <v>70.707300000000004</v>
      </c>
      <c r="G8158">
        <v>30.078800000000001</v>
      </c>
      <c r="H8158">
        <v>2</v>
      </c>
      <c r="I8158">
        <v>9</v>
      </c>
      <c r="J8158" t="str">
        <f>HYPERLINK("https://climate.onebuilding.org/WMO_Region_6_Europe/NOR_Norway/FI_Finnmark/NOR_FI_Makkaur.Lighthouse.010920_TMYx.zip")</f>
        <v>https://climate.onebuilding.org/WMO_Region_6_Europe/NOR_Norway/FI_Finnmark/NOR_FI_Makkaur.Lighthouse.010920_TMYx.zip</v>
      </c>
    </row>
    <row r="8159" spans="1:10" x14ac:dyDescent="0.25">
      <c r="A8159" t="s">
        <v>4974</v>
      </c>
      <c r="B8159" t="s">
        <v>5988</v>
      </c>
      <c r="C8159" t="s">
        <v>6080</v>
      </c>
      <c r="D8159" s="1" t="s">
        <v>6081</v>
      </c>
      <c r="E8159" t="s">
        <v>6082</v>
      </c>
      <c r="F8159">
        <v>70.370800000000003</v>
      </c>
      <c r="G8159">
        <v>31.0961</v>
      </c>
      <c r="H8159">
        <v>2</v>
      </c>
      <c r="I8159">
        <v>14.6</v>
      </c>
      <c r="J8159" t="str">
        <f>HYPERLINK("https://climate.onebuilding.org/WMO_Region_6_Europe/NOR_Norway/FI_Finnmark/NOR_FI_Vardo.010980_TMYx.2004-2018.zip")</f>
        <v>https://climate.onebuilding.org/WMO_Region_6_Europe/NOR_Norway/FI_Finnmark/NOR_FI_Vardo.010980_TMYx.2004-2018.zip</v>
      </c>
    </row>
    <row r="8160" spans="1:10" x14ac:dyDescent="0.25">
      <c r="A8160" t="s">
        <v>4974</v>
      </c>
      <c r="B8160" t="s">
        <v>5988</v>
      </c>
      <c r="C8160" t="s">
        <v>6080</v>
      </c>
      <c r="D8160" s="1" t="s">
        <v>6081</v>
      </c>
      <c r="E8160" t="s">
        <v>14</v>
      </c>
      <c r="F8160">
        <v>70.370800000000003</v>
      </c>
      <c r="G8160">
        <v>31.0961</v>
      </c>
      <c r="H8160">
        <v>2</v>
      </c>
      <c r="I8160">
        <v>14.6</v>
      </c>
      <c r="J8160" t="str">
        <f>HYPERLINK("https://climate.onebuilding.org/WMO_Region_6_Europe/NOR_Norway/FI_Finnmark/NOR_FI_Vardo.010980_TMYx.2007-2021.zip")</f>
        <v>https://climate.onebuilding.org/WMO_Region_6_Europe/NOR_Norway/FI_Finnmark/NOR_FI_Vardo.010980_TMYx.2007-2021.zip</v>
      </c>
    </row>
    <row r="8161" spans="1:10" x14ac:dyDescent="0.25">
      <c r="A8161" t="s">
        <v>4974</v>
      </c>
      <c r="B8161" t="s">
        <v>5988</v>
      </c>
      <c r="C8161" t="s">
        <v>6080</v>
      </c>
      <c r="D8161" s="1" t="s">
        <v>6081</v>
      </c>
      <c r="E8161" t="s">
        <v>14</v>
      </c>
      <c r="F8161">
        <v>70.370800000000003</v>
      </c>
      <c r="G8161">
        <v>31.0961</v>
      </c>
      <c r="H8161">
        <v>2</v>
      </c>
      <c r="I8161">
        <v>14.6</v>
      </c>
      <c r="J8161" t="str">
        <f>HYPERLINK("https://climate.onebuilding.org/WMO_Region_6_Europe/NOR_Norway/FI_Finnmark/NOR_FI_Vardo.010980_TMYx.2009-2023.zip")</f>
        <v>https://climate.onebuilding.org/WMO_Region_6_Europe/NOR_Norway/FI_Finnmark/NOR_FI_Vardo.010980_TMYx.2009-2023.zip</v>
      </c>
    </row>
    <row r="8162" spans="1:10" x14ac:dyDescent="0.25">
      <c r="A8162" t="s">
        <v>4974</v>
      </c>
      <c r="B8162" t="s">
        <v>5988</v>
      </c>
      <c r="C8162" t="s">
        <v>6080</v>
      </c>
      <c r="D8162" s="1" t="s">
        <v>6081</v>
      </c>
      <c r="E8162" t="s">
        <v>14</v>
      </c>
      <c r="F8162">
        <v>70.370800000000003</v>
      </c>
      <c r="G8162">
        <v>31.0961</v>
      </c>
      <c r="H8162">
        <v>2</v>
      </c>
      <c r="I8162">
        <v>14.6</v>
      </c>
      <c r="J8162" t="str">
        <f>HYPERLINK("https://climate.onebuilding.org/WMO_Region_6_Europe/NOR_Norway/FI_Finnmark/NOR_FI_Vardo.010980_TMYx.zip")</f>
        <v>https://climate.onebuilding.org/WMO_Region_6_Europe/NOR_Norway/FI_Finnmark/NOR_FI_Vardo.010980_TMYx.zip</v>
      </c>
    </row>
    <row r="8163" spans="1:10" x14ac:dyDescent="0.25">
      <c r="A8163" t="s">
        <v>4974</v>
      </c>
      <c r="B8163" t="s">
        <v>5988</v>
      </c>
      <c r="C8163" t="s">
        <v>6083</v>
      </c>
      <c r="D8163" s="1" t="s">
        <v>6084</v>
      </c>
      <c r="E8163" t="s">
        <v>6085</v>
      </c>
      <c r="F8163">
        <v>70.354399999999998</v>
      </c>
      <c r="G8163">
        <v>31.043900000000001</v>
      </c>
      <c r="H8163">
        <v>2</v>
      </c>
      <c r="I8163">
        <v>12.8</v>
      </c>
      <c r="J8163" t="str">
        <f>HYPERLINK("https://climate.onebuilding.org/WMO_Region_6_Europe/NOR_Norway/FI_Finnmark/NOR_FI_Vardo.AP-Svartnes.010990_TMYx.2004-2018.zip")</f>
        <v>https://climate.onebuilding.org/WMO_Region_6_Europe/NOR_Norway/FI_Finnmark/NOR_FI_Vardo.AP-Svartnes.010990_TMYx.2004-2018.zip</v>
      </c>
    </row>
    <row r="8164" spans="1:10" x14ac:dyDescent="0.25">
      <c r="A8164" t="s">
        <v>4974</v>
      </c>
      <c r="B8164" t="s">
        <v>5988</v>
      </c>
      <c r="C8164" t="s">
        <v>6083</v>
      </c>
      <c r="D8164" s="1" t="s">
        <v>6084</v>
      </c>
      <c r="E8164" t="s">
        <v>14</v>
      </c>
      <c r="F8164">
        <v>70.354399999999998</v>
      </c>
      <c r="G8164">
        <v>31.043900000000001</v>
      </c>
      <c r="H8164">
        <v>2</v>
      </c>
      <c r="I8164">
        <v>12.8</v>
      </c>
      <c r="J8164" t="str">
        <f>HYPERLINK("https://climate.onebuilding.org/WMO_Region_6_Europe/NOR_Norway/FI_Finnmark/NOR_FI_Vardo.AP-Svartnes.010990_TMYx.2007-2021.zip")</f>
        <v>https://climate.onebuilding.org/WMO_Region_6_Europe/NOR_Norway/FI_Finnmark/NOR_FI_Vardo.AP-Svartnes.010990_TMYx.2007-2021.zip</v>
      </c>
    </row>
    <row r="8165" spans="1:10" x14ac:dyDescent="0.25">
      <c r="A8165" t="s">
        <v>4974</v>
      </c>
      <c r="B8165" t="s">
        <v>5988</v>
      </c>
      <c r="C8165" t="s">
        <v>6083</v>
      </c>
      <c r="D8165" s="1" t="s">
        <v>6084</v>
      </c>
      <c r="E8165" t="s">
        <v>14</v>
      </c>
      <c r="F8165">
        <v>70.354399999999998</v>
      </c>
      <c r="G8165">
        <v>31.043900000000001</v>
      </c>
      <c r="H8165">
        <v>2</v>
      </c>
      <c r="I8165">
        <v>12.8</v>
      </c>
      <c r="J8165" t="str">
        <f>HYPERLINK("https://climate.onebuilding.org/WMO_Region_6_Europe/NOR_Norway/FI_Finnmark/NOR_FI_Vardo.AP-Svartnes.010990_TMYx.2009-2023.zip")</f>
        <v>https://climate.onebuilding.org/WMO_Region_6_Europe/NOR_Norway/FI_Finnmark/NOR_FI_Vardo.AP-Svartnes.010990_TMYx.2009-2023.zip</v>
      </c>
    </row>
    <row r="8166" spans="1:10" x14ac:dyDescent="0.25">
      <c r="A8166" t="s">
        <v>4974</v>
      </c>
      <c r="B8166" t="s">
        <v>5988</v>
      </c>
      <c r="C8166" t="s">
        <v>6083</v>
      </c>
      <c r="D8166" s="1" t="s">
        <v>6084</v>
      </c>
      <c r="E8166" t="s">
        <v>14</v>
      </c>
      <c r="F8166">
        <v>70.354399999999998</v>
      </c>
      <c r="G8166">
        <v>31.043900000000001</v>
      </c>
      <c r="H8166">
        <v>2</v>
      </c>
      <c r="I8166">
        <v>12.8</v>
      </c>
      <c r="J8166" t="str">
        <f>HYPERLINK("https://climate.onebuilding.org/WMO_Region_6_Europe/NOR_Norway/FI_Finnmark/NOR_FI_Vardo.AP-Svartnes.010990_TMYx.zip")</f>
        <v>https://climate.onebuilding.org/WMO_Region_6_Europe/NOR_Norway/FI_Finnmark/NOR_FI_Vardo.AP-Svartnes.010990_TMYx.zip</v>
      </c>
    </row>
    <row r="8167" spans="1:10" x14ac:dyDescent="0.25">
      <c r="A8167" t="s">
        <v>4974</v>
      </c>
      <c r="B8167" t="s">
        <v>6086</v>
      </c>
      <c r="C8167" t="s">
        <v>6087</v>
      </c>
      <c r="D8167" s="1" t="s">
        <v>6088</v>
      </c>
      <c r="E8167" t="s">
        <v>6089</v>
      </c>
      <c r="F8167">
        <v>65.202200000000005</v>
      </c>
      <c r="G8167">
        <v>10.9964</v>
      </c>
      <c r="H8167">
        <v>1</v>
      </c>
      <c r="I8167">
        <v>15.6</v>
      </c>
      <c r="J8167" t="str">
        <f>HYPERLINK("https://climate.onebuilding.org/WMO_Region_6_Europe/NOR_Norway/TD_Trondelag/NOR_TD_Sklinna.Lighthouse.011020_TMYx.2004-2018.zip")</f>
        <v>https://climate.onebuilding.org/WMO_Region_6_Europe/NOR_Norway/TD_Trondelag/NOR_TD_Sklinna.Lighthouse.011020_TMYx.2004-2018.zip</v>
      </c>
    </row>
    <row r="8168" spans="1:10" x14ac:dyDescent="0.25">
      <c r="A8168" t="s">
        <v>4974</v>
      </c>
      <c r="B8168" t="s">
        <v>6086</v>
      </c>
      <c r="C8168" t="s">
        <v>6087</v>
      </c>
      <c r="D8168" s="1" t="s">
        <v>6088</v>
      </c>
      <c r="E8168" t="s">
        <v>14</v>
      </c>
      <c r="F8168">
        <v>65.202200000000005</v>
      </c>
      <c r="G8168">
        <v>10.9964</v>
      </c>
      <c r="H8168">
        <v>1</v>
      </c>
      <c r="I8168">
        <v>15.6</v>
      </c>
      <c r="J8168" t="str">
        <f>HYPERLINK("https://climate.onebuilding.org/WMO_Region_6_Europe/NOR_Norway/TD_Trondelag/NOR_TD_Sklinna.Lighthouse.011020_TMYx.2007-2021.zip")</f>
        <v>https://climate.onebuilding.org/WMO_Region_6_Europe/NOR_Norway/TD_Trondelag/NOR_TD_Sklinna.Lighthouse.011020_TMYx.2007-2021.zip</v>
      </c>
    </row>
    <row r="8169" spans="1:10" x14ac:dyDescent="0.25">
      <c r="A8169" t="s">
        <v>4974</v>
      </c>
      <c r="B8169" t="s">
        <v>6086</v>
      </c>
      <c r="C8169" t="s">
        <v>6087</v>
      </c>
      <c r="D8169" s="1" t="s">
        <v>6088</v>
      </c>
      <c r="E8169" t="s">
        <v>14</v>
      </c>
      <c r="F8169">
        <v>65.202200000000005</v>
      </c>
      <c r="G8169">
        <v>10.9964</v>
      </c>
      <c r="H8169">
        <v>1</v>
      </c>
      <c r="I8169">
        <v>15.6</v>
      </c>
      <c r="J8169" t="str">
        <f>HYPERLINK("https://climate.onebuilding.org/WMO_Region_6_Europe/NOR_Norway/TD_Trondelag/NOR_TD_Sklinna.Lighthouse.011020_TMYx.2009-2023.zip")</f>
        <v>https://climate.onebuilding.org/WMO_Region_6_Europe/NOR_Norway/TD_Trondelag/NOR_TD_Sklinna.Lighthouse.011020_TMYx.2009-2023.zip</v>
      </c>
    </row>
    <row r="8170" spans="1:10" x14ac:dyDescent="0.25">
      <c r="A8170" t="s">
        <v>4974</v>
      </c>
      <c r="B8170" t="s">
        <v>6086</v>
      </c>
      <c r="C8170" t="s">
        <v>6087</v>
      </c>
      <c r="D8170" s="1" t="s">
        <v>6088</v>
      </c>
      <c r="E8170" t="s">
        <v>14</v>
      </c>
      <c r="F8170">
        <v>65.202200000000005</v>
      </c>
      <c r="G8170">
        <v>10.9964</v>
      </c>
      <c r="H8170">
        <v>1</v>
      </c>
      <c r="I8170">
        <v>15.6</v>
      </c>
      <c r="J8170" t="str">
        <f>HYPERLINK("https://climate.onebuilding.org/WMO_Region_6_Europe/NOR_Norway/TD_Trondelag/NOR_TD_Sklinna.Lighthouse.011020_TMYx.zip")</f>
        <v>https://climate.onebuilding.org/WMO_Region_6_Europe/NOR_Norway/TD_Trondelag/NOR_TD_Sklinna.Lighthouse.011020_TMYx.zip</v>
      </c>
    </row>
    <row r="8171" spans="1:10" x14ac:dyDescent="0.25">
      <c r="A8171" t="s">
        <v>4974</v>
      </c>
      <c r="B8171" t="s">
        <v>6086</v>
      </c>
      <c r="C8171" t="s">
        <v>6090</v>
      </c>
      <c r="D8171" s="1" t="s">
        <v>6091</v>
      </c>
      <c r="E8171" t="s">
        <v>14</v>
      </c>
      <c r="F8171">
        <v>65.099999999999994</v>
      </c>
      <c r="G8171">
        <v>11.7</v>
      </c>
      <c r="H8171">
        <v>1</v>
      </c>
      <c r="I8171">
        <v>47</v>
      </c>
      <c r="J8171" t="str">
        <f>HYPERLINK("https://climate.onebuilding.org/WMO_Region_6_Europe/NOR_Norway/TD_Trondelag/NOR_TD_Leka.011030_TMYx.zip")</f>
        <v>https://climate.onebuilding.org/WMO_Region_6_Europe/NOR_Norway/TD_Trondelag/NOR_TD_Leka.011030_TMYx.zip</v>
      </c>
    </row>
    <row r="8172" spans="1:10" x14ac:dyDescent="0.25">
      <c r="A8172" t="s">
        <v>4974</v>
      </c>
      <c r="B8172" t="s">
        <v>93</v>
      </c>
      <c r="C8172" t="s">
        <v>6092</v>
      </c>
      <c r="D8172" s="1" t="s">
        <v>6093</v>
      </c>
      <c r="E8172" t="s">
        <v>6094</v>
      </c>
      <c r="F8172">
        <v>68.367800000000003</v>
      </c>
      <c r="G8172">
        <v>15.9428</v>
      </c>
      <c r="H8172">
        <v>1</v>
      </c>
      <c r="I8172">
        <v>8</v>
      </c>
      <c r="J8172" t="str">
        <f>HYPERLINK("https://climate.onebuilding.org/WMO_Region_6_Europe/NOR_Norway/NO_Nordland/NOR_NO_Rotvaer.011050_TMYx.2004-2018.zip")</f>
        <v>https://climate.onebuilding.org/WMO_Region_6_Europe/NOR_Norway/NO_Nordland/NOR_NO_Rotvaer.011050_TMYx.2004-2018.zip</v>
      </c>
    </row>
    <row r="8173" spans="1:10" x14ac:dyDescent="0.25">
      <c r="A8173" t="s">
        <v>4974</v>
      </c>
      <c r="B8173" t="s">
        <v>93</v>
      </c>
      <c r="C8173" t="s">
        <v>6092</v>
      </c>
      <c r="D8173" s="1" t="s">
        <v>6093</v>
      </c>
      <c r="E8173" t="s">
        <v>14</v>
      </c>
      <c r="F8173">
        <v>68.367800000000003</v>
      </c>
      <c r="G8173">
        <v>15.9428</v>
      </c>
      <c r="H8173">
        <v>1</v>
      </c>
      <c r="I8173">
        <v>8</v>
      </c>
      <c r="J8173" t="str">
        <f>HYPERLINK("https://climate.onebuilding.org/WMO_Region_6_Europe/NOR_Norway/NO_Nordland/NOR_NO_Rotvaer.011050_TMYx.2007-2021.zip")</f>
        <v>https://climate.onebuilding.org/WMO_Region_6_Europe/NOR_Norway/NO_Nordland/NOR_NO_Rotvaer.011050_TMYx.2007-2021.zip</v>
      </c>
    </row>
    <row r="8174" spans="1:10" x14ac:dyDescent="0.25">
      <c r="A8174" t="s">
        <v>4974</v>
      </c>
      <c r="B8174" t="s">
        <v>93</v>
      </c>
      <c r="C8174" t="s">
        <v>6092</v>
      </c>
      <c r="D8174" s="1" t="s">
        <v>6093</v>
      </c>
      <c r="E8174" t="s">
        <v>14</v>
      </c>
      <c r="F8174">
        <v>68.367800000000003</v>
      </c>
      <c r="G8174">
        <v>15.9428</v>
      </c>
      <c r="H8174">
        <v>1</v>
      </c>
      <c r="I8174">
        <v>8</v>
      </c>
      <c r="J8174" t="str">
        <f>HYPERLINK("https://climate.onebuilding.org/WMO_Region_6_Europe/NOR_Norway/NO_Nordland/NOR_NO_Rotvaer.011050_TMYx.2009-2023.zip")</f>
        <v>https://climate.onebuilding.org/WMO_Region_6_Europe/NOR_Norway/NO_Nordland/NOR_NO_Rotvaer.011050_TMYx.2009-2023.zip</v>
      </c>
    </row>
    <row r="8175" spans="1:10" x14ac:dyDescent="0.25">
      <c r="A8175" t="s">
        <v>4974</v>
      </c>
      <c r="B8175" t="s">
        <v>93</v>
      </c>
      <c r="C8175" t="s">
        <v>6092</v>
      </c>
      <c r="D8175" s="1" t="s">
        <v>6093</v>
      </c>
      <c r="E8175" t="s">
        <v>14</v>
      </c>
      <c r="F8175">
        <v>68.367800000000003</v>
      </c>
      <c r="G8175">
        <v>15.9428</v>
      </c>
      <c r="H8175">
        <v>1</v>
      </c>
      <c r="I8175">
        <v>8</v>
      </c>
      <c r="J8175" t="str">
        <f>HYPERLINK("https://climate.onebuilding.org/WMO_Region_6_Europe/NOR_Norway/NO_Nordland/NOR_NO_Rotvaer.011050_TMYx.zip")</f>
        <v>https://climate.onebuilding.org/WMO_Region_6_Europe/NOR_Norway/NO_Nordland/NOR_NO_Rotvaer.011050_TMYx.zip</v>
      </c>
    </row>
    <row r="8176" spans="1:10" x14ac:dyDescent="0.25">
      <c r="A8176" t="s">
        <v>4974</v>
      </c>
      <c r="B8176" t="s">
        <v>93</v>
      </c>
      <c r="C8176" t="s">
        <v>6095</v>
      </c>
      <c r="D8176" s="1" t="s">
        <v>6096</v>
      </c>
      <c r="E8176" t="s">
        <v>6097</v>
      </c>
      <c r="F8176">
        <v>67.526700000000005</v>
      </c>
      <c r="G8176">
        <v>12.1036</v>
      </c>
      <c r="H8176">
        <v>1</v>
      </c>
      <c r="I8176">
        <v>2.1</v>
      </c>
      <c r="J8176" t="str">
        <f>HYPERLINK("https://climate.onebuilding.org/WMO_Region_6_Europe/NOR_Norway/NO_Nordland/NOR_NO_Rost.AP.011070_TMYx.2004-2018.zip")</f>
        <v>https://climate.onebuilding.org/WMO_Region_6_Europe/NOR_Norway/NO_Nordland/NOR_NO_Rost.AP.011070_TMYx.2004-2018.zip</v>
      </c>
    </row>
    <row r="8177" spans="1:10" x14ac:dyDescent="0.25">
      <c r="A8177" t="s">
        <v>4974</v>
      </c>
      <c r="B8177" t="s">
        <v>93</v>
      </c>
      <c r="C8177" t="s">
        <v>6095</v>
      </c>
      <c r="D8177" s="1" t="s">
        <v>6096</v>
      </c>
      <c r="E8177" t="s">
        <v>14</v>
      </c>
      <c r="F8177">
        <v>67.526700000000005</v>
      </c>
      <c r="G8177">
        <v>12.1036</v>
      </c>
      <c r="H8177">
        <v>1</v>
      </c>
      <c r="I8177">
        <v>2.1</v>
      </c>
      <c r="J8177" t="str">
        <f>HYPERLINK("https://climate.onebuilding.org/WMO_Region_6_Europe/NOR_Norway/NO_Nordland/NOR_NO_Rost.AP.011070_TMYx.2007-2021.zip")</f>
        <v>https://climate.onebuilding.org/WMO_Region_6_Europe/NOR_Norway/NO_Nordland/NOR_NO_Rost.AP.011070_TMYx.2007-2021.zip</v>
      </c>
    </row>
    <row r="8178" spans="1:10" x14ac:dyDescent="0.25">
      <c r="A8178" t="s">
        <v>4974</v>
      </c>
      <c r="B8178" t="s">
        <v>93</v>
      </c>
      <c r="C8178" t="s">
        <v>6095</v>
      </c>
      <c r="D8178" s="1" t="s">
        <v>6096</v>
      </c>
      <c r="E8178" t="s">
        <v>14</v>
      </c>
      <c r="F8178">
        <v>67.526700000000005</v>
      </c>
      <c r="G8178">
        <v>12.1036</v>
      </c>
      <c r="H8178">
        <v>1</v>
      </c>
      <c r="I8178">
        <v>2.1</v>
      </c>
      <c r="J8178" t="str">
        <f>HYPERLINK("https://climate.onebuilding.org/WMO_Region_6_Europe/NOR_Norway/NO_Nordland/NOR_NO_Rost.AP.011070_TMYx.2009-2023.zip")</f>
        <v>https://climate.onebuilding.org/WMO_Region_6_Europe/NOR_Norway/NO_Nordland/NOR_NO_Rost.AP.011070_TMYx.2009-2023.zip</v>
      </c>
    </row>
    <row r="8179" spans="1:10" x14ac:dyDescent="0.25">
      <c r="A8179" t="s">
        <v>4974</v>
      </c>
      <c r="B8179" t="s">
        <v>93</v>
      </c>
      <c r="C8179" t="s">
        <v>6095</v>
      </c>
      <c r="D8179" s="1" t="s">
        <v>6096</v>
      </c>
      <c r="E8179" t="s">
        <v>14</v>
      </c>
      <c r="F8179">
        <v>67.526700000000005</v>
      </c>
      <c r="G8179">
        <v>12.1036</v>
      </c>
      <c r="H8179">
        <v>1</v>
      </c>
      <c r="I8179">
        <v>2.1</v>
      </c>
      <c r="J8179" t="str">
        <f>HYPERLINK("https://climate.onebuilding.org/WMO_Region_6_Europe/NOR_Norway/NO_Nordland/NOR_NO_Rost.AP.011070_TMYx.zip")</f>
        <v>https://climate.onebuilding.org/WMO_Region_6_Europe/NOR_Norway/NO_Nordland/NOR_NO_Rost.AP.011070_TMYx.zip</v>
      </c>
    </row>
    <row r="8180" spans="1:10" x14ac:dyDescent="0.25">
      <c r="A8180" t="s">
        <v>4974</v>
      </c>
      <c r="B8180" t="s">
        <v>93</v>
      </c>
      <c r="C8180" t="s">
        <v>6098</v>
      </c>
      <c r="D8180" s="1" t="s">
        <v>6099</v>
      </c>
      <c r="E8180" t="s">
        <v>6100</v>
      </c>
      <c r="F8180">
        <v>65.701899999999995</v>
      </c>
      <c r="G8180">
        <v>11.8569</v>
      </c>
      <c r="H8180">
        <v>1</v>
      </c>
      <c r="I8180">
        <v>9.1</v>
      </c>
      <c r="J8180" t="str">
        <f>HYPERLINK("https://climate.onebuilding.org/WMO_Region_6_Europe/NOR_Norway/NO_Nordland/NOR_NO_Vega.Vallsjo.011080_TMYx.2004-2018.zip")</f>
        <v>https://climate.onebuilding.org/WMO_Region_6_Europe/NOR_Norway/NO_Nordland/NOR_NO_Vega.Vallsjo.011080_TMYx.2004-2018.zip</v>
      </c>
    </row>
    <row r="8181" spans="1:10" x14ac:dyDescent="0.25">
      <c r="A8181" t="s">
        <v>4974</v>
      </c>
      <c r="B8181" t="s">
        <v>93</v>
      </c>
      <c r="C8181" t="s">
        <v>6098</v>
      </c>
      <c r="D8181" s="1" t="s">
        <v>6099</v>
      </c>
      <c r="E8181" t="s">
        <v>14</v>
      </c>
      <c r="F8181">
        <v>65.701899999999995</v>
      </c>
      <c r="G8181">
        <v>11.8569</v>
      </c>
      <c r="H8181">
        <v>1</v>
      </c>
      <c r="I8181">
        <v>9.1</v>
      </c>
      <c r="J8181" t="str">
        <f>HYPERLINK("https://climate.onebuilding.org/WMO_Region_6_Europe/NOR_Norway/NO_Nordland/NOR_NO_Vega.Vallsjo.011080_TMYx.2007-2021.zip")</f>
        <v>https://climate.onebuilding.org/WMO_Region_6_Europe/NOR_Norway/NO_Nordland/NOR_NO_Vega.Vallsjo.011080_TMYx.2007-2021.zip</v>
      </c>
    </row>
    <row r="8182" spans="1:10" x14ac:dyDescent="0.25">
      <c r="A8182" t="s">
        <v>4974</v>
      </c>
      <c r="B8182" t="s">
        <v>93</v>
      </c>
      <c r="C8182" t="s">
        <v>6098</v>
      </c>
      <c r="D8182" s="1" t="s">
        <v>6099</v>
      </c>
      <c r="E8182" t="s">
        <v>14</v>
      </c>
      <c r="F8182">
        <v>65.701899999999995</v>
      </c>
      <c r="G8182">
        <v>11.8569</v>
      </c>
      <c r="H8182">
        <v>1</v>
      </c>
      <c r="I8182">
        <v>9.1</v>
      </c>
      <c r="J8182" t="str">
        <f>HYPERLINK("https://climate.onebuilding.org/WMO_Region_6_Europe/NOR_Norway/NO_Nordland/NOR_NO_Vega.Vallsjo.011080_TMYx.2009-2023.zip")</f>
        <v>https://climate.onebuilding.org/WMO_Region_6_Europe/NOR_Norway/NO_Nordland/NOR_NO_Vega.Vallsjo.011080_TMYx.2009-2023.zip</v>
      </c>
    </row>
    <row r="8183" spans="1:10" x14ac:dyDescent="0.25">
      <c r="A8183" t="s">
        <v>4974</v>
      </c>
      <c r="B8183" t="s">
        <v>93</v>
      </c>
      <c r="C8183" t="s">
        <v>6098</v>
      </c>
      <c r="D8183" s="1" t="s">
        <v>6099</v>
      </c>
      <c r="E8183" t="s">
        <v>14</v>
      </c>
      <c r="F8183">
        <v>65.701899999999995</v>
      </c>
      <c r="G8183">
        <v>11.8569</v>
      </c>
      <c r="H8183">
        <v>1</v>
      </c>
      <c r="I8183">
        <v>9.1</v>
      </c>
      <c r="J8183" t="str">
        <f>HYPERLINK("https://climate.onebuilding.org/WMO_Region_6_Europe/NOR_Norway/NO_Nordland/NOR_NO_Vega.Vallsjo.011080_TMYx.zip")</f>
        <v>https://climate.onebuilding.org/WMO_Region_6_Europe/NOR_Norway/NO_Nordland/NOR_NO_Vega.Vallsjo.011080_TMYx.zip</v>
      </c>
    </row>
    <row r="8184" spans="1:10" x14ac:dyDescent="0.25">
      <c r="A8184" t="s">
        <v>4974</v>
      </c>
      <c r="B8184" t="s">
        <v>93</v>
      </c>
      <c r="C8184" t="s">
        <v>6101</v>
      </c>
      <c r="D8184" s="1" t="s">
        <v>6102</v>
      </c>
      <c r="E8184" t="s">
        <v>14</v>
      </c>
      <c r="F8184">
        <v>66.013199999999998</v>
      </c>
      <c r="G8184">
        <v>11.687099999999999</v>
      </c>
      <c r="H8184">
        <v>1</v>
      </c>
      <c r="I8184">
        <v>33</v>
      </c>
      <c r="J8184" t="str">
        <f>HYPERLINK("https://climate.onebuilding.org/WMO_Region_6_Europe/NOR_Norway/NO_Nordland/NOR_NO_Ytterholmen.Lighthouse.011100_TMYx.zip")</f>
        <v>https://climate.onebuilding.org/WMO_Region_6_Europe/NOR_Norway/NO_Nordland/NOR_NO_Ytterholmen.Lighthouse.011100_TMYx.zip</v>
      </c>
    </row>
    <row r="8185" spans="1:10" x14ac:dyDescent="0.25">
      <c r="A8185" t="s">
        <v>4974</v>
      </c>
      <c r="B8185" t="s">
        <v>6086</v>
      </c>
      <c r="C8185" t="s">
        <v>6103</v>
      </c>
      <c r="D8185" s="1" t="s">
        <v>6104</v>
      </c>
      <c r="E8185" t="s">
        <v>6105</v>
      </c>
      <c r="F8185">
        <v>65.456699999999998</v>
      </c>
      <c r="G8185">
        <v>12.2181</v>
      </c>
      <c r="H8185">
        <v>1</v>
      </c>
      <c r="I8185">
        <v>7.7</v>
      </c>
      <c r="J8185" t="str">
        <f>HYPERLINK("https://climate.onebuilding.org/WMO_Region_6_Europe/NOR_Norway/TD_Trondelag/NOR_TD_Bronnoysund.AP.011120_TMYx.2004-2018.zip")</f>
        <v>https://climate.onebuilding.org/WMO_Region_6_Europe/NOR_Norway/TD_Trondelag/NOR_TD_Bronnoysund.AP.011120_TMYx.2004-2018.zip</v>
      </c>
    </row>
    <row r="8186" spans="1:10" x14ac:dyDescent="0.25">
      <c r="A8186" t="s">
        <v>4974</v>
      </c>
      <c r="B8186" t="s">
        <v>6086</v>
      </c>
      <c r="C8186" t="s">
        <v>6103</v>
      </c>
      <c r="D8186" s="1" t="s">
        <v>6104</v>
      </c>
      <c r="E8186" t="s">
        <v>14</v>
      </c>
      <c r="F8186">
        <v>65.456699999999998</v>
      </c>
      <c r="G8186">
        <v>12.2181</v>
      </c>
      <c r="H8186">
        <v>1</v>
      </c>
      <c r="I8186">
        <v>7.7</v>
      </c>
      <c r="J8186" t="str">
        <f>HYPERLINK("https://climate.onebuilding.org/WMO_Region_6_Europe/NOR_Norway/TD_Trondelag/NOR_TD_Bronnoysund.AP.011120_TMYx.2007-2021.zip")</f>
        <v>https://climate.onebuilding.org/WMO_Region_6_Europe/NOR_Norway/TD_Trondelag/NOR_TD_Bronnoysund.AP.011120_TMYx.2007-2021.zip</v>
      </c>
    </row>
    <row r="8187" spans="1:10" x14ac:dyDescent="0.25">
      <c r="A8187" t="s">
        <v>4974</v>
      </c>
      <c r="B8187" t="s">
        <v>6086</v>
      </c>
      <c r="C8187" t="s">
        <v>6103</v>
      </c>
      <c r="D8187" s="1" t="s">
        <v>6104</v>
      </c>
      <c r="E8187" t="s">
        <v>14</v>
      </c>
      <c r="F8187">
        <v>65.456699999999998</v>
      </c>
      <c r="G8187">
        <v>12.2181</v>
      </c>
      <c r="H8187">
        <v>1</v>
      </c>
      <c r="I8187">
        <v>7.7</v>
      </c>
      <c r="J8187" t="str">
        <f>HYPERLINK("https://climate.onebuilding.org/WMO_Region_6_Europe/NOR_Norway/TD_Trondelag/NOR_TD_Bronnoysund.AP.011120_TMYx.2009-2023.zip")</f>
        <v>https://climate.onebuilding.org/WMO_Region_6_Europe/NOR_Norway/TD_Trondelag/NOR_TD_Bronnoysund.AP.011120_TMYx.2009-2023.zip</v>
      </c>
    </row>
    <row r="8188" spans="1:10" x14ac:dyDescent="0.25">
      <c r="A8188" t="s">
        <v>4974</v>
      </c>
      <c r="B8188" t="s">
        <v>6086</v>
      </c>
      <c r="C8188" t="s">
        <v>6103</v>
      </c>
      <c r="D8188" s="1" t="s">
        <v>6104</v>
      </c>
      <c r="E8188" t="s">
        <v>14</v>
      </c>
      <c r="F8188">
        <v>65.456699999999998</v>
      </c>
      <c r="G8188">
        <v>12.2181</v>
      </c>
      <c r="H8188">
        <v>1</v>
      </c>
      <c r="I8188">
        <v>7.7</v>
      </c>
      <c r="J8188" t="str">
        <f>HYPERLINK("https://climate.onebuilding.org/WMO_Region_6_Europe/NOR_Norway/TD_Trondelag/NOR_TD_Bronnoysund.AP.011120_TMYx.zip")</f>
        <v>https://climate.onebuilding.org/WMO_Region_6_Europe/NOR_Norway/TD_Trondelag/NOR_TD_Bronnoysund.AP.011120_TMYx.zip</v>
      </c>
    </row>
    <row r="8189" spans="1:10" x14ac:dyDescent="0.25">
      <c r="A8189" t="s">
        <v>4974</v>
      </c>
      <c r="B8189" t="s">
        <v>233</v>
      </c>
      <c r="C8189" t="s">
        <v>6106</v>
      </c>
      <c r="D8189" s="1" t="s">
        <v>6107</v>
      </c>
      <c r="E8189" t="s">
        <v>14</v>
      </c>
      <c r="F8189">
        <v>60.417000000000002</v>
      </c>
      <c r="G8189">
        <v>8.5129999999999999</v>
      </c>
      <c r="H8189">
        <v>1</v>
      </c>
      <c r="I8189">
        <v>798</v>
      </c>
      <c r="J8189" t="str">
        <f>HYPERLINK("https://climate.onebuilding.org/WMO_Region_6_Europe/NOR_Norway/BU_Buskerud/NOR_BU_Dagali.AP.011133_TMYx.zip")</f>
        <v>https://climate.onebuilding.org/WMO_Region_6_Europe/NOR_Norway/BU_Buskerud/NOR_BU_Dagali.AP.011133_TMYx.zip</v>
      </c>
    </row>
    <row r="8190" spans="1:10" x14ac:dyDescent="0.25">
      <c r="A8190" t="s">
        <v>4974</v>
      </c>
      <c r="B8190" t="s">
        <v>93</v>
      </c>
      <c r="C8190" t="s">
        <v>6108</v>
      </c>
      <c r="D8190" s="1" t="s">
        <v>6109</v>
      </c>
      <c r="E8190" t="s">
        <v>6110</v>
      </c>
      <c r="F8190">
        <v>66.903300000000002</v>
      </c>
      <c r="G8190">
        <v>13.645799999999999</v>
      </c>
      <c r="H8190">
        <v>1</v>
      </c>
      <c r="I8190">
        <v>8.5</v>
      </c>
      <c r="J8190" t="str">
        <f>HYPERLINK("https://climate.onebuilding.org/WMO_Region_6_Europe/NOR_Norway/NO_Nordland/NOR_NO_Reipa.011140_TMYx.2004-2018.zip")</f>
        <v>https://climate.onebuilding.org/WMO_Region_6_Europe/NOR_Norway/NO_Nordland/NOR_NO_Reipa.011140_TMYx.2004-2018.zip</v>
      </c>
    </row>
    <row r="8191" spans="1:10" x14ac:dyDescent="0.25">
      <c r="A8191" t="s">
        <v>4974</v>
      </c>
      <c r="B8191" t="s">
        <v>93</v>
      </c>
      <c r="C8191" t="s">
        <v>6108</v>
      </c>
      <c r="D8191" s="1" t="s">
        <v>6109</v>
      </c>
      <c r="E8191" t="s">
        <v>14</v>
      </c>
      <c r="F8191">
        <v>66.903300000000002</v>
      </c>
      <c r="G8191">
        <v>13.645799999999999</v>
      </c>
      <c r="H8191">
        <v>1</v>
      </c>
      <c r="I8191">
        <v>8.5</v>
      </c>
      <c r="J8191" t="str">
        <f>HYPERLINK("https://climate.onebuilding.org/WMO_Region_6_Europe/NOR_Norway/NO_Nordland/NOR_NO_Reipa.011140_TMYx.2007-2021.zip")</f>
        <v>https://climate.onebuilding.org/WMO_Region_6_Europe/NOR_Norway/NO_Nordland/NOR_NO_Reipa.011140_TMYx.2007-2021.zip</v>
      </c>
    </row>
    <row r="8192" spans="1:10" x14ac:dyDescent="0.25">
      <c r="A8192" t="s">
        <v>4974</v>
      </c>
      <c r="B8192" t="s">
        <v>93</v>
      </c>
      <c r="C8192" t="s">
        <v>6108</v>
      </c>
      <c r="D8192" s="1" t="s">
        <v>6109</v>
      </c>
      <c r="E8192" t="s">
        <v>14</v>
      </c>
      <c r="F8192">
        <v>66.903300000000002</v>
      </c>
      <c r="G8192">
        <v>13.645799999999999</v>
      </c>
      <c r="H8192">
        <v>1</v>
      </c>
      <c r="I8192">
        <v>8.5</v>
      </c>
      <c r="J8192" t="str">
        <f>HYPERLINK("https://climate.onebuilding.org/WMO_Region_6_Europe/NOR_Norway/NO_Nordland/NOR_NO_Reipa.011140_TMYx.2009-2023.zip")</f>
        <v>https://climate.onebuilding.org/WMO_Region_6_Europe/NOR_Norway/NO_Nordland/NOR_NO_Reipa.011140_TMYx.2009-2023.zip</v>
      </c>
    </row>
    <row r="8193" spans="1:10" x14ac:dyDescent="0.25">
      <c r="A8193" t="s">
        <v>4974</v>
      </c>
      <c r="B8193" t="s">
        <v>93</v>
      </c>
      <c r="C8193" t="s">
        <v>6108</v>
      </c>
      <c r="D8193" s="1" t="s">
        <v>6109</v>
      </c>
      <c r="E8193" t="s">
        <v>14</v>
      </c>
      <c r="F8193">
        <v>66.903300000000002</v>
      </c>
      <c r="G8193">
        <v>13.645799999999999</v>
      </c>
      <c r="H8193">
        <v>1</v>
      </c>
      <c r="I8193">
        <v>8.5</v>
      </c>
      <c r="J8193" t="str">
        <f>HYPERLINK("https://climate.onebuilding.org/WMO_Region_6_Europe/NOR_Norway/NO_Nordland/NOR_NO_Reipa.011140_TMYx.zip")</f>
        <v>https://climate.onebuilding.org/WMO_Region_6_Europe/NOR_Norway/NO_Nordland/NOR_NO_Reipa.011140_TMYx.zip</v>
      </c>
    </row>
    <row r="8194" spans="1:10" x14ac:dyDescent="0.25">
      <c r="A8194" t="s">
        <v>4974</v>
      </c>
      <c r="B8194" t="s">
        <v>93</v>
      </c>
      <c r="C8194" t="s">
        <v>6111</v>
      </c>
      <c r="D8194" s="1" t="s">
        <v>6112</v>
      </c>
      <c r="E8194" t="s">
        <v>6113</v>
      </c>
      <c r="F8194">
        <v>66.762799999999999</v>
      </c>
      <c r="G8194">
        <v>12.485799999999999</v>
      </c>
      <c r="H8194">
        <v>1</v>
      </c>
      <c r="I8194">
        <v>16.899999999999999</v>
      </c>
      <c r="J8194" t="str">
        <f>HYPERLINK("https://climate.onebuilding.org/WMO_Region_6_Europe/NOR_Norway/NO_Nordland/NOR_NO_Myken.011150_TMYx.2004-2018.zip")</f>
        <v>https://climate.onebuilding.org/WMO_Region_6_Europe/NOR_Norway/NO_Nordland/NOR_NO_Myken.011150_TMYx.2004-2018.zip</v>
      </c>
    </row>
    <row r="8195" spans="1:10" x14ac:dyDescent="0.25">
      <c r="A8195" t="s">
        <v>4974</v>
      </c>
      <c r="B8195" t="s">
        <v>93</v>
      </c>
      <c r="C8195" t="s">
        <v>6111</v>
      </c>
      <c r="D8195" s="1" t="s">
        <v>6112</v>
      </c>
      <c r="E8195" t="s">
        <v>14</v>
      </c>
      <c r="F8195">
        <v>66.762799999999999</v>
      </c>
      <c r="G8195">
        <v>12.485799999999999</v>
      </c>
      <c r="H8195">
        <v>1</v>
      </c>
      <c r="I8195">
        <v>16.899999999999999</v>
      </c>
      <c r="J8195" t="str">
        <f>HYPERLINK("https://climate.onebuilding.org/WMO_Region_6_Europe/NOR_Norway/NO_Nordland/NOR_NO_Myken.011150_TMYx.2007-2021.zip")</f>
        <v>https://climate.onebuilding.org/WMO_Region_6_Europe/NOR_Norway/NO_Nordland/NOR_NO_Myken.011150_TMYx.2007-2021.zip</v>
      </c>
    </row>
    <row r="8196" spans="1:10" x14ac:dyDescent="0.25">
      <c r="A8196" t="s">
        <v>4974</v>
      </c>
      <c r="B8196" t="s">
        <v>93</v>
      </c>
      <c r="C8196" t="s">
        <v>6111</v>
      </c>
      <c r="D8196" s="1" t="s">
        <v>6112</v>
      </c>
      <c r="E8196" t="s">
        <v>14</v>
      </c>
      <c r="F8196">
        <v>66.762799999999999</v>
      </c>
      <c r="G8196">
        <v>12.485799999999999</v>
      </c>
      <c r="H8196">
        <v>1</v>
      </c>
      <c r="I8196">
        <v>16.899999999999999</v>
      </c>
      <c r="J8196" t="str">
        <f>HYPERLINK("https://climate.onebuilding.org/WMO_Region_6_Europe/NOR_Norway/NO_Nordland/NOR_NO_Myken.011150_TMYx.2009-2023.zip")</f>
        <v>https://climate.onebuilding.org/WMO_Region_6_Europe/NOR_Norway/NO_Nordland/NOR_NO_Myken.011150_TMYx.2009-2023.zip</v>
      </c>
    </row>
    <row r="8197" spans="1:10" x14ac:dyDescent="0.25">
      <c r="A8197" t="s">
        <v>4974</v>
      </c>
      <c r="B8197" t="s">
        <v>93</v>
      </c>
      <c r="C8197" t="s">
        <v>6111</v>
      </c>
      <c r="D8197" s="1" t="s">
        <v>6112</v>
      </c>
      <c r="E8197" t="s">
        <v>14</v>
      </c>
      <c r="F8197">
        <v>66.762799999999999</v>
      </c>
      <c r="G8197">
        <v>12.485799999999999</v>
      </c>
      <c r="H8197">
        <v>1</v>
      </c>
      <c r="I8197">
        <v>16.899999999999999</v>
      </c>
      <c r="J8197" t="str">
        <f>HYPERLINK("https://climate.onebuilding.org/WMO_Region_6_Europe/NOR_Norway/NO_Nordland/NOR_NO_Myken.011150_TMYx.zip")</f>
        <v>https://climate.onebuilding.org/WMO_Region_6_Europe/NOR_Norway/NO_Nordland/NOR_NO_Myken.011150_TMYx.zip</v>
      </c>
    </row>
    <row r="8198" spans="1:10" x14ac:dyDescent="0.25">
      <c r="A8198" t="s">
        <v>4974</v>
      </c>
      <c r="B8198" t="s">
        <v>93</v>
      </c>
      <c r="C8198" t="s">
        <v>6114</v>
      </c>
      <c r="D8198" s="1" t="s">
        <v>6115</v>
      </c>
      <c r="E8198" t="s">
        <v>6116</v>
      </c>
      <c r="F8198">
        <v>65.960599999999999</v>
      </c>
      <c r="G8198">
        <v>12.471399999999999</v>
      </c>
      <c r="H8198">
        <v>1</v>
      </c>
      <c r="I8198">
        <v>17.100000000000001</v>
      </c>
      <c r="J8198" t="str">
        <f>HYPERLINK("https://climate.onebuilding.org/WMO_Region_6_Europe/NOR_Norway/NO_Nordland/NOR_NO_Sandnessjoen.AP-Stokka.011160_TMYx.2004-2018.zip")</f>
        <v>https://climate.onebuilding.org/WMO_Region_6_Europe/NOR_Norway/NO_Nordland/NOR_NO_Sandnessjoen.AP-Stokka.011160_TMYx.2004-2018.zip</v>
      </c>
    </row>
    <row r="8199" spans="1:10" x14ac:dyDescent="0.25">
      <c r="A8199" t="s">
        <v>4974</v>
      </c>
      <c r="B8199" t="s">
        <v>93</v>
      </c>
      <c r="C8199" t="s">
        <v>6114</v>
      </c>
      <c r="D8199" s="1" t="s">
        <v>6115</v>
      </c>
      <c r="E8199" t="s">
        <v>14</v>
      </c>
      <c r="F8199">
        <v>65.960599999999999</v>
      </c>
      <c r="G8199">
        <v>12.471399999999999</v>
      </c>
      <c r="H8199">
        <v>1</v>
      </c>
      <c r="I8199">
        <v>17.100000000000001</v>
      </c>
      <c r="J8199" t="str">
        <f>HYPERLINK("https://climate.onebuilding.org/WMO_Region_6_Europe/NOR_Norway/NO_Nordland/NOR_NO_Sandnessjoen.AP-Stokka.011160_TMYx.2007-2021.zip")</f>
        <v>https://climate.onebuilding.org/WMO_Region_6_Europe/NOR_Norway/NO_Nordland/NOR_NO_Sandnessjoen.AP-Stokka.011160_TMYx.2007-2021.zip</v>
      </c>
    </row>
    <row r="8200" spans="1:10" x14ac:dyDescent="0.25">
      <c r="A8200" t="s">
        <v>4974</v>
      </c>
      <c r="B8200" t="s">
        <v>93</v>
      </c>
      <c r="C8200" t="s">
        <v>6114</v>
      </c>
      <c r="D8200" s="1" t="s">
        <v>6115</v>
      </c>
      <c r="E8200" t="s">
        <v>14</v>
      </c>
      <c r="F8200">
        <v>65.960599999999999</v>
      </c>
      <c r="G8200">
        <v>12.471399999999999</v>
      </c>
      <c r="H8200">
        <v>1</v>
      </c>
      <c r="I8200">
        <v>17.100000000000001</v>
      </c>
      <c r="J8200" t="str">
        <f>HYPERLINK("https://climate.onebuilding.org/WMO_Region_6_Europe/NOR_Norway/NO_Nordland/NOR_NO_Sandnessjoen.AP-Stokka.011160_TMYx.2009-2023.zip")</f>
        <v>https://climate.onebuilding.org/WMO_Region_6_Europe/NOR_Norway/NO_Nordland/NOR_NO_Sandnessjoen.AP-Stokka.011160_TMYx.2009-2023.zip</v>
      </c>
    </row>
    <row r="8201" spans="1:10" x14ac:dyDescent="0.25">
      <c r="A8201" t="s">
        <v>4974</v>
      </c>
      <c r="B8201" t="s">
        <v>93</v>
      </c>
      <c r="C8201" t="s">
        <v>6114</v>
      </c>
      <c r="D8201" s="1" t="s">
        <v>6115</v>
      </c>
      <c r="E8201" t="s">
        <v>14</v>
      </c>
      <c r="F8201">
        <v>65.960599999999999</v>
      </c>
      <c r="G8201">
        <v>12.471399999999999</v>
      </c>
      <c r="H8201">
        <v>1</v>
      </c>
      <c r="I8201">
        <v>17.100000000000001</v>
      </c>
      <c r="J8201" t="str">
        <f>HYPERLINK("https://climate.onebuilding.org/WMO_Region_6_Europe/NOR_Norway/NO_Nordland/NOR_NO_Sandnessjoen.AP-Stokka.011160_TMYx.zip")</f>
        <v>https://climate.onebuilding.org/WMO_Region_6_Europe/NOR_Norway/NO_Nordland/NOR_NO_Sandnessjoen.AP-Stokka.011160_TMYx.zip</v>
      </c>
    </row>
    <row r="8202" spans="1:10" x14ac:dyDescent="0.25">
      <c r="A8202" t="s">
        <v>4974</v>
      </c>
      <c r="B8202" t="s">
        <v>6117</v>
      </c>
      <c r="C8202" t="s">
        <v>6118</v>
      </c>
      <c r="D8202" s="1" t="s">
        <v>6119</v>
      </c>
      <c r="E8202" t="s">
        <v>6120</v>
      </c>
      <c r="F8202">
        <v>65.826899999999995</v>
      </c>
      <c r="G8202">
        <v>12.4314</v>
      </c>
      <c r="H8202">
        <v>1</v>
      </c>
      <c r="I8202">
        <v>21</v>
      </c>
      <c r="J8202" t="str">
        <f>HYPERLINK("https://climate.onebuilding.org/WMO_Region_6_Europe/NOR_Norway/AK_Akershus/NOR_AK_Tjotta.011170_TMYx.2004-2018.zip")</f>
        <v>https://climate.onebuilding.org/WMO_Region_6_Europe/NOR_Norway/AK_Akershus/NOR_AK_Tjotta.011170_TMYx.2004-2018.zip</v>
      </c>
    </row>
    <row r="8203" spans="1:10" x14ac:dyDescent="0.25">
      <c r="A8203" t="s">
        <v>4974</v>
      </c>
      <c r="B8203" t="s">
        <v>6117</v>
      </c>
      <c r="C8203" t="s">
        <v>6118</v>
      </c>
      <c r="D8203" s="1" t="s">
        <v>6119</v>
      </c>
      <c r="E8203" t="s">
        <v>14</v>
      </c>
      <c r="F8203">
        <v>65.826899999999995</v>
      </c>
      <c r="G8203">
        <v>12.4314</v>
      </c>
      <c r="H8203">
        <v>1</v>
      </c>
      <c r="I8203">
        <v>21</v>
      </c>
      <c r="J8203" t="str">
        <f>HYPERLINK("https://climate.onebuilding.org/WMO_Region_6_Europe/NOR_Norway/AK_Akershus/NOR_AK_Tjotta.011170_TMYx.2007-2021.zip")</f>
        <v>https://climate.onebuilding.org/WMO_Region_6_Europe/NOR_Norway/AK_Akershus/NOR_AK_Tjotta.011170_TMYx.2007-2021.zip</v>
      </c>
    </row>
    <row r="8204" spans="1:10" x14ac:dyDescent="0.25">
      <c r="A8204" t="s">
        <v>4974</v>
      </c>
      <c r="B8204" t="s">
        <v>6117</v>
      </c>
      <c r="C8204" t="s">
        <v>6118</v>
      </c>
      <c r="D8204" s="1" t="s">
        <v>6119</v>
      </c>
      <c r="E8204" t="s">
        <v>14</v>
      </c>
      <c r="F8204">
        <v>65.826899999999995</v>
      </c>
      <c r="G8204">
        <v>12.4314</v>
      </c>
      <c r="H8204">
        <v>1</v>
      </c>
      <c r="I8204">
        <v>21</v>
      </c>
      <c r="J8204" t="str">
        <f>HYPERLINK("https://climate.onebuilding.org/WMO_Region_6_Europe/NOR_Norway/AK_Akershus/NOR_AK_Tjotta.011170_TMYx.2009-2023.zip")</f>
        <v>https://climate.onebuilding.org/WMO_Region_6_Europe/NOR_Norway/AK_Akershus/NOR_AK_Tjotta.011170_TMYx.2009-2023.zip</v>
      </c>
    </row>
    <row r="8205" spans="1:10" x14ac:dyDescent="0.25">
      <c r="A8205" t="s">
        <v>4974</v>
      </c>
      <c r="B8205" t="s">
        <v>6117</v>
      </c>
      <c r="C8205" t="s">
        <v>6118</v>
      </c>
      <c r="D8205" s="1" t="s">
        <v>6119</v>
      </c>
      <c r="E8205" t="s">
        <v>14</v>
      </c>
      <c r="F8205">
        <v>65.826899999999995</v>
      </c>
      <c r="G8205">
        <v>12.4314</v>
      </c>
      <c r="H8205">
        <v>1</v>
      </c>
      <c r="I8205">
        <v>21</v>
      </c>
      <c r="J8205" t="str">
        <f>HYPERLINK("https://climate.onebuilding.org/WMO_Region_6_Europe/NOR_Norway/AK_Akershus/NOR_AK_Tjotta.011170_TMYx.zip")</f>
        <v>https://climate.onebuilding.org/WMO_Region_6_Europe/NOR_Norway/AK_Akershus/NOR_AK_Tjotta.011170_TMYx.zip</v>
      </c>
    </row>
    <row r="8206" spans="1:10" x14ac:dyDescent="0.25">
      <c r="A8206" t="s">
        <v>4974</v>
      </c>
      <c r="B8206" t="s">
        <v>93</v>
      </c>
      <c r="C8206" t="s">
        <v>6121</v>
      </c>
      <c r="D8206" s="1" t="s">
        <v>6122</v>
      </c>
      <c r="E8206" t="s">
        <v>6123</v>
      </c>
      <c r="F8206">
        <v>66.370599999999996</v>
      </c>
      <c r="G8206">
        <v>12.6106</v>
      </c>
      <c r="H8206">
        <v>1</v>
      </c>
      <c r="I8206">
        <v>10</v>
      </c>
      <c r="J8206" t="str">
        <f>HYPERLINK("https://climate.onebuilding.org/WMO_Region_6_Europe/NOR_Norway/NO_Nordland/NOR_NO_Solvaer.011210_TMYx.2004-2018.zip")</f>
        <v>https://climate.onebuilding.org/WMO_Region_6_Europe/NOR_Norway/NO_Nordland/NOR_NO_Solvaer.011210_TMYx.2004-2018.zip</v>
      </c>
    </row>
    <row r="8207" spans="1:10" x14ac:dyDescent="0.25">
      <c r="A8207" t="s">
        <v>4974</v>
      </c>
      <c r="B8207" t="s">
        <v>93</v>
      </c>
      <c r="C8207" t="s">
        <v>6121</v>
      </c>
      <c r="D8207" s="1" t="s">
        <v>6122</v>
      </c>
      <c r="E8207" t="s">
        <v>14</v>
      </c>
      <c r="F8207">
        <v>66.370599999999996</v>
      </c>
      <c r="G8207">
        <v>12.6106</v>
      </c>
      <c r="H8207">
        <v>1</v>
      </c>
      <c r="I8207">
        <v>10</v>
      </c>
      <c r="J8207" t="str">
        <f>HYPERLINK("https://climate.onebuilding.org/WMO_Region_6_Europe/NOR_Norway/NO_Nordland/NOR_NO_Solvaer.011210_TMYx.2007-2021.zip")</f>
        <v>https://climate.onebuilding.org/WMO_Region_6_Europe/NOR_Norway/NO_Nordland/NOR_NO_Solvaer.011210_TMYx.2007-2021.zip</v>
      </c>
    </row>
    <row r="8208" spans="1:10" x14ac:dyDescent="0.25">
      <c r="A8208" t="s">
        <v>4974</v>
      </c>
      <c r="B8208" t="s">
        <v>93</v>
      </c>
      <c r="C8208" t="s">
        <v>6121</v>
      </c>
      <c r="D8208" s="1" t="s">
        <v>6122</v>
      </c>
      <c r="E8208" t="s">
        <v>14</v>
      </c>
      <c r="F8208">
        <v>66.370599999999996</v>
      </c>
      <c r="G8208">
        <v>12.6106</v>
      </c>
      <c r="H8208">
        <v>1</v>
      </c>
      <c r="I8208">
        <v>10</v>
      </c>
      <c r="J8208" t="str">
        <f>HYPERLINK("https://climate.onebuilding.org/WMO_Region_6_Europe/NOR_Norway/NO_Nordland/NOR_NO_Solvaer.011210_TMYx.2009-2023.zip")</f>
        <v>https://climate.onebuilding.org/WMO_Region_6_Europe/NOR_Norway/NO_Nordland/NOR_NO_Solvaer.011210_TMYx.2009-2023.zip</v>
      </c>
    </row>
    <row r="8209" spans="1:10" x14ac:dyDescent="0.25">
      <c r="A8209" t="s">
        <v>4974</v>
      </c>
      <c r="B8209" t="s">
        <v>93</v>
      </c>
      <c r="C8209" t="s">
        <v>6121</v>
      </c>
      <c r="D8209" s="1" t="s">
        <v>6122</v>
      </c>
      <c r="E8209" t="s">
        <v>14</v>
      </c>
      <c r="F8209">
        <v>66.370599999999996</v>
      </c>
      <c r="G8209">
        <v>12.6106</v>
      </c>
      <c r="H8209">
        <v>1</v>
      </c>
      <c r="I8209">
        <v>10</v>
      </c>
      <c r="J8209" t="str">
        <f>HYPERLINK("https://climate.onebuilding.org/WMO_Region_6_Europe/NOR_Norway/NO_Nordland/NOR_NO_Solvaer.011210_TMYx.zip")</f>
        <v>https://climate.onebuilding.org/WMO_Region_6_Europe/NOR_Norway/NO_Nordland/NOR_NO_Solvaer.011210_TMYx.zip</v>
      </c>
    </row>
    <row r="8210" spans="1:10" x14ac:dyDescent="0.25">
      <c r="A8210" t="s">
        <v>4974</v>
      </c>
      <c r="B8210" t="s">
        <v>93</v>
      </c>
      <c r="C8210" t="s">
        <v>6124</v>
      </c>
      <c r="D8210" s="1" t="s">
        <v>6125</v>
      </c>
      <c r="E8210" t="s">
        <v>6126</v>
      </c>
      <c r="F8210">
        <v>65.784199999999998</v>
      </c>
      <c r="G8210">
        <v>13.2178</v>
      </c>
      <c r="H8210">
        <v>1</v>
      </c>
      <c r="I8210">
        <v>72.2</v>
      </c>
      <c r="J8210" t="str">
        <f>HYPERLINK("https://climate.onebuilding.org/WMO_Region_6_Europe/NOR_Norway/NO_Nordland/NOR_NO_Mosjoen.AP-Kjaerstad.011220_TMYx.2004-2018.zip")</f>
        <v>https://climate.onebuilding.org/WMO_Region_6_Europe/NOR_Norway/NO_Nordland/NOR_NO_Mosjoen.AP-Kjaerstad.011220_TMYx.2004-2018.zip</v>
      </c>
    </row>
    <row r="8211" spans="1:10" x14ac:dyDescent="0.25">
      <c r="A8211" t="s">
        <v>4974</v>
      </c>
      <c r="B8211" t="s">
        <v>93</v>
      </c>
      <c r="C8211" t="s">
        <v>6124</v>
      </c>
      <c r="D8211" s="1" t="s">
        <v>6125</v>
      </c>
      <c r="E8211" t="s">
        <v>14</v>
      </c>
      <c r="F8211">
        <v>65.784199999999998</v>
      </c>
      <c r="G8211">
        <v>13.2178</v>
      </c>
      <c r="H8211">
        <v>1</v>
      </c>
      <c r="I8211">
        <v>72.2</v>
      </c>
      <c r="J8211" t="str">
        <f>HYPERLINK("https://climate.onebuilding.org/WMO_Region_6_Europe/NOR_Norway/NO_Nordland/NOR_NO_Mosjoen.AP-Kjaerstad.011220_TMYx.2007-2021.zip")</f>
        <v>https://climate.onebuilding.org/WMO_Region_6_Europe/NOR_Norway/NO_Nordland/NOR_NO_Mosjoen.AP-Kjaerstad.011220_TMYx.2007-2021.zip</v>
      </c>
    </row>
    <row r="8212" spans="1:10" x14ac:dyDescent="0.25">
      <c r="A8212" t="s">
        <v>4974</v>
      </c>
      <c r="B8212" t="s">
        <v>93</v>
      </c>
      <c r="C8212" t="s">
        <v>6124</v>
      </c>
      <c r="D8212" s="1" t="s">
        <v>6125</v>
      </c>
      <c r="E8212" t="s">
        <v>14</v>
      </c>
      <c r="F8212">
        <v>65.784199999999998</v>
      </c>
      <c r="G8212">
        <v>13.2178</v>
      </c>
      <c r="H8212">
        <v>1</v>
      </c>
      <c r="I8212">
        <v>72.2</v>
      </c>
      <c r="J8212" t="str">
        <f>HYPERLINK("https://climate.onebuilding.org/WMO_Region_6_Europe/NOR_Norway/NO_Nordland/NOR_NO_Mosjoen.AP-Kjaerstad.011220_TMYx.2009-2023.zip")</f>
        <v>https://climate.onebuilding.org/WMO_Region_6_Europe/NOR_Norway/NO_Nordland/NOR_NO_Mosjoen.AP-Kjaerstad.011220_TMYx.2009-2023.zip</v>
      </c>
    </row>
    <row r="8213" spans="1:10" x14ac:dyDescent="0.25">
      <c r="A8213" t="s">
        <v>4974</v>
      </c>
      <c r="B8213" t="s">
        <v>93</v>
      </c>
      <c r="C8213" t="s">
        <v>6124</v>
      </c>
      <c r="D8213" s="1" t="s">
        <v>6125</v>
      </c>
      <c r="E8213" t="s">
        <v>14</v>
      </c>
      <c r="F8213">
        <v>65.784199999999998</v>
      </c>
      <c r="G8213">
        <v>13.2178</v>
      </c>
      <c r="H8213">
        <v>1</v>
      </c>
      <c r="I8213">
        <v>72.2</v>
      </c>
      <c r="J8213" t="str">
        <f>HYPERLINK("https://climate.onebuilding.org/WMO_Region_6_Europe/NOR_Norway/NO_Nordland/NOR_NO_Mosjoen.AP-Kjaerstad.011220_TMYx.zip")</f>
        <v>https://climate.onebuilding.org/WMO_Region_6_Europe/NOR_Norway/NO_Nordland/NOR_NO_Mosjoen.AP-Kjaerstad.011220_TMYx.zip</v>
      </c>
    </row>
    <row r="8214" spans="1:10" x14ac:dyDescent="0.25">
      <c r="A8214" t="s">
        <v>4974</v>
      </c>
      <c r="B8214" t="s">
        <v>6086</v>
      </c>
      <c r="C8214" t="s">
        <v>6127</v>
      </c>
      <c r="D8214" s="1" t="s">
        <v>6128</v>
      </c>
      <c r="E8214" t="s">
        <v>6129</v>
      </c>
      <c r="F8214">
        <v>64.158600000000007</v>
      </c>
      <c r="G8214">
        <v>12.469200000000001</v>
      </c>
      <c r="H8214">
        <v>1</v>
      </c>
      <c r="I8214">
        <v>195</v>
      </c>
      <c r="J8214" t="str">
        <f>HYPERLINK("https://climate.onebuilding.org/WMO_Region_6_Europe/NOR_Norway/TD_Trondelag/NOR_TD_Snasa.011240_TMYx.2004-2018.zip")</f>
        <v>https://climate.onebuilding.org/WMO_Region_6_Europe/NOR_Norway/TD_Trondelag/NOR_TD_Snasa.011240_TMYx.2004-2018.zip</v>
      </c>
    </row>
    <row r="8215" spans="1:10" x14ac:dyDescent="0.25">
      <c r="A8215" t="s">
        <v>4974</v>
      </c>
      <c r="B8215" t="s">
        <v>6086</v>
      </c>
      <c r="C8215" t="s">
        <v>6127</v>
      </c>
      <c r="D8215" s="1" t="s">
        <v>6128</v>
      </c>
      <c r="E8215" t="s">
        <v>14</v>
      </c>
      <c r="F8215">
        <v>64.158600000000007</v>
      </c>
      <c r="G8215">
        <v>12.469200000000001</v>
      </c>
      <c r="H8215">
        <v>1</v>
      </c>
      <c r="I8215">
        <v>195</v>
      </c>
      <c r="J8215" t="str">
        <f>HYPERLINK("https://climate.onebuilding.org/WMO_Region_6_Europe/NOR_Norway/TD_Trondelag/NOR_TD_Snasa.011240_TMYx.2007-2021.zip")</f>
        <v>https://climate.onebuilding.org/WMO_Region_6_Europe/NOR_Norway/TD_Trondelag/NOR_TD_Snasa.011240_TMYx.2007-2021.zip</v>
      </c>
    </row>
    <row r="8216" spans="1:10" x14ac:dyDescent="0.25">
      <c r="A8216" t="s">
        <v>4974</v>
      </c>
      <c r="B8216" t="s">
        <v>6086</v>
      </c>
      <c r="C8216" t="s">
        <v>6127</v>
      </c>
      <c r="D8216" s="1" t="s">
        <v>6128</v>
      </c>
      <c r="E8216" t="s">
        <v>14</v>
      </c>
      <c r="F8216">
        <v>64.158600000000007</v>
      </c>
      <c r="G8216">
        <v>12.469200000000001</v>
      </c>
      <c r="H8216">
        <v>1</v>
      </c>
      <c r="I8216">
        <v>195</v>
      </c>
      <c r="J8216" t="str">
        <f>HYPERLINK("https://climate.onebuilding.org/WMO_Region_6_Europe/NOR_Norway/TD_Trondelag/NOR_TD_Snasa.011240_TMYx.2009-2023.zip")</f>
        <v>https://climate.onebuilding.org/WMO_Region_6_Europe/NOR_Norway/TD_Trondelag/NOR_TD_Snasa.011240_TMYx.2009-2023.zip</v>
      </c>
    </row>
    <row r="8217" spans="1:10" x14ac:dyDescent="0.25">
      <c r="A8217" t="s">
        <v>4974</v>
      </c>
      <c r="B8217" t="s">
        <v>6086</v>
      </c>
      <c r="C8217" t="s">
        <v>6127</v>
      </c>
      <c r="D8217" s="1" t="s">
        <v>6128</v>
      </c>
      <c r="E8217" t="s">
        <v>14</v>
      </c>
      <c r="F8217">
        <v>64.158600000000007</v>
      </c>
      <c r="G8217">
        <v>12.469200000000001</v>
      </c>
      <c r="H8217">
        <v>1</v>
      </c>
      <c r="I8217">
        <v>195</v>
      </c>
      <c r="J8217" t="str">
        <f>HYPERLINK("https://climate.onebuilding.org/WMO_Region_6_Europe/NOR_Norway/TD_Trondelag/NOR_TD_Snasa.011240_TMYx.zip")</f>
        <v>https://climate.onebuilding.org/WMO_Region_6_Europe/NOR_Norway/TD_Trondelag/NOR_TD_Snasa.011240_TMYx.zip</v>
      </c>
    </row>
    <row r="8218" spans="1:10" x14ac:dyDescent="0.25">
      <c r="A8218" t="s">
        <v>4974</v>
      </c>
      <c r="B8218" t="s">
        <v>93</v>
      </c>
      <c r="C8218" t="s">
        <v>6130</v>
      </c>
      <c r="D8218" s="1" t="s">
        <v>6131</v>
      </c>
      <c r="E8218" t="s">
        <v>6132</v>
      </c>
      <c r="F8218">
        <v>65.1661</v>
      </c>
      <c r="G8218">
        <v>13.3667</v>
      </c>
      <c r="H8218">
        <v>1</v>
      </c>
      <c r="I8218">
        <v>319.3</v>
      </c>
      <c r="J8218" t="str">
        <f>HYPERLINK("https://climate.onebuilding.org/WMO_Region_6_Europe/NOR_Norway/NO_Nordland/NOR_NO_Majavatn.011320_TMYx.2004-2018.zip")</f>
        <v>https://climate.onebuilding.org/WMO_Region_6_Europe/NOR_Norway/NO_Nordland/NOR_NO_Majavatn.011320_TMYx.2004-2018.zip</v>
      </c>
    </row>
    <row r="8219" spans="1:10" x14ac:dyDescent="0.25">
      <c r="A8219" t="s">
        <v>4974</v>
      </c>
      <c r="B8219" t="s">
        <v>93</v>
      </c>
      <c r="C8219" t="s">
        <v>6130</v>
      </c>
      <c r="D8219" s="1" t="s">
        <v>6131</v>
      </c>
      <c r="E8219" t="s">
        <v>14</v>
      </c>
      <c r="F8219">
        <v>65.1661</v>
      </c>
      <c r="G8219">
        <v>13.3667</v>
      </c>
      <c r="H8219">
        <v>1</v>
      </c>
      <c r="I8219">
        <v>319.3</v>
      </c>
      <c r="J8219" t="str">
        <f>HYPERLINK("https://climate.onebuilding.org/WMO_Region_6_Europe/NOR_Norway/NO_Nordland/NOR_NO_Majavatn.011320_TMYx.2007-2021.zip")</f>
        <v>https://climate.onebuilding.org/WMO_Region_6_Europe/NOR_Norway/NO_Nordland/NOR_NO_Majavatn.011320_TMYx.2007-2021.zip</v>
      </c>
    </row>
    <row r="8220" spans="1:10" x14ac:dyDescent="0.25">
      <c r="A8220" t="s">
        <v>4974</v>
      </c>
      <c r="B8220" t="s">
        <v>93</v>
      </c>
      <c r="C8220" t="s">
        <v>6130</v>
      </c>
      <c r="D8220" s="1" t="s">
        <v>6131</v>
      </c>
      <c r="E8220" t="s">
        <v>14</v>
      </c>
      <c r="F8220">
        <v>65.1661</v>
      </c>
      <c r="G8220">
        <v>13.3667</v>
      </c>
      <c r="H8220">
        <v>1</v>
      </c>
      <c r="I8220">
        <v>319.3</v>
      </c>
      <c r="J8220" t="str">
        <f>HYPERLINK("https://climate.onebuilding.org/WMO_Region_6_Europe/NOR_Norway/NO_Nordland/NOR_NO_Majavatn.011320_TMYx.2009-2023.zip")</f>
        <v>https://climate.onebuilding.org/WMO_Region_6_Europe/NOR_Norway/NO_Nordland/NOR_NO_Majavatn.011320_TMYx.2009-2023.zip</v>
      </c>
    </row>
    <row r="8221" spans="1:10" x14ac:dyDescent="0.25">
      <c r="A8221" t="s">
        <v>4974</v>
      </c>
      <c r="B8221" t="s">
        <v>93</v>
      </c>
      <c r="C8221" t="s">
        <v>6130</v>
      </c>
      <c r="D8221" s="1" t="s">
        <v>6131</v>
      </c>
      <c r="E8221" t="s">
        <v>14</v>
      </c>
      <c r="F8221">
        <v>65.1661</v>
      </c>
      <c r="G8221">
        <v>13.3667</v>
      </c>
      <c r="H8221">
        <v>1</v>
      </c>
      <c r="I8221">
        <v>319.3</v>
      </c>
      <c r="J8221" t="str">
        <f>HYPERLINK("https://climate.onebuilding.org/WMO_Region_6_Europe/NOR_Norway/NO_Nordland/NOR_NO_Majavatn.011320_TMYx.zip")</f>
        <v>https://climate.onebuilding.org/WMO_Region_6_Europe/NOR_Norway/NO_Nordland/NOR_NO_Majavatn.011320_TMYx.zip</v>
      </c>
    </row>
    <row r="8222" spans="1:10" x14ac:dyDescent="0.25">
      <c r="A8222" t="s">
        <v>4974</v>
      </c>
      <c r="B8222" t="s">
        <v>93</v>
      </c>
      <c r="C8222" t="s">
        <v>6133</v>
      </c>
      <c r="D8222" s="1" t="s">
        <v>6134</v>
      </c>
      <c r="E8222" t="s">
        <v>6135</v>
      </c>
      <c r="F8222">
        <v>65.621399999999994</v>
      </c>
      <c r="G8222">
        <v>13.289199999999999</v>
      </c>
      <c r="H8222">
        <v>1</v>
      </c>
      <c r="I8222">
        <v>50</v>
      </c>
      <c r="J8222" t="str">
        <f>HYPERLINK("https://climate.onebuilding.org/WMO_Region_6_Europe/NOR_Norway/NO_Nordland/NOR_NO_Laksfors.011330_TMYx.2004-2018.zip")</f>
        <v>https://climate.onebuilding.org/WMO_Region_6_Europe/NOR_Norway/NO_Nordland/NOR_NO_Laksfors.011330_TMYx.2004-2018.zip</v>
      </c>
    </row>
    <row r="8223" spans="1:10" x14ac:dyDescent="0.25">
      <c r="A8223" t="s">
        <v>4974</v>
      </c>
      <c r="B8223" t="s">
        <v>93</v>
      </c>
      <c r="C8223" t="s">
        <v>6133</v>
      </c>
      <c r="D8223" s="1" t="s">
        <v>6134</v>
      </c>
      <c r="E8223" t="s">
        <v>14</v>
      </c>
      <c r="F8223">
        <v>65.621399999999994</v>
      </c>
      <c r="G8223">
        <v>13.289199999999999</v>
      </c>
      <c r="H8223">
        <v>1</v>
      </c>
      <c r="I8223">
        <v>50</v>
      </c>
      <c r="J8223" t="str">
        <f>HYPERLINK("https://climate.onebuilding.org/WMO_Region_6_Europe/NOR_Norway/NO_Nordland/NOR_NO_Laksfors.011330_TMYx.2007-2021.zip")</f>
        <v>https://climate.onebuilding.org/WMO_Region_6_Europe/NOR_Norway/NO_Nordland/NOR_NO_Laksfors.011330_TMYx.2007-2021.zip</v>
      </c>
    </row>
    <row r="8224" spans="1:10" x14ac:dyDescent="0.25">
      <c r="A8224" t="s">
        <v>4974</v>
      </c>
      <c r="B8224" t="s">
        <v>93</v>
      </c>
      <c r="C8224" t="s">
        <v>6133</v>
      </c>
      <c r="D8224" s="1" t="s">
        <v>6134</v>
      </c>
      <c r="E8224" t="s">
        <v>14</v>
      </c>
      <c r="F8224">
        <v>65.621399999999994</v>
      </c>
      <c r="G8224">
        <v>13.289199999999999</v>
      </c>
      <c r="H8224">
        <v>1</v>
      </c>
      <c r="I8224">
        <v>50</v>
      </c>
      <c r="J8224" t="str">
        <f>HYPERLINK("https://climate.onebuilding.org/WMO_Region_6_Europe/NOR_Norway/NO_Nordland/NOR_NO_Laksfors.011330_TMYx.2009-2023.zip")</f>
        <v>https://climate.onebuilding.org/WMO_Region_6_Europe/NOR_Norway/NO_Nordland/NOR_NO_Laksfors.011330_TMYx.2009-2023.zip</v>
      </c>
    </row>
    <row r="8225" spans="1:10" x14ac:dyDescent="0.25">
      <c r="A8225" t="s">
        <v>4974</v>
      </c>
      <c r="B8225" t="s">
        <v>93</v>
      </c>
      <c r="C8225" t="s">
        <v>6133</v>
      </c>
      <c r="D8225" s="1" t="s">
        <v>6134</v>
      </c>
      <c r="E8225" t="s">
        <v>14</v>
      </c>
      <c r="F8225">
        <v>65.621399999999994</v>
      </c>
      <c r="G8225">
        <v>13.289199999999999</v>
      </c>
      <c r="H8225">
        <v>1</v>
      </c>
      <c r="I8225">
        <v>50</v>
      </c>
      <c r="J8225" t="str">
        <f>HYPERLINK("https://climate.onebuilding.org/WMO_Region_6_Europe/NOR_Norway/NO_Nordland/NOR_NO_Laksfors.011330_TMYx.zip")</f>
        <v>https://climate.onebuilding.org/WMO_Region_6_Europe/NOR_Norway/NO_Nordland/NOR_NO_Laksfors.011330_TMYx.zip</v>
      </c>
    </row>
    <row r="8226" spans="1:10" x14ac:dyDescent="0.25">
      <c r="A8226" t="s">
        <v>4974</v>
      </c>
      <c r="B8226" t="s">
        <v>93</v>
      </c>
      <c r="C8226" t="s">
        <v>6136</v>
      </c>
      <c r="D8226" s="1" t="s">
        <v>6137</v>
      </c>
      <c r="E8226" t="s">
        <v>6138</v>
      </c>
      <c r="F8226">
        <v>66.131699999999995</v>
      </c>
      <c r="G8226">
        <v>13.5867</v>
      </c>
      <c r="H8226">
        <v>1</v>
      </c>
      <c r="I8226">
        <v>123</v>
      </c>
      <c r="J8226" t="str">
        <f>HYPERLINK("https://climate.onebuilding.org/WMO_Region_6_Europe/NOR_Norway/NO_Nordland/NOR_NO_Seljelia.011350_TMYx.2004-2018.zip")</f>
        <v>https://climate.onebuilding.org/WMO_Region_6_Europe/NOR_Norway/NO_Nordland/NOR_NO_Seljelia.011350_TMYx.2004-2018.zip</v>
      </c>
    </row>
    <row r="8227" spans="1:10" x14ac:dyDescent="0.25">
      <c r="A8227" t="s">
        <v>4974</v>
      </c>
      <c r="B8227" t="s">
        <v>93</v>
      </c>
      <c r="C8227" t="s">
        <v>6136</v>
      </c>
      <c r="D8227" s="1" t="s">
        <v>6137</v>
      </c>
      <c r="E8227" t="s">
        <v>14</v>
      </c>
      <c r="F8227">
        <v>66.131699999999995</v>
      </c>
      <c r="G8227">
        <v>13.5867</v>
      </c>
      <c r="H8227">
        <v>1</v>
      </c>
      <c r="I8227">
        <v>123</v>
      </c>
      <c r="J8227" t="str">
        <f>HYPERLINK("https://climate.onebuilding.org/WMO_Region_6_Europe/NOR_Norway/NO_Nordland/NOR_NO_Seljelia.011350_TMYx.2007-2021.zip")</f>
        <v>https://climate.onebuilding.org/WMO_Region_6_Europe/NOR_Norway/NO_Nordland/NOR_NO_Seljelia.011350_TMYx.2007-2021.zip</v>
      </c>
    </row>
    <row r="8228" spans="1:10" x14ac:dyDescent="0.25">
      <c r="A8228" t="s">
        <v>4974</v>
      </c>
      <c r="B8228" t="s">
        <v>93</v>
      </c>
      <c r="C8228" t="s">
        <v>6136</v>
      </c>
      <c r="D8228" s="1" t="s">
        <v>6137</v>
      </c>
      <c r="E8228" t="s">
        <v>14</v>
      </c>
      <c r="F8228">
        <v>66.131699999999995</v>
      </c>
      <c r="G8228">
        <v>13.5867</v>
      </c>
      <c r="H8228">
        <v>1</v>
      </c>
      <c r="I8228">
        <v>123</v>
      </c>
      <c r="J8228" t="str">
        <f>HYPERLINK("https://climate.onebuilding.org/WMO_Region_6_Europe/NOR_Norway/NO_Nordland/NOR_NO_Seljelia.011350_TMYx.2009-2023.zip")</f>
        <v>https://climate.onebuilding.org/WMO_Region_6_Europe/NOR_Norway/NO_Nordland/NOR_NO_Seljelia.011350_TMYx.2009-2023.zip</v>
      </c>
    </row>
    <row r="8229" spans="1:10" x14ac:dyDescent="0.25">
      <c r="A8229" t="s">
        <v>4974</v>
      </c>
      <c r="B8229" t="s">
        <v>93</v>
      </c>
      <c r="C8229" t="s">
        <v>6136</v>
      </c>
      <c r="D8229" s="1" t="s">
        <v>6137</v>
      </c>
      <c r="E8229" t="s">
        <v>14</v>
      </c>
      <c r="F8229">
        <v>66.131699999999995</v>
      </c>
      <c r="G8229">
        <v>13.5867</v>
      </c>
      <c r="H8229">
        <v>1</v>
      </c>
      <c r="I8229">
        <v>123</v>
      </c>
      <c r="J8229" t="str">
        <f>HYPERLINK("https://climate.onebuilding.org/WMO_Region_6_Europe/NOR_Norway/NO_Nordland/NOR_NO_Seljelia.011350_TMYx.zip")</f>
        <v>https://climate.onebuilding.org/WMO_Region_6_Europe/NOR_Norway/NO_Nordland/NOR_NO_Seljelia.011350_TMYx.zip</v>
      </c>
    </row>
    <row r="8230" spans="1:10" x14ac:dyDescent="0.25">
      <c r="A8230" t="s">
        <v>4974</v>
      </c>
      <c r="B8230" t="s">
        <v>93</v>
      </c>
      <c r="C8230" t="s">
        <v>6139</v>
      </c>
      <c r="D8230" s="1" t="s">
        <v>6140</v>
      </c>
      <c r="E8230" t="s">
        <v>14</v>
      </c>
      <c r="F8230">
        <v>66.924400000000006</v>
      </c>
      <c r="G8230">
        <v>13.446099999999999</v>
      </c>
      <c r="H8230">
        <v>1</v>
      </c>
      <c r="I8230">
        <v>12</v>
      </c>
      <c r="J8230" t="str">
        <f>HYPERLINK("https://climate.onebuilding.org/WMO_Region_6_Europe/NOR_Norway/NO_Nordland/NOR_NO_Stott.011370_TMYx.zip")</f>
        <v>https://climate.onebuilding.org/WMO_Region_6_Europe/NOR_Norway/NO_Nordland/NOR_NO_Stott.011370_TMYx.zip</v>
      </c>
    </row>
    <row r="8231" spans="1:10" x14ac:dyDescent="0.25">
      <c r="A8231" t="s">
        <v>4974</v>
      </c>
      <c r="B8231" t="s">
        <v>93</v>
      </c>
      <c r="C8231" t="s">
        <v>6141</v>
      </c>
      <c r="D8231" s="1" t="s">
        <v>6142</v>
      </c>
      <c r="E8231" t="s">
        <v>14</v>
      </c>
      <c r="F8231">
        <v>67.3</v>
      </c>
      <c r="G8231">
        <v>13.5</v>
      </c>
      <c r="H8231">
        <v>1</v>
      </c>
      <c r="I8231">
        <v>14</v>
      </c>
      <c r="J8231" t="str">
        <f>HYPERLINK("https://climate.onebuilding.org/WMO_Region_6_Europe/NOR_Norway/NO_Nordland/NOR_NO_Tennholmen.Lighthouse.011380_TMYx.zip")</f>
        <v>https://climate.onebuilding.org/WMO_Region_6_Europe/NOR_Norway/NO_Nordland/NOR_NO_Tennholmen.Lighthouse.011380_TMYx.zip</v>
      </c>
    </row>
    <row r="8232" spans="1:10" x14ac:dyDescent="0.25">
      <c r="A8232" t="s">
        <v>4974</v>
      </c>
      <c r="B8232" t="s">
        <v>93</v>
      </c>
      <c r="C8232" t="s">
        <v>6143</v>
      </c>
      <c r="D8232" s="1" t="s">
        <v>6144</v>
      </c>
      <c r="E8232" t="s">
        <v>6145</v>
      </c>
      <c r="F8232">
        <v>67.652799999999999</v>
      </c>
      <c r="G8232">
        <v>12.722799999999999</v>
      </c>
      <c r="H8232">
        <v>1</v>
      </c>
      <c r="I8232">
        <v>3.7</v>
      </c>
      <c r="J8232" t="str">
        <f>HYPERLINK("https://climate.onebuilding.org/WMO_Region_6_Europe/NOR_Norway/NO_Nordland/NOR_NO_Vaeroy.Heli.011390_TMYx.2004-2018.zip")</f>
        <v>https://climate.onebuilding.org/WMO_Region_6_Europe/NOR_Norway/NO_Nordland/NOR_NO_Vaeroy.Heli.011390_TMYx.2004-2018.zip</v>
      </c>
    </row>
    <row r="8233" spans="1:10" x14ac:dyDescent="0.25">
      <c r="A8233" t="s">
        <v>4974</v>
      </c>
      <c r="B8233" t="s">
        <v>93</v>
      </c>
      <c r="C8233" t="s">
        <v>6143</v>
      </c>
      <c r="D8233" s="1" t="s">
        <v>6144</v>
      </c>
      <c r="E8233" t="s">
        <v>14</v>
      </c>
      <c r="F8233">
        <v>67.652799999999999</v>
      </c>
      <c r="G8233">
        <v>12.722799999999999</v>
      </c>
      <c r="H8233">
        <v>1</v>
      </c>
      <c r="I8233">
        <v>3.7</v>
      </c>
      <c r="J8233" t="str">
        <f>HYPERLINK("https://climate.onebuilding.org/WMO_Region_6_Europe/NOR_Norway/NO_Nordland/NOR_NO_Vaeroy.Heli.011390_TMYx.2007-2021.zip")</f>
        <v>https://climate.onebuilding.org/WMO_Region_6_Europe/NOR_Norway/NO_Nordland/NOR_NO_Vaeroy.Heli.011390_TMYx.2007-2021.zip</v>
      </c>
    </row>
    <row r="8234" spans="1:10" x14ac:dyDescent="0.25">
      <c r="A8234" t="s">
        <v>4974</v>
      </c>
      <c r="B8234" t="s">
        <v>93</v>
      </c>
      <c r="C8234" t="s">
        <v>6143</v>
      </c>
      <c r="D8234" s="1" t="s">
        <v>6144</v>
      </c>
      <c r="E8234" t="s">
        <v>14</v>
      </c>
      <c r="F8234">
        <v>67.652799999999999</v>
      </c>
      <c r="G8234">
        <v>12.722799999999999</v>
      </c>
      <c r="H8234">
        <v>1</v>
      </c>
      <c r="I8234">
        <v>3.7</v>
      </c>
      <c r="J8234" t="str">
        <f>HYPERLINK("https://climate.onebuilding.org/WMO_Region_6_Europe/NOR_Norway/NO_Nordland/NOR_NO_Vaeroy.Heli.011390_TMYx.2009-2023.zip")</f>
        <v>https://climate.onebuilding.org/WMO_Region_6_Europe/NOR_Norway/NO_Nordland/NOR_NO_Vaeroy.Heli.011390_TMYx.2009-2023.zip</v>
      </c>
    </row>
    <row r="8235" spans="1:10" x14ac:dyDescent="0.25">
      <c r="A8235" t="s">
        <v>4974</v>
      </c>
      <c r="B8235" t="s">
        <v>93</v>
      </c>
      <c r="C8235" t="s">
        <v>6143</v>
      </c>
      <c r="D8235" s="1" t="s">
        <v>6144</v>
      </c>
      <c r="E8235" t="s">
        <v>14</v>
      </c>
      <c r="F8235">
        <v>67.652799999999999</v>
      </c>
      <c r="G8235">
        <v>12.722799999999999</v>
      </c>
      <c r="H8235">
        <v>1</v>
      </c>
      <c r="I8235">
        <v>3.7</v>
      </c>
      <c r="J8235" t="str">
        <f>HYPERLINK("https://climate.onebuilding.org/WMO_Region_6_Europe/NOR_Norway/NO_Nordland/NOR_NO_Vaeroy.Heli.011390_TMYx.zip")</f>
        <v>https://climate.onebuilding.org/WMO_Region_6_Europe/NOR_Norway/NO_Nordland/NOR_NO_Vaeroy.Heli.011390_TMYx.zip</v>
      </c>
    </row>
    <row r="8236" spans="1:10" x14ac:dyDescent="0.25">
      <c r="A8236" t="s">
        <v>4974</v>
      </c>
      <c r="B8236" t="s">
        <v>93</v>
      </c>
      <c r="C8236" t="s">
        <v>6146</v>
      </c>
      <c r="D8236" s="1" t="s">
        <v>6147</v>
      </c>
      <c r="E8236" t="s">
        <v>14</v>
      </c>
      <c r="F8236">
        <v>68.155000000000001</v>
      </c>
      <c r="G8236">
        <v>13.615</v>
      </c>
      <c r="H8236">
        <v>1</v>
      </c>
      <c r="I8236">
        <v>26.2</v>
      </c>
      <c r="J8236" t="str">
        <f>HYPERLINK("https://climate.onebuilding.org/WMO_Region_6_Europe/NOR_Norway/NO_Nordland/NOR_NO_Leknes.AP.011410_TMYx.2007-2021.zip")</f>
        <v>https://climate.onebuilding.org/WMO_Region_6_Europe/NOR_Norway/NO_Nordland/NOR_NO_Leknes.AP.011410_TMYx.2007-2021.zip</v>
      </c>
    </row>
    <row r="8237" spans="1:10" x14ac:dyDescent="0.25">
      <c r="A8237" t="s">
        <v>4974</v>
      </c>
      <c r="B8237" t="s">
        <v>93</v>
      </c>
      <c r="C8237" t="s">
        <v>6146</v>
      </c>
      <c r="D8237" s="1" t="s">
        <v>6147</v>
      </c>
      <c r="E8237" t="s">
        <v>14</v>
      </c>
      <c r="F8237">
        <v>68.155000000000001</v>
      </c>
      <c r="G8237">
        <v>13.615</v>
      </c>
      <c r="H8237">
        <v>1</v>
      </c>
      <c r="I8237">
        <v>26.2</v>
      </c>
      <c r="J8237" t="str">
        <f>HYPERLINK("https://climate.onebuilding.org/WMO_Region_6_Europe/NOR_Norway/NO_Nordland/NOR_NO_Leknes.AP.011410_TMYx.2009-2023.zip")</f>
        <v>https://climate.onebuilding.org/WMO_Region_6_Europe/NOR_Norway/NO_Nordland/NOR_NO_Leknes.AP.011410_TMYx.2009-2023.zip</v>
      </c>
    </row>
    <row r="8238" spans="1:10" x14ac:dyDescent="0.25">
      <c r="A8238" t="s">
        <v>4974</v>
      </c>
      <c r="B8238" t="s">
        <v>93</v>
      </c>
      <c r="C8238" t="s">
        <v>6146</v>
      </c>
      <c r="D8238" s="1" t="s">
        <v>6147</v>
      </c>
      <c r="E8238" t="s">
        <v>14</v>
      </c>
      <c r="F8238">
        <v>68.155000000000001</v>
      </c>
      <c r="G8238">
        <v>13.615</v>
      </c>
      <c r="H8238">
        <v>1</v>
      </c>
      <c r="I8238">
        <v>26.2</v>
      </c>
      <c r="J8238" t="str">
        <f>HYPERLINK("https://climate.onebuilding.org/WMO_Region_6_Europe/NOR_Norway/NO_Nordland/NOR_NO_Leknes.AP.011410_TMYx.zip")</f>
        <v>https://climate.onebuilding.org/WMO_Region_6_Europe/NOR_Norway/NO_Nordland/NOR_NO_Leknes.AP.011410_TMYx.zip</v>
      </c>
    </row>
    <row r="8239" spans="1:10" x14ac:dyDescent="0.25">
      <c r="A8239" t="s">
        <v>4974</v>
      </c>
      <c r="B8239" t="s">
        <v>93</v>
      </c>
      <c r="C8239" t="s">
        <v>6148</v>
      </c>
      <c r="D8239" s="1" t="s">
        <v>6149</v>
      </c>
      <c r="E8239" t="s">
        <v>6150</v>
      </c>
      <c r="F8239">
        <v>68.046899999999994</v>
      </c>
      <c r="G8239">
        <v>16.083600000000001</v>
      </c>
      <c r="H8239">
        <v>1</v>
      </c>
      <c r="I8239">
        <v>19</v>
      </c>
      <c r="J8239" t="str">
        <f>HYPERLINK("https://climate.onebuilding.org/WMO_Region_6_Europe/NOR_Norway/NO_Nordland/NOR_NO_Drag.Ajluokta.011430_TMYx.2004-2018.zip")</f>
        <v>https://climate.onebuilding.org/WMO_Region_6_Europe/NOR_Norway/NO_Nordland/NOR_NO_Drag.Ajluokta.011430_TMYx.2004-2018.zip</v>
      </c>
    </row>
    <row r="8240" spans="1:10" x14ac:dyDescent="0.25">
      <c r="A8240" t="s">
        <v>4974</v>
      </c>
      <c r="B8240" t="s">
        <v>93</v>
      </c>
      <c r="C8240" t="s">
        <v>6148</v>
      </c>
      <c r="D8240" s="1" t="s">
        <v>6149</v>
      </c>
      <c r="E8240" t="s">
        <v>14</v>
      </c>
      <c r="F8240">
        <v>68.046899999999994</v>
      </c>
      <c r="G8240">
        <v>16.083600000000001</v>
      </c>
      <c r="H8240">
        <v>1</v>
      </c>
      <c r="I8240">
        <v>19</v>
      </c>
      <c r="J8240" t="str">
        <f>HYPERLINK("https://climate.onebuilding.org/WMO_Region_6_Europe/NOR_Norway/NO_Nordland/NOR_NO_Drag.Ajluokta.011430_TMYx.2007-2021.zip")</f>
        <v>https://climate.onebuilding.org/WMO_Region_6_Europe/NOR_Norway/NO_Nordland/NOR_NO_Drag.Ajluokta.011430_TMYx.2007-2021.zip</v>
      </c>
    </row>
    <row r="8241" spans="1:10" x14ac:dyDescent="0.25">
      <c r="A8241" t="s">
        <v>4974</v>
      </c>
      <c r="B8241" t="s">
        <v>93</v>
      </c>
      <c r="C8241" t="s">
        <v>6148</v>
      </c>
      <c r="D8241" s="1" t="s">
        <v>6149</v>
      </c>
      <c r="E8241" t="s">
        <v>14</v>
      </c>
      <c r="F8241">
        <v>68.046899999999994</v>
      </c>
      <c r="G8241">
        <v>16.083600000000001</v>
      </c>
      <c r="H8241">
        <v>1</v>
      </c>
      <c r="I8241">
        <v>19</v>
      </c>
      <c r="J8241" t="str">
        <f>HYPERLINK("https://climate.onebuilding.org/WMO_Region_6_Europe/NOR_Norway/NO_Nordland/NOR_NO_Drag.Ajluokta.011430_TMYx.2009-2023.zip")</f>
        <v>https://climate.onebuilding.org/WMO_Region_6_Europe/NOR_Norway/NO_Nordland/NOR_NO_Drag.Ajluokta.011430_TMYx.2009-2023.zip</v>
      </c>
    </row>
    <row r="8242" spans="1:10" x14ac:dyDescent="0.25">
      <c r="A8242" t="s">
        <v>4974</v>
      </c>
      <c r="B8242" t="s">
        <v>93</v>
      </c>
      <c r="C8242" t="s">
        <v>6148</v>
      </c>
      <c r="D8242" s="1" t="s">
        <v>6149</v>
      </c>
      <c r="E8242" t="s">
        <v>14</v>
      </c>
      <c r="F8242">
        <v>68.046899999999994</v>
      </c>
      <c r="G8242">
        <v>16.083600000000001</v>
      </c>
      <c r="H8242">
        <v>1</v>
      </c>
      <c r="I8242">
        <v>19</v>
      </c>
      <c r="J8242" t="str">
        <f>HYPERLINK("https://climate.onebuilding.org/WMO_Region_6_Europe/NOR_Norway/NO_Nordland/NOR_NO_Drag.Ajluokta.011430_TMYx.zip")</f>
        <v>https://climate.onebuilding.org/WMO_Region_6_Europe/NOR_Norway/NO_Nordland/NOR_NO_Drag.Ajluokta.011430_TMYx.zip</v>
      </c>
    </row>
    <row r="8243" spans="1:10" x14ac:dyDescent="0.25">
      <c r="A8243" t="s">
        <v>4974</v>
      </c>
      <c r="B8243" t="s">
        <v>93</v>
      </c>
      <c r="C8243" t="s">
        <v>6151</v>
      </c>
      <c r="D8243" s="1" t="s">
        <v>6152</v>
      </c>
      <c r="E8243" t="s">
        <v>6153</v>
      </c>
      <c r="F8243">
        <v>67.404700000000005</v>
      </c>
      <c r="G8243">
        <v>13.8956</v>
      </c>
      <c r="H8243">
        <v>1</v>
      </c>
      <c r="I8243">
        <v>24</v>
      </c>
      <c r="J8243" t="str">
        <f>HYPERLINK("https://climate.onebuilding.org/WMO_Region_6_Europe/NOR_Norway/NO_Nordland/NOR_NO_Helligvaer.011440_TMYx.2004-2018.zip")</f>
        <v>https://climate.onebuilding.org/WMO_Region_6_Europe/NOR_Norway/NO_Nordland/NOR_NO_Helligvaer.011440_TMYx.2004-2018.zip</v>
      </c>
    </row>
    <row r="8244" spans="1:10" x14ac:dyDescent="0.25">
      <c r="A8244" t="s">
        <v>4974</v>
      </c>
      <c r="B8244" t="s">
        <v>93</v>
      </c>
      <c r="C8244" t="s">
        <v>6151</v>
      </c>
      <c r="D8244" s="1" t="s">
        <v>6152</v>
      </c>
      <c r="E8244" t="s">
        <v>14</v>
      </c>
      <c r="F8244">
        <v>67.404700000000005</v>
      </c>
      <c r="G8244">
        <v>13.8956</v>
      </c>
      <c r="H8244">
        <v>1</v>
      </c>
      <c r="I8244">
        <v>24</v>
      </c>
      <c r="J8244" t="str">
        <f>HYPERLINK("https://climate.onebuilding.org/WMO_Region_6_Europe/NOR_Norway/NO_Nordland/NOR_NO_Helligvaer.011440_TMYx.2007-2021.zip")</f>
        <v>https://climate.onebuilding.org/WMO_Region_6_Europe/NOR_Norway/NO_Nordland/NOR_NO_Helligvaer.011440_TMYx.2007-2021.zip</v>
      </c>
    </row>
    <row r="8245" spans="1:10" x14ac:dyDescent="0.25">
      <c r="A8245" t="s">
        <v>4974</v>
      </c>
      <c r="B8245" t="s">
        <v>93</v>
      </c>
      <c r="C8245" t="s">
        <v>6151</v>
      </c>
      <c r="D8245" s="1" t="s">
        <v>6152</v>
      </c>
      <c r="E8245" t="s">
        <v>14</v>
      </c>
      <c r="F8245">
        <v>67.404700000000005</v>
      </c>
      <c r="G8245">
        <v>13.8956</v>
      </c>
      <c r="H8245">
        <v>1</v>
      </c>
      <c r="I8245">
        <v>24</v>
      </c>
      <c r="J8245" t="str">
        <f>HYPERLINK("https://climate.onebuilding.org/WMO_Region_6_Europe/NOR_Norway/NO_Nordland/NOR_NO_Helligvaer.011440_TMYx.2009-2023.zip")</f>
        <v>https://climate.onebuilding.org/WMO_Region_6_Europe/NOR_Norway/NO_Nordland/NOR_NO_Helligvaer.011440_TMYx.2009-2023.zip</v>
      </c>
    </row>
    <row r="8246" spans="1:10" x14ac:dyDescent="0.25">
      <c r="A8246" t="s">
        <v>4974</v>
      </c>
      <c r="B8246" t="s">
        <v>93</v>
      </c>
      <c r="C8246" t="s">
        <v>6151</v>
      </c>
      <c r="D8246" s="1" t="s">
        <v>6152</v>
      </c>
      <c r="E8246" t="s">
        <v>14</v>
      </c>
      <c r="F8246">
        <v>67.404700000000005</v>
      </c>
      <c r="G8246">
        <v>13.8956</v>
      </c>
      <c r="H8246">
        <v>1</v>
      </c>
      <c r="I8246">
        <v>24</v>
      </c>
      <c r="J8246" t="str">
        <f>HYPERLINK("https://climate.onebuilding.org/WMO_Region_6_Europe/NOR_Norway/NO_Nordland/NOR_NO_Helligvaer.011440_TMYx.zip")</f>
        <v>https://climate.onebuilding.org/WMO_Region_6_Europe/NOR_Norway/NO_Nordland/NOR_NO_Helligvaer.011440_TMYx.zip</v>
      </c>
    </row>
    <row r="8247" spans="1:10" x14ac:dyDescent="0.25">
      <c r="A8247" t="s">
        <v>4974</v>
      </c>
      <c r="B8247" t="s">
        <v>93</v>
      </c>
      <c r="C8247" t="s">
        <v>6154</v>
      </c>
      <c r="D8247" s="1" t="s">
        <v>6155</v>
      </c>
      <c r="E8247" t="s">
        <v>6156</v>
      </c>
      <c r="F8247">
        <v>66.234700000000004</v>
      </c>
      <c r="G8247">
        <v>13.896699999999999</v>
      </c>
      <c r="H8247">
        <v>1</v>
      </c>
      <c r="I8247">
        <v>5</v>
      </c>
      <c r="J8247" t="str">
        <f>HYPERLINK("https://climate.onebuilding.org/WMO_Region_6_Europe/NOR_Norway/NO_Nordland/NOR_NO_Skamdal.011460_TMYx.2004-2018.zip")</f>
        <v>https://climate.onebuilding.org/WMO_Region_6_Europe/NOR_Norway/NO_Nordland/NOR_NO_Skamdal.011460_TMYx.2004-2018.zip</v>
      </c>
    </row>
    <row r="8248" spans="1:10" x14ac:dyDescent="0.25">
      <c r="A8248" t="s">
        <v>4974</v>
      </c>
      <c r="B8248" t="s">
        <v>93</v>
      </c>
      <c r="C8248" t="s">
        <v>6154</v>
      </c>
      <c r="D8248" s="1" t="s">
        <v>6155</v>
      </c>
      <c r="E8248" t="s">
        <v>14</v>
      </c>
      <c r="F8248">
        <v>66.234700000000004</v>
      </c>
      <c r="G8248">
        <v>13.896699999999999</v>
      </c>
      <c r="H8248">
        <v>1</v>
      </c>
      <c r="I8248">
        <v>5</v>
      </c>
      <c r="J8248" t="str">
        <f>HYPERLINK("https://climate.onebuilding.org/WMO_Region_6_Europe/NOR_Norway/NO_Nordland/NOR_NO_Skamdal.011460_TMYx.2007-2021.zip")</f>
        <v>https://climate.onebuilding.org/WMO_Region_6_Europe/NOR_Norway/NO_Nordland/NOR_NO_Skamdal.011460_TMYx.2007-2021.zip</v>
      </c>
    </row>
    <row r="8249" spans="1:10" x14ac:dyDescent="0.25">
      <c r="A8249" t="s">
        <v>4974</v>
      </c>
      <c r="B8249" t="s">
        <v>93</v>
      </c>
      <c r="C8249" t="s">
        <v>6154</v>
      </c>
      <c r="D8249" s="1" t="s">
        <v>6155</v>
      </c>
      <c r="E8249" t="s">
        <v>14</v>
      </c>
      <c r="F8249">
        <v>66.234700000000004</v>
      </c>
      <c r="G8249">
        <v>13.896699999999999</v>
      </c>
      <c r="H8249">
        <v>1</v>
      </c>
      <c r="I8249">
        <v>5</v>
      </c>
      <c r="J8249" t="str">
        <f>HYPERLINK("https://climate.onebuilding.org/WMO_Region_6_Europe/NOR_Norway/NO_Nordland/NOR_NO_Skamdal.011460_TMYx.2009-2023.zip")</f>
        <v>https://climate.onebuilding.org/WMO_Region_6_Europe/NOR_Norway/NO_Nordland/NOR_NO_Skamdal.011460_TMYx.2009-2023.zip</v>
      </c>
    </row>
    <row r="8250" spans="1:10" x14ac:dyDescent="0.25">
      <c r="A8250" t="s">
        <v>4974</v>
      </c>
      <c r="B8250" t="s">
        <v>93</v>
      </c>
      <c r="C8250" t="s">
        <v>6154</v>
      </c>
      <c r="D8250" s="1" t="s">
        <v>6155</v>
      </c>
      <c r="E8250" t="s">
        <v>14</v>
      </c>
      <c r="F8250">
        <v>66.234700000000004</v>
      </c>
      <c r="G8250">
        <v>13.896699999999999</v>
      </c>
      <c r="H8250">
        <v>1</v>
      </c>
      <c r="I8250">
        <v>5</v>
      </c>
      <c r="J8250" t="str">
        <f>HYPERLINK("https://climate.onebuilding.org/WMO_Region_6_Europe/NOR_Norway/NO_Nordland/NOR_NO_Skamdal.011460_TMYx.zip")</f>
        <v>https://climate.onebuilding.org/WMO_Region_6_Europe/NOR_Norway/NO_Nordland/NOR_NO_Skamdal.011460_TMYx.zip</v>
      </c>
    </row>
    <row r="8251" spans="1:10" x14ac:dyDescent="0.25">
      <c r="A8251" t="s">
        <v>4974</v>
      </c>
      <c r="B8251" t="s">
        <v>93</v>
      </c>
      <c r="C8251" t="s">
        <v>6157</v>
      </c>
      <c r="D8251" s="1" t="s">
        <v>6158</v>
      </c>
      <c r="E8251" t="s">
        <v>6159</v>
      </c>
      <c r="F8251">
        <v>65.826400000000007</v>
      </c>
      <c r="G8251">
        <v>14.184699999999999</v>
      </c>
      <c r="H8251">
        <v>1</v>
      </c>
      <c r="I8251">
        <v>406</v>
      </c>
      <c r="J8251" t="str">
        <f>HYPERLINK("https://climate.onebuilding.org/WMO_Region_6_Europe/NOR_Norway/NO_Nordland/NOR_NO_Varntresk.011470_TMYx.2004-2018.zip")</f>
        <v>https://climate.onebuilding.org/WMO_Region_6_Europe/NOR_Norway/NO_Nordland/NOR_NO_Varntresk.011470_TMYx.2004-2018.zip</v>
      </c>
    </row>
    <row r="8252" spans="1:10" x14ac:dyDescent="0.25">
      <c r="A8252" t="s">
        <v>4974</v>
      </c>
      <c r="B8252" t="s">
        <v>93</v>
      </c>
      <c r="C8252" t="s">
        <v>6157</v>
      </c>
      <c r="D8252" s="1" t="s">
        <v>6158</v>
      </c>
      <c r="E8252" t="s">
        <v>14</v>
      </c>
      <c r="F8252">
        <v>65.826400000000007</v>
      </c>
      <c r="G8252">
        <v>14.184699999999999</v>
      </c>
      <c r="H8252">
        <v>1</v>
      </c>
      <c r="I8252">
        <v>406</v>
      </c>
      <c r="J8252" t="str">
        <f>HYPERLINK("https://climate.onebuilding.org/WMO_Region_6_Europe/NOR_Norway/NO_Nordland/NOR_NO_Varntresk.011470_TMYx.2007-2021.zip")</f>
        <v>https://climate.onebuilding.org/WMO_Region_6_Europe/NOR_Norway/NO_Nordland/NOR_NO_Varntresk.011470_TMYx.2007-2021.zip</v>
      </c>
    </row>
    <row r="8253" spans="1:10" x14ac:dyDescent="0.25">
      <c r="A8253" t="s">
        <v>4974</v>
      </c>
      <c r="B8253" t="s">
        <v>93</v>
      </c>
      <c r="C8253" t="s">
        <v>6157</v>
      </c>
      <c r="D8253" s="1" t="s">
        <v>6158</v>
      </c>
      <c r="E8253" t="s">
        <v>14</v>
      </c>
      <c r="F8253">
        <v>65.826400000000007</v>
      </c>
      <c r="G8253">
        <v>14.184699999999999</v>
      </c>
      <c r="H8253">
        <v>1</v>
      </c>
      <c r="I8253">
        <v>406</v>
      </c>
      <c r="J8253" t="str">
        <f>HYPERLINK("https://climate.onebuilding.org/WMO_Region_6_Europe/NOR_Norway/NO_Nordland/NOR_NO_Varntresk.011470_TMYx.2009-2023.zip")</f>
        <v>https://climate.onebuilding.org/WMO_Region_6_Europe/NOR_Norway/NO_Nordland/NOR_NO_Varntresk.011470_TMYx.2009-2023.zip</v>
      </c>
    </row>
    <row r="8254" spans="1:10" x14ac:dyDescent="0.25">
      <c r="A8254" t="s">
        <v>4974</v>
      </c>
      <c r="B8254" t="s">
        <v>93</v>
      </c>
      <c r="C8254" t="s">
        <v>6157</v>
      </c>
      <c r="D8254" s="1" t="s">
        <v>6158</v>
      </c>
      <c r="E8254" t="s">
        <v>14</v>
      </c>
      <c r="F8254">
        <v>65.826400000000007</v>
      </c>
      <c r="G8254">
        <v>14.184699999999999</v>
      </c>
      <c r="H8254">
        <v>1</v>
      </c>
      <c r="I8254">
        <v>406</v>
      </c>
      <c r="J8254" t="str">
        <f>HYPERLINK("https://climate.onebuilding.org/WMO_Region_6_Europe/NOR_Norway/NO_Nordland/NOR_NO_Varntresk.011470_TMYx.zip")</f>
        <v>https://climate.onebuilding.org/WMO_Region_6_Europe/NOR_Norway/NO_Nordland/NOR_NO_Varntresk.011470_TMYx.zip</v>
      </c>
    </row>
    <row r="8255" spans="1:10" x14ac:dyDescent="0.25">
      <c r="A8255" t="s">
        <v>4974</v>
      </c>
      <c r="B8255" t="s">
        <v>93</v>
      </c>
      <c r="C8255" t="s">
        <v>6160</v>
      </c>
      <c r="D8255" s="1" t="s">
        <v>6161</v>
      </c>
      <c r="E8255" t="s">
        <v>6162</v>
      </c>
      <c r="F8255">
        <v>66.396100000000004</v>
      </c>
      <c r="G8255">
        <v>14.5306</v>
      </c>
      <c r="H8255">
        <v>1</v>
      </c>
      <c r="I8255">
        <v>110</v>
      </c>
      <c r="J8255" t="str">
        <f>HYPERLINK("https://climate.onebuilding.org/WMO_Region_6_Europe/NOR_Norway/NO_Nordland/NOR_NO_Storforshei.011480_TMYx.2004-2018.zip")</f>
        <v>https://climate.onebuilding.org/WMO_Region_6_Europe/NOR_Norway/NO_Nordland/NOR_NO_Storforshei.011480_TMYx.2004-2018.zip</v>
      </c>
    </row>
    <row r="8256" spans="1:10" x14ac:dyDescent="0.25">
      <c r="A8256" t="s">
        <v>4974</v>
      </c>
      <c r="B8256" t="s">
        <v>93</v>
      </c>
      <c r="C8256" t="s">
        <v>6160</v>
      </c>
      <c r="D8256" s="1" t="s">
        <v>6161</v>
      </c>
      <c r="E8256" t="s">
        <v>14</v>
      </c>
      <c r="F8256">
        <v>66.396100000000004</v>
      </c>
      <c r="G8256">
        <v>14.5306</v>
      </c>
      <c r="H8256">
        <v>1</v>
      </c>
      <c r="I8256">
        <v>110</v>
      </c>
      <c r="J8256" t="str">
        <f>HYPERLINK("https://climate.onebuilding.org/WMO_Region_6_Europe/NOR_Norway/NO_Nordland/NOR_NO_Storforshei.011480_TMYx.2007-2021.zip")</f>
        <v>https://climate.onebuilding.org/WMO_Region_6_Europe/NOR_Norway/NO_Nordland/NOR_NO_Storforshei.011480_TMYx.2007-2021.zip</v>
      </c>
    </row>
    <row r="8257" spans="1:10" x14ac:dyDescent="0.25">
      <c r="A8257" t="s">
        <v>4974</v>
      </c>
      <c r="B8257" t="s">
        <v>93</v>
      </c>
      <c r="C8257" t="s">
        <v>6160</v>
      </c>
      <c r="D8257" s="1" t="s">
        <v>6161</v>
      </c>
      <c r="E8257" t="s">
        <v>14</v>
      </c>
      <c r="F8257">
        <v>66.396100000000004</v>
      </c>
      <c r="G8257">
        <v>14.5306</v>
      </c>
      <c r="H8257">
        <v>1</v>
      </c>
      <c r="I8257">
        <v>110</v>
      </c>
      <c r="J8257" t="str">
        <f>HYPERLINK("https://climate.onebuilding.org/WMO_Region_6_Europe/NOR_Norway/NO_Nordland/NOR_NO_Storforshei.011480_TMYx.2009-2023.zip")</f>
        <v>https://climate.onebuilding.org/WMO_Region_6_Europe/NOR_Norway/NO_Nordland/NOR_NO_Storforshei.011480_TMYx.2009-2023.zip</v>
      </c>
    </row>
    <row r="8258" spans="1:10" x14ac:dyDescent="0.25">
      <c r="A8258" t="s">
        <v>4974</v>
      </c>
      <c r="B8258" t="s">
        <v>93</v>
      </c>
      <c r="C8258" t="s">
        <v>6160</v>
      </c>
      <c r="D8258" s="1" t="s">
        <v>6161</v>
      </c>
      <c r="E8258" t="s">
        <v>14</v>
      </c>
      <c r="F8258">
        <v>66.396100000000004</v>
      </c>
      <c r="G8258">
        <v>14.5306</v>
      </c>
      <c r="H8258">
        <v>1</v>
      </c>
      <c r="I8258">
        <v>110</v>
      </c>
      <c r="J8258" t="str">
        <f>HYPERLINK("https://climate.onebuilding.org/WMO_Region_6_Europe/NOR_Norway/NO_Nordland/NOR_NO_Storforshei.011480_TMYx.zip")</f>
        <v>https://climate.onebuilding.org/WMO_Region_6_Europe/NOR_Norway/NO_Nordland/NOR_NO_Storforshei.011480_TMYx.zip</v>
      </c>
    </row>
    <row r="8259" spans="1:10" x14ac:dyDescent="0.25">
      <c r="A8259" t="s">
        <v>4974</v>
      </c>
      <c r="B8259" t="s">
        <v>93</v>
      </c>
      <c r="C8259" t="s">
        <v>6163</v>
      </c>
      <c r="D8259" s="1" t="s">
        <v>6164</v>
      </c>
      <c r="E8259" t="s">
        <v>14</v>
      </c>
      <c r="F8259">
        <v>66.332999999999998</v>
      </c>
      <c r="G8259">
        <v>14.1</v>
      </c>
      <c r="H8259">
        <v>1</v>
      </c>
      <c r="I8259">
        <v>42</v>
      </c>
      <c r="J8259" t="str">
        <f>HYPERLINK("https://climate.onebuilding.org/WMO_Region_6_Europe/NOR_Norway/NO_Nordland/NOR_NO_Rana.Basmoen.011490_TMYx.zip")</f>
        <v>https://climate.onebuilding.org/WMO_Region_6_Europe/NOR_Norway/NO_Nordland/NOR_NO_Rana.Basmoen.011490_TMYx.zip</v>
      </c>
    </row>
    <row r="8260" spans="1:10" x14ac:dyDescent="0.25">
      <c r="A8260" t="s">
        <v>4974</v>
      </c>
      <c r="B8260" t="s">
        <v>93</v>
      </c>
      <c r="C8260" t="s">
        <v>6165</v>
      </c>
      <c r="D8260" s="1" t="s">
        <v>6166</v>
      </c>
      <c r="E8260" t="s">
        <v>6167</v>
      </c>
      <c r="F8260">
        <v>66.499200000000002</v>
      </c>
      <c r="G8260">
        <v>14.953900000000001</v>
      </c>
      <c r="H8260">
        <v>1</v>
      </c>
      <c r="I8260">
        <v>251</v>
      </c>
      <c r="J8260" t="str">
        <f>HYPERLINK("https://climate.onebuilding.org/WMO_Region_6_Europe/NOR_Norway/NO_Nordland/NOR_NO_Hjartasen.011500_TMYx.2004-2018.zip")</f>
        <v>https://climate.onebuilding.org/WMO_Region_6_Europe/NOR_Norway/NO_Nordland/NOR_NO_Hjartasen.011500_TMYx.2004-2018.zip</v>
      </c>
    </row>
    <row r="8261" spans="1:10" x14ac:dyDescent="0.25">
      <c r="A8261" t="s">
        <v>4974</v>
      </c>
      <c r="B8261" t="s">
        <v>93</v>
      </c>
      <c r="C8261" t="s">
        <v>6165</v>
      </c>
      <c r="D8261" s="1" t="s">
        <v>6166</v>
      </c>
      <c r="E8261" t="s">
        <v>14</v>
      </c>
      <c r="F8261">
        <v>66.499200000000002</v>
      </c>
      <c r="G8261">
        <v>14.953900000000001</v>
      </c>
      <c r="H8261">
        <v>1</v>
      </c>
      <c r="I8261">
        <v>251</v>
      </c>
      <c r="J8261" t="str">
        <f>HYPERLINK("https://climate.onebuilding.org/WMO_Region_6_Europe/NOR_Norway/NO_Nordland/NOR_NO_Hjartasen.011500_TMYx.2007-2021.zip")</f>
        <v>https://climate.onebuilding.org/WMO_Region_6_Europe/NOR_Norway/NO_Nordland/NOR_NO_Hjartasen.011500_TMYx.2007-2021.zip</v>
      </c>
    </row>
    <row r="8262" spans="1:10" x14ac:dyDescent="0.25">
      <c r="A8262" t="s">
        <v>4974</v>
      </c>
      <c r="B8262" t="s">
        <v>93</v>
      </c>
      <c r="C8262" t="s">
        <v>6165</v>
      </c>
      <c r="D8262" s="1" t="s">
        <v>6166</v>
      </c>
      <c r="E8262" t="s">
        <v>14</v>
      </c>
      <c r="F8262">
        <v>66.499200000000002</v>
      </c>
      <c r="G8262">
        <v>14.953900000000001</v>
      </c>
      <c r="H8262">
        <v>1</v>
      </c>
      <c r="I8262">
        <v>251</v>
      </c>
      <c r="J8262" t="str">
        <f>HYPERLINK("https://climate.onebuilding.org/WMO_Region_6_Europe/NOR_Norway/NO_Nordland/NOR_NO_Hjartasen.011500_TMYx.2009-2023.zip")</f>
        <v>https://climate.onebuilding.org/WMO_Region_6_Europe/NOR_Norway/NO_Nordland/NOR_NO_Hjartasen.011500_TMYx.2009-2023.zip</v>
      </c>
    </row>
    <row r="8263" spans="1:10" x14ac:dyDescent="0.25">
      <c r="A8263" t="s">
        <v>4974</v>
      </c>
      <c r="B8263" t="s">
        <v>93</v>
      </c>
      <c r="C8263" t="s">
        <v>6165</v>
      </c>
      <c r="D8263" s="1" t="s">
        <v>6166</v>
      </c>
      <c r="E8263" t="s">
        <v>14</v>
      </c>
      <c r="F8263">
        <v>66.499200000000002</v>
      </c>
      <c r="G8263">
        <v>14.953900000000001</v>
      </c>
      <c r="H8263">
        <v>1</v>
      </c>
      <c r="I8263">
        <v>251</v>
      </c>
      <c r="J8263" t="str">
        <f>HYPERLINK("https://climate.onebuilding.org/WMO_Region_6_Europe/NOR_Norway/NO_Nordland/NOR_NO_Hjartasen.011500_TMYx.zip")</f>
        <v>https://climate.onebuilding.org/WMO_Region_6_Europe/NOR_Norway/NO_Nordland/NOR_NO_Hjartasen.011500_TMYx.zip</v>
      </c>
    </row>
    <row r="8264" spans="1:10" x14ac:dyDescent="0.25">
      <c r="A8264" t="s">
        <v>4974</v>
      </c>
      <c r="B8264" t="s">
        <v>93</v>
      </c>
      <c r="C8264" t="s">
        <v>6168</v>
      </c>
      <c r="D8264" s="1" t="s">
        <v>6169</v>
      </c>
      <c r="E8264" t="s">
        <v>6170</v>
      </c>
      <c r="F8264">
        <v>66.364400000000003</v>
      </c>
      <c r="G8264">
        <v>14.301399999999999</v>
      </c>
      <c r="H8264">
        <v>1</v>
      </c>
      <c r="I8264">
        <v>69.7</v>
      </c>
      <c r="J8264" t="str">
        <f>HYPERLINK("https://climate.onebuilding.org/WMO_Region_6_Europe/NOR_Norway/NO_Nordland/NOR_NO_Mo.i.Rana.AP-Rossvoll.011510_TMYx.2004-2018.zip")</f>
        <v>https://climate.onebuilding.org/WMO_Region_6_Europe/NOR_Norway/NO_Nordland/NOR_NO_Mo.i.Rana.AP-Rossvoll.011510_TMYx.2004-2018.zip</v>
      </c>
    </row>
    <row r="8265" spans="1:10" x14ac:dyDescent="0.25">
      <c r="A8265" t="s">
        <v>4974</v>
      </c>
      <c r="B8265" t="s">
        <v>93</v>
      </c>
      <c r="C8265" t="s">
        <v>6168</v>
      </c>
      <c r="D8265" s="1" t="s">
        <v>6169</v>
      </c>
      <c r="E8265" t="s">
        <v>14</v>
      </c>
      <c r="F8265">
        <v>66.364400000000003</v>
      </c>
      <c r="G8265">
        <v>14.301399999999999</v>
      </c>
      <c r="H8265">
        <v>1</v>
      </c>
      <c r="I8265">
        <v>69.7</v>
      </c>
      <c r="J8265" t="str">
        <f>HYPERLINK("https://climate.onebuilding.org/WMO_Region_6_Europe/NOR_Norway/NO_Nordland/NOR_NO_Mo.i.Rana.AP-Rossvoll.011510_TMYx.2007-2021.zip")</f>
        <v>https://climate.onebuilding.org/WMO_Region_6_Europe/NOR_Norway/NO_Nordland/NOR_NO_Mo.i.Rana.AP-Rossvoll.011510_TMYx.2007-2021.zip</v>
      </c>
    </row>
    <row r="8266" spans="1:10" x14ac:dyDescent="0.25">
      <c r="A8266" t="s">
        <v>4974</v>
      </c>
      <c r="B8266" t="s">
        <v>93</v>
      </c>
      <c r="C8266" t="s">
        <v>6168</v>
      </c>
      <c r="D8266" s="1" t="s">
        <v>6169</v>
      </c>
      <c r="E8266" t="s">
        <v>14</v>
      </c>
      <c r="F8266">
        <v>66.364400000000003</v>
      </c>
      <c r="G8266">
        <v>14.301399999999999</v>
      </c>
      <c r="H8266">
        <v>1</v>
      </c>
      <c r="I8266">
        <v>69.7</v>
      </c>
      <c r="J8266" t="str">
        <f>HYPERLINK("https://climate.onebuilding.org/WMO_Region_6_Europe/NOR_Norway/NO_Nordland/NOR_NO_Mo.i.Rana.AP-Rossvoll.011510_TMYx.2009-2023.zip")</f>
        <v>https://climate.onebuilding.org/WMO_Region_6_Europe/NOR_Norway/NO_Nordland/NOR_NO_Mo.i.Rana.AP-Rossvoll.011510_TMYx.2009-2023.zip</v>
      </c>
    </row>
    <row r="8267" spans="1:10" x14ac:dyDescent="0.25">
      <c r="A8267" t="s">
        <v>4974</v>
      </c>
      <c r="B8267" t="s">
        <v>93</v>
      </c>
      <c r="C8267" t="s">
        <v>6168</v>
      </c>
      <c r="D8267" s="1" t="s">
        <v>6169</v>
      </c>
      <c r="E8267" t="s">
        <v>14</v>
      </c>
      <c r="F8267">
        <v>66.364400000000003</v>
      </c>
      <c r="G8267">
        <v>14.301399999999999</v>
      </c>
      <c r="H8267">
        <v>1</v>
      </c>
      <c r="I8267">
        <v>69.7</v>
      </c>
      <c r="J8267" t="str">
        <f>HYPERLINK("https://climate.onebuilding.org/WMO_Region_6_Europe/NOR_Norway/NO_Nordland/NOR_NO_Mo.i.Rana.AP-Rossvoll.011510_TMYx.zip")</f>
        <v>https://climate.onebuilding.org/WMO_Region_6_Europe/NOR_Norway/NO_Nordland/NOR_NO_Mo.i.Rana.AP-Rossvoll.011510_TMYx.zip</v>
      </c>
    </row>
    <row r="8268" spans="1:10" x14ac:dyDescent="0.25">
      <c r="A8268" t="s">
        <v>4974</v>
      </c>
      <c r="B8268" t="s">
        <v>93</v>
      </c>
      <c r="C8268" t="s">
        <v>6171</v>
      </c>
      <c r="D8268" s="1" t="s">
        <v>6172</v>
      </c>
      <c r="E8268" t="s">
        <v>6173</v>
      </c>
      <c r="F8268">
        <v>67.266900000000007</v>
      </c>
      <c r="G8268">
        <v>14.358599999999999</v>
      </c>
      <c r="H8268">
        <v>1</v>
      </c>
      <c r="I8268">
        <v>12.8</v>
      </c>
      <c r="J8268" t="str">
        <f>HYPERLINK("https://climate.onebuilding.org/WMO_Region_6_Europe/NOR_Norway/NO_Nordland/NOR_NO_Bodo.AP.011520_TMYx.2004-2018.zip")</f>
        <v>https://climate.onebuilding.org/WMO_Region_6_Europe/NOR_Norway/NO_Nordland/NOR_NO_Bodo.AP.011520_TMYx.2004-2018.zip</v>
      </c>
    </row>
    <row r="8269" spans="1:10" x14ac:dyDescent="0.25">
      <c r="A8269" t="s">
        <v>4974</v>
      </c>
      <c r="B8269" t="s">
        <v>93</v>
      </c>
      <c r="C8269" t="s">
        <v>6171</v>
      </c>
      <c r="D8269" s="1" t="s">
        <v>6172</v>
      </c>
      <c r="E8269" t="s">
        <v>14</v>
      </c>
      <c r="F8269">
        <v>67.266900000000007</v>
      </c>
      <c r="G8269">
        <v>14.358599999999999</v>
      </c>
      <c r="H8269">
        <v>1</v>
      </c>
      <c r="I8269">
        <v>12.8</v>
      </c>
      <c r="J8269" t="str">
        <f>HYPERLINK("https://climate.onebuilding.org/WMO_Region_6_Europe/NOR_Norway/NO_Nordland/NOR_NO_Bodo.AP.011520_TMYx.2007-2021.zip")</f>
        <v>https://climate.onebuilding.org/WMO_Region_6_Europe/NOR_Norway/NO_Nordland/NOR_NO_Bodo.AP.011520_TMYx.2007-2021.zip</v>
      </c>
    </row>
    <row r="8270" spans="1:10" x14ac:dyDescent="0.25">
      <c r="A8270" t="s">
        <v>4974</v>
      </c>
      <c r="B8270" t="s">
        <v>93</v>
      </c>
      <c r="C8270" t="s">
        <v>6171</v>
      </c>
      <c r="D8270" s="1" t="s">
        <v>6172</v>
      </c>
      <c r="E8270" t="s">
        <v>14</v>
      </c>
      <c r="F8270">
        <v>67.266900000000007</v>
      </c>
      <c r="G8270">
        <v>14.358599999999999</v>
      </c>
      <c r="H8270">
        <v>1</v>
      </c>
      <c r="I8270">
        <v>12.8</v>
      </c>
      <c r="J8270" t="str">
        <f>HYPERLINK("https://climate.onebuilding.org/WMO_Region_6_Europe/NOR_Norway/NO_Nordland/NOR_NO_Bodo.AP.011520_TMYx.2009-2023.zip")</f>
        <v>https://climate.onebuilding.org/WMO_Region_6_Europe/NOR_Norway/NO_Nordland/NOR_NO_Bodo.AP.011520_TMYx.2009-2023.zip</v>
      </c>
    </row>
    <row r="8271" spans="1:10" x14ac:dyDescent="0.25">
      <c r="A8271" t="s">
        <v>4974</v>
      </c>
      <c r="B8271" t="s">
        <v>93</v>
      </c>
      <c r="C8271" t="s">
        <v>6171</v>
      </c>
      <c r="D8271" s="1" t="s">
        <v>6172</v>
      </c>
      <c r="E8271" t="s">
        <v>14</v>
      </c>
      <c r="F8271">
        <v>67.266900000000007</v>
      </c>
      <c r="G8271">
        <v>14.358599999999999</v>
      </c>
      <c r="H8271">
        <v>1</v>
      </c>
      <c r="I8271">
        <v>12.8</v>
      </c>
      <c r="J8271" t="str">
        <f>HYPERLINK("https://climate.onebuilding.org/WMO_Region_6_Europe/NOR_Norway/NO_Nordland/NOR_NO_Bodo.AP.011520_TMYx.zip")</f>
        <v>https://climate.onebuilding.org/WMO_Region_6_Europe/NOR_Norway/NO_Nordland/NOR_NO_Bodo.AP.011520_TMYx.zip</v>
      </c>
    </row>
    <row r="8272" spans="1:10" x14ac:dyDescent="0.25">
      <c r="A8272" t="s">
        <v>4974</v>
      </c>
      <c r="B8272" t="s">
        <v>93</v>
      </c>
      <c r="C8272" t="s">
        <v>6174</v>
      </c>
      <c r="D8272" s="1" t="s">
        <v>6175</v>
      </c>
      <c r="E8272" t="s">
        <v>14</v>
      </c>
      <c r="F8272">
        <v>68.593400000000003</v>
      </c>
      <c r="G8272">
        <v>14.3093</v>
      </c>
      <c r="H8272">
        <v>1</v>
      </c>
      <c r="I8272">
        <v>37</v>
      </c>
      <c r="J8272" t="str">
        <f>HYPERLINK("https://climate.onebuilding.org/WMO_Region_6_Europe/NOR_Norway/NO_Nordland/NOR_NO_Litloy.Lighthouse.011540_TMYx.zip")</f>
        <v>https://climate.onebuilding.org/WMO_Region_6_Europe/NOR_Norway/NO_Nordland/NOR_NO_Litloy.Lighthouse.011540_TMYx.zip</v>
      </c>
    </row>
    <row r="8273" spans="1:10" x14ac:dyDescent="0.25">
      <c r="A8273" t="s">
        <v>4974</v>
      </c>
      <c r="B8273" t="s">
        <v>93</v>
      </c>
      <c r="C8273" t="s">
        <v>6176</v>
      </c>
      <c r="D8273" s="1" t="s">
        <v>6177</v>
      </c>
      <c r="E8273" t="s">
        <v>6178</v>
      </c>
      <c r="F8273">
        <v>68.606700000000004</v>
      </c>
      <c r="G8273">
        <v>14.4331</v>
      </c>
      <c r="H8273">
        <v>1</v>
      </c>
      <c r="I8273">
        <v>8</v>
      </c>
      <c r="J8273" t="str">
        <f>HYPERLINK("https://climate.onebuilding.org/WMO_Region_6_Europe/NOR_Norway/NO_Nordland/NOR_NO_Bo.i.Vesteralen.011560_TMYx.2004-2018.zip")</f>
        <v>https://climate.onebuilding.org/WMO_Region_6_Europe/NOR_Norway/NO_Nordland/NOR_NO_Bo.i.Vesteralen.011560_TMYx.2004-2018.zip</v>
      </c>
    </row>
    <row r="8274" spans="1:10" x14ac:dyDescent="0.25">
      <c r="A8274" t="s">
        <v>4974</v>
      </c>
      <c r="B8274" t="s">
        <v>93</v>
      </c>
      <c r="C8274" t="s">
        <v>6176</v>
      </c>
      <c r="D8274" s="1" t="s">
        <v>6177</v>
      </c>
      <c r="E8274" t="s">
        <v>14</v>
      </c>
      <c r="F8274">
        <v>68.606700000000004</v>
      </c>
      <c r="G8274">
        <v>14.4331</v>
      </c>
      <c r="H8274">
        <v>1</v>
      </c>
      <c r="I8274">
        <v>8</v>
      </c>
      <c r="J8274" t="str">
        <f>HYPERLINK("https://climate.onebuilding.org/WMO_Region_6_Europe/NOR_Norway/NO_Nordland/NOR_NO_Bo.i.Vesteralen.011560_TMYx.2007-2021.zip")</f>
        <v>https://climate.onebuilding.org/WMO_Region_6_Europe/NOR_Norway/NO_Nordland/NOR_NO_Bo.i.Vesteralen.011560_TMYx.2007-2021.zip</v>
      </c>
    </row>
    <row r="8275" spans="1:10" x14ac:dyDescent="0.25">
      <c r="A8275" t="s">
        <v>4974</v>
      </c>
      <c r="B8275" t="s">
        <v>93</v>
      </c>
      <c r="C8275" t="s">
        <v>6176</v>
      </c>
      <c r="D8275" s="1" t="s">
        <v>6177</v>
      </c>
      <c r="E8275" t="s">
        <v>14</v>
      </c>
      <c r="F8275">
        <v>68.606700000000004</v>
      </c>
      <c r="G8275">
        <v>14.4331</v>
      </c>
      <c r="H8275">
        <v>1</v>
      </c>
      <c r="I8275">
        <v>8</v>
      </c>
      <c r="J8275" t="str">
        <f>HYPERLINK("https://climate.onebuilding.org/WMO_Region_6_Europe/NOR_Norway/NO_Nordland/NOR_NO_Bo.i.Vesteralen.011560_TMYx.2009-2023.zip")</f>
        <v>https://climate.onebuilding.org/WMO_Region_6_Europe/NOR_Norway/NO_Nordland/NOR_NO_Bo.i.Vesteralen.011560_TMYx.2009-2023.zip</v>
      </c>
    </row>
    <row r="8276" spans="1:10" x14ac:dyDescent="0.25">
      <c r="A8276" t="s">
        <v>4974</v>
      </c>
      <c r="B8276" t="s">
        <v>93</v>
      </c>
      <c r="C8276" t="s">
        <v>6176</v>
      </c>
      <c r="D8276" s="1" t="s">
        <v>6177</v>
      </c>
      <c r="E8276" t="s">
        <v>14</v>
      </c>
      <c r="F8276">
        <v>68.606700000000004</v>
      </c>
      <c r="G8276">
        <v>14.4331</v>
      </c>
      <c r="H8276">
        <v>1</v>
      </c>
      <c r="I8276">
        <v>8</v>
      </c>
      <c r="J8276" t="str">
        <f>HYPERLINK("https://climate.onebuilding.org/WMO_Region_6_Europe/NOR_Norway/NO_Nordland/NOR_NO_Bo.i.Vesteralen.011560_TMYx.zip")</f>
        <v>https://climate.onebuilding.org/WMO_Region_6_Europe/NOR_Norway/NO_Nordland/NOR_NO_Bo.i.Vesteralen.011560_TMYx.zip</v>
      </c>
    </row>
    <row r="8277" spans="1:10" x14ac:dyDescent="0.25">
      <c r="A8277" t="s">
        <v>4974</v>
      </c>
      <c r="B8277" t="s">
        <v>93</v>
      </c>
      <c r="C8277" t="s">
        <v>6179</v>
      </c>
      <c r="D8277" s="1" t="s">
        <v>6180</v>
      </c>
      <c r="E8277" t="s">
        <v>6181</v>
      </c>
      <c r="F8277">
        <v>67.165599999999998</v>
      </c>
      <c r="G8277">
        <v>15.4856</v>
      </c>
      <c r="H8277">
        <v>1</v>
      </c>
      <c r="I8277">
        <v>7.6</v>
      </c>
      <c r="J8277" t="str">
        <f>HYPERLINK("https://climate.onebuilding.org/WMO_Region_6_Europe/NOR_Norway/NO_Nordland/NOR_NO_Setsa.011580_TMYx.2004-2018.zip")</f>
        <v>https://climate.onebuilding.org/WMO_Region_6_Europe/NOR_Norway/NO_Nordland/NOR_NO_Setsa.011580_TMYx.2004-2018.zip</v>
      </c>
    </row>
    <row r="8278" spans="1:10" x14ac:dyDescent="0.25">
      <c r="A8278" t="s">
        <v>4974</v>
      </c>
      <c r="B8278" t="s">
        <v>93</v>
      </c>
      <c r="C8278" t="s">
        <v>6179</v>
      </c>
      <c r="D8278" s="1" t="s">
        <v>6180</v>
      </c>
      <c r="E8278" t="s">
        <v>14</v>
      </c>
      <c r="F8278">
        <v>67.165599999999998</v>
      </c>
      <c r="G8278">
        <v>15.4856</v>
      </c>
      <c r="H8278">
        <v>1</v>
      </c>
      <c r="I8278">
        <v>7.6</v>
      </c>
      <c r="J8278" t="str">
        <f>HYPERLINK("https://climate.onebuilding.org/WMO_Region_6_Europe/NOR_Norway/NO_Nordland/NOR_NO_Setsa.011580_TMYx.2007-2021.zip")</f>
        <v>https://climate.onebuilding.org/WMO_Region_6_Europe/NOR_Norway/NO_Nordland/NOR_NO_Setsa.011580_TMYx.2007-2021.zip</v>
      </c>
    </row>
    <row r="8279" spans="1:10" x14ac:dyDescent="0.25">
      <c r="A8279" t="s">
        <v>4974</v>
      </c>
      <c r="B8279" t="s">
        <v>93</v>
      </c>
      <c r="C8279" t="s">
        <v>6179</v>
      </c>
      <c r="D8279" s="1" t="s">
        <v>6180</v>
      </c>
      <c r="E8279" t="s">
        <v>14</v>
      </c>
      <c r="F8279">
        <v>67.165599999999998</v>
      </c>
      <c r="G8279">
        <v>15.4856</v>
      </c>
      <c r="H8279">
        <v>1</v>
      </c>
      <c r="I8279">
        <v>7.6</v>
      </c>
      <c r="J8279" t="str">
        <f>HYPERLINK("https://climate.onebuilding.org/WMO_Region_6_Europe/NOR_Norway/NO_Nordland/NOR_NO_Setsa.011580_TMYx.2009-2023.zip")</f>
        <v>https://climate.onebuilding.org/WMO_Region_6_Europe/NOR_Norway/NO_Nordland/NOR_NO_Setsa.011580_TMYx.2009-2023.zip</v>
      </c>
    </row>
    <row r="8280" spans="1:10" x14ac:dyDescent="0.25">
      <c r="A8280" t="s">
        <v>4974</v>
      </c>
      <c r="B8280" t="s">
        <v>93</v>
      </c>
      <c r="C8280" t="s">
        <v>6179</v>
      </c>
      <c r="D8280" s="1" t="s">
        <v>6180</v>
      </c>
      <c r="E8280" t="s">
        <v>14</v>
      </c>
      <c r="F8280">
        <v>67.165599999999998</v>
      </c>
      <c r="G8280">
        <v>15.4856</v>
      </c>
      <c r="H8280">
        <v>1</v>
      </c>
      <c r="I8280">
        <v>7.6</v>
      </c>
      <c r="J8280" t="str">
        <f>HYPERLINK("https://climate.onebuilding.org/WMO_Region_6_Europe/NOR_Norway/NO_Nordland/NOR_NO_Setsa.011580_TMYx.zip")</f>
        <v>https://climate.onebuilding.org/WMO_Region_6_Europe/NOR_Norway/NO_Nordland/NOR_NO_Setsa.011580_TMYx.zip</v>
      </c>
    </row>
    <row r="8281" spans="1:10" x14ac:dyDescent="0.25">
      <c r="A8281" t="s">
        <v>4974</v>
      </c>
      <c r="B8281" t="s">
        <v>93</v>
      </c>
      <c r="C8281" t="s">
        <v>6182</v>
      </c>
      <c r="D8281" s="1" t="s">
        <v>6183</v>
      </c>
      <c r="E8281" t="s">
        <v>6184</v>
      </c>
      <c r="F8281">
        <v>68.153099999999995</v>
      </c>
      <c r="G8281">
        <v>14.648899999999999</v>
      </c>
      <c r="H8281">
        <v>1</v>
      </c>
      <c r="I8281">
        <v>11</v>
      </c>
      <c r="J8281" t="str">
        <f>HYPERLINK("https://climate.onebuilding.org/WMO_Region_6_Europe/NOR_Norway/NO_Nordland/NOR_NO_Skrova.Lighthouse.011600_TMYx.2004-2018.zip")</f>
        <v>https://climate.onebuilding.org/WMO_Region_6_Europe/NOR_Norway/NO_Nordland/NOR_NO_Skrova.Lighthouse.011600_TMYx.2004-2018.zip</v>
      </c>
    </row>
    <row r="8282" spans="1:10" x14ac:dyDescent="0.25">
      <c r="A8282" t="s">
        <v>4974</v>
      </c>
      <c r="B8282" t="s">
        <v>93</v>
      </c>
      <c r="C8282" t="s">
        <v>6182</v>
      </c>
      <c r="D8282" s="1" t="s">
        <v>6183</v>
      </c>
      <c r="E8282" t="s">
        <v>14</v>
      </c>
      <c r="F8282">
        <v>68.153099999999995</v>
      </c>
      <c r="G8282">
        <v>14.648899999999999</v>
      </c>
      <c r="H8282">
        <v>1</v>
      </c>
      <c r="I8282">
        <v>11</v>
      </c>
      <c r="J8282" t="str">
        <f>HYPERLINK("https://climate.onebuilding.org/WMO_Region_6_Europe/NOR_Norway/NO_Nordland/NOR_NO_Skrova.Lighthouse.011600_TMYx.2007-2021.zip")</f>
        <v>https://climate.onebuilding.org/WMO_Region_6_Europe/NOR_Norway/NO_Nordland/NOR_NO_Skrova.Lighthouse.011600_TMYx.2007-2021.zip</v>
      </c>
    </row>
    <row r="8283" spans="1:10" x14ac:dyDescent="0.25">
      <c r="A8283" t="s">
        <v>4974</v>
      </c>
      <c r="B8283" t="s">
        <v>93</v>
      </c>
      <c r="C8283" t="s">
        <v>6182</v>
      </c>
      <c r="D8283" s="1" t="s">
        <v>6183</v>
      </c>
      <c r="E8283" t="s">
        <v>14</v>
      </c>
      <c r="F8283">
        <v>68.153099999999995</v>
      </c>
      <c r="G8283">
        <v>14.648899999999999</v>
      </c>
      <c r="H8283">
        <v>1</v>
      </c>
      <c r="I8283">
        <v>11</v>
      </c>
      <c r="J8283" t="str">
        <f>HYPERLINK("https://climate.onebuilding.org/WMO_Region_6_Europe/NOR_Norway/NO_Nordland/NOR_NO_Skrova.Lighthouse.011600_TMYx.2009-2023.zip")</f>
        <v>https://climate.onebuilding.org/WMO_Region_6_Europe/NOR_Norway/NO_Nordland/NOR_NO_Skrova.Lighthouse.011600_TMYx.2009-2023.zip</v>
      </c>
    </row>
    <row r="8284" spans="1:10" x14ac:dyDescent="0.25">
      <c r="A8284" t="s">
        <v>4974</v>
      </c>
      <c r="B8284" t="s">
        <v>93</v>
      </c>
      <c r="C8284" t="s">
        <v>6182</v>
      </c>
      <c r="D8284" s="1" t="s">
        <v>6183</v>
      </c>
      <c r="E8284" t="s">
        <v>14</v>
      </c>
      <c r="F8284">
        <v>68.153099999999995</v>
      </c>
      <c r="G8284">
        <v>14.648899999999999</v>
      </c>
      <c r="H8284">
        <v>1</v>
      </c>
      <c r="I8284">
        <v>11</v>
      </c>
      <c r="J8284" t="str">
        <f>HYPERLINK("https://climate.onebuilding.org/WMO_Region_6_Europe/NOR_Norway/NO_Nordland/NOR_NO_Skrova.Lighthouse.011600_TMYx.zip")</f>
        <v>https://climate.onebuilding.org/WMO_Region_6_Europe/NOR_Norway/NO_Nordland/NOR_NO_Skrova.Lighthouse.011600_TMYx.zip</v>
      </c>
    </row>
    <row r="8285" spans="1:10" x14ac:dyDescent="0.25">
      <c r="A8285" t="s">
        <v>4974</v>
      </c>
      <c r="B8285" t="s">
        <v>93</v>
      </c>
      <c r="C8285" t="s">
        <v>6185</v>
      </c>
      <c r="D8285" s="1" t="s">
        <v>6186</v>
      </c>
      <c r="E8285" t="s">
        <v>6187</v>
      </c>
      <c r="F8285">
        <v>68.2453</v>
      </c>
      <c r="G8285">
        <v>14.6694</v>
      </c>
      <c r="H8285">
        <v>1</v>
      </c>
      <c r="I8285">
        <v>8.1999999999999993</v>
      </c>
      <c r="J8285" t="str">
        <f>HYPERLINK("https://climate.onebuilding.org/WMO_Region_6_Europe/NOR_Norway/NO_Nordland/NOR_NO_Svolvaer.AP-Helle.011610_TMYx.2004-2018.zip")</f>
        <v>https://climate.onebuilding.org/WMO_Region_6_Europe/NOR_Norway/NO_Nordland/NOR_NO_Svolvaer.AP-Helle.011610_TMYx.2004-2018.zip</v>
      </c>
    </row>
    <row r="8286" spans="1:10" x14ac:dyDescent="0.25">
      <c r="A8286" t="s">
        <v>4974</v>
      </c>
      <c r="B8286" t="s">
        <v>93</v>
      </c>
      <c r="C8286" t="s">
        <v>6185</v>
      </c>
      <c r="D8286" s="1" t="s">
        <v>6186</v>
      </c>
      <c r="E8286" t="s">
        <v>14</v>
      </c>
      <c r="F8286">
        <v>68.2453</v>
      </c>
      <c r="G8286">
        <v>14.6694</v>
      </c>
      <c r="H8286">
        <v>1</v>
      </c>
      <c r="I8286">
        <v>8.1999999999999993</v>
      </c>
      <c r="J8286" t="str">
        <f>HYPERLINK("https://climate.onebuilding.org/WMO_Region_6_Europe/NOR_Norway/NO_Nordland/NOR_NO_Svolvaer.AP-Helle.011610_TMYx.2007-2021.zip")</f>
        <v>https://climate.onebuilding.org/WMO_Region_6_Europe/NOR_Norway/NO_Nordland/NOR_NO_Svolvaer.AP-Helle.011610_TMYx.2007-2021.zip</v>
      </c>
    </row>
    <row r="8287" spans="1:10" x14ac:dyDescent="0.25">
      <c r="A8287" t="s">
        <v>4974</v>
      </c>
      <c r="B8287" t="s">
        <v>93</v>
      </c>
      <c r="C8287" t="s">
        <v>6185</v>
      </c>
      <c r="D8287" s="1" t="s">
        <v>6186</v>
      </c>
      <c r="E8287" t="s">
        <v>14</v>
      </c>
      <c r="F8287">
        <v>68.2453</v>
      </c>
      <c r="G8287">
        <v>14.6694</v>
      </c>
      <c r="H8287">
        <v>1</v>
      </c>
      <c r="I8287">
        <v>8.1999999999999993</v>
      </c>
      <c r="J8287" t="str">
        <f>HYPERLINK("https://climate.onebuilding.org/WMO_Region_6_Europe/NOR_Norway/NO_Nordland/NOR_NO_Svolvaer.AP-Helle.011610_TMYx.2009-2023.zip")</f>
        <v>https://climate.onebuilding.org/WMO_Region_6_Europe/NOR_Norway/NO_Nordland/NOR_NO_Svolvaer.AP-Helle.011610_TMYx.2009-2023.zip</v>
      </c>
    </row>
    <row r="8288" spans="1:10" x14ac:dyDescent="0.25">
      <c r="A8288" t="s">
        <v>4974</v>
      </c>
      <c r="B8288" t="s">
        <v>93</v>
      </c>
      <c r="C8288" t="s">
        <v>6185</v>
      </c>
      <c r="D8288" s="1" t="s">
        <v>6186</v>
      </c>
      <c r="E8288" t="s">
        <v>14</v>
      </c>
      <c r="F8288">
        <v>68.2453</v>
      </c>
      <c r="G8288">
        <v>14.6694</v>
      </c>
      <c r="H8288">
        <v>1</v>
      </c>
      <c r="I8288">
        <v>8.1999999999999993</v>
      </c>
      <c r="J8288" t="str">
        <f>HYPERLINK("https://climate.onebuilding.org/WMO_Region_6_Europe/NOR_Norway/NO_Nordland/NOR_NO_Svolvaer.AP-Helle.011610_TMYx.zip")</f>
        <v>https://climate.onebuilding.org/WMO_Region_6_Europe/NOR_Norway/NO_Nordland/NOR_NO_Svolvaer.AP-Helle.011610_TMYx.zip</v>
      </c>
    </row>
    <row r="8289" spans="1:10" x14ac:dyDescent="0.25">
      <c r="A8289" t="s">
        <v>4974</v>
      </c>
      <c r="B8289" t="s">
        <v>93</v>
      </c>
      <c r="C8289" t="s">
        <v>6188</v>
      </c>
      <c r="D8289" s="1" t="s">
        <v>6189</v>
      </c>
      <c r="E8289" t="s">
        <v>6190</v>
      </c>
      <c r="F8289">
        <v>68.58</v>
      </c>
      <c r="G8289">
        <v>15.029400000000001</v>
      </c>
      <c r="H8289">
        <v>1</v>
      </c>
      <c r="I8289">
        <v>3.4</v>
      </c>
      <c r="J8289" t="str">
        <f>HYPERLINK("https://climate.onebuilding.org/WMO_Region_6_Europe/NOR_Norway/NO_Nordland/NOR_NO_Storkmarknes.AP-Skagen.011620_TMYx.2004-2018.zip")</f>
        <v>https://climate.onebuilding.org/WMO_Region_6_Europe/NOR_Norway/NO_Nordland/NOR_NO_Storkmarknes.AP-Skagen.011620_TMYx.2004-2018.zip</v>
      </c>
    </row>
    <row r="8290" spans="1:10" x14ac:dyDescent="0.25">
      <c r="A8290" t="s">
        <v>4974</v>
      </c>
      <c r="B8290" t="s">
        <v>93</v>
      </c>
      <c r="C8290" t="s">
        <v>6188</v>
      </c>
      <c r="D8290" s="1" t="s">
        <v>6189</v>
      </c>
      <c r="E8290" t="s">
        <v>14</v>
      </c>
      <c r="F8290">
        <v>68.58</v>
      </c>
      <c r="G8290">
        <v>15.029400000000001</v>
      </c>
      <c r="H8290">
        <v>1</v>
      </c>
      <c r="I8290">
        <v>3.4</v>
      </c>
      <c r="J8290" t="str">
        <f>HYPERLINK("https://climate.onebuilding.org/WMO_Region_6_Europe/NOR_Norway/NO_Nordland/NOR_NO_Storkmarknes.AP-Skagen.011620_TMYx.2007-2021.zip")</f>
        <v>https://climate.onebuilding.org/WMO_Region_6_Europe/NOR_Norway/NO_Nordland/NOR_NO_Storkmarknes.AP-Skagen.011620_TMYx.2007-2021.zip</v>
      </c>
    </row>
    <row r="8291" spans="1:10" x14ac:dyDescent="0.25">
      <c r="A8291" t="s">
        <v>4974</v>
      </c>
      <c r="B8291" t="s">
        <v>93</v>
      </c>
      <c r="C8291" t="s">
        <v>6188</v>
      </c>
      <c r="D8291" s="1" t="s">
        <v>6189</v>
      </c>
      <c r="E8291" t="s">
        <v>14</v>
      </c>
      <c r="F8291">
        <v>68.58</v>
      </c>
      <c r="G8291">
        <v>15.029400000000001</v>
      </c>
      <c r="H8291">
        <v>1</v>
      </c>
      <c r="I8291">
        <v>3.4</v>
      </c>
      <c r="J8291" t="str">
        <f>HYPERLINK("https://climate.onebuilding.org/WMO_Region_6_Europe/NOR_Norway/NO_Nordland/NOR_NO_Storkmarknes.AP-Skagen.011620_TMYx.2009-2023.zip")</f>
        <v>https://climate.onebuilding.org/WMO_Region_6_Europe/NOR_Norway/NO_Nordland/NOR_NO_Storkmarknes.AP-Skagen.011620_TMYx.2009-2023.zip</v>
      </c>
    </row>
    <row r="8292" spans="1:10" x14ac:dyDescent="0.25">
      <c r="A8292" t="s">
        <v>4974</v>
      </c>
      <c r="B8292" t="s">
        <v>93</v>
      </c>
      <c r="C8292" t="s">
        <v>6188</v>
      </c>
      <c r="D8292" s="1" t="s">
        <v>6189</v>
      </c>
      <c r="E8292" t="s">
        <v>14</v>
      </c>
      <c r="F8292">
        <v>68.58</v>
      </c>
      <c r="G8292">
        <v>15.029400000000001</v>
      </c>
      <c r="H8292">
        <v>1</v>
      </c>
      <c r="I8292">
        <v>3.4</v>
      </c>
      <c r="J8292" t="str">
        <f>HYPERLINK("https://climate.onebuilding.org/WMO_Region_6_Europe/NOR_Norway/NO_Nordland/NOR_NO_Storkmarknes.AP-Skagen.011620_TMYx.zip")</f>
        <v>https://climate.onebuilding.org/WMO_Region_6_Europe/NOR_Norway/NO_Nordland/NOR_NO_Storkmarknes.AP-Skagen.011620_TMYx.zip</v>
      </c>
    </row>
    <row r="8293" spans="1:10" x14ac:dyDescent="0.25">
      <c r="A8293" t="s">
        <v>4974</v>
      </c>
      <c r="B8293" t="s">
        <v>155</v>
      </c>
      <c r="C8293" t="s">
        <v>6191</v>
      </c>
      <c r="D8293" s="1" t="s">
        <v>6192</v>
      </c>
      <c r="E8293" t="s">
        <v>6193</v>
      </c>
      <c r="F8293">
        <v>68.700299999999999</v>
      </c>
      <c r="G8293">
        <v>15.416700000000001</v>
      </c>
      <c r="H8293">
        <v>1</v>
      </c>
      <c r="I8293">
        <v>3.3</v>
      </c>
      <c r="J8293" t="str">
        <f>HYPERLINK("https://climate.onebuilding.org/WMO_Region_6_Europe/NOR_Norway/TR_Troms/NOR_TR_Sortland.011670_TMYx.2004-2018.zip")</f>
        <v>https://climate.onebuilding.org/WMO_Region_6_Europe/NOR_Norway/TR_Troms/NOR_TR_Sortland.011670_TMYx.2004-2018.zip</v>
      </c>
    </row>
    <row r="8294" spans="1:10" x14ac:dyDescent="0.25">
      <c r="A8294" t="s">
        <v>4974</v>
      </c>
      <c r="B8294" t="s">
        <v>155</v>
      </c>
      <c r="C8294" t="s">
        <v>6191</v>
      </c>
      <c r="D8294" s="1" t="s">
        <v>6192</v>
      </c>
      <c r="E8294" t="s">
        <v>14</v>
      </c>
      <c r="F8294">
        <v>68.700299999999999</v>
      </c>
      <c r="G8294">
        <v>15.416700000000001</v>
      </c>
      <c r="H8294">
        <v>1</v>
      </c>
      <c r="I8294">
        <v>3.3</v>
      </c>
      <c r="J8294" t="str">
        <f>HYPERLINK("https://climate.onebuilding.org/WMO_Region_6_Europe/NOR_Norway/TR_Troms/NOR_TR_Sortland.011670_TMYx.2007-2021.zip")</f>
        <v>https://climate.onebuilding.org/WMO_Region_6_Europe/NOR_Norway/TR_Troms/NOR_TR_Sortland.011670_TMYx.2007-2021.zip</v>
      </c>
    </row>
    <row r="8295" spans="1:10" x14ac:dyDescent="0.25">
      <c r="A8295" t="s">
        <v>4974</v>
      </c>
      <c r="B8295" t="s">
        <v>155</v>
      </c>
      <c r="C8295" t="s">
        <v>6191</v>
      </c>
      <c r="D8295" s="1" t="s">
        <v>6192</v>
      </c>
      <c r="E8295" t="s">
        <v>14</v>
      </c>
      <c r="F8295">
        <v>68.700299999999999</v>
      </c>
      <c r="G8295">
        <v>15.416700000000001</v>
      </c>
      <c r="H8295">
        <v>1</v>
      </c>
      <c r="I8295">
        <v>3.3</v>
      </c>
      <c r="J8295" t="str">
        <f>HYPERLINK("https://climate.onebuilding.org/WMO_Region_6_Europe/NOR_Norway/TR_Troms/NOR_TR_Sortland.011670_TMYx.2009-2023.zip")</f>
        <v>https://climate.onebuilding.org/WMO_Region_6_Europe/NOR_Norway/TR_Troms/NOR_TR_Sortland.011670_TMYx.2009-2023.zip</v>
      </c>
    </row>
    <row r="8296" spans="1:10" x14ac:dyDescent="0.25">
      <c r="A8296" t="s">
        <v>4974</v>
      </c>
      <c r="B8296" t="s">
        <v>155</v>
      </c>
      <c r="C8296" t="s">
        <v>6191</v>
      </c>
      <c r="D8296" s="1" t="s">
        <v>6192</v>
      </c>
      <c r="E8296" t="s">
        <v>14</v>
      </c>
      <c r="F8296">
        <v>68.700299999999999</v>
      </c>
      <c r="G8296">
        <v>15.416700000000001</v>
      </c>
      <c r="H8296">
        <v>1</v>
      </c>
      <c r="I8296">
        <v>3.3</v>
      </c>
      <c r="J8296" t="str">
        <f>HYPERLINK("https://climate.onebuilding.org/WMO_Region_6_Europe/NOR_Norway/TR_Troms/NOR_TR_Sortland.011670_TMYx.zip")</f>
        <v>https://climate.onebuilding.org/WMO_Region_6_Europe/NOR_Norway/TR_Troms/NOR_TR_Sortland.011670_TMYx.zip</v>
      </c>
    </row>
    <row r="8297" spans="1:10" x14ac:dyDescent="0.25">
      <c r="A8297" t="s">
        <v>4974</v>
      </c>
      <c r="B8297" t="s">
        <v>93</v>
      </c>
      <c r="C8297" t="s">
        <v>6194</v>
      </c>
      <c r="D8297" s="1" t="s">
        <v>6195</v>
      </c>
      <c r="E8297" t="s">
        <v>14</v>
      </c>
      <c r="F8297">
        <v>68.650000000000006</v>
      </c>
      <c r="G8297">
        <v>15.282999999999999</v>
      </c>
      <c r="H8297">
        <v>1</v>
      </c>
      <c r="I8297">
        <v>23</v>
      </c>
      <c r="J8297" t="str">
        <f>HYPERLINK("https://climate.onebuilding.org/WMO_Region_6_Europe/NOR_Norway/NO_Nordland/NOR_NO_Kleiva.I.Sortland.011680_TMYx.zip")</f>
        <v>https://climate.onebuilding.org/WMO_Region_6_Europe/NOR_Norway/NO_Nordland/NOR_NO_Kleiva.I.Sortland.011680_TMYx.zip</v>
      </c>
    </row>
    <row r="8298" spans="1:10" x14ac:dyDescent="0.25">
      <c r="A8298" t="s">
        <v>4974</v>
      </c>
      <c r="B8298" t="s">
        <v>93</v>
      </c>
      <c r="C8298" t="s">
        <v>6196</v>
      </c>
      <c r="D8298" s="1" t="s">
        <v>6197</v>
      </c>
      <c r="E8298" t="s">
        <v>6198</v>
      </c>
      <c r="F8298">
        <v>66.937200000000004</v>
      </c>
      <c r="G8298">
        <v>15.3156</v>
      </c>
      <c r="H8298">
        <v>1</v>
      </c>
      <c r="I8298">
        <v>38.700000000000003</v>
      </c>
      <c r="J8298" t="str">
        <f>HYPERLINK("https://climate.onebuilding.org/WMO_Region_6_Europe/NOR_Norway/NO_Nordland/NOR_NO_Saltdal-Nordnes.011690_TMYx.2004-2018.zip")</f>
        <v>https://climate.onebuilding.org/WMO_Region_6_Europe/NOR_Norway/NO_Nordland/NOR_NO_Saltdal-Nordnes.011690_TMYx.2004-2018.zip</v>
      </c>
    </row>
    <row r="8299" spans="1:10" x14ac:dyDescent="0.25">
      <c r="A8299" t="s">
        <v>4974</v>
      </c>
      <c r="B8299" t="s">
        <v>93</v>
      </c>
      <c r="C8299" t="s">
        <v>6196</v>
      </c>
      <c r="D8299" s="1" t="s">
        <v>6197</v>
      </c>
      <c r="E8299" t="s">
        <v>14</v>
      </c>
      <c r="F8299">
        <v>66.937200000000004</v>
      </c>
      <c r="G8299">
        <v>15.3156</v>
      </c>
      <c r="H8299">
        <v>1</v>
      </c>
      <c r="I8299">
        <v>38.700000000000003</v>
      </c>
      <c r="J8299" t="str">
        <f>HYPERLINK("https://climate.onebuilding.org/WMO_Region_6_Europe/NOR_Norway/NO_Nordland/NOR_NO_Saltdal-Nordnes.011690_TMYx.2007-2021.zip")</f>
        <v>https://climate.onebuilding.org/WMO_Region_6_Europe/NOR_Norway/NO_Nordland/NOR_NO_Saltdal-Nordnes.011690_TMYx.2007-2021.zip</v>
      </c>
    </row>
    <row r="8300" spans="1:10" x14ac:dyDescent="0.25">
      <c r="A8300" t="s">
        <v>4974</v>
      </c>
      <c r="B8300" t="s">
        <v>93</v>
      </c>
      <c r="C8300" t="s">
        <v>6196</v>
      </c>
      <c r="D8300" s="1" t="s">
        <v>6197</v>
      </c>
      <c r="E8300" t="s">
        <v>14</v>
      </c>
      <c r="F8300">
        <v>66.937200000000004</v>
      </c>
      <c r="G8300">
        <v>15.3156</v>
      </c>
      <c r="H8300">
        <v>1</v>
      </c>
      <c r="I8300">
        <v>38.700000000000003</v>
      </c>
      <c r="J8300" t="str">
        <f>HYPERLINK("https://climate.onebuilding.org/WMO_Region_6_Europe/NOR_Norway/NO_Nordland/NOR_NO_Saltdal-Nordnes.011690_TMYx.2009-2023.zip")</f>
        <v>https://climate.onebuilding.org/WMO_Region_6_Europe/NOR_Norway/NO_Nordland/NOR_NO_Saltdal-Nordnes.011690_TMYx.2009-2023.zip</v>
      </c>
    </row>
    <row r="8301" spans="1:10" x14ac:dyDescent="0.25">
      <c r="A8301" t="s">
        <v>4974</v>
      </c>
      <c r="B8301" t="s">
        <v>93</v>
      </c>
      <c r="C8301" t="s">
        <v>6196</v>
      </c>
      <c r="D8301" s="1" t="s">
        <v>6197</v>
      </c>
      <c r="E8301" t="s">
        <v>14</v>
      </c>
      <c r="F8301">
        <v>66.937200000000004</v>
      </c>
      <c r="G8301">
        <v>15.3156</v>
      </c>
      <c r="H8301">
        <v>1</v>
      </c>
      <c r="I8301">
        <v>38.700000000000003</v>
      </c>
      <c r="J8301" t="str">
        <f>HYPERLINK("https://climate.onebuilding.org/WMO_Region_6_Europe/NOR_Norway/NO_Nordland/NOR_NO_Saltdal-Nordnes.011690_TMYx.zip")</f>
        <v>https://climate.onebuilding.org/WMO_Region_6_Europe/NOR_Norway/NO_Nordland/NOR_NO_Saltdal-Nordnes.011690_TMYx.zip</v>
      </c>
    </row>
    <row r="8302" spans="1:10" x14ac:dyDescent="0.25">
      <c r="A8302" t="s">
        <v>4974</v>
      </c>
      <c r="B8302" t="s">
        <v>93</v>
      </c>
      <c r="C8302" t="s">
        <v>6199</v>
      </c>
      <c r="D8302" s="1" t="s">
        <v>6200</v>
      </c>
      <c r="E8302" t="s">
        <v>14</v>
      </c>
      <c r="F8302">
        <v>67.233000000000004</v>
      </c>
      <c r="G8302">
        <v>15.317</v>
      </c>
      <c r="H8302">
        <v>1</v>
      </c>
      <c r="I8302">
        <v>165</v>
      </c>
      <c r="J8302" t="str">
        <f>HYPERLINK("https://climate.onebuilding.org/WMO_Region_6_Europe/NOR_Norway/NO_Nordland/NOR_NO_Fauske.Veten.011700_TMYx.zip")</f>
        <v>https://climate.onebuilding.org/WMO_Region_6_Europe/NOR_Norway/NO_Nordland/NOR_NO_Fauske.Veten.011700_TMYx.zip</v>
      </c>
    </row>
    <row r="8303" spans="1:10" x14ac:dyDescent="0.25">
      <c r="A8303" t="s">
        <v>4974</v>
      </c>
      <c r="B8303" t="s">
        <v>93</v>
      </c>
      <c r="C8303" t="s">
        <v>6201</v>
      </c>
      <c r="D8303" s="1" t="s">
        <v>6202</v>
      </c>
      <c r="E8303" t="s">
        <v>14</v>
      </c>
      <c r="F8303">
        <v>68</v>
      </c>
      <c r="G8303">
        <v>15.617000000000001</v>
      </c>
      <c r="H8303">
        <v>1</v>
      </c>
      <c r="I8303">
        <v>53</v>
      </c>
      <c r="J8303" t="str">
        <f>HYPERLINK("https://climate.onebuilding.org/WMO_Region_6_Europe/NOR_Norway/NO_Nordland/NOR_NO_Finnoy.i.Hamaroy.011720_TMYx.zip")</f>
        <v>https://climate.onebuilding.org/WMO_Region_6_Europe/NOR_Norway/NO_Nordland/NOR_NO_Finnoy.i.Hamaroy.011720_TMYx.zip</v>
      </c>
    </row>
    <row r="8304" spans="1:10" x14ac:dyDescent="0.25">
      <c r="A8304" t="s">
        <v>4974</v>
      </c>
      <c r="B8304" t="s">
        <v>155</v>
      </c>
      <c r="C8304" t="s">
        <v>6203</v>
      </c>
      <c r="D8304" s="1" t="s">
        <v>6204</v>
      </c>
      <c r="E8304" t="s">
        <v>6205</v>
      </c>
      <c r="F8304">
        <v>68.802499999999995</v>
      </c>
      <c r="G8304">
        <v>16.537199999999999</v>
      </c>
      <c r="H8304">
        <v>1</v>
      </c>
      <c r="I8304">
        <v>46.3</v>
      </c>
      <c r="J8304" t="str">
        <f>HYPERLINK("https://climate.onebuilding.org/WMO_Region_6_Europe/NOR_Norway/TR_Troms/NOR_TR_Harstad.011800_TMYx.2004-2018.zip")</f>
        <v>https://climate.onebuilding.org/WMO_Region_6_Europe/NOR_Norway/TR_Troms/NOR_TR_Harstad.011800_TMYx.2004-2018.zip</v>
      </c>
    </row>
    <row r="8305" spans="1:10" x14ac:dyDescent="0.25">
      <c r="A8305" t="s">
        <v>4974</v>
      </c>
      <c r="B8305" t="s">
        <v>155</v>
      </c>
      <c r="C8305" t="s">
        <v>6203</v>
      </c>
      <c r="D8305" s="1" t="s">
        <v>6204</v>
      </c>
      <c r="E8305" t="s">
        <v>14</v>
      </c>
      <c r="F8305">
        <v>68.802499999999995</v>
      </c>
      <c r="G8305">
        <v>16.537199999999999</v>
      </c>
      <c r="H8305">
        <v>1</v>
      </c>
      <c r="I8305">
        <v>46.3</v>
      </c>
      <c r="J8305" t="str">
        <f>HYPERLINK("https://climate.onebuilding.org/WMO_Region_6_Europe/NOR_Norway/TR_Troms/NOR_TR_Harstad.011800_TMYx.2007-2021.zip")</f>
        <v>https://climate.onebuilding.org/WMO_Region_6_Europe/NOR_Norway/TR_Troms/NOR_TR_Harstad.011800_TMYx.2007-2021.zip</v>
      </c>
    </row>
    <row r="8306" spans="1:10" x14ac:dyDescent="0.25">
      <c r="A8306" t="s">
        <v>4974</v>
      </c>
      <c r="B8306" t="s">
        <v>155</v>
      </c>
      <c r="C8306" t="s">
        <v>6203</v>
      </c>
      <c r="D8306" s="1" t="s">
        <v>6204</v>
      </c>
      <c r="E8306" t="s">
        <v>14</v>
      </c>
      <c r="F8306">
        <v>68.802499999999995</v>
      </c>
      <c r="G8306">
        <v>16.537199999999999</v>
      </c>
      <c r="H8306">
        <v>1</v>
      </c>
      <c r="I8306">
        <v>46.3</v>
      </c>
      <c r="J8306" t="str">
        <f>HYPERLINK("https://climate.onebuilding.org/WMO_Region_6_Europe/NOR_Norway/TR_Troms/NOR_TR_Harstad.011800_TMYx.2009-2023.zip")</f>
        <v>https://climate.onebuilding.org/WMO_Region_6_Europe/NOR_Norway/TR_Troms/NOR_TR_Harstad.011800_TMYx.2009-2023.zip</v>
      </c>
    </row>
    <row r="8307" spans="1:10" x14ac:dyDescent="0.25">
      <c r="A8307" t="s">
        <v>4974</v>
      </c>
      <c r="B8307" t="s">
        <v>155</v>
      </c>
      <c r="C8307" t="s">
        <v>6203</v>
      </c>
      <c r="D8307" s="1" t="s">
        <v>6204</v>
      </c>
      <c r="E8307" t="s">
        <v>14</v>
      </c>
      <c r="F8307">
        <v>68.802499999999995</v>
      </c>
      <c r="G8307">
        <v>16.537199999999999</v>
      </c>
      <c r="H8307">
        <v>1</v>
      </c>
      <c r="I8307">
        <v>46.3</v>
      </c>
      <c r="J8307" t="str">
        <f>HYPERLINK("https://climate.onebuilding.org/WMO_Region_6_Europe/NOR_Norway/TR_Troms/NOR_TR_Harstad.011800_TMYx.zip")</f>
        <v>https://climate.onebuilding.org/WMO_Region_6_Europe/NOR_Norway/TR_Troms/NOR_TR_Harstad.011800_TMYx.zip</v>
      </c>
    </row>
    <row r="8308" spans="1:10" x14ac:dyDescent="0.25">
      <c r="A8308" t="s">
        <v>4974</v>
      </c>
      <c r="B8308" t="s">
        <v>155</v>
      </c>
      <c r="C8308" t="s">
        <v>6206</v>
      </c>
      <c r="D8308" s="1" t="s">
        <v>6207</v>
      </c>
      <c r="E8308" t="s">
        <v>14</v>
      </c>
      <c r="F8308">
        <v>68.582999999999998</v>
      </c>
      <c r="G8308">
        <v>16.582999999999998</v>
      </c>
      <c r="H8308">
        <v>1</v>
      </c>
      <c r="I8308">
        <v>7</v>
      </c>
      <c r="J8308" t="str">
        <f>HYPERLINK("https://climate.onebuilding.org/WMO_Region_6_Europe/NOR_Norway/TR_Troms/NOR_TR_Evenskjer.011820_TMYx.zip")</f>
        <v>https://climate.onebuilding.org/WMO_Region_6_Europe/NOR_Norway/TR_Troms/NOR_TR_Evenskjer.011820_TMYx.zip</v>
      </c>
    </row>
    <row r="8309" spans="1:10" x14ac:dyDescent="0.25">
      <c r="A8309" t="s">
        <v>4974</v>
      </c>
      <c r="B8309" t="s">
        <v>93</v>
      </c>
      <c r="C8309" t="s">
        <v>6208</v>
      </c>
      <c r="D8309" s="1" t="s">
        <v>6209</v>
      </c>
      <c r="E8309" t="s">
        <v>6210</v>
      </c>
      <c r="F8309">
        <v>68.491100000000003</v>
      </c>
      <c r="G8309">
        <v>16.683299999999999</v>
      </c>
      <c r="H8309">
        <v>1</v>
      </c>
      <c r="I8309">
        <v>25.6</v>
      </c>
      <c r="J8309" t="str">
        <f>HYPERLINK("https://climate.onebuilding.org/WMO_Region_6_Europe/NOR_Norway/NO_Nordland/NOR_NO_Harstad-Narvik.AP-Evenes.011830_TMYx.2004-2018.zip")</f>
        <v>https://climate.onebuilding.org/WMO_Region_6_Europe/NOR_Norway/NO_Nordland/NOR_NO_Harstad-Narvik.AP-Evenes.011830_TMYx.2004-2018.zip</v>
      </c>
    </row>
    <row r="8310" spans="1:10" x14ac:dyDescent="0.25">
      <c r="A8310" t="s">
        <v>4974</v>
      </c>
      <c r="B8310" t="s">
        <v>93</v>
      </c>
      <c r="C8310" t="s">
        <v>6208</v>
      </c>
      <c r="D8310" s="1" t="s">
        <v>6209</v>
      </c>
      <c r="E8310" t="s">
        <v>14</v>
      </c>
      <c r="F8310">
        <v>68.491100000000003</v>
      </c>
      <c r="G8310">
        <v>16.683299999999999</v>
      </c>
      <c r="H8310">
        <v>1</v>
      </c>
      <c r="I8310">
        <v>25.6</v>
      </c>
      <c r="J8310" t="str">
        <f>HYPERLINK("https://climate.onebuilding.org/WMO_Region_6_Europe/NOR_Norway/NO_Nordland/NOR_NO_Harstad-Narvik.AP-Evenes.011830_TMYx.2007-2021.zip")</f>
        <v>https://climate.onebuilding.org/WMO_Region_6_Europe/NOR_Norway/NO_Nordland/NOR_NO_Harstad-Narvik.AP-Evenes.011830_TMYx.2007-2021.zip</v>
      </c>
    </row>
    <row r="8311" spans="1:10" x14ac:dyDescent="0.25">
      <c r="A8311" t="s">
        <v>4974</v>
      </c>
      <c r="B8311" t="s">
        <v>93</v>
      </c>
      <c r="C8311" t="s">
        <v>6208</v>
      </c>
      <c r="D8311" s="1" t="s">
        <v>6209</v>
      </c>
      <c r="E8311" t="s">
        <v>14</v>
      </c>
      <c r="F8311">
        <v>68.491100000000003</v>
      </c>
      <c r="G8311">
        <v>16.683299999999999</v>
      </c>
      <c r="H8311">
        <v>1</v>
      </c>
      <c r="I8311">
        <v>25.6</v>
      </c>
      <c r="J8311" t="str">
        <f>HYPERLINK("https://climate.onebuilding.org/WMO_Region_6_Europe/NOR_Norway/NO_Nordland/NOR_NO_Harstad-Narvik.AP-Evenes.011830_TMYx.2009-2023.zip")</f>
        <v>https://climate.onebuilding.org/WMO_Region_6_Europe/NOR_Norway/NO_Nordland/NOR_NO_Harstad-Narvik.AP-Evenes.011830_TMYx.2009-2023.zip</v>
      </c>
    </row>
    <row r="8312" spans="1:10" x14ac:dyDescent="0.25">
      <c r="A8312" t="s">
        <v>4974</v>
      </c>
      <c r="B8312" t="s">
        <v>93</v>
      </c>
      <c r="C8312" t="s">
        <v>6208</v>
      </c>
      <c r="D8312" s="1" t="s">
        <v>6209</v>
      </c>
      <c r="E8312" t="s">
        <v>14</v>
      </c>
      <c r="F8312">
        <v>68.491100000000003</v>
      </c>
      <c r="G8312">
        <v>16.683299999999999</v>
      </c>
      <c r="H8312">
        <v>1</v>
      </c>
      <c r="I8312">
        <v>25.6</v>
      </c>
      <c r="J8312" t="str">
        <f>HYPERLINK("https://climate.onebuilding.org/WMO_Region_6_Europe/NOR_Norway/NO_Nordland/NOR_NO_Harstad-Narvik.AP-Evenes.011830_TMYx.zip")</f>
        <v>https://climate.onebuilding.org/WMO_Region_6_Europe/NOR_Norway/NO_Nordland/NOR_NO_Harstad-Narvik.AP-Evenes.011830_TMYx.zip</v>
      </c>
    </row>
    <row r="8313" spans="1:10" x14ac:dyDescent="0.25">
      <c r="A8313" t="s">
        <v>4974</v>
      </c>
      <c r="B8313" t="s">
        <v>155</v>
      </c>
      <c r="C8313" t="s">
        <v>6211</v>
      </c>
      <c r="D8313" s="1" t="s">
        <v>6212</v>
      </c>
      <c r="E8313" t="s">
        <v>14</v>
      </c>
      <c r="F8313">
        <v>68.938000000000002</v>
      </c>
      <c r="G8313">
        <v>16.679200000000002</v>
      </c>
      <c r="H8313">
        <v>1</v>
      </c>
      <c r="I8313">
        <v>45</v>
      </c>
      <c r="J8313" t="str">
        <f>HYPERLINK("https://climate.onebuilding.org/WMO_Region_6_Europe/NOR_Norway/TR_Troms/NOR_TR_Sandsoy.011840_TMYx.zip")</f>
        <v>https://climate.onebuilding.org/WMO_Region_6_Europe/NOR_Norway/TR_Troms/NOR_TR_Sandsoy.011840_TMYx.zip</v>
      </c>
    </row>
    <row r="8314" spans="1:10" x14ac:dyDescent="0.25">
      <c r="A8314" t="s">
        <v>4974</v>
      </c>
      <c r="B8314" t="s">
        <v>93</v>
      </c>
      <c r="C8314" t="s">
        <v>6213</v>
      </c>
      <c r="D8314" s="1" t="s">
        <v>6214</v>
      </c>
      <c r="E8314" t="s">
        <v>14</v>
      </c>
      <c r="F8314">
        <v>68.483000000000004</v>
      </c>
      <c r="G8314">
        <v>16.882999999999999</v>
      </c>
      <c r="H8314">
        <v>1</v>
      </c>
      <c r="I8314">
        <v>19</v>
      </c>
      <c r="J8314" t="str">
        <f>HYPERLINK("https://climate.onebuilding.org/WMO_Region_6_Europe/NOR_Norway/NO_Nordland/NOR_NO_Liland.011890_TMYx.zip")</f>
        <v>https://climate.onebuilding.org/WMO_Region_6_Europe/NOR_Norway/NO_Nordland/NOR_NO_Liland.011890_TMYx.zip</v>
      </c>
    </row>
    <row r="8315" spans="1:10" x14ac:dyDescent="0.25">
      <c r="A8315" t="s">
        <v>4974</v>
      </c>
      <c r="B8315" t="s">
        <v>93</v>
      </c>
      <c r="C8315" t="s">
        <v>6215</v>
      </c>
      <c r="D8315" s="1" t="s">
        <v>6216</v>
      </c>
      <c r="E8315" t="s">
        <v>14</v>
      </c>
      <c r="F8315">
        <v>68.254800000000003</v>
      </c>
      <c r="G8315">
        <v>17.4038</v>
      </c>
      <c r="H8315">
        <v>1</v>
      </c>
      <c r="I8315">
        <v>6</v>
      </c>
      <c r="J8315" t="str">
        <f>HYPERLINK("https://climate.onebuilding.org/WMO_Region_6_Europe/NOR_Norway/NO_Nordland/NOR_NO_Skjomen.Slettjord.011910_TMYx.zip")</f>
        <v>https://climate.onebuilding.org/WMO_Region_6_Europe/NOR_Norway/NO_Nordland/NOR_NO_Skjomen.Slettjord.011910_TMYx.zip</v>
      </c>
    </row>
    <row r="8316" spans="1:10" x14ac:dyDescent="0.25">
      <c r="A8316" t="s">
        <v>4974</v>
      </c>
      <c r="B8316" t="s">
        <v>93</v>
      </c>
      <c r="C8316" t="s">
        <v>6217</v>
      </c>
      <c r="D8316" s="1" t="s">
        <v>6218</v>
      </c>
      <c r="E8316" t="s">
        <v>6219</v>
      </c>
      <c r="F8316">
        <v>68.431899999999999</v>
      </c>
      <c r="G8316">
        <v>17.662199999999999</v>
      </c>
      <c r="H8316">
        <v>1</v>
      </c>
      <c r="I8316">
        <v>200</v>
      </c>
      <c r="J8316" t="str">
        <f>HYPERLINK("https://climate.onebuilding.org/WMO_Region_6_Europe/NOR_Norway/NO_Nordland/NOR_NO_Straumsnes.011920_TMYx.2004-2018.zip")</f>
        <v>https://climate.onebuilding.org/WMO_Region_6_Europe/NOR_Norway/NO_Nordland/NOR_NO_Straumsnes.011920_TMYx.2004-2018.zip</v>
      </c>
    </row>
    <row r="8317" spans="1:10" x14ac:dyDescent="0.25">
      <c r="A8317" t="s">
        <v>4974</v>
      </c>
      <c r="B8317" t="s">
        <v>93</v>
      </c>
      <c r="C8317" t="s">
        <v>6217</v>
      </c>
      <c r="D8317" s="1" t="s">
        <v>6218</v>
      </c>
      <c r="E8317" t="s">
        <v>14</v>
      </c>
      <c r="F8317">
        <v>68.431899999999999</v>
      </c>
      <c r="G8317">
        <v>17.662199999999999</v>
      </c>
      <c r="H8317">
        <v>1</v>
      </c>
      <c r="I8317">
        <v>200</v>
      </c>
      <c r="J8317" t="str">
        <f>HYPERLINK("https://climate.onebuilding.org/WMO_Region_6_Europe/NOR_Norway/NO_Nordland/NOR_NO_Straumsnes.011920_TMYx.2007-2021.zip")</f>
        <v>https://climate.onebuilding.org/WMO_Region_6_Europe/NOR_Norway/NO_Nordland/NOR_NO_Straumsnes.011920_TMYx.2007-2021.zip</v>
      </c>
    </row>
    <row r="8318" spans="1:10" x14ac:dyDescent="0.25">
      <c r="A8318" t="s">
        <v>4974</v>
      </c>
      <c r="B8318" t="s">
        <v>93</v>
      </c>
      <c r="C8318" t="s">
        <v>6217</v>
      </c>
      <c r="D8318" s="1" t="s">
        <v>6218</v>
      </c>
      <c r="E8318" t="s">
        <v>14</v>
      </c>
      <c r="F8318">
        <v>68.431899999999999</v>
      </c>
      <c r="G8318">
        <v>17.662199999999999</v>
      </c>
      <c r="H8318">
        <v>1</v>
      </c>
      <c r="I8318">
        <v>200</v>
      </c>
      <c r="J8318" t="str">
        <f>HYPERLINK("https://climate.onebuilding.org/WMO_Region_6_Europe/NOR_Norway/NO_Nordland/NOR_NO_Straumsnes.011920_TMYx.2009-2023.zip")</f>
        <v>https://climate.onebuilding.org/WMO_Region_6_Europe/NOR_Norway/NO_Nordland/NOR_NO_Straumsnes.011920_TMYx.2009-2023.zip</v>
      </c>
    </row>
    <row r="8319" spans="1:10" x14ac:dyDescent="0.25">
      <c r="A8319" t="s">
        <v>4974</v>
      </c>
      <c r="B8319" t="s">
        <v>93</v>
      </c>
      <c r="C8319" t="s">
        <v>6217</v>
      </c>
      <c r="D8319" s="1" t="s">
        <v>6218</v>
      </c>
      <c r="E8319" t="s">
        <v>14</v>
      </c>
      <c r="F8319">
        <v>68.431899999999999</v>
      </c>
      <c r="G8319">
        <v>17.662199999999999</v>
      </c>
      <c r="H8319">
        <v>1</v>
      </c>
      <c r="I8319">
        <v>200</v>
      </c>
      <c r="J8319" t="str">
        <f>HYPERLINK("https://climate.onebuilding.org/WMO_Region_6_Europe/NOR_Norway/NO_Nordland/NOR_NO_Straumsnes.011920_TMYx.zip")</f>
        <v>https://climate.onebuilding.org/WMO_Region_6_Europe/NOR_Norway/NO_Nordland/NOR_NO_Straumsnes.011920_TMYx.zip</v>
      </c>
    </row>
    <row r="8320" spans="1:10" x14ac:dyDescent="0.25">
      <c r="A8320" t="s">
        <v>4974</v>
      </c>
      <c r="B8320" t="s">
        <v>93</v>
      </c>
      <c r="C8320" t="s">
        <v>6220</v>
      </c>
      <c r="D8320" s="1" t="s">
        <v>6221</v>
      </c>
      <c r="E8320" t="s">
        <v>6222</v>
      </c>
      <c r="F8320">
        <v>68.434700000000007</v>
      </c>
      <c r="G8320">
        <v>17.39</v>
      </c>
      <c r="H8320">
        <v>1</v>
      </c>
      <c r="I8320">
        <v>23</v>
      </c>
      <c r="J8320" t="str">
        <f>HYPERLINK("https://climate.onebuilding.org/WMO_Region_6_Europe/NOR_Norway/NO_Nordland/NOR_NO_Narvik.AP-Framnes.011940_TMYx.2004-2018.zip")</f>
        <v>https://climate.onebuilding.org/WMO_Region_6_Europe/NOR_Norway/NO_Nordland/NOR_NO_Narvik.AP-Framnes.011940_TMYx.2004-2018.zip</v>
      </c>
    </row>
    <row r="8321" spans="1:10" x14ac:dyDescent="0.25">
      <c r="A8321" t="s">
        <v>4974</v>
      </c>
      <c r="B8321" t="s">
        <v>93</v>
      </c>
      <c r="C8321" t="s">
        <v>6220</v>
      </c>
      <c r="D8321" s="1" t="s">
        <v>6221</v>
      </c>
      <c r="E8321" t="s">
        <v>14</v>
      </c>
      <c r="F8321">
        <v>68.434700000000007</v>
      </c>
      <c r="G8321">
        <v>17.39</v>
      </c>
      <c r="H8321">
        <v>1</v>
      </c>
      <c r="I8321">
        <v>23</v>
      </c>
      <c r="J8321" t="str">
        <f>HYPERLINK("https://climate.onebuilding.org/WMO_Region_6_Europe/NOR_Norway/NO_Nordland/NOR_NO_Narvik.AP-Framnes.011940_TMYx.2007-2021.zip")</f>
        <v>https://climate.onebuilding.org/WMO_Region_6_Europe/NOR_Norway/NO_Nordland/NOR_NO_Narvik.AP-Framnes.011940_TMYx.2007-2021.zip</v>
      </c>
    </row>
    <row r="8322" spans="1:10" x14ac:dyDescent="0.25">
      <c r="A8322" t="s">
        <v>4974</v>
      </c>
      <c r="B8322" t="s">
        <v>93</v>
      </c>
      <c r="C8322" t="s">
        <v>6220</v>
      </c>
      <c r="D8322" s="1" t="s">
        <v>6221</v>
      </c>
      <c r="E8322" t="s">
        <v>14</v>
      </c>
      <c r="F8322">
        <v>68.434700000000007</v>
      </c>
      <c r="G8322">
        <v>17.39</v>
      </c>
      <c r="H8322">
        <v>1</v>
      </c>
      <c r="I8322">
        <v>23</v>
      </c>
      <c r="J8322" t="str">
        <f>HYPERLINK("https://climate.onebuilding.org/WMO_Region_6_Europe/NOR_Norway/NO_Nordland/NOR_NO_Narvik.AP-Framnes.011940_TMYx.2009-2023.zip")</f>
        <v>https://climate.onebuilding.org/WMO_Region_6_Europe/NOR_Norway/NO_Nordland/NOR_NO_Narvik.AP-Framnes.011940_TMYx.2009-2023.zip</v>
      </c>
    </row>
    <row r="8323" spans="1:10" x14ac:dyDescent="0.25">
      <c r="A8323" t="s">
        <v>4974</v>
      </c>
      <c r="B8323" t="s">
        <v>93</v>
      </c>
      <c r="C8323" t="s">
        <v>6220</v>
      </c>
      <c r="D8323" s="1" t="s">
        <v>6221</v>
      </c>
      <c r="E8323" t="s">
        <v>14</v>
      </c>
      <c r="F8323">
        <v>68.434700000000007</v>
      </c>
      <c r="G8323">
        <v>17.39</v>
      </c>
      <c r="H8323">
        <v>1</v>
      </c>
      <c r="I8323">
        <v>23</v>
      </c>
      <c r="J8323" t="str">
        <f>HYPERLINK("https://climate.onebuilding.org/WMO_Region_6_Europe/NOR_Norway/NO_Nordland/NOR_NO_Narvik.AP-Framnes.011940_TMYx.zip")</f>
        <v>https://climate.onebuilding.org/WMO_Region_6_Europe/NOR_Norway/NO_Nordland/NOR_NO_Narvik.AP-Framnes.011940_TMYx.zip</v>
      </c>
    </row>
    <row r="8324" spans="1:10" x14ac:dyDescent="0.25">
      <c r="A8324" t="s">
        <v>4974</v>
      </c>
      <c r="B8324" t="s">
        <v>155</v>
      </c>
      <c r="C8324" t="s">
        <v>6223</v>
      </c>
      <c r="D8324" s="1" t="s">
        <v>6224</v>
      </c>
      <c r="E8324" t="s">
        <v>14</v>
      </c>
      <c r="F8324">
        <v>68.75</v>
      </c>
      <c r="G8324">
        <v>17.817</v>
      </c>
      <c r="H8324">
        <v>1</v>
      </c>
      <c r="I8324">
        <v>21</v>
      </c>
      <c r="J8324" t="str">
        <f>HYPERLINK("https://climate.onebuilding.org/WMO_Region_6_Europe/NOR_Norway/TR_Troms/NOR_TR_Tennevoll.011960_TMYx.zip")</f>
        <v>https://climate.onebuilding.org/WMO_Region_6_Europe/NOR_Norway/TR_Troms/NOR_TR_Tennevoll.011960_TMYx.zip</v>
      </c>
    </row>
    <row r="8325" spans="1:10" x14ac:dyDescent="0.25">
      <c r="A8325" t="s">
        <v>4974</v>
      </c>
      <c r="B8325" t="s">
        <v>155</v>
      </c>
      <c r="C8325" t="s">
        <v>6225</v>
      </c>
      <c r="D8325" s="1" t="s">
        <v>6226</v>
      </c>
      <c r="E8325" t="s">
        <v>6227</v>
      </c>
      <c r="F8325">
        <v>68.781700000000001</v>
      </c>
      <c r="G8325">
        <v>19.701699999999999</v>
      </c>
      <c r="H8325">
        <v>1</v>
      </c>
      <c r="I8325">
        <v>203.9</v>
      </c>
      <c r="J8325" t="str">
        <f>HYPERLINK("https://climate.onebuilding.org/WMO_Region_6_Europe/NOR_Norway/TR_Troms/NOR_TR_Dividalen.011980_TMYx.2004-2018.zip")</f>
        <v>https://climate.onebuilding.org/WMO_Region_6_Europe/NOR_Norway/TR_Troms/NOR_TR_Dividalen.011980_TMYx.2004-2018.zip</v>
      </c>
    </row>
    <row r="8326" spans="1:10" x14ac:dyDescent="0.25">
      <c r="A8326" t="s">
        <v>4974</v>
      </c>
      <c r="B8326" t="s">
        <v>155</v>
      </c>
      <c r="C8326" t="s">
        <v>6225</v>
      </c>
      <c r="D8326" s="1" t="s">
        <v>6226</v>
      </c>
      <c r="E8326" t="s">
        <v>14</v>
      </c>
      <c r="F8326">
        <v>68.781700000000001</v>
      </c>
      <c r="G8326">
        <v>19.701699999999999</v>
      </c>
      <c r="H8326">
        <v>1</v>
      </c>
      <c r="I8326">
        <v>203.9</v>
      </c>
      <c r="J8326" t="str">
        <f>HYPERLINK("https://climate.onebuilding.org/WMO_Region_6_Europe/NOR_Norway/TR_Troms/NOR_TR_Dividalen.011980_TMYx.2007-2021.zip")</f>
        <v>https://climate.onebuilding.org/WMO_Region_6_Europe/NOR_Norway/TR_Troms/NOR_TR_Dividalen.011980_TMYx.2007-2021.zip</v>
      </c>
    </row>
    <row r="8327" spans="1:10" x14ac:dyDescent="0.25">
      <c r="A8327" t="s">
        <v>4974</v>
      </c>
      <c r="B8327" t="s">
        <v>155</v>
      </c>
      <c r="C8327" t="s">
        <v>6225</v>
      </c>
      <c r="D8327" s="1" t="s">
        <v>6226</v>
      </c>
      <c r="E8327" t="s">
        <v>14</v>
      </c>
      <c r="F8327">
        <v>68.781700000000001</v>
      </c>
      <c r="G8327">
        <v>19.701699999999999</v>
      </c>
      <c r="H8327">
        <v>1</v>
      </c>
      <c r="I8327">
        <v>203.9</v>
      </c>
      <c r="J8327" t="str">
        <f>HYPERLINK("https://climate.onebuilding.org/WMO_Region_6_Europe/NOR_Norway/TR_Troms/NOR_TR_Dividalen.011980_TMYx.2009-2023.zip")</f>
        <v>https://climate.onebuilding.org/WMO_Region_6_Europe/NOR_Norway/TR_Troms/NOR_TR_Dividalen.011980_TMYx.2009-2023.zip</v>
      </c>
    </row>
    <row r="8328" spans="1:10" x14ac:dyDescent="0.25">
      <c r="A8328" t="s">
        <v>4974</v>
      </c>
      <c r="B8328" t="s">
        <v>155</v>
      </c>
      <c r="C8328" t="s">
        <v>6225</v>
      </c>
      <c r="D8328" s="1" t="s">
        <v>6226</v>
      </c>
      <c r="E8328" t="s">
        <v>14</v>
      </c>
      <c r="F8328">
        <v>68.781700000000001</v>
      </c>
      <c r="G8328">
        <v>19.701699999999999</v>
      </c>
      <c r="H8328">
        <v>1</v>
      </c>
      <c r="I8328">
        <v>203.9</v>
      </c>
      <c r="J8328" t="str">
        <f>HYPERLINK("https://climate.onebuilding.org/WMO_Region_6_Europe/NOR_Norway/TR_Troms/NOR_TR_Dividalen.011980_TMYx.zip")</f>
        <v>https://climate.onebuilding.org/WMO_Region_6_Europe/NOR_Norway/TR_Troms/NOR_TR_Dividalen.011980_TMYx.zip</v>
      </c>
    </row>
    <row r="8329" spans="1:10" x14ac:dyDescent="0.25">
      <c r="A8329" t="s">
        <v>4974</v>
      </c>
      <c r="B8329" t="s">
        <v>5988</v>
      </c>
      <c r="C8329" t="s">
        <v>6228</v>
      </c>
      <c r="D8329" s="1" t="s">
        <v>6229</v>
      </c>
      <c r="E8329" t="s">
        <v>6230</v>
      </c>
      <c r="F8329">
        <v>68.755300000000005</v>
      </c>
      <c r="G8329">
        <v>23.538599999999999</v>
      </c>
      <c r="H8329">
        <v>2</v>
      </c>
      <c r="I8329">
        <v>383.7</v>
      </c>
      <c r="J8329" t="str">
        <f>HYPERLINK("https://climate.onebuilding.org/WMO_Region_6_Europe/NOR_Norway/FI_Finnmark/NOR_FI_Sihccajavri.011990_TMYx.2004-2018.zip")</f>
        <v>https://climate.onebuilding.org/WMO_Region_6_Europe/NOR_Norway/FI_Finnmark/NOR_FI_Sihccajavri.011990_TMYx.2004-2018.zip</v>
      </c>
    </row>
    <row r="8330" spans="1:10" x14ac:dyDescent="0.25">
      <c r="A8330" t="s">
        <v>4974</v>
      </c>
      <c r="B8330" t="s">
        <v>5988</v>
      </c>
      <c r="C8330" t="s">
        <v>6228</v>
      </c>
      <c r="D8330" s="1" t="s">
        <v>6229</v>
      </c>
      <c r="E8330" t="s">
        <v>14</v>
      </c>
      <c r="F8330">
        <v>68.755300000000005</v>
      </c>
      <c r="G8330">
        <v>23.538599999999999</v>
      </c>
      <c r="H8330">
        <v>2</v>
      </c>
      <c r="I8330">
        <v>383.7</v>
      </c>
      <c r="J8330" t="str">
        <f>HYPERLINK("https://climate.onebuilding.org/WMO_Region_6_Europe/NOR_Norway/FI_Finnmark/NOR_FI_Sihccajavri.011990_TMYx.2007-2021.zip")</f>
        <v>https://climate.onebuilding.org/WMO_Region_6_Europe/NOR_Norway/FI_Finnmark/NOR_FI_Sihccajavri.011990_TMYx.2007-2021.zip</v>
      </c>
    </row>
    <row r="8331" spans="1:10" x14ac:dyDescent="0.25">
      <c r="A8331" t="s">
        <v>4974</v>
      </c>
      <c r="B8331" t="s">
        <v>5988</v>
      </c>
      <c r="C8331" t="s">
        <v>6228</v>
      </c>
      <c r="D8331" s="1" t="s">
        <v>6229</v>
      </c>
      <c r="E8331" t="s">
        <v>14</v>
      </c>
      <c r="F8331">
        <v>68.755300000000005</v>
      </c>
      <c r="G8331">
        <v>23.538599999999999</v>
      </c>
      <c r="H8331">
        <v>2</v>
      </c>
      <c r="I8331">
        <v>383.7</v>
      </c>
      <c r="J8331" t="str">
        <f>HYPERLINK("https://climate.onebuilding.org/WMO_Region_6_Europe/NOR_Norway/FI_Finnmark/NOR_FI_Sihccajavri.011990_TMYx.2009-2023.zip")</f>
        <v>https://climate.onebuilding.org/WMO_Region_6_Europe/NOR_Norway/FI_Finnmark/NOR_FI_Sihccajavri.011990_TMYx.2009-2023.zip</v>
      </c>
    </row>
    <row r="8332" spans="1:10" x14ac:dyDescent="0.25">
      <c r="A8332" t="s">
        <v>4974</v>
      </c>
      <c r="B8332" t="s">
        <v>5988</v>
      </c>
      <c r="C8332" t="s">
        <v>6228</v>
      </c>
      <c r="D8332" s="1" t="s">
        <v>6229</v>
      </c>
      <c r="E8332" t="s">
        <v>14</v>
      </c>
      <c r="F8332">
        <v>68.755300000000005</v>
      </c>
      <c r="G8332">
        <v>23.538599999999999</v>
      </c>
      <c r="H8332">
        <v>2</v>
      </c>
      <c r="I8332">
        <v>383.7</v>
      </c>
      <c r="J8332" t="str">
        <f>HYPERLINK("https://climate.onebuilding.org/WMO_Region_6_Europe/NOR_Norway/FI_Finnmark/NOR_FI_Sihccajavri.011990_TMYx.zip")</f>
        <v>https://climate.onebuilding.org/WMO_Region_6_Europe/NOR_Norway/FI_Finnmark/NOR_FI_Sihccajavri.011990_TMYx.zip</v>
      </c>
    </row>
    <row r="8333" spans="1:10" x14ac:dyDescent="0.25">
      <c r="A8333" t="s">
        <v>4974</v>
      </c>
      <c r="B8333" t="s">
        <v>527</v>
      </c>
      <c r="C8333" t="s">
        <v>6231</v>
      </c>
      <c r="D8333" s="1" t="s">
        <v>6232</v>
      </c>
      <c r="E8333" t="s">
        <v>6233</v>
      </c>
      <c r="F8333">
        <v>62.033900000000003</v>
      </c>
      <c r="G8333">
        <v>4.9858000000000002</v>
      </c>
      <c r="H8333">
        <v>0</v>
      </c>
      <c r="I8333">
        <v>39.799999999999997</v>
      </c>
      <c r="J8333" t="str">
        <f>HYPERLINK("https://climate.onebuilding.org/WMO_Region_6_Europe/NOR_Norway/SF_Sogn_og_Fjordane/NOR_SF_Krakenes.Lighthouse.012030_TMYx.2004-2018.zip")</f>
        <v>https://climate.onebuilding.org/WMO_Region_6_Europe/NOR_Norway/SF_Sogn_og_Fjordane/NOR_SF_Krakenes.Lighthouse.012030_TMYx.2004-2018.zip</v>
      </c>
    </row>
    <row r="8334" spans="1:10" x14ac:dyDescent="0.25">
      <c r="A8334" t="s">
        <v>4974</v>
      </c>
      <c r="B8334" t="s">
        <v>527</v>
      </c>
      <c r="C8334" t="s">
        <v>6231</v>
      </c>
      <c r="D8334" s="1" t="s">
        <v>6232</v>
      </c>
      <c r="E8334" t="s">
        <v>14</v>
      </c>
      <c r="F8334">
        <v>62.033900000000003</v>
      </c>
      <c r="G8334">
        <v>4.9858000000000002</v>
      </c>
      <c r="H8334">
        <v>0</v>
      </c>
      <c r="I8334">
        <v>39.799999999999997</v>
      </c>
      <c r="J8334" t="str">
        <f>HYPERLINK("https://climate.onebuilding.org/WMO_Region_6_Europe/NOR_Norway/SF_Sogn_og_Fjordane/NOR_SF_Krakenes.Lighthouse.012030_TMYx.2007-2021.zip")</f>
        <v>https://climate.onebuilding.org/WMO_Region_6_Europe/NOR_Norway/SF_Sogn_og_Fjordane/NOR_SF_Krakenes.Lighthouse.012030_TMYx.2007-2021.zip</v>
      </c>
    </row>
    <row r="8335" spans="1:10" x14ac:dyDescent="0.25">
      <c r="A8335" t="s">
        <v>4974</v>
      </c>
      <c r="B8335" t="s">
        <v>527</v>
      </c>
      <c r="C8335" t="s">
        <v>6231</v>
      </c>
      <c r="D8335" s="1" t="s">
        <v>6232</v>
      </c>
      <c r="E8335" t="s">
        <v>14</v>
      </c>
      <c r="F8335">
        <v>62.033900000000003</v>
      </c>
      <c r="G8335">
        <v>4.9858000000000002</v>
      </c>
      <c r="H8335">
        <v>0</v>
      </c>
      <c r="I8335">
        <v>39.799999999999997</v>
      </c>
      <c r="J8335" t="str">
        <f>HYPERLINK("https://climate.onebuilding.org/WMO_Region_6_Europe/NOR_Norway/SF_Sogn_og_Fjordane/NOR_SF_Krakenes.Lighthouse.012030_TMYx.2009-2023.zip")</f>
        <v>https://climate.onebuilding.org/WMO_Region_6_Europe/NOR_Norway/SF_Sogn_og_Fjordane/NOR_SF_Krakenes.Lighthouse.012030_TMYx.2009-2023.zip</v>
      </c>
    </row>
    <row r="8336" spans="1:10" x14ac:dyDescent="0.25">
      <c r="A8336" t="s">
        <v>4974</v>
      </c>
      <c r="B8336" t="s">
        <v>527</v>
      </c>
      <c r="C8336" t="s">
        <v>6231</v>
      </c>
      <c r="D8336" s="1" t="s">
        <v>6232</v>
      </c>
      <c r="E8336" t="s">
        <v>14</v>
      </c>
      <c r="F8336">
        <v>62.033900000000003</v>
      </c>
      <c r="G8336">
        <v>4.9858000000000002</v>
      </c>
      <c r="H8336">
        <v>0</v>
      </c>
      <c r="I8336">
        <v>39.799999999999997</v>
      </c>
      <c r="J8336" t="str">
        <f>HYPERLINK("https://climate.onebuilding.org/WMO_Region_6_Europe/NOR_Norway/SF_Sogn_og_Fjordane/NOR_SF_Krakenes.Lighthouse.012030_TMYx.zip")</f>
        <v>https://climate.onebuilding.org/WMO_Region_6_Europe/NOR_Norway/SF_Sogn_og_Fjordane/NOR_SF_Krakenes.Lighthouse.012030_TMYx.zip</v>
      </c>
    </row>
    <row r="8337" spans="1:10" x14ac:dyDescent="0.25">
      <c r="A8337" t="s">
        <v>4974</v>
      </c>
      <c r="B8337" t="s">
        <v>5629</v>
      </c>
      <c r="C8337" t="s">
        <v>6234</v>
      </c>
      <c r="D8337" s="1" t="s">
        <v>6235</v>
      </c>
      <c r="E8337" t="s">
        <v>6236</v>
      </c>
      <c r="F8337">
        <v>62.3292</v>
      </c>
      <c r="G8337">
        <v>5.2678000000000003</v>
      </c>
      <c r="H8337">
        <v>0</v>
      </c>
      <c r="I8337">
        <v>37.200000000000003</v>
      </c>
      <c r="J8337" t="str">
        <f>HYPERLINK("https://climate.onebuilding.org/WMO_Region_6_Europe/NOR_Norway/MR_More_og_Romsdal/NOR_MR_Svinoy.Lighthouse.012050_TMYx.2004-2018.zip")</f>
        <v>https://climate.onebuilding.org/WMO_Region_6_Europe/NOR_Norway/MR_More_og_Romsdal/NOR_MR_Svinoy.Lighthouse.012050_TMYx.2004-2018.zip</v>
      </c>
    </row>
    <row r="8338" spans="1:10" x14ac:dyDescent="0.25">
      <c r="A8338" t="s">
        <v>4974</v>
      </c>
      <c r="B8338" t="s">
        <v>5629</v>
      </c>
      <c r="C8338" t="s">
        <v>6234</v>
      </c>
      <c r="D8338" s="1" t="s">
        <v>6235</v>
      </c>
      <c r="E8338" t="s">
        <v>14</v>
      </c>
      <c r="F8338">
        <v>62.3292</v>
      </c>
      <c r="G8338">
        <v>5.2678000000000003</v>
      </c>
      <c r="H8338">
        <v>0</v>
      </c>
      <c r="I8338">
        <v>37.200000000000003</v>
      </c>
      <c r="J8338" t="str">
        <f>HYPERLINK("https://climate.onebuilding.org/WMO_Region_6_Europe/NOR_Norway/MR_More_og_Romsdal/NOR_MR_Svinoy.Lighthouse.012050_TMYx.2007-2021.zip")</f>
        <v>https://climate.onebuilding.org/WMO_Region_6_Europe/NOR_Norway/MR_More_og_Romsdal/NOR_MR_Svinoy.Lighthouse.012050_TMYx.2007-2021.zip</v>
      </c>
    </row>
    <row r="8339" spans="1:10" x14ac:dyDescent="0.25">
      <c r="A8339" t="s">
        <v>4974</v>
      </c>
      <c r="B8339" t="s">
        <v>5629</v>
      </c>
      <c r="C8339" t="s">
        <v>6234</v>
      </c>
      <c r="D8339" s="1" t="s">
        <v>6235</v>
      </c>
      <c r="E8339" t="s">
        <v>14</v>
      </c>
      <c r="F8339">
        <v>62.3292</v>
      </c>
      <c r="G8339">
        <v>5.2678000000000003</v>
      </c>
      <c r="H8339">
        <v>0</v>
      </c>
      <c r="I8339">
        <v>37.200000000000003</v>
      </c>
      <c r="J8339" t="str">
        <f>HYPERLINK("https://climate.onebuilding.org/WMO_Region_6_Europe/NOR_Norway/MR_More_og_Romsdal/NOR_MR_Svinoy.Lighthouse.012050_TMYx.2009-2023.zip")</f>
        <v>https://climate.onebuilding.org/WMO_Region_6_Europe/NOR_Norway/MR_More_og_Romsdal/NOR_MR_Svinoy.Lighthouse.012050_TMYx.2009-2023.zip</v>
      </c>
    </row>
    <row r="8340" spans="1:10" x14ac:dyDescent="0.25">
      <c r="A8340" t="s">
        <v>4974</v>
      </c>
      <c r="B8340" t="s">
        <v>5629</v>
      </c>
      <c r="C8340" t="s">
        <v>6234</v>
      </c>
      <c r="D8340" s="1" t="s">
        <v>6235</v>
      </c>
      <c r="E8340" t="s">
        <v>14</v>
      </c>
      <c r="F8340">
        <v>62.3292</v>
      </c>
      <c r="G8340">
        <v>5.2678000000000003</v>
      </c>
      <c r="H8340">
        <v>0</v>
      </c>
      <c r="I8340">
        <v>37.200000000000003</v>
      </c>
      <c r="J8340" t="str">
        <f>HYPERLINK("https://climate.onebuilding.org/WMO_Region_6_Europe/NOR_Norway/MR_More_og_Romsdal/NOR_MR_Svinoy.Lighthouse.012050_TMYx.zip")</f>
        <v>https://climate.onebuilding.org/WMO_Region_6_Europe/NOR_Norway/MR_More_og_Romsdal/NOR_MR_Svinoy.Lighthouse.012050_TMYx.zip</v>
      </c>
    </row>
    <row r="8341" spans="1:10" x14ac:dyDescent="0.25">
      <c r="A8341" t="s">
        <v>4974</v>
      </c>
      <c r="B8341" t="s">
        <v>5629</v>
      </c>
      <c r="C8341" t="s">
        <v>6237</v>
      </c>
      <c r="D8341" s="1" t="s">
        <v>6238</v>
      </c>
      <c r="E8341" t="s">
        <v>6239</v>
      </c>
      <c r="F8341">
        <v>62.1</v>
      </c>
      <c r="G8341">
        <v>5.5830000000000002</v>
      </c>
      <c r="H8341">
        <v>0</v>
      </c>
      <c r="I8341">
        <v>41</v>
      </c>
      <c r="J8341" t="str">
        <f>HYPERLINK("https://climate.onebuilding.org/WMO_Region_6_Europe/NOR_Norway/MR_More_og_Romsdal/NOR_MR_Fiskabygd.012070_TMYx.2004-2018.zip")</f>
        <v>https://climate.onebuilding.org/WMO_Region_6_Europe/NOR_Norway/MR_More_og_Romsdal/NOR_MR_Fiskabygd.012070_TMYx.2004-2018.zip</v>
      </c>
    </row>
    <row r="8342" spans="1:10" x14ac:dyDescent="0.25">
      <c r="A8342" t="s">
        <v>4974</v>
      </c>
      <c r="B8342" t="s">
        <v>5629</v>
      </c>
      <c r="C8342" t="s">
        <v>6237</v>
      </c>
      <c r="D8342" s="1" t="s">
        <v>6238</v>
      </c>
      <c r="E8342" t="s">
        <v>14</v>
      </c>
      <c r="F8342">
        <v>62.1</v>
      </c>
      <c r="G8342">
        <v>5.5830000000000002</v>
      </c>
      <c r="H8342">
        <v>0</v>
      </c>
      <c r="I8342">
        <v>41</v>
      </c>
      <c r="J8342" t="str">
        <f>HYPERLINK("https://climate.onebuilding.org/WMO_Region_6_Europe/NOR_Norway/MR_More_og_Romsdal/NOR_MR_Fiskabygd.012070_TMYx.2007-2021.zip")</f>
        <v>https://climate.onebuilding.org/WMO_Region_6_Europe/NOR_Norway/MR_More_og_Romsdal/NOR_MR_Fiskabygd.012070_TMYx.2007-2021.zip</v>
      </c>
    </row>
    <row r="8343" spans="1:10" x14ac:dyDescent="0.25">
      <c r="A8343" t="s">
        <v>4974</v>
      </c>
      <c r="B8343" t="s">
        <v>5629</v>
      </c>
      <c r="C8343" t="s">
        <v>6237</v>
      </c>
      <c r="D8343" s="1" t="s">
        <v>6238</v>
      </c>
      <c r="E8343" t="s">
        <v>14</v>
      </c>
      <c r="F8343">
        <v>62.1</v>
      </c>
      <c r="G8343">
        <v>5.5830000000000002</v>
      </c>
      <c r="H8343">
        <v>0</v>
      </c>
      <c r="I8343">
        <v>41</v>
      </c>
      <c r="J8343" t="str">
        <f>HYPERLINK("https://climate.onebuilding.org/WMO_Region_6_Europe/NOR_Norway/MR_More_og_Romsdal/NOR_MR_Fiskabygd.012070_TMYx.2009-2023.zip")</f>
        <v>https://climate.onebuilding.org/WMO_Region_6_Europe/NOR_Norway/MR_More_og_Romsdal/NOR_MR_Fiskabygd.012070_TMYx.2009-2023.zip</v>
      </c>
    </row>
    <row r="8344" spans="1:10" x14ac:dyDescent="0.25">
      <c r="A8344" t="s">
        <v>4974</v>
      </c>
      <c r="B8344" t="s">
        <v>5629</v>
      </c>
      <c r="C8344" t="s">
        <v>6237</v>
      </c>
      <c r="D8344" s="1" t="s">
        <v>6238</v>
      </c>
      <c r="E8344" t="s">
        <v>14</v>
      </c>
      <c r="F8344">
        <v>62.1</v>
      </c>
      <c r="G8344">
        <v>5.5830000000000002</v>
      </c>
      <c r="H8344">
        <v>0</v>
      </c>
      <c r="I8344">
        <v>41</v>
      </c>
      <c r="J8344" t="str">
        <f>HYPERLINK("https://climate.onebuilding.org/WMO_Region_6_Europe/NOR_Norway/MR_More_og_Romsdal/NOR_MR_Fiskabygd.012070_TMYx.zip")</f>
        <v>https://climate.onebuilding.org/WMO_Region_6_Europe/NOR_Norway/MR_More_og_Romsdal/NOR_MR_Fiskabygd.012070_TMYx.zip</v>
      </c>
    </row>
    <row r="8345" spans="1:10" x14ac:dyDescent="0.25">
      <c r="A8345" t="s">
        <v>4974</v>
      </c>
      <c r="B8345" t="s">
        <v>5629</v>
      </c>
      <c r="C8345" t="s">
        <v>6240</v>
      </c>
      <c r="D8345" s="1" t="s">
        <v>6241</v>
      </c>
      <c r="E8345" t="s">
        <v>6242</v>
      </c>
      <c r="F8345">
        <v>62.181100000000001</v>
      </c>
      <c r="G8345">
        <v>6.0805999999999996</v>
      </c>
      <c r="H8345">
        <v>0</v>
      </c>
      <c r="I8345">
        <v>74.099999999999994</v>
      </c>
      <c r="J8345" t="str">
        <f>HYPERLINK("https://climate.onebuilding.org/WMO_Region_6_Europe/NOR_Norway/MR_More_og_Romsdal/NOR_MR_Orsta.Volda.AP-Hovden.012090_TMYx.2004-2018.zip")</f>
        <v>https://climate.onebuilding.org/WMO_Region_6_Europe/NOR_Norway/MR_More_og_Romsdal/NOR_MR_Orsta.Volda.AP-Hovden.012090_TMYx.2004-2018.zip</v>
      </c>
    </row>
    <row r="8346" spans="1:10" x14ac:dyDescent="0.25">
      <c r="A8346" t="s">
        <v>4974</v>
      </c>
      <c r="B8346" t="s">
        <v>5629</v>
      </c>
      <c r="C8346" t="s">
        <v>6240</v>
      </c>
      <c r="D8346" s="1" t="s">
        <v>6241</v>
      </c>
      <c r="E8346" t="s">
        <v>14</v>
      </c>
      <c r="F8346">
        <v>62.181100000000001</v>
      </c>
      <c r="G8346">
        <v>6.0805999999999996</v>
      </c>
      <c r="H8346">
        <v>0</v>
      </c>
      <c r="I8346">
        <v>74.099999999999994</v>
      </c>
      <c r="J8346" t="str">
        <f>HYPERLINK("https://climate.onebuilding.org/WMO_Region_6_Europe/NOR_Norway/MR_More_og_Romsdal/NOR_MR_Orsta.Volda.AP-Hovden.012090_TMYx.2007-2021.zip")</f>
        <v>https://climate.onebuilding.org/WMO_Region_6_Europe/NOR_Norway/MR_More_og_Romsdal/NOR_MR_Orsta.Volda.AP-Hovden.012090_TMYx.2007-2021.zip</v>
      </c>
    </row>
    <row r="8347" spans="1:10" x14ac:dyDescent="0.25">
      <c r="A8347" t="s">
        <v>4974</v>
      </c>
      <c r="B8347" t="s">
        <v>5629</v>
      </c>
      <c r="C8347" t="s">
        <v>6240</v>
      </c>
      <c r="D8347" s="1" t="s">
        <v>6241</v>
      </c>
      <c r="E8347" t="s">
        <v>14</v>
      </c>
      <c r="F8347">
        <v>62.181100000000001</v>
      </c>
      <c r="G8347">
        <v>6.0805999999999996</v>
      </c>
      <c r="H8347">
        <v>0</v>
      </c>
      <c r="I8347">
        <v>74.099999999999994</v>
      </c>
      <c r="J8347" t="str">
        <f>HYPERLINK("https://climate.onebuilding.org/WMO_Region_6_Europe/NOR_Norway/MR_More_og_Romsdal/NOR_MR_Orsta.Volda.AP-Hovden.012090_TMYx.2009-2023.zip")</f>
        <v>https://climate.onebuilding.org/WMO_Region_6_Europe/NOR_Norway/MR_More_og_Romsdal/NOR_MR_Orsta.Volda.AP-Hovden.012090_TMYx.2009-2023.zip</v>
      </c>
    </row>
    <row r="8348" spans="1:10" x14ac:dyDescent="0.25">
      <c r="A8348" t="s">
        <v>4974</v>
      </c>
      <c r="B8348" t="s">
        <v>5629</v>
      </c>
      <c r="C8348" t="s">
        <v>6240</v>
      </c>
      <c r="D8348" s="1" t="s">
        <v>6241</v>
      </c>
      <c r="E8348" t="s">
        <v>14</v>
      </c>
      <c r="F8348">
        <v>62.181100000000001</v>
      </c>
      <c r="G8348">
        <v>6.0805999999999996</v>
      </c>
      <c r="H8348">
        <v>0</v>
      </c>
      <c r="I8348">
        <v>74.099999999999994</v>
      </c>
      <c r="J8348" t="str">
        <f>HYPERLINK("https://climate.onebuilding.org/WMO_Region_6_Europe/NOR_Norway/MR_More_og_Romsdal/NOR_MR_Orsta.Volda.AP-Hovden.012090_TMYx.zip")</f>
        <v>https://climate.onebuilding.org/WMO_Region_6_Europe/NOR_Norway/MR_More_og_Romsdal/NOR_MR_Orsta.Volda.AP-Hovden.012090_TMYx.zip</v>
      </c>
    </row>
    <row r="8349" spans="1:10" x14ac:dyDescent="0.25">
      <c r="A8349" t="s">
        <v>4974</v>
      </c>
      <c r="B8349" t="s">
        <v>5629</v>
      </c>
      <c r="C8349" t="s">
        <v>6243</v>
      </c>
      <c r="D8349" s="1" t="s">
        <v>6244</v>
      </c>
      <c r="E8349" t="s">
        <v>6245</v>
      </c>
      <c r="F8349">
        <v>62.561700000000002</v>
      </c>
      <c r="G8349">
        <v>6.1150000000000002</v>
      </c>
      <c r="H8349">
        <v>0</v>
      </c>
      <c r="I8349">
        <v>21</v>
      </c>
      <c r="J8349" t="str">
        <f>HYPERLINK("https://climate.onebuilding.org/WMO_Region_6_Europe/NOR_Norway/MR_More_og_Romsdal/NOR_MR_Alesund.AP-Vigra.012100_TMYx.2004-2018.zip")</f>
        <v>https://climate.onebuilding.org/WMO_Region_6_Europe/NOR_Norway/MR_More_og_Romsdal/NOR_MR_Alesund.AP-Vigra.012100_TMYx.2004-2018.zip</v>
      </c>
    </row>
    <row r="8350" spans="1:10" x14ac:dyDescent="0.25">
      <c r="A8350" t="s">
        <v>4974</v>
      </c>
      <c r="B8350" t="s">
        <v>5629</v>
      </c>
      <c r="C8350" t="s">
        <v>6243</v>
      </c>
      <c r="D8350" s="1" t="s">
        <v>6244</v>
      </c>
      <c r="E8350" t="s">
        <v>14</v>
      </c>
      <c r="F8350">
        <v>62.561700000000002</v>
      </c>
      <c r="G8350">
        <v>6.1150000000000002</v>
      </c>
      <c r="H8350">
        <v>0</v>
      </c>
      <c r="I8350">
        <v>21</v>
      </c>
      <c r="J8350" t="str">
        <f>HYPERLINK("https://climate.onebuilding.org/WMO_Region_6_Europe/NOR_Norway/MR_More_og_Romsdal/NOR_MR_Alesund.AP-Vigra.012100_TMYx.2007-2021.zip")</f>
        <v>https://climate.onebuilding.org/WMO_Region_6_Europe/NOR_Norway/MR_More_og_Romsdal/NOR_MR_Alesund.AP-Vigra.012100_TMYx.2007-2021.zip</v>
      </c>
    </row>
    <row r="8351" spans="1:10" x14ac:dyDescent="0.25">
      <c r="A8351" t="s">
        <v>4974</v>
      </c>
      <c r="B8351" t="s">
        <v>5629</v>
      </c>
      <c r="C8351" t="s">
        <v>6243</v>
      </c>
      <c r="D8351" s="1" t="s">
        <v>6244</v>
      </c>
      <c r="E8351" t="s">
        <v>14</v>
      </c>
      <c r="F8351">
        <v>62.561700000000002</v>
      </c>
      <c r="G8351">
        <v>6.1150000000000002</v>
      </c>
      <c r="H8351">
        <v>0</v>
      </c>
      <c r="I8351">
        <v>21</v>
      </c>
      <c r="J8351" t="str">
        <f>HYPERLINK("https://climate.onebuilding.org/WMO_Region_6_Europe/NOR_Norway/MR_More_og_Romsdal/NOR_MR_Alesund.AP-Vigra.012100_TMYx.2009-2023.zip")</f>
        <v>https://climate.onebuilding.org/WMO_Region_6_Europe/NOR_Norway/MR_More_og_Romsdal/NOR_MR_Alesund.AP-Vigra.012100_TMYx.2009-2023.zip</v>
      </c>
    </row>
    <row r="8352" spans="1:10" x14ac:dyDescent="0.25">
      <c r="A8352" t="s">
        <v>4974</v>
      </c>
      <c r="B8352" t="s">
        <v>5629</v>
      </c>
      <c r="C8352" t="s">
        <v>6243</v>
      </c>
      <c r="D8352" s="1" t="s">
        <v>6244</v>
      </c>
      <c r="E8352" t="s">
        <v>14</v>
      </c>
      <c r="F8352">
        <v>62.561700000000002</v>
      </c>
      <c r="G8352">
        <v>6.1150000000000002</v>
      </c>
      <c r="H8352">
        <v>0</v>
      </c>
      <c r="I8352">
        <v>21</v>
      </c>
      <c r="J8352" t="str">
        <f>HYPERLINK("https://climate.onebuilding.org/WMO_Region_6_Europe/NOR_Norway/MR_More_og_Romsdal/NOR_MR_Alesund.AP-Vigra.012100_TMYx.zip")</f>
        <v>https://climate.onebuilding.org/WMO_Region_6_Europe/NOR_Norway/MR_More_og_Romsdal/NOR_MR_Alesund.AP-Vigra.012100_TMYx.zip</v>
      </c>
    </row>
    <row r="8353" spans="1:10" x14ac:dyDescent="0.25">
      <c r="A8353" t="s">
        <v>4974</v>
      </c>
      <c r="B8353" t="s">
        <v>5629</v>
      </c>
      <c r="C8353" t="s">
        <v>6246</v>
      </c>
      <c r="D8353" s="1" t="s">
        <v>6247</v>
      </c>
      <c r="E8353" t="s">
        <v>6248</v>
      </c>
      <c r="F8353">
        <v>62.858600000000003</v>
      </c>
      <c r="G8353">
        <v>6.5377999999999998</v>
      </c>
      <c r="H8353">
        <v>0</v>
      </c>
      <c r="I8353">
        <v>14.5</v>
      </c>
      <c r="J8353" t="str">
        <f>HYPERLINK("https://climate.onebuilding.org/WMO_Region_6_Europe/NOR_Norway/MR_More_og_Romsdal/NOR_MR_Ona.012120_TMYx.2004-2018.zip")</f>
        <v>https://climate.onebuilding.org/WMO_Region_6_Europe/NOR_Norway/MR_More_og_Romsdal/NOR_MR_Ona.012120_TMYx.2004-2018.zip</v>
      </c>
    </row>
    <row r="8354" spans="1:10" x14ac:dyDescent="0.25">
      <c r="A8354" t="s">
        <v>4974</v>
      </c>
      <c r="B8354" t="s">
        <v>5629</v>
      </c>
      <c r="C8354" t="s">
        <v>6246</v>
      </c>
      <c r="D8354" s="1" t="s">
        <v>6247</v>
      </c>
      <c r="E8354" t="s">
        <v>14</v>
      </c>
      <c r="F8354">
        <v>62.858600000000003</v>
      </c>
      <c r="G8354">
        <v>6.5377999999999998</v>
      </c>
      <c r="H8354">
        <v>0</v>
      </c>
      <c r="I8354">
        <v>14.5</v>
      </c>
      <c r="J8354" t="str">
        <f>HYPERLINK("https://climate.onebuilding.org/WMO_Region_6_Europe/NOR_Norway/MR_More_og_Romsdal/NOR_MR_Ona.012120_TMYx.2007-2021.zip")</f>
        <v>https://climate.onebuilding.org/WMO_Region_6_Europe/NOR_Norway/MR_More_og_Romsdal/NOR_MR_Ona.012120_TMYx.2007-2021.zip</v>
      </c>
    </row>
    <row r="8355" spans="1:10" x14ac:dyDescent="0.25">
      <c r="A8355" t="s">
        <v>4974</v>
      </c>
      <c r="B8355" t="s">
        <v>5629</v>
      </c>
      <c r="C8355" t="s">
        <v>6246</v>
      </c>
      <c r="D8355" s="1" t="s">
        <v>6247</v>
      </c>
      <c r="E8355" t="s">
        <v>14</v>
      </c>
      <c r="F8355">
        <v>62.858600000000003</v>
      </c>
      <c r="G8355">
        <v>6.5377999999999998</v>
      </c>
      <c r="H8355">
        <v>0</v>
      </c>
      <c r="I8355">
        <v>14.5</v>
      </c>
      <c r="J8355" t="str">
        <f>HYPERLINK("https://climate.onebuilding.org/WMO_Region_6_Europe/NOR_Norway/MR_More_og_Romsdal/NOR_MR_Ona.012120_TMYx.2009-2023.zip")</f>
        <v>https://climate.onebuilding.org/WMO_Region_6_Europe/NOR_Norway/MR_More_og_Romsdal/NOR_MR_Ona.012120_TMYx.2009-2023.zip</v>
      </c>
    </row>
    <row r="8356" spans="1:10" x14ac:dyDescent="0.25">
      <c r="A8356" t="s">
        <v>4974</v>
      </c>
      <c r="B8356" t="s">
        <v>5629</v>
      </c>
      <c r="C8356" t="s">
        <v>6246</v>
      </c>
      <c r="D8356" s="1" t="s">
        <v>6247</v>
      </c>
      <c r="E8356" t="s">
        <v>14</v>
      </c>
      <c r="F8356">
        <v>62.858600000000003</v>
      </c>
      <c r="G8356">
        <v>6.5377999999999998</v>
      </c>
      <c r="H8356">
        <v>0</v>
      </c>
      <c r="I8356">
        <v>14.5</v>
      </c>
      <c r="J8356" t="str">
        <f>HYPERLINK("https://climate.onebuilding.org/WMO_Region_6_Europe/NOR_Norway/MR_More_og_Romsdal/NOR_MR_Ona.012120_TMYx.zip")</f>
        <v>https://climate.onebuilding.org/WMO_Region_6_Europe/NOR_Norway/MR_More_og_Romsdal/NOR_MR_Ona.012120_TMYx.zip</v>
      </c>
    </row>
    <row r="8357" spans="1:10" x14ac:dyDescent="0.25">
      <c r="A8357" t="s">
        <v>4974</v>
      </c>
      <c r="B8357" t="s">
        <v>5629</v>
      </c>
      <c r="C8357" t="s">
        <v>6249</v>
      </c>
      <c r="D8357" s="1" t="s">
        <v>6250</v>
      </c>
      <c r="E8357" t="s">
        <v>6251</v>
      </c>
      <c r="F8357">
        <v>62.6511</v>
      </c>
      <c r="G8357">
        <v>6.7549999999999999</v>
      </c>
      <c r="H8357">
        <v>0</v>
      </c>
      <c r="I8357">
        <v>43</v>
      </c>
      <c r="J8357" t="str">
        <f>HYPERLINK("https://climate.onebuilding.org/WMO_Region_6_Europe/NOR_Norway/MR_More_og_Romsdal/NOR_MR_Rekdal.012140_TMYx.2004-2018.zip")</f>
        <v>https://climate.onebuilding.org/WMO_Region_6_Europe/NOR_Norway/MR_More_og_Romsdal/NOR_MR_Rekdal.012140_TMYx.2004-2018.zip</v>
      </c>
    </row>
    <row r="8358" spans="1:10" x14ac:dyDescent="0.25">
      <c r="A8358" t="s">
        <v>4974</v>
      </c>
      <c r="B8358" t="s">
        <v>5629</v>
      </c>
      <c r="C8358" t="s">
        <v>6249</v>
      </c>
      <c r="D8358" s="1" t="s">
        <v>6250</v>
      </c>
      <c r="E8358" t="s">
        <v>14</v>
      </c>
      <c r="F8358">
        <v>62.6511</v>
      </c>
      <c r="G8358">
        <v>6.7549999999999999</v>
      </c>
      <c r="H8358">
        <v>0</v>
      </c>
      <c r="I8358">
        <v>43</v>
      </c>
      <c r="J8358" t="str">
        <f>HYPERLINK("https://climate.onebuilding.org/WMO_Region_6_Europe/NOR_Norway/MR_More_og_Romsdal/NOR_MR_Rekdal.012140_TMYx.2007-2021.zip")</f>
        <v>https://climate.onebuilding.org/WMO_Region_6_Europe/NOR_Norway/MR_More_og_Romsdal/NOR_MR_Rekdal.012140_TMYx.2007-2021.zip</v>
      </c>
    </row>
    <row r="8359" spans="1:10" x14ac:dyDescent="0.25">
      <c r="A8359" t="s">
        <v>4974</v>
      </c>
      <c r="B8359" t="s">
        <v>5629</v>
      </c>
      <c r="C8359" t="s">
        <v>6249</v>
      </c>
      <c r="D8359" s="1" t="s">
        <v>6250</v>
      </c>
      <c r="E8359" t="s">
        <v>14</v>
      </c>
      <c r="F8359">
        <v>62.6511</v>
      </c>
      <c r="G8359">
        <v>6.7549999999999999</v>
      </c>
      <c r="H8359">
        <v>0</v>
      </c>
      <c r="I8359">
        <v>43</v>
      </c>
      <c r="J8359" t="str">
        <f>HYPERLINK("https://climate.onebuilding.org/WMO_Region_6_Europe/NOR_Norway/MR_More_og_Romsdal/NOR_MR_Rekdal.012140_TMYx.2009-2023.zip")</f>
        <v>https://climate.onebuilding.org/WMO_Region_6_Europe/NOR_Norway/MR_More_og_Romsdal/NOR_MR_Rekdal.012140_TMYx.2009-2023.zip</v>
      </c>
    </row>
    <row r="8360" spans="1:10" x14ac:dyDescent="0.25">
      <c r="A8360" t="s">
        <v>4974</v>
      </c>
      <c r="B8360" t="s">
        <v>5629</v>
      </c>
      <c r="C8360" t="s">
        <v>6249</v>
      </c>
      <c r="D8360" s="1" t="s">
        <v>6250</v>
      </c>
      <c r="E8360" t="s">
        <v>14</v>
      </c>
      <c r="F8360">
        <v>62.6511</v>
      </c>
      <c r="G8360">
        <v>6.7549999999999999</v>
      </c>
      <c r="H8360">
        <v>0</v>
      </c>
      <c r="I8360">
        <v>43</v>
      </c>
      <c r="J8360" t="str">
        <f>HYPERLINK("https://climate.onebuilding.org/WMO_Region_6_Europe/NOR_Norway/MR_More_og_Romsdal/NOR_MR_Rekdal.012140_TMYx.zip")</f>
        <v>https://climate.onebuilding.org/WMO_Region_6_Europe/NOR_Norway/MR_More_og_Romsdal/NOR_MR_Rekdal.012140_TMYx.zip</v>
      </c>
    </row>
    <row r="8361" spans="1:10" x14ac:dyDescent="0.25">
      <c r="A8361" t="s">
        <v>4974</v>
      </c>
      <c r="B8361" t="s">
        <v>5629</v>
      </c>
      <c r="C8361" t="s">
        <v>6252</v>
      </c>
      <c r="D8361" s="1" t="s">
        <v>6253</v>
      </c>
      <c r="E8361" t="s">
        <v>14</v>
      </c>
      <c r="F8361">
        <v>62.6081</v>
      </c>
      <c r="G8361">
        <v>7.2298</v>
      </c>
      <c r="H8361">
        <v>0</v>
      </c>
      <c r="I8361">
        <v>16</v>
      </c>
      <c r="J8361" t="str">
        <f>HYPERLINK("https://climate.onebuilding.org/WMO_Region_6_Europe/NOR_Norway/MR_More_og_Romsdal/NOR_MR_Hjelvik.i.Romsdal.012160_TMYx.zip")</f>
        <v>https://climate.onebuilding.org/WMO_Region_6_Europe/NOR_Norway/MR_More_og_Romsdal/NOR_MR_Hjelvik.i.Romsdal.012160_TMYx.zip</v>
      </c>
    </row>
    <row r="8362" spans="1:10" x14ac:dyDescent="0.25">
      <c r="A8362" t="s">
        <v>4974</v>
      </c>
      <c r="B8362" t="s">
        <v>5629</v>
      </c>
      <c r="C8362" t="s">
        <v>6254</v>
      </c>
      <c r="D8362" s="1" t="s">
        <v>6255</v>
      </c>
      <c r="E8362" t="s">
        <v>6256</v>
      </c>
      <c r="F8362">
        <v>62.744399999999999</v>
      </c>
      <c r="G8362">
        <v>7.2617000000000003</v>
      </c>
      <c r="H8362">
        <v>0</v>
      </c>
      <c r="I8362">
        <v>3</v>
      </c>
      <c r="J8362" t="str">
        <f>HYPERLINK("https://climate.onebuilding.org/WMO_Region_6_Europe/NOR_Norway/MR_More_og_Romsdal/NOR_MR_Molde.AP-Aro.012170_TMYx.2004-2018.zip")</f>
        <v>https://climate.onebuilding.org/WMO_Region_6_Europe/NOR_Norway/MR_More_og_Romsdal/NOR_MR_Molde.AP-Aro.012170_TMYx.2004-2018.zip</v>
      </c>
    </row>
    <row r="8363" spans="1:10" x14ac:dyDescent="0.25">
      <c r="A8363" t="s">
        <v>4974</v>
      </c>
      <c r="B8363" t="s">
        <v>5629</v>
      </c>
      <c r="C8363" t="s">
        <v>6254</v>
      </c>
      <c r="D8363" s="1" t="s">
        <v>6255</v>
      </c>
      <c r="E8363" t="s">
        <v>14</v>
      </c>
      <c r="F8363">
        <v>62.744399999999999</v>
      </c>
      <c r="G8363">
        <v>7.2617000000000003</v>
      </c>
      <c r="H8363">
        <v>0</v>
      </c>
      <c r="I8363">
        <v>3</v>
      </c>
      <c r="J8363" t="str">
        <f>HYPERLINK("https://climate.onebuilding.org/WMO_Region_6_Europe/NOR_Norway/MR_More_og_Romsdal/NOR_MR_Molde.AP-Aro.012170_TMYx.2007-2021.zip")</f>
        <v>https://climate.onebuilding.org/WMO_Region_6_Europe/NOR_Norway/MR_More_og_Romsdal/NOR_MR_Molde.AP-Aro.012170_TMYx.2007-2021.zip</v>
      </c>
    </row>
    <row r="8364" spans="1:10" x14ac:dyDescent="0.25">
      <c r="A8364" t="s">
        <v>4974</v>
      </c>
      <c r="B8364" t="s">
        <v>5629</v>
      </c>
      <c r="C8364" t="s">
        <v>6254</v>
      </c>
      <c r="D8364" s="1" t="s">
        <v>6255</v>
      </c>
      <c r="E8364" t="s">
        <v>14</v>
      </c>
      <c r="F8364">
        <v>62.744399999999999</v>
      </c>
      <c r="G8364">
        <v>7.2617000000000003</v>
      </c>
      <c r="H8364">
        <v>0</v>
      </c>
      <c r="I8364">
        <v>3</v>
      </c>
      <c r="J8364" t="str">
        <f>HYPERLINK("https://climate.onebuilding.org/WMO_Region_6_Europe/NOR_Norway/MR_More_og_Romsdal/NOR_MR_Molde.AP-Aro.012170_TMYx.2009-2023.zip")</f>
        <v>https://climate.onebuilding.org/WMO_Region_6_Europe/NOR_Norway/MR_More_og_Romsdal/NOR_MR_Molde.AP-Aro.012170_TMYx.2009-2023.zip</v>
      </c>
    </row>
    <row r="8365" spans="1:10" x14ac:dyDescent="0.25">
      <c r="A8365" t="s">
        <v>4974</v>
      </c>
      <c r="B8365" t="s">
        <v>5629</v>
      </c>
      <c r="C8365" t="s">
        <v>6254</v>
      </c>
      <c r="D8365" s="1" t="s">
        <v>6255</v>
      </c>
      <c r="E8365" t="s">
        <v>14</v>
      </c>
      <c r="F8365">
        <v>62.744399999999999</v>
      </c>
      <c r="G8365">
        <v>7.2617000000000003</v>
      </c>
      <c r="H8365">
        <v>0</v>
      </c>
      <c r="I8365">
        <v>3</v>
      </c>
      <c r="J8365" t="str">
        <f>HYPERLINK("https://climate.onebuilding.org/WMO_Region_6_Europe/NOR_Norway/MR_More_og_Romsdal/NOR_MR_Molde.AP-Aro.012170_TMYx.zip")</f>
        <v>https://climate.onebuilding.org/WMO_Region_6_Europe/NOR_Norway/MR_More_og_Romsdal/NOR_MR_Molde.AP-Aro.012170_TMYx.zip</v>
      </c>
    </row>
    <row r="8366" spans="1:10" x14ac:dyDescent="0.25">
      <c r="A8366" t="s">
        <v>4974</v>
      </c>
      <c r="B8366" t="s">
        <v>5629</v>
      </c>
      <c r="C8366" t="s">
        <v>6257</v>
      </c>
      <c r="D8366" s="1" t="s">
        <v>6258</v>
      </c>
      <c r="E8366" t="s">
        <v>6259</v>
      </c>
      <c r="F8366">
        <v>62.2303</v>
      </c>
      <c r="G8366">
        <v>7.4217000000000004</v>
      </c>
      <c r="H8366">
        <v>0</v>
      </c>
      <c r="I8366">
        <v>17.399999999999999</v>
      </c>
      <c r="J8366" t="str">
        <f>HYPERLINK("https://climate.onebuilding.org/WMO_Region_6_Europe/NOR_Norway/MR_More_og_Romsdal/NOR_MR_Tafjord.012180_TMYx.2004-2018.zip")</f>
        <v>https://climate.onebuilding.org/WMO_Region_6_Europe/NOR_Norway/MR_More_og_Romsdal/NOR_MR_Tafjord.012180_TMYx.2004-2018.zip</v>
      </c>
    </row>
    <row r="8367" spans="1:10" x14ac:dyDescent="0.25">
      <c r="A8367" t="s">
        <v>4974</v>
      </c>
      <c r="B8367" t="s">
        <v>5629</v>
      </c>
      <c r="C8367" t="s">
        <v>6257</v>
      </c>
      <c r="D8367" s="1" t="s">
        <v>6258</v>
      </c>
      <c r="E8367" t="s">
        <v>14</v>
      </c>
      <c r="F8367">
        <v>62.2303</v>
      </c>
      <c r="G8367">
        <v>7.4217000000000004</v>
      </c>
      <c r="H8367">
        <v>0</v>
      </c>
      <c r="I8367">
        <v>17.399999999999999</v>
      </c>
      <c r="J8367" t="str">
        <f>HYPERLINK("https://climate.onebuilding.org/WMO_Region_6_Europe/NOR_Norway/MR_More_og_Romsdal/NOR_MR_Tafjord.012180_TMYx.2007-2021.zip")</f>
        <v>https://climate.onebuilding.org/WMO_Region_6_Europe/NOR_Norway/MR_More_og_Romsdal/NOR_MR_Tafjord.012180_TMYx.2007-2021.zip</v>
      </c>
    </row>
    <row r="8368" spans="1:10" x14ac:dyDescent="0.25">
      <c r="A8368" t="s">
        <v>4974</v>
      </c>
      <c r="B8368" t="s">
        <v>5629</v>
      </c>
      <c r="C8368" t="s">
        <v>6257</v>
      </c>
      <c r="D8368" s="1" t="s">
        <v>6258</v>
      </c>
      <c r="E8368" t="s">
        <v>14</v>
      </c>
      <c r="F8368">
        <v>62.2303</v>
      </c>
      <c r="G8368">
        <v>7.4217000000000004</v>
      </c>
      <c r="H8368">
        <v>0</v>
      </c>
      <c r="I8368">
        <v>17.399999999999999</v>
      </c>
      <c r="J8368" t="str">
        <f>HYPERLINK("https://climate.onebuilding.org/WMO_Region_6_Europe/NOR_Norway/MR_More_og_Romsdal/NOR_MR_Tafjord.012180_TMYx.2009-2023.zip")</f>
        <v>https://climate.onebuilding.org/WMO_Region_6_Europe/NOR_Norway/MR_More_og_Romsdal/NOR_MR_Tafjord.012180_TMYx.2009-2023.zip</v>
      </c>
    </row>
    <row r="8369" spans="1:10" x14ac:dyDescent="0.25">
      <c r="A8369" t="s">
        <v>4974</v>
      </c>
      <c r="B8369" t="s">
        <v>5629</v>
      </c>
      <c r="C8369" t="s">
        <v>6257</v>
      </c>
      <c r="D8369" s="1" t="s">
        <v>6258</v>
      </c>
      <c r="E8369" t="s">
        <v>14</v>
      </c>
      <c r="F8369">
        <v>62.2303</v>
      </c>
      <c r="G8369">
        <v>7.4217000000000004</v>
      </c>
      <c r="H8369">
        <v>0</v>
      </c>
      <c r="I8369">
        <v>17.399999999999999</v>
      </c>
      <c r="J8369" t="str">
        <f>HYPERLINK("https://climate.onebuilding.org/WMO_Region_6_Europe/NOR_Norway/MR_More_og_Romsdal/NOR_MR_Tafjord.012180_TMYx.zip")</f>
        <v>https://climate.onebuilding.org/WMO_Region_6_Europe/NOR_Norway/MR_More_og_Romsdal/NOR_MR_Tafjord.012180_TMYx.zip</v>
      </c>
    </row>
    <row r="8370" spans="1:10" x14ac:dyDescent="0.25">
      <c r="A8370" t="s">
        <v>4974</v>
      </c>
      <c r="B8370" t="s">
        <v>5629</v>
      </c>
      <c r="C8370" t="s">
        <v>6260</v>
      </c>
      <c r="D8370" s="1" t="s">
        <v>6261</v>
      </c>
      <c r="E8370" t="s">
        <v>6262</v>
      </c>
      <c r="F8370">
        <v>62.455599999999997</v>
      </c>
      <c r="G8370">
        <v>7.7702999999999998</v>
      </c>
      <c r="H8370">
        <v>1</v>
      </c>
      <c r="I8370">
        <v>1294</v>
      </c>
      <c r="J8370" t="str">
        <f>HYPERLINK("https://climate.onebuilding.org/WMO_Region_6_Europe/NOR_Norway/MR_More_og_Romsdal/NOR_MR_Mannen.012200_TMYx.2004-2018.zip")</f>
        <v>https://climate.onebuilding.org/WMO_Region_6_Europe/NOR_Norway/MR_More_og_Romsdal/NOR_MR_Mannen.012200_TMYx.2004-2018.zip</v>
      </c>
    </row>
    <row r="8371" spans="1:10" x14ac:dyDescent="0.25">
      <c r="A8371" t="s">
        <v>4974</v>
      </c>
      <c r="B8371" t="s">
        <v>5629</v>
      </c>
      <c r="C8371" t="s">
        <v>6260</v>
      </c>
      <c r="D8371" s="1" t="s">
        <v>6261</v>
      </c>
      <c r="E8371" t="s">
        <v>14</v>
      </c>
      <c r="F8371">
        <v>62.455599999999997</v>
      </c>
      <c r="G8371">
        <v>7.7702999999999998</v>
      </c>
      <c r="H8371">
        <v>1</v>
      </c>
      <c r="I8371">
        <v>1294</v>
      </c>
      <c r="J8371" t="str">
        <f>HYPERLINK("https://climate.onebuilding.org/WMO_Region_6_Europe/NOR_Norway/MR_More_og_Romsdal/NOR_MR_Mannen.012200_TMYx.2007-2021.zip")</f>
        <v>https://climate.onebuilding.org/WMO_Region_6_Europe/NOR_Norway/MR_More_og_Romsdal/NOR_MR_Mannen.012200_TMYx.2007-2021.zip</v>
      </c>
    </row>
    <row r="8372" spans="1:10" x14ac:dyDescent="0.25">
      <c r="A8372" t="s">
        <v>4974</v>
      </c>
      <c r="B8372" t="s">
        <v>5629</v>
      </c>
      <c r="C8372" t="s">
        <v>6260</v>
      </c>
      <c r="D8372" s="1" t="s">
        <v>6261</v>
      </c>
      <c r="E8372" t="s">
        <v>14</v>
      </c>
      <c r="F8372">
        <v>62.455599999999997</v>
      </c>
      <c r="G8372">
        <v>7.7702999999999998</v>
      </c>
      <c r="H8372">
        <v>1</v>
      </c>
      <c r="I8372">
        <v>1294</v>
      </c>
      <c r="J8372" t="str">
        <f>HYPERLINK("https://climate.onebuilding.org/WMO_Region_6_Europe/NOR_Norway/MR_More_og_Romsdal/NOR_MR_Mannen.012200_TMYx.2009-2023.zip")</f>
        <v>https://climate.onebuilding.org/WMO_Region_6_Europe/NOR_Norway/MR_More_og_Romsdal/NOR_MR_Mannen.012200_TMYx.2009-2023.zip</v>
      </c>
    </row>
    <row r="8373" spans="1:10" x14ac:dyDescent="0.25">
      <c r="A8373" t="s">
        <v>4974</v>
      </c>
      <c r="B8373" t="s">
        <v>5629</v>
      </c>
      <c r="C8373" t="s">
        <v>6260</v>
      </c>
      <c r="D8373" s="1" t="s">
        <v>6261</v>
      </c>
      <c r="E8373" t="s">
        <v>14</v>
      </c>
      <c r="F8373">
        <v>62.455599999999997</v>
      </c>
      <c r="G8373">
        <v>7.7702999999999998</v>
      </c>
      <c r="H8373">
        <v>1</v>
      </c>
      <c r="I8373">
        <v>1294</v>
      </c>
      <c r="J8373" t="str">
        <f>HYPERLINK("https://climate.onebuilding.org/WMO_Region_6_Europe/NOR_Norway/MR_More_og_Romsdal/NOR_MR_Mannen.012200_TMYx.zip")</f>
        <v>https://climate.onebuilding.org/WMO_Region_6_Europe/NOR_Norway/MR_More_og_Romsdal/NOR_MR_Mannen.012200_TMYx.zip</v>
      </c>
    </row>
    <row r="8374" spans="1:10" x14ac:dyDescent="0.25">
      <c r="A8374" t="s">
        <v>4974</v>
      </c>
      <c r="B8374" t="s">
        <v>5629</v>
      </c>
      <c r="C8374" t="s">
        <v>6263</v>
      </c>
      <c r="D8374" s="1" t="s">
        <v>6264</v>
      </c>
      <c r="E8374" t="s">
        <v>6265</v>
      </c>
      <c r="F8374">
        <v>63.055500000000002</v>
      </c>
      <c r="G8374">
        <v>9.0722000000000005</v>
      </c>
      <c r="H8374">
        <v>1</v>
      </c>
      <c r="I8374">
        <v>415</v>
      </c>
      <c r="J8374" t="str">
        <f>HYPERLINK("https://climate.onebuilding.org/WMO_Region_6_Europe/NOR_Norway/MR_More_og_Romsdal/NOR_MR_Tagdalen.012210_TMYx.2004-2018.zip")</f>
        <v>https://climate.onebuilding.org/WMO_Region_6_Europe/NOR_Norway/MR_More_og_Romsdal/NOR_MR_Tagdalen.012210_TMYx.2004-2018.zip</v>
      </c>
    </row>
    <row r="8375" spans="1:10" x14ac:dyDescent="0.25">
      <c r="A8375" t="s">
        <v>4974</v>
      </c>
      <c r="B8375" t="s">
        <v>5629</v>
      </c>
      <c r="C8375" t="s">
        <v>6263</v>
      </c>
      <c r="D8375" s="1" t="s">
        <v>6264</v>
      </c>
      <c r="E8375" t="s">
        <v>14</v>
      </c>
      <c r="F8375">
        <v>63.055500000000002</v>
      </c>
      <c r="G8375">
        <v>9.0722000000000005</v>
      </c>
      <c r="H8375">
        <v>1</v>
      </c>
      <c r="I8375">
        <v>415</v>
      </c>
      <c r="J8375" t="str">
        <f>HYPERLINK("https://climate.onebuilding.org/WMO_Region_6_Europe/NOR_Norway/MR_More_og_Romsdal/NOR_MR_Tagdalen.012210_TMYx.2007-2021.zip")</f>
        <v>https://climate.onebuilding.org/WMO_Region_6_Europe/NOR_Norway/MR_More_og_Romsdal/NOR_MR_Tagdalen.012210_TMYx.2007-2021.zip</v>
      </c>
    </row>
    <row r="8376" spans="1:10" x14ac:dyDescent="0.25">
      <c r="A8376" t="s">
        <v>4974</v>
      </c>
      <c r="B8376" t="s">
        <v>5629</v>
      </c>
      <c r="C8376" t="s">
        <v>6263</v>
      </c>
      <c r="D8376" s="1" t="s">
        <v>6264</v>
      </c>
      <c r="E8376" t="s">
        <v>14</v>
      </c>
      <c r="F8376">
        <v>63.055500000000002</v>
      </c>
      <c r="G8376">
        <v>9.0722000000000005</v>
      </c>
      <c r="H8376">
        <v>1</v>
      </c>
      <c r="I8376">
        <v>415</v>
      </c>
      <c r="J8376" t="str">
        <f>HYPERLINK("https://climate.onebuilding.org/WMO_Region_6_Europe/NOR_Norway/MR_More_og_Romsdal/NOR_MR_Tagdalen.012210_TMYx.2009-2023.zip")</f>
        <v>https://climate.onebuilding.org/WMO_Region_6_Europe/NOR_Norway/MR_More_og_Romsdal/NOR_MR_Tagdalen.012210_TMYx.2009-2023.zip</v>
      </c>
    </row>
    <row r="8377" spans="1:10" x14ac:dyDescent="0.25">
      <c r="A8377" t="s">
        <v>4974</v>
      </c>
      <c r="B8377" t="s">
        <v>5629</v>
      </c>
      <c r="C8377" t="s">
        <v>6263</v>
      </c>
      <c r="D8377" s="1" t="s">
        <v>6264</v>
      </c>
      <c r="E8377" t="s">
        <v>14</v>
      </c>
      <c r="F8377">
        <v>63.055500000000002</v>
      </c>
      <c r="G8377">
        <v>9.0722000000000005</v>
      </c>
      <c r="H8377">
        <v>1</v>
      </c>
      <c r="I8377">
        <v>415</v>
      </c>
      <c r="J8377" t="str">
        <f>HYPERLINK("https://climate.onebuilding.org/WMO_Region_6_Europe/NOR_Norway/MR_More_og_Romsdal/NOR_MR_Tagdalen.012210_TMYx.zip")</f>
        <v>https://climate.onebuilding.org/WMO_Region_6_Europe/NOR_Norway/MR_More_og_Romsdal/NOR_MR_Tagdalen.012210_TMYx.zip</v>
      </c>
    </row>
    <row r="8378" spans="1:10" x14ac:dyDescent="0.25">
      <c r="A8378" t="s">
        <v>4974</v>
      </c>
      <c r="B8378" t="s">
        <v>5629</v>
      </c>
      <c r="C8378" t="s">
        <v>6266</v>
      </c>
      <c r="D8378" s="1" t="s">
        <v>6267</v>
      </c>
      <c r="E8378" t="s">
        <v>6268</v>
      </c>
      <c r="F8378">
        <v>63.109400000000001</v>
      </c>
      <c r="G8378">
        <v>7.8158000000000003</v>
      </c>
      <c r="H8378">
        <v>1</v>
      </c>
      <c r="I8378">
        <v>62.2</v>
      </c>
      <c r="J8378" t="str">
        <f>HYPERLINK("https://climate.onebuilding.org/WMO_Region_6_Europe/NOR_Norway/MR_More_og_Romsdal/NOR_MR_Kristiansund.AP-Kvernberget.012230_TMYx.2004-2018.zip")</f>
        <v>https://climate.onebuilding.org/WMO_Region_6_Europe/NOR_Norway/MR_More_og_Romsdal/NOR_MR_Kristiansund.AP-Kvernberget.012230_TMYx.2004-2018.zip</v>
      </c>
    </row>
    <row r="8379" spans="1:10" x14ac:dyDescent="0.25">
      <c r="A8379" t="s">
        <v>4974</v>
      </c>
      <c r="B8379" t="s">
        <v>5629</v>
      </c>
      <c r="C8379" t="s">
        <v>6266</v>
      </c>
      <c r="D8379" s="1" t="s">
        <v>6267</v>
      </c>
      <c r="E8379" t="s">
        <v>14</v>
      </c>
      <c r="F8379">
        <v>63.109400000000001</v>
      </c>
      <c r="G8379">
        <v>7.8158000000000003</v>
      </c>
      <c r="H8379">
        <v>1</v>
      </c>
      <c r="I8379">
        <v>62.2</v>
      </c>
      <c r="J8379" t="str">
        <f>HYPERLINK("https://climate.onebuilding.org/WMO_Region_6_Europe/NOR_Norway/MR_More_og_Romsdal/NOR_MR_Kristiansund.AP-Kvernberget.012230_TMYx.2007-2021.zip")</f>
        <v>https://climate.onebuilding.org/WMO_Region_6_Europe/NOR_Norway/MR_More_og_Romsdal/NOR_MR_Kristiansund.AP-Kvernberget.012230_TMYx.2007-2021.zip</v>
      </c>
    </row>
    <row r="8380" spans="1:10" x14ac:dyDescent="0.25">
      <c r="A8380" t="s">
        <v>4974</v>
      </c>
      <c r="B8380" t="s">
        <v>5629</v>
      </c>
      <c r="C8380" t="s">
        <v>6266</v>
      </c>
      <c r="D8380" s="1" t="s">
        <v>6267</v>
      </c>
      <c r="E8380" t="s">
        <v>14</v>
      </c>
      <c r="F8380">
        <v>63.109400000000001</v>
      </c>
      <c r="G8380">
        <v>7.8158000000000003</v>
      </c>
      <c r="H8380">
        <v>1</v>
      </c>
      <c r="I8380">
        <v>62.2</v>
      </c>
      <c r="J8380" t="str">
        <f>HYPERLINK("https://climate.onebuilding.org/WMO_Region_6_Europe/NOR_Norway/MR_More_og_Romsdal/NOR_MR_Kristiansund.AP-Kvernberget.012230_TMYx.2009-2023.zip")</f>
        <v>https://climate.onebuilding.org/WMO_Region_6_Europe/NOR_Norway/MR_More_og_Romsdal/NOR_MR_Kristiansund.AP-Kvernberget.012230_TMYx.2009-2023.zip</v>
      </c>
    </row>
    <row r="8381" spans="1:10" x14ac:dyDescent="0.25">
      <c r="A8381" t="s">
        <v>4974</v>
      </c>
      <c r="B8381" t="s">
        <v>5629</v>
      </c>
      <c r="C8381" t="s">
        <v>6266</v>
      </c>
      <c r="D8381" s="1" t="s">
        <v>6267</v>
      </c>
      <c r="E8381" t="s">
        <v>14</v>
      </c>
      <c r="F8381">
        <v>63.109400000000001</v>
      </c>
      <c r="G8381">
        <v>7.8158000000000003</v>
      </c>
      <c r="H8381">
        <v>1</v>
      </c>
      <c r="I8381">
        <v>62.2</v>
      </c>
      <c r="J8381" t="str">
        <f>HYPERLINK("https://climate.onebuilding.org/WMO_Region_6_Europe/NOR_Norway/MR_More_og_Romsdal/NOR_MR_Kristiansund.AP-Kvernberget.012230_TMYx.zip")</f>
        <v>https://climate.onebuilding.org/WMO_Region_6_Europe/NOR_Norway/MR_More_og_Romsdal/NOR_MR_Kristiansund.AP-Kvernberget.012230_TMYx.zip</v>
      </c>
    </row>
    <row r="8382" spans="1:10" x14ac:dyDescent="0.25">
      <c r="A8382" t="s">
        <v>4974</v>
      </c>
      <c r="B8382" t="s">
        <v>5629</v>
      </c>
      <c r="C8382" t="s">
        <v>6269</v>
      </c>
      <c r="D8382" s="1" t="s">
        <v>6270</v>
      </c>
      <c r="E8382" t="s">
        <v>6271</v>
      </c>
      <c r="F8382">
        <v>62.470300000000002</v>
      </c>
      <c r="G8382">
        <v>6.2106000000000003</v>
      </c>
      <c r="H8382">
        <v>0</v>
      </c>
      <c r="I8382">
        <v>50</v>
      </c>
      <c r="J8382" t="str">
        <f>HYPERLINK("https://climate.onebuilding.org/WMO_Region_6_Europe/NOR_Norway/MR_More_og_Romsdal/NOR_MR_Aalesund.012240_TMYx.2004-2018.zip")</f>
        <v>https://climate.onebuilding.org/WMO_Region_6_Europe/NOR_Norway/MR_More_og_Romsdal/NOR_MR_Aalesund.012240_TMYx.2004-2018.zip</v>
      </c>
    </row>
    <row r="8383" spans="1:10" x14ac:dyDescent="0.25">
      <c r="A8383" t="s">
        <v>4974</v>
      </c>
      <c r="B8383" t="s">
        <v>5629</v>
      </c>
      <c r="C8383" t="s">
        <v>6269</v>
      </c>
      <c r="D8383" s="1" t="s">
        <v>6270</v>
      </c>
      <c r="E8383" t="s">
        <v>14</v>
      </c>
      <c r="F8383">
        <v>62.470300000000002</v>
      </c>
      <c r="G8383">
        <v>6.2106000000000003</v>
      </c>
      <c r="H8383">
        <v>0</v>
      </c>
      <c r="I8383">
        <v>50</v>
      </c>
      <c r="J8383" t="str">
        <f>HYPERLINK("https://climate.onebuilding.org/WMO_Region_6_Europe/NOR_Norway/MR_More_og_Romsdal/NOR_MR_Aalesund.012240_TMYx.2007-2021.zip")</f>
        <v>https://climate.onebuilding.org/WMO_Region_6_Europe/NOR_Norway/MR_More_og_Romsdal/NOR_MR_Aalesund.012240_TMYx.2007-2021.zip</v>
      </c>
    </row>
    <row r="8384" spans="1:10" x14ac:dyDescent="0.25">
      <c r="A8384" t="s">
        <v>4974</v>
      </c>
      <c r="B8384" t="s">
        <v>5629</v>
      </c>
      <c r="C8384" t="s">
        <v>6269</v>
      </c>
      <c r="D8384" s="1" t="s">
        <v>6270</v>
      </c>
      <c r="E8384" t="s">
        <v>14</v>
      </c>
      <c r="F8384">
        <v>62.470300000000002</v>
      </c>
      <c r="G8384">
        <v>6.2106000000000003</v>
      </c>
      <c r="H8384">
        <v>0</v>
      </c>
      <c r="I8384">
        <v>50</v>
      </c>
      <c r="J8384" t="str">
        <f>HYPERLINK("https://climate.onebuilding.org/WMO_Region_6_Europe/NOR_Norway/MR_More_og_Romsdal/NOR_MR_Aalesund.012240_TMYx.2009-2023.zip")</f>
        <v>https://climate.onebuilding.org/WMO_Region_6_Europe/NOR_Norway/MR_More_og_Romsdal/NOR_MR_Aalesund.012240_TMYx.2009-2023.zip</v>
      </c>
    </row>
    <row r="8385" spans="1:10" x14ac:dyDescent="0.25">
      <c r="A8385" t="s">
        <v>4974</v>
      </c>
      <c r="B8385" t="s">
        <v>5629</v>
      </c>
      <c r="C8385" t="s">
        <v>6269</v>
      </c>
      <c r="D8385" s="1" t="s">
        <v>6270</v>
      </c>
      <c r="E8385" t="s">
        <v>14</v>
      </c>
      <c r="F8385">
        <v>62.470300000000002</v>
      </c>
      <c r="G8385">
        <v>6.2106000000000003</v>
      </c>
      <c r="H8385">
        <v>0</v>
      </c>
      <c r="I8385">
        <v>50</v>
      </c>
      <c r="J8385" t="str">
        <f>HYPERLINK("https://climate.onebuilding.org/WMO_Region_6_Europe/NOR_Norway/MR_More_og_Romsdal/NOR_MR_Aalesund.012240_TMYx.zip")</f>
        <v>https://climate.onebuilding.org/WMO_Region_6_Europe/NOR_Norway/MR_More_og_Romsdal/NOR_MR_Aalesund.012240_TMYx.zip</v>
      </c>
    </row>
    <row r="8386" spans="1:10" x14ac:dyDescent="0.25">
      <c r="A8386" t="s">
        <v>4974</v>
      </c>
      <c r="B8386" t="s">
        <v>5629</v>
      </c>
      <c r="C8386" t="s">
        <v>6272</v>
      </c>
      <c r="D8386" s="1" t="s">
        <v>6273</v>
      </c>
      <c r="E8386" t="s">
        <v>6274</v>
      </c>
      <c r="F8386">
        <v>63.518799999999999</v>
      </c>
      <c r="G8386">
        <v>7.9528999999999996</v>
      </c>
      <c r="H8386">
        <v>1</v>
      </c>
      <c r="I8386">
        <v>5</v>
      </c>
      <c r="J8386" t="str">
        <f>HYPERLINK("https://climate.onebuilding.org/WMO_Region_6_Europe/NOR_Norway/MR_More_og_Romsdal/NOR_MR_Veiholmen.012250_TMYx.2004-2018.zip")</f>
        <v>https://climate.onebuilding.org/WMO_Region_6_Europe/NOR_Norway/MR_More_og_Romsdal/NOR_MR_Veiholmen.012250_TMYx.2004-2018.zip</v>
      </c>
    </row>
    <row r="8387" spans="1:10" x14ac:dyDescent="0.25">
      <c r="A8387" t="s">
        <v>4974</v>
      </c>
      <c r="B8387" t="s">
        <v>5629</v>
      </c>
      <c r="C8387" t="s">
        <v>6272</v>
      </c>
      <c r="D8387" s="1" t="s">
        <v>6273</v>
      </c>
      <c r="E8387" t="s">
        <v>14</v>
      </c>
      <c r="F8387">
        <v>63.518799999999999</v>
      </c>
      <c r="G8387">
        <v>7.9528999999999996</v>
      </c>
      <c r="H8387">
        <v>1</v>
      </c>
      <c r="I8387">
        <v>5</v>
      </c>
      <c r="J8387" t="str">
        <f>HYPERLINK("https://climate.onebuilding.org/WMO_Region_6_Europe/NOR_Norway/MR_More_og_Romsdal/NOR_MR_Veiholmen.012250_TMYx.2007-2021.zip")</f>
        <v>https://climate.onebuilding.org/WMO_Region_6_Europe/NOR_Norway/MR_More_og_Romsdal/NOR_MR_Veiholmen.012250_TMYx.2007-2021.zip</v>
      </c>
    </row>
    <row r="8388" spans="1:10" x14ac:dyDescent="0.25">
      <c r="A8388" t="s">
        <v>4974</v>
      </c>
      <c r="B8388" t="s">
        <v>5629</v>
      </c>
      <c r="C8388" t="s">
        <v>6272</v>
      </c>
      <c r="D8388" s="1" t="s">
        <v>6273</v>
      </c>
      <c r="E8388" t="s">
        <v>14</v>
      </c>
      <c r="F8388">
        <v>63.518799999999999</v>
      </c>
      <c r="G8388">
        <v>7.9528999999999996</v>
      </c>
      <c r="H8388">
        <v>1</v>
      </c>
      <c r="I8388">
        <v>5</v>
      </c>
      <c r="J8388" t="str">
        <f>HYPERLINK("https://climate.onebuilding.org/WMO_Region_6_Europe/NOR_Norway/MR_More_og_Romsdal/NOR_MR_Veiholmen.012250_TMYx.2009-2023.zip")</f>
        <v>https://climate.onebuilding.org/WMO_Region_6_Europe/NOR_Norway/MR_More_og_Romsdal/NOR_MR_Veiholmen.012250_TMYx.2009-2023.zip</v>
      </c>
    </row>
    <row r="8389" spans="1:10" x14ac:dyDescent="0.25">
      <c r="A8389" t="s">
        <v>4974</v>
      </c>
      <c r="B8389" t="s">
        <v>5629</v>
      </c>
      <c r="C8389" t="s">
        <v>6272</v>
      </c>
      <c r="D8389" s="1" t="s">
        <v>6273</v>
      </c>
      <c r="E8389" t="s">
        <v>14</v>
      </c>
      <c r="F8389">
        <v>63.518799999999999</v>
      </c>
      <c r="G8389">
        <v>7.9528999999999996</v>
      </c>
      <c r="H8389">
        <v>1</v>
      </c>
      <c r="I8389">
        <v>5</v>
      </c>
      <c r="J8389" t="str">
        <f>HYPERLINK("https://climate.onebuilding.org/WMO_Region_6_Europe/NOR_Norway/MR_More_og_Romsdal/NOR_MR_Veiholmen.012250_TMYx.zip")</f>
        <v>https://climate.onebuilding.org/WMO_Region_6_Europe/NOR_Norway/MR_More_og_Romsdal/NOR_MR_Veiholmen.012250_TMYx.zip</v>
      </c>
    </row>
    <row r="8390" spans="1:10" x14ac:dyDescent="0.25">
      <c r="A8390" t="s">
        <v>4974</v>
      </c>
      <c r="B8390" t="s">
        <v>5629</v>
      </c>
      <c r="C8390" t="s">
        <v>6275</v>
      </c>
      <c r="D8390" s="1" t="s">
        <v>6276</v>
      </c>
      <c r="E8390" t="s">
        <v>6277</v>
      </c>
      <c r="F8390">
        <v>62.722000000000001</v>
      </c>
      <c r="G8390">
        <v>8.7752999999999997</v>
      </c>
      <c r="H8390">
        <v>1</v>
      </c>
      <c r="I8390">
        <v>405</v>
      </c>
      <c r="J8390" t="str">
        <f>HYPERLINK("https://climate.onebuilding.org/WMO_Region_6_Europe/NOR_Norway/MR_More_og_Romsdal/NOR_MR_Innerdalen.012270_TMYx.2004-2018.zip")</f>
        <v>https://climate.onebuilding.org/WMO_Region_6_Europe/NOR_Norway/MR_More_og_Romsdal/NOR_MR_Innerdalen.012270_TMYx.2004-2018.zip</v>
      </c>
    </row>
    <row r="8391" spans="1:10" x14ac:dyDescent="0.25">
      <c r="A8391" t="s">
        <v>4974</v>
      </c>
      <c r="B8391" t="s">
        <v>5629</v>
      </c>
      <c r="C8391" t="s">
        <v>6275</v>
      </c>
      <c r="D8391" s="1" t="s">
        <v>6276</v>
      </c>
      <c r="E8391" t="s">
        <v>14</v>
      </c>
      <c r="F8391">
        <v>62.722000000000001</v>
      </c>
      <c r="G8391">
        <v>8.7752999999999997</v>
      </c>
      <c r="H8391">
        <v>1</v>
      </c>
      <c r="I8391">
        <v>405</v>
      </c>
      <c r="J8391" t="str">
        <f>HYPERLINK("https://climate.onebuilding.org/WMO_Region_6_Europe/NOR_Norway/MR_More_og_Romsdal/NOR_MR_Innerdalen.012270_TMYx.2007-2021.zip")</f>
        <v>https://climate.onebuilding.org/WMO_Region_6_Europe/NOR_Norway/MR_More_og_Romsdal/NOR_MR_Innerdalen.012270_TMYx.2007-2021.zip</v>
      </c>
    </row>
    <row r="8392" spans="1:10" x14ac:dyDescent="0.25">
      <c r="A8392" t="s">
        <v>4974</v>
      </c>
      <c r="B8392" t="s">
        <v>5629</v>
      </c>
      <c r="C8392" t="s">
        <v>6275</v>
      </c>
      <c r="D8392" s="1" t="s">
        <v>6276</v>
      </c>
      <c r="E8392" t="s">
        <v>14</v>
      </c>
      <c r="F8392">
        <v>62.722000000000001</v>
      </c>
      <c r="G8392">
        <v>8.7752999999999997</v>
      </c>
      <c r="H8392">
        <v>1</v>
      </c>
      <c r="I8392">
        <v>405</v>
      </c>
      <c r="J8392" t="str">
        <f>HYPERLINK("https://climate.onebuilding.org/WMO_Region_6_Europe/NOR_Norway/MR_More_og_Romsdal/NOR_MR_Innerdalen.012270_TMYx.2009-2023.zip")</f>
        <v>https://climate.onebuilding.org/WMO_Region_6_Europe/NOR_Norway/MR_More_og_Romsdal/NOR_MR_Innerdalen.012270_TMYx.2009-2023.zip</v>
      </c>
    </row>
    <row r="8393" spans="1:10" x14ac:dyDescent="0.25">
      <c r="A8393" t="s">
        <v>4974</v>
      </c>
      <c r="B8393" t="s">
        <v>5629</v>
      </c>
      <c r="C8393" t="s">
        <v>6275</v>
      </c>
      <c r="D8393" s="1" t="s">
        <v>6276</v>
      </c>
      <c r="E8393" t="s">
        <v>14</v>
      </c>
      <c r="F8393">
        <v>62.722000000000001</v>
      </c>
      <c r="G8393">
        <v>8.7752999999999997</v>
      </c>
      <c r="H8393">
        <v>1</v>
      </c>
      <c r="I8393">
        <v>405</v>
      </c>
      <c r="J8393" t="str">
        <f>HYPERLINK("https://climate.onebuilding.org/WMO_Region_6_Europe/NOR_Norway/MR_More_og_Romsdal/NOR_MR_Innerdalen.012270_TMYx.zip")</f>
        <v>https://climate.onebuilding.org/WMO_Region_6_Europe/NOR_Norway/MR_More_og_Romsdal/NOR_MR_Innerdalen.012270_TMYx.zip</v>
      </c>
    </row>
    <row r="8394" spans="1:10" x14ac:dyDescent="0.25">
      <c r="A8394" t="s">
        <v>4974</v>
      </c>
      <c r="B8394" t="s">
        <v>5629</v>
      </c>
      <c r="C8394" t="s">
        <v>6278</v>
      </c>
      <c r="D8394" s="1" t="s">
        <v>6279</v>
      </c>
      <c r="E8394" t="s">
        <v>6280</v>
      </c>
      <c r="F8394">
        <v>63.846699999999998</v>
      </c>
      <c r="G8394">
        <v>8.4666999999999994</v>
      </c>
      <c r="H8394">
        <v>1</v>
      </c>
      <c r="I8394">
        <v>5.9</v>
      </c>
      <c r="J8394" t="str">
        <f>HYPERLINK("https://climate.onebuilding.org/WMO_Region_6_Europe/NOR_Norway/MR_More_og_Romsdal/NOR_MR_Sula.012280_TMYx.2004-2018.zip")</f>
        <v>https://climate.onebuilding.org/WMO_Region_6_Europe/NOR_Norway/MR_More_og_Romsdal/NOR_MR_Sula.012280_TMYx.2004-2018.zip</v>
      </c>
    </row>
    <row r="8395" spans="1:10" x14ac:dyDescent="0.25">
      <c r="A8395" t="s">
        <v>4974</v>
      </c>
      <c r="B8395" t="s">
        <v>5629</v>
      </c>
      <c r="C8395" t="s">
        <v>6278</v>
      </c>
      <c r="D8395" s="1" t="s">
        <v>6279</v>
      </c>
      <c r="E8395" t="s">
        <v>14</v>
      </c>
      <c r="F8395">
        <v>63.846699999999998</v>
      </c>
      <c r="G8395">
        <v>8.4666999999999994</v>
      </c>
      <c r="H8395">
        <v>1</v>
      </c>
      <c r="I8395">
        <v>5.9</v>
      </c>
      <c r="J8395" t="str">
        <f>HYPERLINK("https://climate.onebuilding.org/WMO_Region_6_Europe/NOR_Norway/MR_More_og_Romsdal/NOR_MR_Sula.012280_TMYx.2007-2021.zip")</f>
        <v>https://climate.onebuilding.org/WMO_Region_6_Europe/NOR_Norway/MR_More_og_Romsdal/NOR_MR_Sula.012280_TMYx.2007-2021.zip</v>
      </c>
    </row>
    <row r="8396" spans="1:10" x14ac:dyDescent="0.25">
      <c r="A8396" t="s">
        <v>4974</v>
      </c>
      <c r="B8396" t="s">
        <v>5629</v>
      </c>
      <c r="C8396" t="s">
        <v>6278</v>
      </c>
      <c r="D8396" s="1" t="s">
        <v>6279</v>
      </c>
      <c r="E8396" t="s">
        <v>14</v>
      </c>
      <c r="F8396">
        <v>63.846699999999998</v>
      </c>
      <c r="G8396">
        <v>8.4666999999999994</v>
      </c>
      <c r="H8396">
        <v>1</v>
      </c>
      <c r="I8396">
        <v>5.9</v>
      </c>
      <c r="J8396" t="str">
        <f>HYPERLINK("https://climate.onebuilding.org/WMO_Region_6_Europe/NOR_Norway/MR_More_og_Romsdal/NOR_MR_Sula.012280_TMYx.2009-2023.zip")</f>
        <v>https://climate.onebuilding.org/WMO_Region_6_Europe/NOR_Norway/MR_More_og_Romsdal/NOR_MR_Sula.012280_TMYx.2009-2023.zip</v>
      </c>
    </row>
    <row r="8397" spans="1:10" x14ac:dyDescent="0.25">
      <c r="A8397" t="s">
        <v>4974</v>
      </c>
      <c r="B8397" t="s">
        <v>5629</v>
      </c>
      <c r="C8397" t="s">
        <v>6278</v>
      </c>
      <c r="D8397" s="1" t="s">
        <v>6279</v>
      </c>
      <c r="E8397" t="s">
        <v>14</v>
      </c>
      <c r="F8397">
        <v>63.846699999999998</v>
      </c>
      <c r="G8397">
        <v>8.4666999999999994</v>
      </c>
      <c r="H8397">
        <v>1</v>
      </c>
      <c r="I8397">
        <v>5.9</v>
      </c>
      <c r="J8397" t="str">
        <f>HYPERLINK("https://climate.onebuilding.org/WMO_Region_6_Europe/NOR_Norway/MR_More_og_Romsdal/NOR_MR_Sula.012280_TMYx.zip")</f>
        <v>https://climate.onebuilding.org/WMO_Region_6_Europe/NOR_Norway/MR_More_og_Romsdal/NOR_MR_Sula.012280_TMYx.zip</v>
      </c>
    </row>
    <row r="8398" spans="1:10" x14ac:dyDescent="0.25">
      <c r="A8398" t="s">
        <v>4974</v>
      </c>
      <c r="B8398" t="s">
        <v>6281</v>
      </c>
      <c r="C8398" t="s">
        <v>6282</v>
      </c>
      <c r="D8398" s="1" t="s">
        <v>6283</v>
      </c>
      <c r="E8398" t="s">
        <v>6284</v>
      </c>
      <c r="F8398">
        <v>62.258099999999999</v>
      </c>
      <c r="G8398">
        <v>8.1997</v>
      </c>
      <c r="H8398">
        <v>1</v>
      </c>
      <c r="I8398">
        <v>579</v>
      </c>
      <c r="J8398" t="str">
        <f>HYPERLINK("https://climate.onebuilding.org/WMO_Region_6_Europe/NOR_Norway/OP_Oppland/NOR_OP_Bjorli.012300_TMYx.2004-2018.zip")</f>
        <v>https://climate.onebuilding.org/WMO_Region_6_Europe/NOR_Norway/OP_Oppland/NOR_OP_Bjorli.012300_TMYx.2004-2018.zip</v>
      </c>
    </row>
    <row r="8399" spans="1:10" x14ac:dyDescent="0.25">
      <c r="A8399" t="s">
        <v>4974</v>
      </c>
      <c r="B8399" t="s">
        <v>6281</v>
      </c>
      <c r="C8399" t="s">
        <v>6282</v>
      </c>
      <c r="D8399" s="1" t="s">
        <v>6283</v>
      </c>
      <c r="E8399" t="s">
        <v>14</v>
      </c>
      <c r="F8399">
        <v>62.258099999999999</v>
      </c>
      <c r="G8399">
        <v>8.1997</v>
      </c>
      <c r="H8399">
        <v>1</v>
      </c>
      <c r="I8399">
        <v>579</v>
      </c>
      <c r="J8399" t="str">
        <f>HYPERLINK("https://climate.onebuilding.org/WMO_Region_6_Europe/NOR_Norway/OP_Oppland/NOR_OP_Bjorli.012300_TMYx.2007-2021.zip")</f>
        <v>https://climate.onebuilding.org/WMO_Region_6_Europe/NOR_Norway/OP_Oppland/NOR_OP_Bjorli.012300_TMYx.2007-2021.zip</v>
      </c>
    </row>
    <row r="8400" spans="1:10" x14ac:dyDescent="0.25">
      <c r="A8400" t="s">
        <v>4974</v>
      </c>
      <c r="B8400" t="s">
        <v>6281</v>
      </c>
      <c r="C8400" t="s">
        <v>6282</v>
      </c>
      <c r="D8400" s="1" t="s">
        <v>6283</v>
      </c>
      <c r="E8400" t="s">
        <v>14</v>
      </c>
      <c r="F8400">
        <v>62.258099999999999</v>
      </c>
      <c r="G8400">
        <v>8.1997</v>
      </c>
      <c r="H8400">
        <v>1</v>
      </c>
      <c r="I8400">
        <v>579</v>
      </c>
      <c r="J8400" t="str">
        <f>HYPERLINK("https://climate.onebuilding.org/WMO_Region_6_Europe/NOR_Norway/OP_Oppland/NOR_OP_Bjorli.012300_TMYx.2009-2023.zip")</f>
        <v>https://climate.onebuilding.org/WMO_Region_6_Europe/NOR_Norway/OP_Oppland/NOR_OP_Bjorli.012300_TMYx.2009-2023.zip</v>
      </c>
    </row>
    <row r="8401" spans="1:10" x14ac:dyDescent="0.25">
      <c r="A8401" t="s">
        <v>4974</v>
      </c>
      <c r="B8401" t="s">
        <v>6281</v>
      </c>
      <c r="C8401" t="s">
        <v>6282</v>
      </c>
      <c r="D8401" s="1" t="s">
        <v>6283</v>
      </c>
      <c r="E8401" t="s">
        <v>14</v>
      </c>
      <c r="F8401">
        <v>62.258099999999999</v>
      </c>
      <c r="G8401">
        <v>8.1997</v>
      </c>
      <c r="H8401">
        <v>1</v>
      </c>
      <c r="I8401">
        <v>579</v>
      </c>
      <c r="J8401" t="str">
        <f>HYPERLINK("https://climate.onebuilding.org/WMO_Region_6_Europe/NOR_Norway/OP_Oppland/NOR_OP_Bjorli.012300_TMYx.zip")</f>
        <v>https://climate.onebuilding.org/WMO_Region_6_Europe/NOR_Norway/OP_Oppland/NOR_OP_Bjorli.012300_TMYx.zip</v>
      </c>
    </row>
    <row r="8402" spans="1:10" x14ac:dyDescent="0.25">
      <c r="A8402" t="s">
        <v>4974</v>
      </c>
      <c r="B8402" t="s">
        <v>6281</v>
      </c>
      <c r="C8402" t="s">
        <v>6285</v>
      </c>
      <c r="D8402" s="1" t="s">
        <v>6286</v>
      </c>
      <c r="E8402" t="s">
        <v>14</v>
      </c>
      <c r="F8402">
        <v>62.232999999999997</v>
      </c>
      <c r="G8402">
        <v>8.3670000000000009</v>
      </c>
      <c r="H8402">
        <v>1</v>
      </c>
      <c r="I8402">
        <v>621</v>
      </c>
      <c r="J8402" t="str">
        <f>HYPERLINK("https://climate.onebuilding.org/WMO_Region_6_Europe/NOR_Norway/OP_Oppland/NOR_OP_Lesjaskog.012310_TMYx.zip")</f>
        <v>https://climate.onebuilding.org/WMO_Region_6_Europe/NOR_Norway/OP_Oppland/NOR_OP_Lesjaskog.012310_TMYx.zip</v>
      </c>
    </row>
    <row r="8403" spans="1:10" x14ac:dyDescent="0.25">
      <c r="A8403" t="s">
        <v>4974</v>
      </c>
      <c r="B8403" t="s">
        <v>5629</v>
      </c>
      <c r="C8403" t="s">
        <v>6287</v>
      </c>
      <c r="D8403" s="1" t="s">
        <v>6288</v>
      </c>
      <c r="E8403" t="s">
        <v>6289</v>
      </c>
      <c r="F8403">
        <v>62.445</v>
      </c>
      <c r="G8403">
        <v>7.8480999999999996</v>
      </c>
      <c r="H8403">
        <v>1</v>
      </c>
      <c r="I8403">
        <v>64.599999999999994</v>
      </c>
      <c r="J8403" t="str">
        <f>HYPERLINK("https://climate.onebuilding.org/WMO_Region_6_Europe/NOR_Norway/MR_More_og_Romsdal/NOR_MR_Marstein.012320_TMYx.2004-2018.zip")</f>
        <v>https://climate.onebuilding.org/WMO_Region_6_Europe/NOR_Norway/MR_More_og_Romsdal/NOR_MR_Marstein.012320_TMYx.2004-2018.zip</v>
      </c>
    </row>
    <row r="8404" spans="1:10" x14ac:dyDescent="0.25">
      <c r="A8404" t="s">
        <v>4974</v>
      </c>
      <c r="B8404" t="s">
        <v>5629</v>
      </c>
      <c r="C8404" t="s">
        <v>6287</v>
      </c>
      <c r="D8404" s="1" t="s">
        <v>6288</v>
      </c>
      <c r="E8404" t="s">
        <v>14</v>
      </c>
      <c r="F8404">
        <v>62.445</v>
      </c>
      <c r="G8404">
        <v>7.8480600000000003</v>
      </c>
      <c r="H8404">
        <v>1</v>
      </c>
      <c r="I8404">
        <v>64.599999999999994</v>
      </c>
      <c r="J8404" t="str">
        <f>HYPERLINK("https://climate.onebuilding.org/WMO_Region_6_Europe/NOR_Norway/MR_More_og_Romsdal/NOR_MR_Marstein.012320_TMYx.2007-2021.zip")</f>
        <v>https://climate.onebuilding.org/WMO_Region_6_Europe/NOR_Norway/MR_More_og_Romsdal/NOR_MR_Marstein.012320_TMYx.2007-2021.zip</v>
      </c>
    </row>
    <row r="8405" spans="1:10" x14ac:dyDescent="0.25">
      <c r="A8405" t="s">
        <v>4974</v>
      </c>
      <c r="B8405" t="s">
        <v>5629</v>
      </c>
      <c r="C8405" t="s">
        <v>6287</v>
      </c>
      <c r="D8405" s="1" t="s">
        <v>6288</v>
      </c>
      <c r="E8405" t="s">
        <v>14</v>
      </c>
      <c r="F8405">
        <v>62.445</v>
      </c>
      <c r="G8405">
        <v>7.8480600000000003</v>
      </c>
      <c r="H8405">
        <v>1</v>
      </c>
      <c r="I8405">
        <v>64.599999999999994</v>
      </c>
      <c r="J8405" t="str">
        <f>HYPERLINK("https://climate.onebuilding.org/WMO_Region_6_Europe/NOR_Norway/MR_More_og_Romsdal/NOR_MR_Marstein.012320_TMYx.2009-2023.zip")</f>
        <v>https://climate.onebuilding.org/WMO_Region_6_Europe/NOR_Norway/MR_More_og_Romsdal/NOR_MR_Marstein.012320_TMYx.2009-2023.zip</v>
      </c>
    </row>
    <row r="8406" spans="1:10" x14ac:dyDescent="0.25">
      <c r="A8406" t="s">
        <v>4974</v>
      </c>
      <c r="B8406" t="s">
        <v>5629</v>
      </c>
      <c r="C8406" t="s">
        <v>6287</v>
      </c>
      <c r="D8406" s="1" t="s">
        <v>6288</v>
      </c>
      <c r="E8406" t="s">
        <v>14</v>
      </c>
      <c r="F8406">
        <v>62.445</v>
      </c>
      <c r="G8406">
        <v>7.8480600000000003</v>
      </c>
      <c r="H8406">
        <v>1</v>
      </c>
      <c r="I8406">
        <v>64.599999999999994</v>
      </c>
      <c r="J8406" t="str">
        <f>HYPERLINK("https://climate.onebuilding.org/WMO_Region_6_Europe/NOR_Norway/MR_More_og_Romsdal/NOR_MR_Marstein.012320_TMYx.zip")</f>
        <v>https://climate.onebuilding.org/WMO_Region_6_Europe/NOR_Norway/MR_More_og_Romsdal/NOR_MR_Marstein.012320_TMYx.zip</v>
      </c>
    </row>
    <row r="8407" spans="1:10" x14ac:dyDescent="0.25">
      <c r="A8407" t="s">
        <v>4974</v>
      </c>
      <c r="B8407" t="s">
        <v>6281</v>
      </c>
      <c r="C8407" t="s">
        <v>6290</v>
      </c>
      <c r="D8407" s="1" t="s">
        <v>6291</v>
      </c>
      <c r="E8407" t="s">
        <v>6292</v>
      </c>
      <c r="F8407">
        <v>62.071899999999999</v>
      </c>
      <c r="G8407">
        <v>9.1160999999999994</v>
      </c>
      <c r="H8407">
        <v>1</v>
      </c>
      <c r="I8407">
        <v>638</v>
      </c>
      <c r="J8407" t="str">
        <f>HYPERLINK("https://climate.onebuilding.org/WMO_Region_6_Europe/NOR_Norway/OP_Oppland/NOR_OP_Dombaas.012330_TMYx.2004-2018.zip")</f>
        <v>https://climate.onebuilding.org/WMO_Region_6_Europe/NOR_Norway/OP_Oppland/NOR_OP_Dombaas.012330_TMYx.2004-2018.zip</v>
      </c>
    </row>
    <row r="8408" spans="1:10" x14ac:dyDescent="0.25">
      <c r="A8408" t="s">
        <v>4974</v>
      </c>
      <c r="B8408" t="s">
        <v>6281</v>
      </c>
      <c r="C8408" t="s">
        <v>6290</v>
      </c>
      <c r="D8408" s="1" t="s">
        <v>6291</v>
      </c>
      <c r="E8408" t="s">
        <v>14</v>
      </c>
      <c r="F8408">
        <v>62.071899999999999</v>
      </c>
      <c r="G8408">
        <v>9.1160999999999994</v>
      </c>
      <c r="H8408">
        <v>1</v>
      </c>
      <c r="I8408">
        <v>638</v>
      </c>
      <c r="J8408" t="str">
        <f>HYPERLINK("https://climate.onebuilding.org/WMO_Region_6_Europe/NOR_Norway/OP_Oppland/NOR_OP_Dombaas.012330_TMYx.2007-2021.zip")</f>
        <v>https://climate.onebuilding.org/WMO_Region_6_Europe/NOR_Norway/OP_Oppland/NOR_OP_Dombaas.012330_TMYx.2007-2021.zip</v>
      </c>
    </row>
    <row r="8409" spans="1:10" x14ac:dyDescent="0.25">
      <c r="A8409" t="s">
        <v>4974</v>
      </c>
      <c r="B8409" t="s">
        <v>6281</v>
      </c>
      <c r="C8409" t="s">
        <v>6290</v>
      </c>
      <c r="D8409" s="1" t="s">
        <v>6291</v>
      </c>
      <c r="E8409" t="s">
        <v>14</v>
      </c>
      <c r="F8409">
        <v>62.071899999999999</v>
      </c>
      <c r="G8409">
        <v>9.1160999999999994</v>
      </c>
      <c r="H8409">
        <v>1</v>
      </c>
      <c r="I8409">
        <v>638</v>
      </c>
      <c r="J8409" t="str">
        <f>HYPERLINK("https://climate.onebuilding.org/WMO_Region_6_Europe/NOR_Norway/OP_Oppland/NOR_OP_Dombaas.012330_TMYx.2009-2023.zip")</f>
        <v>https://climate.onebuilding.org/WMO_Region_6_Europe/NOR_Norway/OP_Oppland/NOR_OP_Dombaas.012330_TMYx.2009-2023.zip</v>
      </c>
    </row>
    <row r="8410" spans="1:10" x14ac:dyDescent="0.25">
      <c r="A8410" t="s">
        <v>4974</v>
      </c>
      <c r="B8410" t="s">
        <v>6281</v>
      </c>
      <c r="C8410" t="s">
        <v>6290</v>
      </c>
      <c r="D8410" s="1" t="s">
        <v>6291</v>
      </c>
      <c r="E8410" t="s">
        <v>14</v>
      </c>
      <c r="F8410">
        <v>62.071899999999999</v>
      </c>
      <c r="G8410">
        <v>9.1160999999999994</v>
      </c>
      <c r="H8410">
        <v>1</v>
      </c>
      <c r="I8410">
        <v>638</v>
      </c>
      <c r="J8410" t="str">
        <f>HYPERLINK("https://climate.onebuilding.org/WMO_Region_6_Europe/NOR_Norway/OP_Oppland/NOR_OP_Dombaas.012330_TMYx.zip")</f>
        <v>https://climate.onebuilding.org/WMO_Region_6_Europe/NOR_Norway/OP_Oppland/NOR_OP_Dombaas.012330_TMYx.zip</v>
      </c>
    </row>
    <row r="8411" spans="1:10" x14ac:dyDescent="0.25">
      <c r="A8411" t="s">
        <v>4974</v>
      </c>
      <c r="B8411" t="s">
        <v>6086</v>
      </c>
      <c r="C8411" t="s">
        <v>6293</v>
      </c>
      <c r="D8411" s="1" t="s">
        <v>6294</v>
      </c>
      <c r="E8411" t="s">
        <v>6295</v>
      </c>
      <c r="F8411">
        <v>63.315300000000001</v>
      </c>
      <c r="G8411">
        <v>9.8493999999999993</v>
      </c>
      <c r="H8411">
        <v>1</v>
      </c>
      <c r="I8411">
        <v>6</v>
      </c>
      <c r="J8411" t="str">
        <f>HYPERLINK("https://climate.onebuilding.org/WMO_Region_6_Europe/NOR_Norway/TD_Trondelag/NOR_TD_Orkdal-Thamshamn.012340_TMYx.2004-2018.zip")</f>
        <v>https://climate.onebuilding.org/WMO_Region_6_Europe/NOR_Norway/TD_Trondelag/NOR_TD_Orkdal-Thamshamn.012340_TMYx.2004-2018.zip</v>
      </c>
    </row>
    <row r="8412" spans="1:10" x14ac:dyDescent="0.25">
      <c r="A8412" t="s">
        <v>4974</v>
      </c>
      <c r="B8412" t="s">
        <v>6086</v>
      </c>
      <c r="C8412" t="s">
        <v>6293</v>
      </c>
      <c r="D8412" s="1" t="s">
        <v>6294</v>
      </c>
      <c r="E8412" t="s">
        <v>14</v>
      </c>
      <c r="F8412">
        <v>63.315300000000001</v>
      </c>
      <c r="G8412">
        <v>9.8493999999999993</v>
      </c>
      <c r="H8412">
        <v>1</v>
      </c>
      <c r="I8412">
        <v>6</v>
      </c>
      <c r="J8412" t="str">
        <f>HYPERLINK("https://climate.onebuilding.org/WMO_Region_6_Europe/NOR_Norway/TD_Trondelag/NOR_TD_Orkdal-Thamshamn.012340_TMYx.2007-2021.zip")</f>
        <v>https://climate.onebuilding.org/WMO_Region_6_Europe/NOR_Norway/TD_Trondelag/NOR_TD_Orkdal-Thamshamn.012340_TMYx.2007-2021.zip</v>
      </c>
    </row>
    <row r="8413" spans="1:10" x14ac:dyDescent="0.25">
      <c r="A8413" t="s">
        <v>4974</v>
      </c>
      <c r="B8413" t="s">
        <v>6086</v>
      </c>
      <c r="C8413" t="s">
        <v>6293</v>
      </c>
      <c r="D8413" s="1" t="s">
        <v>6294</v>
      </c>
      <c r="E8413" t="s">
        <v>14</v>
      </c>
      <c r="F8413">
        <v>63.315300000000001</v>
      </c>
      <c r="G8413">
        <v>9.8493999999999993</v>
      </c>
      <c r="H8413">
        <v>1</v>
      </c>
      <c r="I8413">
        <v>6</v>
      </c>
      <c r="J8413" t="str">
        <f>HYPERLINK("https://climate.onebuilding.org/WMO_Region_6_Europe/NOR_Norway/TD_Trondelag/NOR_TD_Orkdal-Thamshamn.012340_TMYx.2009-2023.zip")</f>
        <v>https://climate.onebuilding.org/WMO_Region_6_Europe/NOR_Norway/TD_Trondelag/NOR_TD_Orkdal-Thamshamn.012340_TMYx.2009-2023.zip</v>
      </c>
    </row>
    <row r="8414" spans="1:10" x14ac:dyDescent="0.25">
      <c r="A8414" t="s">
        <v>4974</v>
      </c>
      <c r="B8414" t="s">
        <v>6086</v>
      </c>
      <c r="C8414" t="s">
        <v>6293</v>
      </c>
      <c r="D8414" s="1" t="s">
        <v>6294</v>
      </c>
      <c r="E8414" t="s">
        <v>14</v>
      </c>
      <c r="F8414">
        <v>63.315300000000001</v>
      </c>
      <c r="G8414">
        <v>9.8493999999999993</v>
      </c>
      <c r="H8414">
        <v>1</v>
      </c>
      <c r="I8414">
        <v>6</v>
      </c>
      <c r="J8414" t="str">
        <f>HYPERLINK("https://climate.onebuilding.org/WMO_Region_6_Europe/NOR_Norway/TD_Trondelag/NOR_TD_Orkdal-Thamshamn.012340_TMYx.zip")</f>
        <v>https://climate.onebuilding.org/WMO_Region_6_Europe/NOR_Norway/TD_Trondelag/NOR_TD_Orkdal-Thamshamn.012340_TMYx.zip</v>
      </c>
    </row>
    <row r="8415" spans="1:10" x14ac:dyDescent="0.25">
      <c r="A8415" t="s">
        <v>4974</v>
      </c>
      <c r="B8415" t="s">
        <v>6086</v>
      </c>
      <c r="C8415" t="s">
        <v>6296</v>
      </c>
      <c r="D8415" s="1" t="s">
        <v>6297</v>
      </c>
      <c r="E8415" t="s">
        <v>6298</v>
      </c>
      <c r="F8415">
        <v>63.519199999999998</v>
      </c>
      <c r="G8415">
        <v>9.1125000000000007</v>
      </c>
      <c r="H8415">
        <v>1</v>
      </c>
      <c r="I8415">
        <v>12.8</v>
      </c>
      <c r="J8415" t="str">
        <f>HYPERLINK("https://climate.onebuilding.org/WMO_Region_6_Europe/NOR_Norway/TD_Trondelag/NOR_TD_Hitra.012370_TMYx.2004-2018.zip")</f>
        <v>https://climate.onebuilding.org/WMO_Region_6_Europe/NOR_Norway/TD_Trondelag/NOR_TD_Hitra.012370_TMYx.2004-2018.zip</v>
      </c>
    </row>
    <row r="8416" spans="1:10" x14ac:dyDescent="0.25">
      <c r="A8416" t="s">
        <v>4974</v>
      </c>
      <c r="B8416" t="s">
        <v>6086</v>
      </c>
      <c r="C8416" t="s">
        <v>6296</v>
      </c>
      <c r="D8416" s="1" t="s">
        <v>6297</v>
      </c>
      <c r="E8416" t="s">
        <v>14</v>
      </c>
      <c r="F8416">
        <v>63.519199999999998</v>
      </c>
      <c r="G8416">
        <v>9.1125000000000007</v>
      </c>
      <c r="H8416">
        <v>1</v>
      </c>
      <c r="I8416">
        <v>12.8</v>
      </c>
      <c r="J8416" t="str">
        <f>HYPERLINK("https://climate.onebuilding.org/WMO_Region_6_Europe/NOR_Norway/TD_Trondelag/NOR_TD_Hitra.012370_TMYx.2007-2021.zip")</f>
        <v>https://climate.onebuilding.org/WMO_Region_6_Europe/NOR_Norway/TD_Trondelag/NOR_TD_Hitra.012370_TMYx.2007-2021.zip</v>
      </c>
    </row>
    <row r="8417" spans="1:10" x14ac:dyDescent="0.25">
      <c r="A8417" t="s">
        <v>4974</v>
      </c>
      <c r="B8417" t="s">
        <v>6086</v>
      </c>
      <c r="C8417" t="s">
        <v>6296</v>
      </c>
      <c r="D8417" s="1" t="s">
        <v>6297</v>
      </c>
      <c r="E8417" t="s">
        <v>14</v>
      </c>
      <c r="F8417">
        <v>63.519199999999998</v>
      </c>
      <c r="G8417">
        <v>9.1125000000000007</v>
      </c>
      <c r="H8417">
        <v>1</v>
      </c>
      <c r="I8417">
        <v>12.8</v>
      </c>
      <c r="J8417" t="str">
        <f>HYPERLINK("https://climate.onebuilding.org/WMO_Region_6_Europe/NOR_Norway/TD_Trondelag/NOR_TD_Hitra.012370_TMYx.2009-2023.zip")</f>
        <v>https://climate.onebuilding.org/WMO_Region_6_Europe/NOR_Norway/TD_Trondelag/NOR_TD_Hitra.012370_TMYx.2009-2023.zip</v>
      </c>
    </row>
    <row r="8418" spans="1:10" x14ac:dyDescent="0.25">
      <c r="A8418" t="s">
        <v>4974</v>
      </c>
      <c r="B8418" t="s">
        <v>6086</v>
      </c>
      <c r="C8418" t="s">
        <v>6296</v>
      </c>
      <c r="D8418" s="1" t="s">
        <v>6297</v>
      </c>
      <c r="E8418" t="s">
        <v>14</v>
      </c>
      <c r="F8418">
        <v>63.519199999999998</v>
      </c>
      <c r="G8418">
        <v>9.1125000000000007</v>
      </c>
      <c r="H8418">
        <v>1</v>
      </c>
      <c r="I8418">
        <v>12.8</v>
      </c>
      <c r="J8418" t="str">
        <f>HYPERLINK("https://climate.onebuilding.org/WMO_Region_6_Europe/NOR_Norway/TD_Trondelag/NOR_TD_Hitra.012370_TMYx.zip")</f>
        <v>https://climate.onebuilding.org/WMO_Region_6_Europe/NOR_Norway/TD_Trondelag/NOR_TD_Hitra.012370_TMYx.zip</v>
      </c>
    </row>
    <row r="8419" spans="1:10" x14ac:dyDescent="0.25">
      <c r="A8419" t="s">
        <v>4974</v>
      </c>
      <c r="B8419" t="s">
        <v>6281</v>
      </c>
      <c r="C8419" t="s">
        <v>6299</v>
      </c>
      <c r="D8419" s="1" t="s">
        <v>6300</v>
      </c>
      <c r="E8419" t="s">
        <v>6301</v>
      </c>
      <c r="F8419">
        <v>62.113</v>
      </c>
      <c r="G8419">
        <v>9.2860999999999994</v>
      </c>
      <c r="H8419">
        <v>1</v>
      </c>
      <c r="I8419">
        <v>974</v>
      </c>
      <c r="J8419" t="str">
        <f>HYPERLINK("https://climate.onebuilding.org/WMO_Region_6_Europe/NOR_Norway/OP_Oppland/NOR_OP_Fokstua.012380_TMYx.2004-2018.zip")</f>
        <v>https://climate.onebuilding.org/WMO_Region_6_Europe/NOR_Norway/OP_Oppland/NOR_OP_Fokstua.012380_TMYx.2004-2018.zip</v>
      </c>
    </row>
    <row r="8420" spans="1:10" x14ac:dyDescent="0.25">
      <c r="A8420" t="s">
        <v>4974</v>
      </c>
      <c r="B8420" t="s">
        <v>6281</v>
      </c>
      <c r="C8420" t="s">
        <v>6299</v>
      </c>
      <c r="D8420" s="1" t="s">
        <v>6300</v>
      </c>
      <c r="E8420" t="s">
        <v>14</v>
      </c>
      <c r="F8420">
        <v>62.113</v>
      </c>
      <c r="G8420">
        <v>9.2860999999999994</v>
      </c>
      <c r="H8420">
        <v>1</v>
      </c>
      <c r="I8420">
        <v>974</v>
      </c>
      <c r="J8420" t="str">
        <f>HYPERLINK("https://climate.onebuilding.org/WMO_Region_6_Europe/NOR_Norway/OP_Oppland/NOR_OP_Fokstua.012380_TMYx.2007-2021.zip")</f>
        <v>https://climate.onebuilding.org/WMO_Region_6_Europe/NOR_Norway/OP_Oppland/NOR_OP_Fokstua.012380_TMYx.2007-2021.zip</v>
      </c>
    </row>
    <row r="8421" spans="1:10" x14ac:dyDescent="0.25">
      <c r="A8421" t="s">
        <v>4974</v>
      </c>
      <c r="B8421" t="s">
        <v>6281</v>
      </c>
      <c r="C8421" t="s">
        <v>6299</v>
      </c>
      <c r="D8421" s="1" t="s">
        <v>6300</v>
      </c>
      <c r="E8421" t="s">
        <v>14</v>
      </c>
      <c r="F8421">
        <v>62.113</v>
      </c>
      <c r="G8421">
        <v>9.2860999999999994</v>
      </c>
      <c r="H8421">
        <v>1</v>
      </c>
      <c r="I8421">
        <v>974</v>
      </c>
      <c r="J8421" t="str">
        <f>HYPERLINK("https://climate.onebuilding.org/WMO_Region_6_Europe/NOR_Norway/OP_Oppland/NOR_OP_Fokstua.012380_TMYx.2009-2023.zip")</f>
        <v>https://climate.onebuilding.org/WMO_Region_6_Europe/NOR_Norway/OP_Oppland/NOR_OP_Fokstua.012380_TMYx.2009-2023.zip</v>
      </c>
    </row>
    <row r="8422" spans="1:10" x14ac:dyDescent="0.25">
      <c r="A8422" t="s">
        <v>4974</v>
      </c>
      <c r="B8422" t="s">
        <v>6281</v>
      </c>
      <c r="C8422" t="s">
        <v>6299</v>
      </c>
      <c r="D8422" s="1" t="s">
        <v>6300</v>
      </c>
      <c r="E8422" t="s">
        <v>14</v>
      </c>
      <c r="F8422">
        <v>62.113</v>
      </c>
      <c r="G8422">
        <v>9.2860999999999994</v>
      </c>
      <c r="H8422">
        <v>1</v>
      </c>
      <c r="I8422">
        <v>974</v>
      </c>
      <c r="J8422" t="str">
        <f>HYPERLINK("https://climate.onebuilding.org/WMO_Region_6_Europe/NOR_Norway/OP_Oppland/NOR_OP_Fokstua.012380_TMYx.zip")</f>
        <v>https://climate.onebuilding.org/WMO_Region_6_Europe/NOR_Norway/OP_Oppland/NOR_OP_Fokstua.012380_TMYx.zip</v>
      </c>
    </row>
    <row r="8423" spans="1:10" x14ac:dyDescent="0.25">
      <c r="A8423" t="s">
        <v>4974</v>
      </c>
      <c r="B8423" t="s">
        <v>6281</v>
      </c>
      <c r="C8423" t="s">
        <v>6302</v>
      </c>
      <c r="D8423" s="1" t="s">
        <v>6303</v>
      </c>
      <c r="E8423" t="s">
        <v>6304</v>
      </c>
      <c r="F8423">
        <v>62.220599999999997</v>
      </c>
      <c r="G8423">
        <v>9.5421999999999993</v>
      </c>
      <c r="H8423">
        <v>1</v>
      </c>
      <c r="I8423">
        <v>1012</v>
      </c>
      <c r="J8423" t="str">
        <f>HYPERLINK("https://climate.onebuilding.org/WMO_Region_6_Europe/NOR_Norway/OP_Oppland/NOR_OP_Hjerkinn.012390_TMYx.2004-2018.zip")</f>
        <v>https://climate.onebuilding.org/WMO_Region_6_Europe/NOR_Norway/OP_Oppland/NOR_OP_Hjerkinn.012390_TMYx.2004-2018.zip</v>
      </c>
    </row>
    <row r="8424" spans="1:10" x14ac:dyDescent="0.25">
      <c r="A8424" t="s">
        <v>4974</v>
      </c>
      <c r="B8424" t="s">
        <v>6281</v>
      </c>
      <c r="C8424" t="s">
        <v>6302</v>
      </c>
      <c r="D8424" s="1" t="s">
        <v>6303</v>
      </c>
      <c r="E8424" t="s">
        <v>14</v>
      </c>
      <c r="F8424">
        <v>62.220599999999997</v>
      </c>
      <c r="G8424">
        <v>9.5421999999999993</v>
      </c>
      <c r="H8424">
        <v>1</v>
      </c>
      <c r="I8424">
        <v>1012</v>
      </c>
      <c r="J8424" t="str">
        <f>HYPERLINK("https://climate.onebuilding.org/WMO_Region_6_Europe/NOR_Norway/OP_Oppland/NOR_OP_Hjerkinn.012390_TMYx.2007-2021.zip")</f>
        <v>https://climate.onebuilding.org/WMO_Region_6_Europe/NOR_Norway/OP_Oppland/NOR_OP_Hjerkinn.012390_TMYx.2007-2021.zip</v>
      </c>
    </row>
    <row r="8425" spans="1:10" x14ac:dyDescent="0.25">
      <c r="A8425" t="s">
        <v>4974</v>
      </c>
      <c r="B8425" t="s">
        <v>6281</v>
      </c>
      <c r="C8425" t="s">
        <v>6302</v>
      </c>
      <c r="D8425" s="1" t="s">
        <v>6303</v>
      </c>
      <c r="E8425" t="s">
        <v>14</v>
      </c>
      <c r="F8425">
        <v>62.220599999999997</v>
      </c>
      <c r="G8425">
        <v>9.5421999999999993</v>
      </c>
      <c r="H8425">
        <v>1</v>
      </c>
      <c r="I8425">
        <v>1012</v>
      </c>
      <c r="J8425" t="str">
        <f>HYPERLINK("https://climate.onebuilding.org/WMO_Region_6_Europe/NOR_Norway/OP_Oppland/NOR_OP_Hjerkinn.012390_TMYx.2009-2023.zip")</f>
        <v>https://climate.onebuilding.org/WMO_Region_6_Europe/NOR_Norway/OP_Oppland/NOR_OP_Hjerkinn.012390_TMYx.2009-2023.zip</v>
      </c>
    </row>
    <row r="8426" spans="1:10" x14ac:dyDescent="0.25">
      <c r="A8426" t="s">
        <v>4974</v>
      </c>
      <c r="B8426" t="s">
        <v>6281</v>
      </c>
      <c r="C8426" t="s">
        <v>6302</v>
      </c>
      <c r="D8426" s="1" t="s">
        <v>6303</v>
      </c>
      <c r="E8426" t="s">
        <v>14</v>
      </c>
      <c r="F8426">
        <v>62.220599999999997</v>
      </c>
      <c r="G8426">
        <v>9.5421999999999993</v>
      </c>
      <c r="H8426">
        <v>1</v>
      </c>
      <c r="I8426">
        <v>1012</v>
      </c>
      <c r="J8426" t="str">
        <f>HYPERLINK("https://climate.onebuilding.org/WMO_Region_6_Europe/NOR_Norway/OP_Oppland/NOR_OP_Hjerkinn.012390_TMYx.zip")</f>
        <v>https://climate.onebuilding.org/WMO_Region_6_Europe/NOR_Norway/OP_Oppland/NOR_OP_Hjerkinn.012390_TMYx.zip</v>
      </c>
    </row>
    <row r="8427" spans="1:10" x14ac:dyDescent="0.25">
      <c r="A8427" t="s">
        <v>4974</v>
      </c>
      <c r="B8427" t="s">
        <v>6086</v>
      </c>
      <c r="C8427" t="s">
        <v>6305</v>
      </c>
      <c r="D8427" s="1" t="s">
        <v>6306</v>
      </c>
      <c r="E8427" t="s">
        <v>6307</v>
      </c>
      <c r="F8427">
        <v>64.172799999999995</v>
      </c>
      <c r="G8427">
        <v>9.4061000000000003</v>
      </c>
      <c r="H8427">
        <v>1</v>
      </c>
      <c r="I8427">
        <v>15.9</v>
      </c>
      <c r="J8427" t="str">
        <f>HYPERLINK("https://climate.onebuilding.org/WMO_Region_6_Europe/NOR_Norway/TD_Trondelag/NOR_TD_Halten.Lighthouse.012400_TMYx.2004-2018.zip")</f>
        <v>https://climate.onebuilding.org/WMO_Region_6_Europe/NOR_Norway/TD_Trondelag/NOR_TD_Halten.Lighthouse.012400_TMYx.2004-2018.zip</v>
      </c>
    </row>
    <row r="8428" spans="1:10" x14ac:dyDescent="0.25">
      <c r="A8428" t="s">
        <v>4974</v>
      </c>
      <c r="B8428" t="s">
        <v>6086</v>
      </c>
      <c r="C8428" t="s">
        <v>6305</v>
      </c>
      <c r="D8428" s="1" t="s">
        <v>6306</v>
      </c>
      <c r="E8428" t="s">
        <v>14</v>
      </c>
      <c r="F8428">
        <v>64.172799999999995</v>
      </c>
      <c r="G8428">
        <v>9.4061000000000003</v>
      </c>
      <c r="H8428">
        <v>1</v>
      </c>
      <c r="I8428">
        <v>15.9</v>
      </c>
      <c r="J8428" t="str">
        <f>HYPERLINK("https://climate.onebuilding.org/WMO_Region_6_Europe/NOR_Norway/TD_Trondelag/NOR_TD_Halten.Lighthouse.012400_TMYx.2007-2021.zip")</f>
        <v>https://climate.onebuilding.org/WMO_Region_6_Europe/NOR_Norway/TD_Trondelag/NOR_TD_Halten.Lighthouse.012400_TMYx.2007-2021.zip</v>
      </c>
    </row>
    <row r="8429" spans="1:10" x14ac:dyDescent="0.25">
      <c r="A8429" t="s">
        <v>4974</v>
      </c>
      <c r="B8429" t="s">
        <v>6086</v>
      </c>
      <c r="C8429" t="s">
        <v>6305</v>
      </c>
      <c r="D8429" s="1" t="s">
        <v>6306</v>
      </c>
      <c r="E8429" t="s">
        <v>14</v>
      </c>
      <c r="F8429">
        <v>64.172799999999995</v>
      </c>
      <c r="G8429">
        <v>9.4061000000000003</v>
      </c>
      <c r="H8429">
        <v>1</v>
      </c>
      <c r="I8429">
        <v>15.9</v>
      </c>
      <c r="J8429" t="str">
        <f>HYPERLINK("https://climate.onebuilding.org/WMO_Region_6_Europe/NOR_Norway/TD_Trondelag/NOR_TD_Halten.Lighthouse.012400_TMYx.2009-2023.zip")</f>
        <v>https://climate.onebuilding.org/WMO_Region_6_Europe/NOR_Norway/TD_Trondelag/NOR_TD_Halten.Lighthouse.012400_TMYx.2009-2023.zip</v>
      </c>
    </row>
    <row r="8430" spans="1:10" x14ac:dyDescent="0.25">
      <c r="A8430" t="s">
        <v>4974</v>
      </c>
      <c r="B8430" t="s">
        <v>6086</v>
      </c>
      <c r="C8430" t="s">
        <v>6305</v>
      </c>
      <c r="D8430" s="1" t="s">
        <v>6306</v>
      </c>
      <c r="E8430" t="s">
        <v>14</v>
      </c>
      <c r="F8430">
        <v>64.172799999999995</v>
      </c>
      <c r="G8430">
        <v>9.4061000000000003</v>
      </c>
      <c r="H8430">
        <v>1</v>
      </c>
      <c r="I8430">
        <v>15.9</v>
      </c>
      <c r="J8430" t="str">
        <f>HYPERLINK("https://climate.onebuilding.org/WMO_Region_6_Europe/NOR_Norway/TD_Trondelag/NOR_TD_Halten.Lighthouse.012400_TMYx.zip")</f>
        <v>https://climate.onebuilding.org/WMO_Region_6_Europe/NOR_Norway/TD_Trondelag/NOR_TD_Halten.Lighthouse.012400_TMYx.zip</v>
      </c>
    </row>
    <row r="8431" spans="1:10" x14ac:dyDescent="0.25">
      <c r="A8431" t="s">
        <v>4974</v>
      </c>
      <c r="B8431" t="s">
        <v>6086</v>
      </c>
      <c r="C8431" t="s">
        <v>6308</v>
      </c>
      <c r="D8431" s="1" t="s">
        <v>6309</v>
      </c>
      <c r="E8431" t="s">
        <v>6310</v>
      </c>
      <c r="F8431">
        <v>63.700299999999999</v>
      </c>
      <c r="G8431">
        <v>9.6011000000000006</v>
      </c>
      <c r="H8431">
        <v>1</v>
      </c>
      <c r="I8431">
        <v>8.5</v>
      </c>
      <c r="J8431" t="str">
        <f>HYPERLINK("https://climate.onebuilding.org/WMO_Region_6_Europe/NOR_Norway/TD_Trondelag/NOR_TD_Orland.AP.012410_TMYx.2004-2018.zip")</f>
        <v>https://climate.onebuilding.org/WMO_Region_6_Europe/NOR_Norway/TD_Trondelag/NOR_TD_Orland.AP.012410_TMYx.2004-2018.zip</v>
      </c>
    </row>
    <row r="8432" spans="1:10" x14ac:dyDescent="0.25">
      <c r="A8432" t="s">
        <v>4974</v>
      </c>
      <c r="B8432" t="s">
        <v>6086</v>
      </c>
      <c r="C8432" t="s">
        <v>6308</v>
      </c>
      <c r="D8432" s="1" t="s">
        <v>6309</v>
      </c>
      <c r="E8432" t="s">
        <v>14</v>
      </c>
      <c r="F8432">
        <v>63.700299999999999</v>
      </c>
      <c r="G8432">
        <v>9.6011000000000006</v>
      </c>
      <c r="H8432">
        <v>1</v>
      </c>
      <c r="I8432">
        <v>8.5</v>
      </c>
      <c r="J8432" t="str">
        <f>HYPERLINK("https://climate.onebuilding.org/WMO_Region_6_Europe/NOR_Norway/TD_Trondelag/NOR_TD_Orland.AP.012410_TMYx.2007-2021.zip")</f>
        <v>https://climate.onebuilding.org/WMO_Region_6_Europe/NOR_Norway/TD_Trondelag/NOR_TD_Orland.AP.012410_TMYx.2007-2021.zip</v>
      </c>
    </row>
    <row r="8433" spans="1:10" x14ac:dyDescent="0.25">
      <c r="A8433" t="s">
        <v>4974</v>
      </c>
      <c r="B8433" t="s">
        <v>6086</v>
      </c>
      <c r="C8433" t="s">
        <v>6308</v>
      </c>
      <c r="D8433" s="1" t="s">
        <v>6309</v>
      </c>
      <c r="E8433" t="s">
        <v>14</v>
      </c>
      <c r="F8433">
        <v>63.700299999999999</v>
      </c>
      <c r="G8433">
        <v>9.6011000000000006</v>
      </c>
      <c r="H8433">
        <v>1</v>
      </c>
      <c r="I8433">
        <v>8.5</v>
      </c>
      <c r="J8433" t="str">
        <f>HYPERLINK("https://climate.onebuilding.org/WMO_Region_6_Europe/NOR_Norway/TD_Trondelag/NOR_TD_Orland.AP.012410_TMYx.2009-2023.zip")</f>
        <v>https://climate.onebuilding.org/WMO_Region_6_Europe/NOR_Norway/TD_Trondelag/NOR_TD_Orland.AP.012410_TMYx.2009-2023.zip</v>
      </c>
    </row>
    <row r="8434" spans="1:10" x14ac:dyDescent="0.25">
      <c r="A8434" t="s">
        <v>4974</v>
      </c>
      <c r="B8434" t="s">
        <v>6086</v>
      </c>
      <c r="C8434" t="s">
        <v>6308</v>
      </c>
      <c r="D8434" s="1" t="s">
        <v>6309</v>
      </c>
      <c r="E8434" t="s">
        <v>14</v>
      </c>
      <c r="F8434">
        <v>63.700299999999999</v>
      </c>
      <c r="G8434">
        <v>9.6011000000000006</v>
      </c>
      <c r="H8434">
        <v>1</v>
      </c>
      <c r="I8434">
        <v>8.5</v>
      </c>
      <c r="J8434" t="str">
        <f>HYPERLINK("https://climate.onebuilding.org/WMO_Region_6_Europe/NOR_Norway/TD_Trondelag/NOR_TD_Orland.AP.012410_TMYx.zip")</f>
        <v>https://climate.onebuilding.org/WMO_Region_6_Europe/NOR_Norway/TD_Trondelag/NOR_TD_Orland.AP.012410_TMYx.zip</v>
      </c>
    </row>
    <row r="8435" spans="1:10" x14ac:dyDescent="0.25">
      <c r="A8435" t="s">
        <v>4974</v>
      </c>
      <c r="B8435" t="s">
        <v>6086</v>
      </c>
      <c r="C8435" t="s">
        <v>6311</v>
      </c>
      <c r="D8435" s="1" t="s">
        <v>6312</v>
      </c>
      <c r="E8435" t="s">
        <v>6313</v>
      </c>
      <c r="F8435">
        <v>63.966099999999997</v>
      </c>
      <c r="G8435">
        <v>10.2158</v>
      </c>
      <c r="H8435">
        <v>1</v>
      </c>
      <c r="I8435">
        <v>30</v>
      </c>
      <c r="J8435" t="str">
        <f>HYPERLINK("https://climate.onebuilding.org/WMO_Region_6_Europe/NOR_Norway/TD_Trondelag/NOR_TD_Afjord.012420_TMYx.2004-2018.zip")</f>
        <v>https://climate.onebuilding.org/WMO_Region_6_Europe/NOR_Norway/TD_Trondelag/NOR_TD_Afjord.012420_TMYx.2004-2018.zip</v>
      </c>
    </row>
    <row r="8436" spans="1:10" x14ac:dyDescent="0.25">
      <c r="A8436" t="s">
        <v>4974</v>
      </c>
      <c r="B8436" t="s">
        <v>6086</v>
      </c>
      <c r="C8436" t="s">
        <v>6311</v>
      </c>
      <c r="D8436" s="1" t="s">
        <v>6312</v>
      </c>
      <c r="E8436" t="s">
        <v>14</v>
      </c>
      <c r="F8436">
        <v>63.966099999999997</v>
      </c>
      <c r="G8436">
        <v>10.2158</v>
      </c>
      <c r="H8436">
        <v>1</v>
      </c>
      <c r="I8436">
        <v>30</v>
      </c>
      <c r="J8436" t="str">
        <f>HYPERLINK("https://climate.onebuilding.org/WMO_Region_6_Europe/NOR_Norway/TD_Trondelag/NOR_TD_Afjord.012420_TMYx.2007-2021.zip")</f>
        <v>https://climate.onebuilding.org/WMO_Region_6_Europe/NOR_Norway/TD_Trondelag/NOR_TD_Afjord.012420_TMYx.2007-2021.zip</v>
      </c>
    </row>
    <row r="8437" spans="1:10" x14ac:dyDescent="0.25">
      <c r="A8437" t="s">
        <v>4974</v>
      </c>
      <c r="B8437" t="s">
        <v>6086</v>
      </c>
      <c r="C8437" t="s">
        <v>6311</v>
      </c>
      <c r="D8437" s="1" t="s">
        <v>6312</v>
      </c>
      <c r="E8437" t="s">
        <v>14</v>
      </c>
      <c r="F8437">
        <v>63.966099999999997</v>
      </c>
      <c r="G8437">
        <v>10.2158</v>
      </c>
      <c r="H8437">
        <v>1</v>
      </c>
      <c r="I8437">
        <v>30</v>
      </c>
      <c r="J8437" t="str">
        <f>HYPERLINK("https://climate.onebuilding.org/WMO_Region_6_Europe/NOR_Norway/TD_Trondelag/NOR_TD_Afjord.012420_TMYx.2009-2023.zip")</f>
        <v>https://climate.onebuilding.org/WMO_Region_6_Europe/NOR_Norway/TD_Trondelag/NOR_TD_Afjord.012420_TMYx.2009-2023.zip</v>
      </c>
    </row>
    <row r="8438" spans="1:10" x14ac:dyDescent="0.25">
      <c r="A8438" t="s">
        <v>4974</v>
      </c>
      <c r="B8438" t="s">
        <v>6086</v>
      </c>
      <c r="C8438" t="s">
        <v>6311</v>
      </c>
      <c r="D8438" s="1" t="s">
        <v>6312</v>
      </c>
      <c r="E8438" t="s">
        <v>14</v>
      </c>
      <c r="F8438">
        <v>63.966099999999997</v>
      </c>
      <c r="G8438">
        <v>10.2158</v>
      </c>
      <c r="H8438">
        <v>1</v>
      </c>
      <c r="I8438">
        <v>30</v>
      </c>
      <c r="J8438" t="str">
        <f>HYPERLINK("https://climate.onebuilding.org/WMO_Region_6_Europe/NOR_Norway/TD_Trondelag/NOR_TD_Afjord.012420_TMYx.zip")</f>
        <v>https://climate.onebuilding.org/WMO_Region_6_Europe/NOR_Norway/TD_Trondelag/NOR_TD_Afjord.012420_TMYx.zip</v>
      </c>
    </row>
    <row r="8439" spans="1:10" x14ac:dyDescent="0.25">
      <c r="A8439" t="s">
        <v>4974</v>
      </c>
      <c r="B8439" t="s">
        <v>6086</v>
      </c>
      <c r="C8439" t="s">
        <v>6314</v>
      </c>
      <c r="D8439" s="1" t="s">
        <v>6315</v>
      </c>
      <c r="E8439" t="s">
        <v>6316</v>
      </c>
      <c r="F8439">
        <v>62.604199999999999</v>
      </c>
      <c r="G8439">
        <v>9.6667000000000005</v>
      </c>
      <c r="H8439">
        <v>1</v>
      </c>
      <c r="I8439">
        <v>598.79999999999995</v>
      </c>
      <c r="J8439" t="str">
        <f>HYPERLINK("https://climate.onebuilding.org/WMO_Region_6_Europe/NOR_Norway/TD_Trondelag/NOR_TD_Oppdal-Seter.012450_TMYx.2004-2018.zip")</f>
        <v>https://climate.onebuilding.org/WMO_Region_6_Europe/NOR_Norway/TD_Trondelag/NOR_TD_Oppdal-Seter.012450_TMYx.2004-2018.zip</v>
      </c>
    </row>
    <row r="8440" spans="1:10" x14ac:dyDescent="0.25">
      <c r="A8440" t="s">
        <v>4974</v>
      </c>
      <c r="B8440" t="s">
        <v>6086</v>
      </c>
      <c r="C8440" t="s">
        <v>6314</v>
      </c>
      <c r="D8440" s="1" t="s">
        <v>6315</v>
      </c>
      <c r="E8440" t="s">
        <v>14</v>
      </c>
      <c r="F8440">
        <v>62.604199999999999</v>
      </c>
      <c r="G8440">
        <v>9.6667000000000005</v>
      </c>
      <c r="H8440">
        <v>1</v>
      </c>
      <c r="I8440">
        <v>598.79999999999995</v>
      </c>
      <c r="J8440" t="str">
        <f>HYPERLINK("https://climate.onebuilding.org/WMO_Region_6_Europe/NOR_Norway/TD_Trondelag/NOR_TD_Oppdal-Seter.012450_TMYx.2007-2021.zip")</f>
        <v>https://climate.onebuilding.org/WMO_Region_6_Europe/NOR_Norway/TD_Trondelag/NOR_TD_Oppdal-Seter.012450_TMYx.2007-2021.zip</v>
      </c>
    </row>
    <row r="8441" spans="1:10" x14ac:dyDescent="0.25">
      <c r="A8441" t="s">
        <v>4974</v>
      </c>
      <c r="B8441" t="s">
        <v>6086</v>
      </c>
      <c r="C8441" t="s">
        <v>6314</v>
      </c>
      <c r="D8441" s="1" t="s">
        <v>6315</v>
      </c>
      <c r="E8441" t="s">
        <v>14</v>
      </c>
      <c r="F8441">
        <v>62.604199999999999</v>
      </c>
      <c r="G8441">
        <v>9.6667000000000005</v>
      </c>
      <c r="H8441">
        <v>1</v>
      </c>
      <c r="I8441">
        <v>598.79999999999995</v>
      </c>
      <c r="J8441" t="str">
        <f>HYPERLINK("https://climate.onebuilding.org/WMO_Region_6_Europe/NOR_Norway/TD_Trondelag/NOR_TD_Oppdal-Seter.012450_TMYx.2009-2023.zip")</f>
        <v>https://climate.onebuilding.org/WMO_Region_6_Europe/NOR_Norway/TD_Trondelag/NOR_TD_Oppdal-Seter.012450_TMYx.2009-2023.zip</v>
      </c>
    </row>
    <row r="8442" spans="1:10" x14ac:dyDescent="0.25">
      <c r="A8442" t="s">
        <v>4974</v>
      </c>
      <c r="B8442" t="s">
        <v>6086</v>
      </c>
      <c r="C8442" t="s">
        <v>6314</v>
      </c>
      <c r="D8442" s="1" t="s">
        <v>6315</v>
      </c>
      <c r="E8442" t="s">
        <v>14</v>
      </c>
      <c r="F8442">
        <v>62.604199999999999</v>
      </c>
      <c r="G8442">
        <v>9.6667000000000005</v>
      </c>
      <c r="H8442">
        <v>1</v>
      </c>
      <c r="I8442">
        <v>598.79999999999995</v>
      </c>
      <c r="J8442" t="str">
        <f>HYPERLINK("https://climate.onebuilding.org/WMO_Region_6_Europe/NOR_Norway/TD_Trondelag/NOR_TD_Oppdal-Seter.012450_TMYx.zip")</f>
        <v>https://climate.onebuilding.org/WMO_Region_6_Europe/NOR_Norway/TD_Trondelag/NOR_TD_Oppdal-Seter.012450_TMYx.zip</v>
      </c>
    </row>
    <row r="8443" spans="1:10" x14ac:dyDescent="0.25">
      <c r="A8443" t="s">
        <v>4974</v>
      </c>
      <c r="B8443" t="s">
        <v>6281</v>
      </c>
      <c r="C8443" t="s">
        <v>6317</v>
      </c>
      <c r="D8443" s="1" t="s">
        <v>6318</v>
      </c>
      <c r="E8443" t="s">
        <v>6319</v>
      </c>
      <c r="F8443">
        <v>62.128100000000003</v>
      </c>
      <c r="G8443">
        <v>9.9946999999999999</v>
      </c>
      <c r="H8443">
        <v>1</v>
      </c>
      <c r="I8443">
        <v>694</v>
      </c>
      <c r="J8443" t="str">
        <f>HYPERLINK("https://climate.onebuilding.org/WMO_Region_6_Europe/NOR_Norway/OP_Oppland/NOR_OP_Folldal.Fredheim.012500_TMYx.2004-2018.zip")</f>
        <v>https://climate.onebuilding.org/WMO_Region_6_Europe/NOR_Norway/OP_Oppland/NOR_OP_Folldal.Fredheim.012500_TMYx.2004-2018.zip</v>
      </c>
    </row>
    <row r="8444" spans="1:10" x14ac:dyDescent="0.25">
      <c r="A8444" t="s">
        <v>4974</v>
      </c>
      <c r="B8444" t="s">
        <v>6281</v>
      </c>
      <c r="C8444" t="s">
        <v>6317</v>
      </c>
      <c r="D8444" s="1" t="s">
        <v>6318</v>
      </c>
      <c r="E8444" t="s">
        <v>14</v>
      </c>
      <c r="F8444">
        <v>62.128100000000003</v>
      </c>
      <c r="G8444">
        <v>9.9946999999999999</v>
      </c>
      <c r="H8444">
        <v>1</v>
      </c>
      <c r="I8444">
        <v>694</v>
      </c>
      <c r="J8444" t="str">
        <f>HYPERLINK("https://climate.onebuilding.org/WMO_Region_6_Europe/NOR_Norway/OP_Oppland/NOR_OP_Folldal.Fredheim.012500_TMYx.2007-2021.zip")</f>
        <v>https://climate.onebuilding.org/WMO_Region_6_Europe/NOR_Norway/OP_Oppland/NOR_OP_Folldal.Fredheim.012500_TMYx.2007-2021.zip</v>
      </c>
    </row>
    <row r="8445" spans="1:10" x14ac:dyDescent="0.25">
      <c r="A8445" t="s">
        <v>4974</v>
      </c>
      <c r="B8445" t="s">
        <v>6281</v>
      </c>
      <c r="C8445" t="s">
        <v>6317</v>
      </c>
      <c r="D8445" s="1" t="s">
        <v>6318</v>
      </c>
      <c r="E8445" t="s">
        <v>14</v>
      </c>
      <c r="F8445">
        <v>62.128100000000003</v>
      </c>
      <c r="G8445">
        <v>9.9946999999999999</v>
      </c>
      <c r="H8445">
        <v>1</v>
      </c>
      <c r="I8445">
        <v>694</v>
      </c>
      <c r="J8445" t="str">
        <f>HYPERLINK("https://climate.onebuilding.org/WMO_Region_6_Europe/NOR_Norway/OP_Oppland/NOR_OP_Folldal.Fredheim.012500_TMYx.2009-2023.zip")</f>
        <v>https://climate.onebuilding.org/WMO_Region_6_Europe/NOR_Norway/OP_Oppland/NOR_OP_Folldal.Fredheim.012500_TMYx.2009-2023.zip</v>
      </c>
    </row>
    <row r="8446" spans="1:10" x14ac:dyDescent="0.25">
      <c r="A8446" t="s">
        <v>4974</v>
      </c>
      <c r="B8446" t="s">
        <v>6281</v>
      </c>
      <c r="C8446" t="s">
        <v>6317</v>
      </c>
      <c r="D8446" s="1" t="s">
        <v>6318</v>
      </c>
      <c r="E8446" t="s">
        <v>14</v>
      </c>
      <c r="F8446">
        <v>62.128100000000003</v>
      </c>
      <c r="G8446">
        <v>9.9946999999999999</v>
      </c>
      <c r="H8446">
        <v>1</v>
      </c>
      <c r="I8446">
        <v>694</v>
      </c>
      <c r="J8446" t="str">
        <f>HYPERLINK("https://climate.onebuilding.org/WMO_Region_6_Europe/NOR_Norway/OP_Oppland/NOR_OP_Folldal.Fredheim.012500_TMYx.zip")</f>
        <v>https://climate.onebuilding.org/WMO_Region_6_Europe/NOR_Norway/OP_Oppland/NOR_OP_Folldal.Fredheim.012500_TMYx.zip</v>
      </c>
    </row>
    <row r="8447" spans="1:10" x14ac:dyDescent="0.25">
      <c r="A8447" t="s">
        <v>4974</v>
      </c>
      <c r="B8447" t="s">
        <v>6086</v>
      </c>
      <c r="C8447" t="s">
        <v>6320</v>
      </c>
      <c r="D8447" s="1" t="s">
        <v>6321</v>
      </c>
      <c r="E8447" t="s">
        <v>14</v>
      </c>
      <c r="F8447">
        <v>62.817</v>
      </c>
      <c r="G8447">
        <v>10.016999999999999</v>
      </c>
      <c r="H8447">
        <v>1</v>
      </c>
      <c r="I8447">
        <v>475</v>
      </c>
      <c r="J8447" t="str">
        <f>HYPERLINK("https://climate.onebuilding.org/WMO_Region_6_Europe/NOR_Norway/TD_Trondelag/NOR_TD_Berkak.Lyngholt.012520_TMYx.zip")</f>
        <v>https://climate.onebuilding.org/WMO_Region_6_Europe/NOR_Norway/TD_Trondelag/NOR_TD_Berkak.Lyngholt.012520_TMYx.zip</v>
      </c>
    </row>
    <row r="8448" spans="1:10" x14ac:dyDescent="0.25">
      <c r="A8448" t="s">
        <v>4974</v>
      </c>
      <c r="B8448" t="s">
        <v>6086</v>
      </c>
      <c r="C8448" t="s">
        <v>6322</v>
      </c>
      <c r="D8448" s="1" t="s">
        <v>6323</v>
      </c>
      <c r="E8448" t="s">
        <v>6324</v>
      </c>
      <c r="F8448">
        <v>62.953299999999999</v>
      </c>
      <c r="G8448">
        <v>10.178599999999999</v>
      </c>
      <c r="H8448">
        <v>1</v>
      </c>
      <c r="I8448">
        <v>299</v>
      </c>
      <c r="J8448" t="str">
        <f>HYPERLINK("https://climate.onebuilding.org/WMO_Region_6_Europe/NOR_Norway/TD_Trondelag/NOR_TD_Soknedal.012530_TMYx.2004-2018.zip")</f>
        <v>https://climate.onebuilding.org/WMO_Region_6_Europe/NOR_Norway/TD_Trondelag/NOR_TD_Soknedal.012530_TMYx.2004-2018.zip</v>
      </c>
    </row>
    <row r="8449" spans="1:10" x14ac:dyDescent="0.25">
      <c r="A8449" t="s">
        <v>4974</v>
      </c>
      <c r="B8449" t="s">
        <v>6086</v>
      </c>
      <c r="C8449" t="s">
        <v>6322</v>
      </c>
      <c r="D8449" s="1" t="s">
        <v>6323</v>
      </c>
      <c r="E8449" t="s">
        <v>14</v>
      </c>
      <c r="F8449">
        <v>62.953299999999999</v>
      </c>
      <c r="G8449">
        <v>10.178599999999999</v>
      </c>
      <c r="H8449">
        <v>1</v>
      </c>
      <c r="I8449">
        <v>299</v>
      </c>
      <c r="J8449" t="str">
        <f>HYPERLINK("https://climate.onebuilding.org/WMO_Region_6_Europe/NOR_Norway/TD_Trondelag/NOR_TD_Soknedal.012530_TMYx.2007-2021.zip")</f>
        <v>https://climate.onebuilding.org/WMO_Region_6_Europe/NOR_Norway/TD_Trondelag/NOR_TD_Soknedal.012530_TMYx.2007-2021.zip</v>
      </c>
    </row>
    <row r="8450" spans="1:10" x14ac:dyDescent="0.25">
      <c r="A8450" t="s">
        <v>4974</v>
      </c>
      <c r="B8450" t="s">
        <v>6086</v>
      </c>
      <c r="C8450" t="s">
        <v>6322</v>
      </c>
      <c r="D8450" s="1" t="s">
        <v>6323</v>
      </c>
      <c r="E8450" t="s">
        <v>14</v>
      </c>
      <c r="F8450">
        <v>62.953299999999999</v>
      </c>
      <c r="G8450">
        <v>10.178599999999999</v>
      </c>
      <c r="H8450">
        <v>1</v>
      </c>
      <c r="I8450">
        <v>299</v>
      </c>
      <c r="J8450" t="str">
        <f>HYPERLINK("https://climate.onebuilding.org/WMO_Region_6_Europe/NOR_Norway/TD_Trondelag/NOR_TD_Soknedal.012530_TMYx.2009-2023.zip")</f>
        <v>https://climate.onebuilding.org/WMO_Region_6_Europe/NOR_Norway/TD_Trondelag/NOR_TD_Soknedal.012530_TMYx.2009-2023.zip</v>
      </c>
    </row>
    <row r="8451" spans="1:10" x14ac:dyDescent="0.25">
      <c r="A8451" t="s">
        <v>4974</v>
      </c>
      <c r="B8451" t="s">
        <v>6086</v>
      </c>
      <c r="C8451" t="s">
        <v>6322</v>
      </c>
      <c r="D8451" s="1" t="s">
        <v>6323</v>
      </c>
      <c r="E8451" t="s">
        <v>14</v>
      </c>
      <c r="F8451">
        <v>62.953299999999999</v>
      </c>
      <c r="G8451">
        <v>10.178599999999999</v>
      </c>
      <c r="H8451">
        <v>1</v>
      </c>
      <c r="I8451">
        <v>299</v>
      </c>
      <c r="J8451" t="str">
        <f>HYPERLINK("https://climate.onebuilding.org/WMO_Region_6_Europe/NOR_Norway/TD_Trondelag/NOR_TD_Soknedal.012530_TMYx.zip")</f>
        <v>https://climate.onebuilding.org/WMO_Region_6_Europe/NOR_Norway/TD_Trondelag/NOR_TD_Soknedal.012530_TMYx.zip</v>
      </c>
    </row>
    <row r="8452" spans="1:10" x14ac:dyDescent="0.25">
      <c r="A8452" t="s">
        <v>4974</v>
      </c>
      <c r="B8452" t="s">
        <v>6086</v>
      </c>
      <c r="C8452" t="s">
        <v>6325</v>
      </c>
      <c r="D8452" s="1" t="s">
        <v>6326</v>
      </c>
      <c r="E8452" t="s">
        <v>6327</v>
      </c>
      <c r="F8452">
        <v>62.976100000000002</v>
      </c>
      <c r="G8452">
        <v>10.560600000000001</v>
      </c>
      <c r="H8452">
        <v>1</v>
      </c>
      <c r="I8452">
        <v>127</v>
      </c>
      <c r="J8452" t="str">
        <f>HYPERLINK("https://climate.onebuilding.org/WMO_Region_6_Europe/NOR_Norway/TD_Trondelag/NOR_TD_Kotsoy.012540_TMYx.2004-2018.zip")</f>
        <v>https://climate.onebuilding.org/WMO_Region_6_Europe/NOR_Norway/TD_Trondelag/NOR_TD_Kotsoy.012540_TMYx.2004-2018.zip</v>
      </c>
    </row>
    <row r="8453" spans="1:10" x14ac:dyDescent="0.25">
      <c r="A8453" t="s">
        <v>4974</v>
      </c>
      <c r="B8453" t="s">
        <v>6086</v>
      </c>
      <c r="C8453" t="s">
        <v>6325</v>
      </c>
      <c r="D8453" s="1" t="s">
        <v>6326</v>
      </c>
      <c r="E8453" t="s">
        <v>14</v>
      </c>
      <c r="F8453">
        <v>62.976100000000002</v>
      </c>
      <c r="G8453">
        <v>10.560600000000001</v>
      </c>
      <c r="H8453">
        <v>1</v>
      </c>
      <c r="I8453">
        <v>127</v>
      </c>
      <c r="J8453" t="str">
        <f>HYPERLINK("https://climate.onebuilding.org/WMO_Region_6_Europe/NOR_Norway/TD_Trondelag/NOR_TD_Kotsoy.012540_TMYx.2007-2021.zip")</f>
        <v>https://climate.onebuilding.org/WMO_Region_6_Europe/NOR_Norway/TD_Trondelag/NOR_TD_Kotsoy.012540_TMYx.2007-2021.zip</v>
      </c>
    </row>
    <row r="8454" spans="1:10" x14ac:dyDescent="0.25">
      <c r="A8454" t="s">
        <v>4974</v>
      </c>
      <c r="B8454" t="s">
        <v>6086</v>
      </c>
      <c r="C8454" t="s">
        <v>6325</v>
      </c>
      <c r="D8454" s="1" t="s">
        <v>6326</v>
      </c>
      <c r="E8454" t="s">
        <v>14</v>
      </c>
      <c r="F8454">
        <v>62.976100000000002</v>
      </c>
      <c r="G8454">
        <v>10.560600000000001</v>
      </c>
      <c r="H8454">
        <v>1</v>
      </c>
      <c r="I8454">
        <v>127</v>
      </c>
      <c r="J8454" t="str">
        <f>HYPERLINK("https://climate.onebuilding.org/WMO_Region_6_Europe/NOR_Norway/TD_Trondelag/NOR_TD_Kotsoy.012540_TMYx.2009-2023.zip")</f>
        <v>https://climate.onebuilding.org/WMO_Region_6_Europe/NOR_Norway/TD_Trondelag/NOR_TD_Kotsoy.012540_TMYx.2009-2023.zip</v>
      </c>
    </row>
    <row r="8455" spans="1:10" x14ac:dyDescent="0.25">
      <c r="A8455" t="s">
        <v>4974</v>
      </c>
      <c r="B8455" t="s">
        <v>6086</v>
      </c>
      <c r="C8455" t="s">
        <v>6325</v>
      </c>
      <c r="D8455" s="1" t="s">
        <v>6326</v>
      </c>
      <c r="E8455" t="s">
        <v>14</v>
      </c>
      <c r="F8455">
        <v>62.976100000000002</v>
      </c>
      <c r="G8455">
        <v>10.560600000000001</v>
      </c>
      <c r="H8455">
        <v>1</v>
      </c>
      <c r="I8455">
        <v>127</v>
      </c>
      <c r="J8455" t="str">
        <f>HYPERLINK("https://climate.onebuilding.org/WMO_Region_6_Europe/NOR_Norway/TD_Trondelag/NOR_TD_Kotsoy.012540_TMYx.zip")</f>
        <v>https://climate.onebuilding.org/WMO_Region_6_Europe/NOR_Norway/TD_Trondelag/NOR_TD_Kotsoy.012540_TMYx.zip</v>
      </c>
    </row>
    <row r="8456" spans="1:10" x14ac:dyDescent="0.25">
      <c r="A8456" t="s">
        <v>4974</v>
      </c>
      <c r="B8456" t="s">
        <v>6086</v>
      </c>
      <c r="C8456" t="s">
        <v>6328</v>
      </c>
      <c r="D8456" s="1" t="s">
        <v>6329</v>
      </c>
      <c r="E8456" t="s">
        <v>6330</v>
      </c>
      <c r="F8456">
        <v>63.410600000000002</v>
      </c>
      <c r="G8456">
        <v>10.453900000000001</v>
      </c>
      <c r="H8456">
        <v>1</v>
      </c>
      <c r="I8456">
        <v>131.5</v>
      </c>
      <c r="J8456" t="str">
        <f>HYPERLINK("https://climate.onebuilding.org/WMO_Region_6_Europe/NOR_Norway/TD_Trondelag/NOR_TD_Trondheim-Voll.012570_TMYx.2004-2018.zip")</f>
        <v>https://climate.onebuilding.org/WMO_Region_6_Europe/NOR_Norway/TD_Trondelag/NOR_TD_Trondheim-Voll.012570_TMYx.2004-2018.zip</v>
      </c>
    </row>
    <row r="8457" spans="1:10" x14ac:dyDescent="0.25">
      <c r="A8457" t="s">
        <v>4974</v>
      </c>
      <c r="B8457" t="s">
        <v>6086</v>
      </c>
      <c r="C8457" t="s">
        <v>6328</v>
      </c>
      <c r="D8457" s="1" t="s">
        <v>6329</v>
      </c>
      <c r="E8457" t="s">
        <v>14</v>
      </c>
      <c r="F8457">
        <v>63.410600000000002</v>
      </c>
      <c r="G8457">
        <v>10.453900000000001</v>
      </c>
      <c r="H8457">
        <v>1</v>
      </c>
      <c r="I8457">
        <v>131.5</v>
      </c>
      <c r="J8457" t="str">
        <f>HYPERLINK("https://climate.onebuilding.org/WMO_Region_6_Europe/NOR_Norway/TD_Trondelag/NOR_TD_Trondheim-Voll.012570_TMYx.2007-2021.zip")</f>
        <v>https://climate.onebuilding.org/WMO_Region_6_Europe/NOR_Norway/TD_Trondelag/NOR_TD_Trondheim-Voll.012570_TMYx.2007-2021.zip</v>
      </c>
    </row>
    <row r="8458" spans="1:10" x14ac:dyDescent="0.25">
      <c r="A8458" t="s">
        <v>4974</v>
      </c>
      <c r="B8458" t="s">
        <v>6086</v>
      </c>
      <c r="C8458" t="s">
        <v>6328</v>
      </c>
      <c r="D8458" s="1" t="s">
        <v>6329</v>
      </c>
      <c r="E8458" t="s">
        <v>14</v>
      </c>
      <c r="F8458">
        <v>63.410600000000002</v>
      </c>
      <c r="G8458">
        <v>10.453900000000001</v>
      </c>
      <c r="H8458">
        <v>1</v>
      </c>
      <c r="I8458">
        <v>131.5</v>
      </c>
      <c r="J8458" t="str">
        <f>HYPERLINK("https://climate.onebuilding.org/WMO_Region_6_Europe/NOR_Norway/TD_Trondelag/NOR_TD_Trondheim-Voll.012570_TMYx.2009-2023.zip")</f>
        <v>https://climate.onebuilding.org/WMO_Region_6_Europe/NOR_Norway/TD_Trondelag/NOR_TD_Trondheim-Voll.012570_TMYx.2009-2023.zip</v>
      </c>
    </row>
    <row r="8459" spans="1:10" x14ac:dyDescent="0.25">
      <c r="A8459" t="s">
        <v>4974</v>
      </c>
      <c r="B8459" t="s">
        <v>6086</v>
      </c>
      <c r="C8459" t="s">
        <v>6328</v>
      </c>
      <c r="D8459" s="1" t="s">
        <v>6329</v>
      </c>
      <c r="E8459" t="s">
        <v>14</v>
      </c>
      <c r="F8459">
        <v>63.410600000000002</v>
      </c>
      <c r="G8459">
        <v>10.453900000000001</v>
      </c>
      <c r="H8459">
        <v>1</v>
      </c>
      <c r="I8459">
        <v>131.5</v>
      </c>
      <c r="J8459" t="str">
        <f>HYPERLINK("https://climate.onebuilding.org/WMO_Region_6_Europe/NOR_Norway/TD_Trondelag/NOR_TD_Trondheim-Voll.012570_TMYx.zip")</f>
        <v>https://climate.onebuilding.org/WMO_Region_6_Europe/NOR_Norway/TD_Trondelag/NOR_TD_Trondheim-Voll.012570_TMYx.zip</v>
      </c>
    </row>
    <row r="8460" spans="1:10" x14ac:dyDescent="0.25">
      <c r="A8460" t="s">
        <v>4974</v>
      </c>
      <c r="B8460" t="s">
        <v>6086</v>
      </c>
      <c r="C8460" t="s">
        <v>6331</v>
      </c>
      <c r="D8460" s="1" t="s">
        <v>6332</v>
      </c>
      <c r="E8460" t="s">
        <v>6333</v>
      </c>
      <c r="F8460">
        <v>64.401399999999995</v>
      </c>
      <c r="G8460">
        <v>10.455</v>
      </c>
      <c r="H8460">
        <v>1</v>
      </c>
      <c r="I8460">
        <v>18.399999999999999</v>
      </c>
      <c r="J8460" t="str">
        <f>HYPERLINK("https://climate.onebuilding.org/WMO_Region_6_Europe/NOR_Norway/TD_Trondelag/NOR_TD_Buholmrasa.Lighthouse.012590_TMYx.2004-2018.zip")</f>
        <v>https://climate.onebuilding.org/WMO_Region_6_Europe/NOR_Norway/TD_Trondelag/NOR_TD_Buholmrasa.Lighthouse.012590_TMYx.2004-2018.zip</v>
      </c>
    </row>
    <row r="8461" spans="1:10" x14ac:dyDescent="0.25">
      <c r="A8461" t="s">
        <v>4974</v>
      </c>
      <c r="B8461" t="s">
        <v>6086</v>
      </c>
      <c r="C8461" t="s">
        <v>6331</v>
      </c>
      <c r="D8461" s="1" t="s">
        <v>6332</v>
      </c>
      <c r="E8461" t="s">
        <v>14</v>
      </c>
      <c r="F8461">
        <v>64.401399999999995</v>
      </c>
      <c r="G8461">
        <v>10.455</v>
      </c>
      <c r="H8461">
        <v>1</v>
      </c>
      <c r="I8461">
        <v>18.399999999999999</v>
      </c>
      <c r="J8461" t="str">
        <f>HYPERLINK("https://climate.onebuilding.org/WMO_Region_6_Europe/NOR_Norway/TD_Trondelag/NOR_TD_Buholmrasa.Lighthouse.012590_TMYx.2007-2021.zip")</f>
        <v>https://climate.onebuilding.org/WMO_Region_6_Europe/NOR_Norway/TD_Trondelag/NOR_TD_Buholmrasa.Lighthouse.012590_TMYx.2007-2021.zip</v>
      </c>
    </row>
    <row r="8462" spans="1:10" x14ac:dyDescent="0.25">
      <c r="A8462" t="s">
        <v>4974</v>
      </c>
      <c r="B8462" t="s">
        <v>6086</v>
      </c>
      <c r="C8462" t="s">
        <v>6331</v>
      </c>
      <c r="D8462" s="1" t="s">
        <v>6332</v>
      </c>
      <c r="E8462" t="s">
        <v>14</v>
      </c>
      <c r="F8462">
        <v>64.401399999999995</v>
      </c>
      <c r="G8462">
        <v>10.455</v>
      </c>
      <c r="H8462">
        <v>1</v>
      </c>
      <c r="I8462">
        <v>18.399999999999999</v>
      </c>
      <c r="J8462" t="str">
        <f>HYPERLINK("https://climate.onebuilding.org/WMO_Region_6_Europe/NOR_Norway/TD_Trondelag/NOR_TD_Buholmrasa.Lighthouse.012590_TMYx.2009-2023.zip")</f>
        <v>https://climate.onebuilding.org/WMO_Region_6_Europe/NOR_Norway/TD_Trondelag/NOR_TD_Buholmrasa.Lighthouse.012590_TMYx.2009-2023.zip</v>
      </c>
    </row>
    <row r="8463" spans="1:10" x14ac:dyDescent="0.25">
      <c r="A8463" t="s">
        <v>4974</v>
      </c>
      <c r="B8463" t="s">
        <v>6086</v>
      </c>
      <c r="C8463" t="s">
        <v>6331</v>
      </c>
      <c r="D8463" s="1" t="s">
        <v>6332</v>
      </c>
      <c r="E8463" t="s">
        <v>14</v>
      </c>
      <c r="F8463">
        <v>64.401399999999995</v>
      </c>
      <c r="G8463">
        <v>10.455</v>
      </c>
      <c r="H8463">
        <v>1</v>
      </c>
      <c r="I8463">
        <v>18.399999999999999</v>
      </c>
      <c r="J8463" t="str">
        <f>HYPERLINK("https://climate.onebuilding.org/WMO_Region_6_Europe/NOR_Norway/TD_Trondelag/NOR_TD_Buholmrasa.Lighthouse.012590_TMYx.zip")</f>
        <v>https://climate.onebuilding.org/WMO_Region_6_Europe/NOR_Norway/TD_Trondelag/NOR_TD_Buholmrasa.Lighthouse.012590_TMYx.zip</v>
      </c>
    </row>
    <row r="8464" spans="1:10" x14ac:dyDescent="0.25">
      <c r="A8464" t="s">
        <v>4974</v>
      </c>
      <c r="B8464" t="s">
        <v>6086</v>
      </c>
      <c r="C8464" t="s">
        <v>6334</v>
      </c>
      <c r="D8464" s="1" t="s">
        <v>6335</v>
      </c>
      <c r="E8464" t="s">
        <v>6336</v>
      </c>
      <c r="F8464">
        <v>64.7988</v>
      </c>
      <c r="G8464">
        <v>10.547499999999999</v>
      </c>
      <c r="H8464">
        <v>1</v>
      </c>
      <c r="I8464">
        <v>33</v>
      </c>
      <c r="J8464" t="str">
        <f>HYPERLINK("https://climate.onebuilding.org/WMO_Region_6_Europe/NOR_Norway/TD_Trondelag/NOR_TD_Nordoyan.Lighthouse.012620_TMYx.2004-2018.zip")</f>
        <v>https://climate.onebuilding.org/WMO_Region_6_Europe/NOR_Norway/TD_Trondelag/NOR_TD_Nordoyan.Lighthouse.012620_TMYx.2004-2018.zip</v>
      </c>
    </row>
    <row r="8465" spans="1:10" x14ac:dyDescent="0.25">
      <c r="A8465" t="s">
        <v>4974</v>
      </c>
      <c r="B8465" t="s">
        <v>6086</v>
      </c>
      <c r="C8465" t="s">
        <v>6334</v>
      </c>
      <c r="D8465" s="1" t="s">
        <v>6335</v>
      </c>
      <c r="E8465" t="s">
        <v>14</v>
      </c>
      <c r="F8465">
        <v>64.7988</v>
      </c>
      <c r="G8465">
        <v>10.547499999999999</v>
      </c>
      <c r="H8465">
        <v>1</v>
      </c>
      <c r="I8465">
        <v>33</v>
      </c>
      <c r="J8465" t="str">
        <f>HYPERLINK("https://climate.onebuilding.org/WMO_Region_6_Europe/NOR_Norway/TD_Trondelag/NOR_TD_Nordoyan.Lighthouse.012620_TMYx.2007-2021.zip")</f>
        <v>https://climate.onebuilding.org/WMO_Region_6_Europe/NOR_Norway/TD_Trondelag/NOR_TD_Nordoyan.Lighthouse.012620_TMYx.2007-2021.zip</v>
      </c>
    </row>
    <row r="8466" spans="1:10" x14ac:dyDescent="0.25">
      <c r="A8466" t="s">
        <v>4974</v>
      </c>
      <c r="B8466" t="s">
        <v>6086</v>
      </c>
      <c r="C8466" t="s">
        <v>6334</v>
      </c>
      <c r="D8466" s="1" t="s">
        <v>6335</v>
      </c>
      <c r="E8466" t="s">
        <v>14</v>
      </c>
      <c r="F8466">
        <v>64.7988</v>
      </c>
      <c r="G8466">
        <v>10.547499999999999</v>
      </c>
      <c r="H8466">
        <v>1</v>
      </c>
      <c r="I8466">
        <v>33</v>
      </c>
      <c r="J8466" t="str">
        <f>HYPERLINK("https://climate.onebuilding.org/WMO_Region_6_Europe/NOR_Norway/TD_Trondelag/NOR_TD_Nordoyan.Lighthouse.012620_TMYx.2009-2023.zip")</f>
        <v>https://climate.onebuilding.org/WMO_Region_6_Europe/NOR_Norway/TD_Trondelag/NOR_TD_Nordoyan.Lighthouse.012620_TMYx.2009-2023.zip</v>
      </c>
    </row>
    <row r="8467" spans="1:10" x14ac:dyDescent="0.25">
      <c r="A8467" t="s">
        <v>4974</v>
      </c>
      <c r="B8467" t="s">
        <v>6086</v>
      </c>
      <c r="C8467" t="s">
        <v>6334</v>
      </c>
      <c r="D8467" s="1" t="s">
        <v>6335</v>
      </c>
      <c r="E8467" t="s">
        <v>14</v>
      </c>
      <c r="F8467">
        <v>64.7988</v>
      </c>
      <c r="G8467">
        <v>10.547499999999999</v>
      </c>
      <c r="H8467">
        <v>1</v>
      </c>
      <c r="I8467">
        <v>33</v>
      </c>
      <c r="J8467" t="str">
        <f>HYPERLINK("https://climate.onebuilding.org/WMO_Region_6_Europe/NOR_Norway/TD_Trondelag/NOR_TD_Nordoyan.Lighthouse.012620_TMYx.zip")</f>
        <v>https://climate.onebuilding.org/WMO_Region_6_Europe/NOR_Norway/TD_Trondelag/NOR_TD_Nordoyan.Lighthouse.012620_TMYx.zip</v>
      </c>
    </row>
    <row r="8468" spans="1:10" x14ac:dyDescent="0.25">
      <c r="A8468" t="s">
        <v>4974</v>
      </c>
      <c r="B8468" t="s">
        <v>1451</v>
      </c>
      <c r="C8468" t="s">
        <v>6337</v>
      </c>
      <c r="D8468" s="1" t="s">
        <v>6338</v>
      </c>
      <c r="E8468" t="s">
        <v>6339</v>
      </c>
      <c r="F8468">
        <v>62.269399999999997</v>
      </c>
      <c r="G8468">
        <v>10.7319</v>
      </c>
      <c r="H8468">
        <v>1</v>
      </c>
      <c r="I8468">
        <v>482.3</v>
      </c>
      <c r="J8468" t="str">
        <f>HYPERLINK("https://climate.onebuilding.org/WMO_Region_6_Europe/NOR_Norway/HE_Hedmark/NOR_HE_Tynset.Hansmoen.012650_TMYx.2004-2018.zip")</f>
        <v>https://climate.onebuilding.org/WMO_Region_6_Europe/NOR_Norway/HE_Hedmark/NOR_HE_Tynset.Hansmoen.012650_TMYx.2004-2018.zip</v>
      </c>
    </row>
    <row r="8469" spans="1:10" x14ac:dyDescent="0.25">
      <c r="A8469" t="s">
        <v>4974</v>
      </c>
      <c r="B8469" t="s">
        <v>1451</v>
      </c>
      <c r="C8469" t="s">
        <v>6337</v>
      </c>
      <c r="D8469" s="1" t="s">
        <v>6338</v>
      </c>
      <c r="E8469" t="s">
        <v>14</v>
      </c>
      <c r="F8469">
        <v>62.269399999999997</v>
      </c>
      <c r="G8469">
        <v>10.7319</v>
      </c>
      <c r="H8469">
        <v>1</v>
      </c>
      <c r="I8469">
        <v>482.3</v>
      </c>
      <c r="J8469" t="str">
        <f>HYPERLINK("https://climate.onebuilding.org/WMO_Region_6_Europe/NOR_Norway/HE_Hedmark/NOR_HE_Tynset.Hansmoen.012650_TMYx.2007-2021.zip")</f>
        <v>https://climate.onebuilding.org/WMO_Region_6_Europe/NOR_Norway/HE_Hedmark/NOR_HE_Tynset.Hansmoen.012650_TMYx.2007-2021.zip</v>
      </c>
    </row>
    <row r="8470" spans="1:10" x14ac:dyDescent="0.25">
      <c r="A8470" t="s">
        <v>4974</v>
      </c>
      <c r="B8470" t="s">
        <v>1451</v>
      </c>
      <c r="C8470" t="s">
        <v>6337</v>
      </c>
      <c r="D8470" s="1" t="s">
        <v>6338</v>
      </c>
      <c r="E8470" t="s">
        <v>14</v>
      </c>
      <c r="F8470">
        <v>62.269399999999997</v>
      </c>
      <c r="G8470">
        <v>10.7319</v>
      </c>
      <c r="H8470">
        <v>1</v>
      </c>
      <c r="I8470">
        <v>482.3</v>
      </c>
      <c r="J8470" t="str">
        <f>HYPERLINK("https://climate.onebuilding.org/WMO_Region_6_Europe/NOR_Norway/HE_Hedmark/NOR_HE_Tynset.Hansmoen.012650_TMYx.2009-2023.zip")</f>
        <v>https://climate.onebuilding.org/WMO_Region_6_Europe/NOR_Norway/HE_Hedmark/NOR_HE_Tynset.Hansmoen.012650_TMYx.2009-2023.zip</v>
      </c>
    </row>
    <row r="8471" spans="1:10" x14ac:dyDescent="0.25">
      <c r="A8471" t="s">
        <v>4974</v>
      </c>
      <c r="B8471" t="s">
        <v>1451</v>
      </c>
      <c r="C8471" t="s">
        <v>6337</v>
      </c>
      <c r="D8471" s="1" t="s">
        <v>6338</v>
      </c>
      <c r="E8471" t="s">
        <v>14</v>
      </c>
      <c r="F8471">
        <v>62.269399999999997</v>
      </c>
      <c r="G8471">
        <v>10.7319</v>
      </c>
      <c r="H8471">
        <v>1</v>
      </c>
      <c r="I8471">
        <v>482.3</v>
      </c>
      <c r="J8471" t="str">
        <f>HYPERLINK("https://climate.onebuilding.org/WMO_Region_6_Europe/NOR_Norway/HE_Hedmark/NOR_HE_Tynset.Hansmoen.012650_TMYx.zip")</f>
        <v>https://climate.onebuilding.org/WMO_Region_6_Europe/NOR_Norway/HE_Hedmark/NOR_HE_Tynset.Hansmoen.012650_TMYx.zip</v>
      </c>
    </row>
    <row r="8472" spans="1:10" x14ac:dyDescent="0.25">
      <c r="A8472" t="s">
        <v>4974</v>
      </c>
      <c r="B8472" t="s">
        <v>6086</v>
      </c>
      <c r="C8472" t="s">
        <v>6340</v>
      </c>
      <c r="D8472" s="1" t="s">
        <v>6341</v>
      </c>
      <c r="E8472" t="s">
        <v>6342</v>
      </c>
      <c r="F8472">
        <v>63.488100000000003</v>
      </c>
      <c r="G8472">
        <v>10.8794</v>
      </c>
      <c r="H8472">
        <v>1</v>
      </c>
      <c r="I8472">
        <v>40</v>
      </c>
      <c r="J8472" t="str">
        <f>HYPERLINK("https://climate.onebuilding.org/WMO_Region_6_Europe/NOR_Norway/TD_Trondelag/NOR_TD_Kvithammer.012700_TMYx.2004-2018.zip")</f>
        <v>https://climate.onebuilding.org/WMO_Region_6_Europe/NOR_Norway/TD_Trondelag/NOR_TD_Kvithammer.012700_TMYx.2004-2018.zip</v>
      </c>
    </row>
    <row r="8473" spans="1:10" x14ac:dyDescent="0.25">
      <c r="A8473" t="s">
        <v>4974</v>
      </c>
      <c r="B8473" t="s">
        <v>6086</v>
      </c>
      <c r="C8473" t="s">
        <v>6340</v>
      </c>
      <c r="D8473" s="1" t="s">
        <v>6341</v>
      </c>
      <c r="E8473" t="s">
        <v>14</v>
      </c>
      <c r="F8473">
        <v>63.488100000000003</v>
      </c>
      <c r="G8473">
        <v>10.8794</v>
      </c>
      <c r="H8473">
        <v>1</v>
      </c>
      <c r="I8473">
        <v>40</v>
      </c>
      <c r="J8473" t="str">
        <f>HYPERLINK("https://climate.onebuilding.org/WMO_Region_6_Europe/NOR_Norway/TD_Trondelag/NOR_TD_Kvithammer.012700_TMYx.2007-2021.zip")</f>
        <v>https://climate.onebuilding.org/WMO_Region_6_Europe/NOR_Norway/TD_Trondelag/NOR_TD_Kvithammer.012700_TMYx.2007-2021.zip</v>
      </c>
    </row>
    <row r="8474" spans="1:10" x14ac:dyDescent="0.25">
      <c r="A8474" t="s">
        <v>4974</v>
      </c>
      <c r="B8474" t="s">
        <v>6086</v>
      </c>
      <c r="C8474" t="s">
        <v>6340</v>
      </c>
      <c r="D8474" s="1" t="s">
        <v>6341</v>
      </c>
      <c r="E8474" t="s">
        <v>14</v>
      </c>
      <c r="F8474">
        <v>63.488100000000003</v>
      </c>
      <c r="G8474">
        <v>10.8794</v>
      </c>
      <c r="H8474">
        <v>1</v>
      </c>
      <c r="I8474">
        <v>40</v>
      </c>
      <c r="J8474" t="str">
        <f>HYPERLINK("https://climate.onebuilding.org/WMO_Region_6_Europe/NOR_Norway/TD_Trondelag/NOR_TD_Kvithammer.012700_TMYx.2009-2023.zip")</f>
        <v>https://climate.onebuilding.org/WMO_Region_6_Europe/NOR_Norway/TD_Trondelag/NOR_TD_Kvithammer.012700_TMYx.2009-2023.zip</v>
      </c>
    </row>
    <row r="8475" spans="1:10" x14ac:dyDescent="0.25">
      <c r="A8475" t="s">
        <v>4974</v>
      </c>
      <c r="B8475" t="s">
        <v>6086</v>
      </c>
      <c r="C8475" t="s">
        <v>6340</v>
      </c>
      <c r="D8475" s="1" t="s">
        <v>6341</v>
      </c>
      <c r="E8475" t="s">
        <v>14</v>
      </c>
      <c r="F8475">
        <v>63.488100000000003</v>
      </c>
      <c r="G8475">
        <v>10.8794</v>
      </c>
      <c r="H8475">
        <v>1</v>
      </c>
      <c r="I8475">
        <v>40</v>
      </c>
      <c r="J8475" t="str">
        <f>HYPERLINK("https://climate.onebuilding.org/WMO_Region_6_Europe/NOR_Norway/TD_Trondelag/NOR_TD_Kvithammer.012700_TMYx.zip")</f>
        <v>https://climate.onebuilding.org/WMO_Region_6_Europe/NOR_Norway/TD_Trondelag/NOR_TD_Kvithammer.012700_TMYx.zip</v>
      </c>
    </row>
    <row r="8476" spans="1:10" x14ac:dyDescent="0.25">
      <c r="A8476" t="s">
        <v>4974</v>
      </c>
      <c r="B8476" t="s">
        <v>155</v>
      </c>
      <c r="C8476" t="s">
        <v>6343</v>
      </c>
      <c r="D8476" s="1" t="s">
        <v>6344</v>
      </c>
      <c r="E8476" t="s">
        <v>6345</v>
      </c>
      <c r="F8476">
        <v>63.459200000000003</v>
      </c>
      <c r="G8476">
        <v>10.935</v>
      </c>
      <c r="H8476">
        <v>1</v>
      </c>
      <c r="I8476">
        <v>17.100000000000001</v>
      </c>
      <c r="J8476" t="str">
        <f>HYPERLINK("https://climate.onebuilding.org/WMO_Region_6_Europe/NOR_Norway/TR_Troms/NOR_TR_Trondheim.AP-Vaernes.012710_TMYx.2004-2018.zip")</f>
        <v>https://climate.onebuilding.org/WMO_Region_6_Europe/NOR_Norway/TR_Troms/NOR_TR_Trondheim.AP-Vaernes.012710_TMYx.2004-2018.zip</v>
      </c>
    </row>
    <row r="8477" spans="1:10" x14ac:dyDescent="0.25">
      <c r="A8477" t="s">
        <v>4974</v>
      </c>
      <c r="B8477" t="s">
        <v>155</v>
      </c>
      <c r="C8477" t="s">
        <v>6343</v>
      </c>
      <c r="D8477" s="1" t="s">
        <v>6344</v>
      </c>
      <c r="E8477" t="s">
        <v>14</v>
      </c>
      <c r="F8477">
        <v>63.459200000000003</v>
      </c>
      <c r="G8477">
        <v>10.935</v>
      </c>
      <c r="H8477">
        <v>1</v>
      </c>
      <c r="I8477">
        <v>17.100000000000001</v>
      </c>
      <c r="J8477" t="str">
        <f>HYPERLINK("https://climate.onebuilding.org/WMO_Region_6_Europe/NOR_Norway/TR_Troms/NOR_TR_Trondheim.AP-Vaernes.012710_TMYx.2007-2021.zip")</f>
        <v>https://climate.onebuilding.org/WMO_Region_6_Europe/NOR_Norway/TR_Troms/NOR_TR_Trondheim.AP-Vaernes.012710_TMYx.2007-2021.zip</v>
      </c>
    </row>
    <row r="8478" spans="1:10" x14ac:dyDescent="0.25">
      <c r="A8478" t="s">
        <v>4974</v>
      </c>
      <c r="B8478" t="s">
        <v>155</v>
      </c>
      <c r="C8478" t="s">
        <v>6343</v>
      </c>
      <c r="D8478" s="1" t="s">
        <v>6344</v>
      </c>
      <c r="E8478" t="s">
        <v>14</v>
      </c>
      <c r="F8478">
        <v>63.459200000000003</v>
      </c>
      <c r="G8478">
        <v>10.935</v>
      </c>
      <c r="H8478">
        <v>1</v>
      </c>
      <c r="I8478">
        <v>17.100000000000001</v>
      </c>
      <c r="J8478" t="str">
        <f>HYPERLINK("https://climate.onebuilding.org/WMO_Region_6_Europe/NOR_Norway/TR_Troms/NOR_TR_Trondheim.AP-Vaernes.012710_TMYx.2009-2023.zip")</f>
        <v>https://climate.onebuilding.org/WMO_Region_6_Europe/NOR_Norway/TR_Troms/NOR_TR_Trondheim.AP-Vaernes.012710_TMYx.2009-2023.zip</v>
      </c>
    </row>
    <row r="8479" spans="1:10" x14ac:dyDescent="0.25">
      <c r="A8479" t="s">
        <v>4974</v>
      </c>
      <c r="B8479" t="s">
        <v>155</v>
      </c>
      <c r="C8479" t="s">
        <v>6343</v>
      </c>
      <c r="D8479" s="1" t="s">
        <v>6344</v>
      </c>
      <c r="E8479" t="s">
        <v>14</v>
      </c>
      <c r="F8479">
        <v>63.459200000000003</v>
      </c>
      <c r="G8479">
        <v>10.935</v>
      </c>
      <c r="H8479">
        <v>1</v>
      </c>
      <c r="I8479">
        <v>17.100000000000001</v>
      </c>
      <c r="J8479" t="str">
        <f>HYPERLINK("https://climate.onebuilding.org/WMO_Region_6_Europe/NOR_Norway/TR_Troms/NOR_TR_Trondheim.AP-Vaernes.012710_TMYx.zip")</f>
        <v>https://climate.onebuilding.org/WMO_Region_6_Europe/NOR_Norway/TR_Troms/NOR_TR_Trondheim.AP-Vaernes.012710_TMYx.zip</v>
      </c>
    </row>
    <row r="8480" spans="1:10" x14ac:dyDescent="0.25">
      <c r="A8480" t="s">
        <v>4974</v>
      </c>
      <c r="B8480" t="s">
        <v>6086</v>
      </c>
      <c r="C8480" t="s">
        <v>6346</v>
      </c>
      <c r="D8480" s="1" t="s">
        <v>6347</v>
      </c>
      <c r="E8480" t="s">
        <v>6348</v>
      </c>
      <c r="F8480">
        <v>63.565600000000003</v>
      </c>
      <c r="G8480">
        <v>10.693899999999999</v>
      </c>
      <c r="H8480">
        <v>1</v>
      </c>
      <c r="I8480">
        <v>70</v>
      </c>
      <c r="J8480" t="str">
        <f>HYPERLINK("https://climate.onebuilding.org/WMO_Region_6_Europe/NOR_Norway/TD_Trondelag/NOR_TD_Frosta.012720_TMYx.2004-2018.zip")</f>
        <v>https://climate.onebuilding.org/WMO_Region_6_Europe/NOR_Norway/TD_Trondelag/NOR_TD_Frosta.012720_TMYx.2004-2018.zip</v>
      </c>
    </row>
    <row r="8481" spans="1:10" x14ac:dyDescent="0.25">
      <c r="A8481" t="s">
        <v>4974</v>
      </c>
      <c r="B8481" t="s">
        <v>6086</v>
      </c>
      <c r="C8481" t="s">
        <v>6346</v>
      </c>
      <c r="D8481" s="1" t="s">
        <v>6347</v>
      </c>
      <c r="E8481" t="s">
        <v>14</v>
      </c>
      <c r="F8481">
        <v>63.565600000000003</v>
      </c>
      <c r="G8481">
        <v>10.693899999999999</v>
      </c>
      <c r="H8481">
        <v>1</v>
      </c>
      <c r="I8481">
        <v>70</v>
      </c>
      <c r="J8481" t="str">
        <f>HYPERLINK("https://climate.onebuilding.org/WMO_Region_6_Europe/NOR_Norway/TD_Trondelag/NOR_TD_Frosta.012720_TMYx.2007-2021.zip")</f>
        <v>https://climate.onebuilding.org/WMO_Region_6_Europe/NOR_Norway/TD_Trondelag/NOR_TD_Frosta.012720_TMYx.2007-2021.zip</v>
      </c>
    </row>
    <row r="8482" spans="1:10" x14ac:dyDescent="0.25">
      <c r="A8482" t="s">
        <v>4974</v>
      </c>
      <c r="B8482" t="s">
        <v>6086</v>
      </c>
      <c r="C8482" t="s">
        <v>6346</v>
      </c>
      <c r="D8482" s="1" t="s">
        <v>6347</v>
      </c>
      <c r="E8482" t="s">
        <v>14</v>
      </c>
      <c r="F8482">
        <v>63.565600000000003</v>
      </c>
      <c r="G8482">
        <v>10.693899999999999</v>
      </c>
      <c r="H8482">
        <v>1</v>
      </c>
      <c r="I8482">
        <v>70</v>
      </c>
      <c r="J8482" t="str">
        <f>HYPERLINK("https://climate.onebuilding.org/WMO_Region_6_Europe/NOR_Norway/TD_Trondelag/NOR_TD_Frosta.012720_TMYx.2009-2023.zip")</f>
        <v>https://climate.onebuilding.org/WMO_Region_6_Europe/NOR_Norway/TD_Trondelag/NOR_TD_Frosta.012720_TMYx.2009-2023.zip</v>
      </c>
    </row>
    <row r="8483" spans="1:10" x14ac:dyDescent="0.25">
      <c r="A8483" t="s">
        <v>4974</v>
      </c>
      <c r="B8483" t="s">
        <v>6086</v>
      </c>
      <c r="C8483" t="s">
        <v>6346</v>
      </c>
      <c r="D8483" s="1" t="s">
        <v>6347</v>
      </c>
      <c r="E8483" t="s">
        <v>14</v>
      </c>
      <c r="F8483">
        <v>63.565600000000003</v>
      </c>
      <c r="G8483">
        <v>10.693899999999999</v>
      </c>
      <c r="H8483">
        <v>1</v>
      </c>
      <c r="I8483">
        <v>70</v>
      </c>
      <c r="J8483" t="str">
        <f>HYPERLINK("https://climate.onebuilding.org/WMO_Region_6_Europe/NOR_Norway/TD_Trondelag/NOR_TD_Frosta.012720_TMYx.zip")</f>
        <v>https://climate.onebuilding.org/WMO_Region_6_Europe/NOR_Norway/TD_Trondelag/NOR_TD_Frosta.012720_TMYx.zip</v>
      </c>
    </row>
    <row r="8484" spans="1:10" x14ac:dyDescent="0.25">
      <c r="A8484" t="s">
        <v>4974</v>
      </c>
      <c r="B8484" t="s">
        <v>6086</v>
      </c>
      <c r="C8484" t="s">
        <v>6349</v>
      </c>
      <c r="D8484" s="1" t="s">
        <v>6350</v>
      </c>
      <c r="E8484" t="s">
        <v>6351</v>
      </c>
      <c r="F8484">
        <v>63.224699999999999</v>
      </c>
      <c r="G8484">
        <v>11.0075</v>
      </c>
      <c r="H8484">
        <v>1</v>
      </c>
      <c r="I8484">
        <v>161.6</v>
      </c>
      <c r="J8484" t="str">
        <f>HYPERLINK("https://climate.onebuilding.org/WMO_Region_6_Europe/NOR_Norway/TD_Trondelag/NOR_TD_Selbu.012730_TMYx.2004-2018.zip")</f>
        <v>https://climate.onebuilding.org/WMO_Region_6_Europe/NOR_Norway/TD_Trondelag/NOR_TD_Selbu.012730_TMYx.2004-2018.zip</v>
      </c>
    </row>
    <row r="8485" spans="1:10" x14ac:dyDescent="0.25">
      <c r="A8485" t="s">
        <v>4974</v>
      </c>
      <c r="B8485" t="s">
        <v>6086</v>
      </c>
      <c r="C8485" t="s">
        <v>6349</v>
      </c>
      <c r="D8485" s="1" t="s">
        <v>6350</v>
      </c>
      <c r="E8485" t="s">
        <v>14</v>
      </c>
      <c r="F8485">
        <v>63.224699999999999</v>
      </c>
      <c r="G8485">
        <v>11.0075</v>
      </c>
      <c r="H8485">
        <v>1</v>
      </c>
      <c r="I8485">
        <v>161.6</v>
      </c>
      <c r="J8485" t="str">
        <f>HYPERLINK("https://climate.onebuilding.org/WMO_Region_6_Europe/NOR_Norway/TD_Trondelag/NOR_TD_Selbu.012730_TMYx.2007-2021.zip")</f>
        <v>https://climate.onebuilding.org/WMO_Region_6_Europe/NOR_Norway/TD_Trondelag/NOR_TD_Selbu.012730_TMYx.2007-2021.zip</v>
      </c>
    </row>
    <row r="8486" spans="1:10" x14ac:dyDescent="0.25">
      <c r="A8486" t="s">
        <v>4974</v>
      </c>
      <c r="B8486" t="s">
        <v>6086</v>
      </c>
      <c r="C8486" t="s">
        <v>6349</v>
      </c>
      <c r="D8486" s="1" t="s">
        <v>6350</v>
      </c>
      <c r="E8486" t="s">
        <v>14</v>
      </c>
      <c r="F8486">
        <v>63.224699999999999</v>
      </c>
      <c r="G8486">
        <v>11.0075</v>
      </c>
      <c r="H8486">
        <v>1</v>
      </c>
      <c r="I8486">
        <v>161.6</v>
      </c>
      <c r="J8486" t="str">
        <f>HYPERLINK("https://climate.onebuilding.org/WMO_Region_6_Europe/NOR_Norway/TD_Trondelag/NOR_TD_Selbu.012730_TMYx.2009-2023.zip")</f>
        <v>https://climate.onebuilding.org/WMO_Region_6_Europe/NOR_Norway/TD_Trondelag/NOR_TD_Selbu.012730_TMYx.2009-2023.zip</v>
      </c>
    </row>
    <row r="8487" spans="1:10" x14ac:dyDescent="0.25">
      <c r="A8487" t="s">
        <v>4974</v>
      </c>
      <c r="B8487" t="s">
        <v>6086</v>
      </c>
      <c r="C8487" t="s">
        <v>6349</v>
      </c>
      <c r="D8487" s="1" t="s">
        <v>6350</v>
      </c>
      <c r="E8487" t="s">
        <v>14</v>
      </c>
      <c r="F8487">
        <v>63.224699999999999</v>
      </c>
      <c r="G8487">
        <v>11.0075</v>
      </c>
      <c r="H8487">
        <v>1</v>
      </c>
      <c r="I8487">
        <v>161.6</v>
      </c>
      <c r="J8487" t="str">
        <f>HYPERLINK("https://climate.onebuilding.org/WMO_Region_6_Europe/NOR_Norway/TD_Trondelag/NOR_TD_Selbu.012730_TMYx.zip")</f>
        <v>https://climate.onebuilding.org/WMO_Region_6_Europe/NOR_Norway/TD_Trondelag/NOR_TD_Selbu.012730_TMYx.zip</v>
      </c>
    </row>
    <row r="8488" spans="1:10" x14ac:dyDescent="0.25">
      <c r="A8488" t="s">
        <v>4974</v>
      </c>
      <c r="B8488" t="s">
        <v>6086</v>
      </c>
      <c r="C8488" t="s">
        <v>6352</v>
      </c>
      <c r="D8488" s="1" t="s">
        <v>6353</v>
      </c>
      <c r="E8488" t="s">
        <v>14</v>
      </c>
      <c r="F8488">
        <v>63.2</v>
      </c>
      <c r="G8488">
        <v>11.117000000000001</v>
      </c>
      <c r="H8488">
        <v>1</v>
      </c>
      <c r="I8488">
        <v>242</v>
      </c>
      <c r="J8488" t="str">
        <f>HYPERLINK("https://climate.onebuilding.org/WMO_Region_6_Europe/NOR_Norway/TD_Trondelag/NOR_TD_Selbu.Stubbe.012740_TMYx.zip")</f>
        <v>https://climate.onebuilding.org/WMO_Region_6_Europe/NOR_Norway/TD_Trondelag/NOR_TD_Selbu.Stubbe.012740_TMYx.zip</v>
      </c>
    </row>
    <row r="8489" spans="1:10" x14ac:dyDescent="0.25">
      <c r="A8489" t="s">
        <v>4974</v>
      </c>
      <c r="B8489" t="s">
        <v>6086</v>
      </c>
      <c r="C8489" t="s">
        <v>6354</v>
      </c>
      <c r="D8489" s="1" t="s">
        <v>6355</v>
      </c>
      <c r="E8489" t="s">
        <v>6356</v>
      </c>
      <c r="F8489">
        <v>64.022199999999998</v>
      </c>
      <c r="G8489">
        <v>11.4506</v>
      </c>
      <c r="H8489">
        <v>1</v>
      </c>
      <c r="I8489">
        <v>80</v>
      </c>
      <c r="J8489" t="str">
        <f>HYPERLINK("https://climate.onebuilding.org/WMO_Region_6_Europe/NOR_Norway/TD_Trondelag/NOR_TD_Steinkjer.012770_TMYx.2004-2018.zip")</f>
        <v>https://climate.onebuilding.org/WMO_Region_6_Europe/NOR_Norway/TD_Trondelag/NOR_TD_Steinkjer.012770_TMYx.2004-2018.zip</v>
      </c>
    </row>
    <row r="8490" spans="1:10" x14ac:dyDescent="0.25">
      <c r="A8490" t="s">
        <v>4974</v>
      </c>
      <c r="B8490" t="s">
        <v>6086</v>
      </c>
      <c r="C8490" t="s">
        <v>6354</v>
      </c>
      <c r="D8490" s="1" t="s">
        <v>6355</v>
      </c>
      <c r="E8490" t="s">
        <v>14</v>
      </c>
      <c r="F8490">
        <v>64.022199999999998</v>
      </c>
      <c r="G8490">
        <v>11.4506</v>
      </c>
      <c r="H8490">
        <v>1</v>
      </c>
      <c r="I8490">
        <v>80</v>
      </c>
      <c r="J8490" t="str">
        <f>HYPERLINK("https://climate.onebuilding.org/WMO_Region_6_Europe/NOR_Norway/TD_Trondelag/NOR_TD_Steinkjer.012770_TMYx.2007-2021.zip")</f>
        <v>https://climate.onebuilding.org/WMO_Region_6_Europe/NOR_Norway/TD_Trondelag/NOR_TD_Steinkjer.012770_TMYx.2007-2021.zip</v>
      </c>
    </row>
    <row r="8491" spans="1:10" x14ac:dyDescent="0.25">
      <c r="A8491" t="s">
        <v>4974</v>
      </c>
      <c r="B8491" t="s">
        <v>6086</v>
      </c>
      <c r="C8491" t="s">
        <v>6354</v>
      </c>
      <c r="D8491" s="1" t="s">
        <v>6355</v>
      </c>
      <c r="E8491" t="s">
        <v>14</v>
      </c>
      <c r="F8491">
        <v>64.022199999999998</v>
      </c>
      <c r="G8491">
        <v>11.4506</v>
      </c>
      <c r="H8491">
        <v>1</v>
      </c>
      <c r="I8491">
        <v>80</v>
      </c>
      <c r="J8491" t="str">
        <f>HYPERLINK("https://climate.onebuilding.org/WMO_Region_6_Europe/NOR_Norway/TD_Trondelag/NOR_TD_Steinkjer.012770_TMYx.2009-2023.zip")</f>
        <v>https://climate.onebuilding.org/WMO_Region_6_Europe/NOR_Norway/TD_Trondelag/NOR_TD_Steinkjer.012770_TMYx.2009-2023.zip</v>
      </c>
    </row>
    <row r="8492" spans="1:10" x14ac:dyDescent="0.25">
      <c r="A8492" t="s">
        <v>4974</v>
      </c>
      <c r="B8492" t="s">
        <v>6086</v>
      </c>
      <c r="C8492" t="s">
        <v>6354</v>
      </c>
      <c r="D8492" s="1" t="s">
        <v>6355</v>
      </c>
      <c r="E8492" t="s">
        <v>14</v>
      </c>
      <c r="F8492">
        <v>64.022199999999998</v>
      </c>
      <c r="G8492">
        <v>11.4506</v>
      </c>
      <c r="H8492">
        <v>1</v>
      </c>
      <c r="I8492">
        <v>80</v>
      </c>
      <c r="J8492" t="str">
        <f>HYPERLINK("https://climate.onebuilding.org/WMO_Region_6_Europe/NOR_Norway/TD_Trondelag/NOR_TD_Steinkjer.012770_TMYx.zip")</f>
        <v>https://climate.onebuilding.org/WMO_Region_6_Europe/NOR_Norway/TD_Trondelag/NOR_TD_Steinkjer.012770_TMYx.zip</v>
      </c>
    </row>
    <row r="8493" spans="1:10" x14ac:dyDescent="0.25">
      <c r="A8493" t="s">
        <v>4974</v>
      </c>
      <c r="B8493" t="s">
        <v>6086</v>
      </c>
      <c r="C8493" t="s">
        <v>6357</v>
      </c>
      <c r="D8493" s="1" t="s">
        <v>6358</v>
      </c>
      <c r="E8493" t="s">
        <v>6359</v>
      </c>
      <c r="F8493">
        <v>63.782200000000003</v>
      </c>
      <c r="G8493">
        <v>11.674200000000001</v>
      </c>
      <c r="H8493">
        <v>1</v>
      </c>
      <c r="I8493">
        <v>83.3</v>
      </c>
      <c r="J8493" t="str">
        <f>HYPERLINK("https://climate.onebuilding.org/WMO_Region_6_Europe/NOR_Norway/TD_Trondelag/NOR_TD_Verdal-Reppe.012780_TMYx.2004-2018.zip")</f>
        <v>https://climate.onebuilding.org/WMO_Region_6_Europe/NOR_Norway/TD_Trondelag/NOR_TD_Verdal-Reppe.012780_TMYx.2004-2018.zip</v>
      </c>
    </row>
    <row r="8494" spans="1:10" x14ac:dyDescent="0.25">
      <c r="A8494" t="s">
        <v>4974</v>
      </c>
      <c r="B8494" t="s">
        <v>6086</v>
      </c>
      <c r="C8494" t="s">
        <v>6357</v>
      </c>
      <c r="D8494" s="1" t="s">
        <v>6358</v>
      </c>
      <c r="E8494" t="s">
        <v>14</v>
      </c>
      <c r="F8494">
        <v>63.782200000000003</v>
      </c>
      <c r="G8494">
        <v>11.674200000000001</v>
      </c>
      <c r="H8494">
        <v>1</v>
      </c>
      <c r="I8494">
        <v>83.3</v>
      </c>
      <c r="J8494" t="str">
        <f>HYPERLINK("https://climate.onebuilding.org/WMO_Region_6_Europe/NOR_Norway/TD_Trondelag/NOR_TD_Verdal-Reppe.012780_TMYx.2007-2021.zip")</f>
        <v>https://climate.onebuilding.org/WMO_Region_6_Europe/NOR_Norway/TD_Trondelag/NOR_TD_Verdal-Reppe.012780_TMYx.2007-2021.zip</v>
      </c>
    </row>
    <row r="8495" spans="1:10" x14ac:dyDescent="0.25">
      <c r="A8495" t="s">
        <v>4974</v>
      </c>
      <c r="B8495" t="s">
        <v>6086</v>
      </c>
      <c r="C8495" t="s">
        <v>6357</v>
      </c>
      <c r="D8495" s="1" t="s">
        <v>6358</v>
      </c>
      <c r="E8495" t="s">
        <v>14</v>
      </c>
      <c r="F8495">
        <v>63.782200000000003</v>
      </c>
      <c r="G8495">
        <v>11.674200000000001</v>
      </c>
      <c r="H8495">
        <v>1</v>
      </c>
      <c r="I8495">
        <v>83.3</v>
      </c>
      <c r="J8495" t="str">
        <f>HYPERLINK("https://climate.onebuilding.org/WMO_Region_6_Europe/NOR_Norway/TD_Trondelag/NOR_TD_Verdal-Reppe.012780_TMYx.2009-2023.zip")</f>
        <v>https://climate.onebuilding.org/WMO_Region_6_Europe/NOR_Norway/TD_Trondelag/NOR_TD_Verdal-Reppe.012780_TMYx.2009-2023.zip</v>
      </c>
    </row>
    <row r="8496" spans="1:10" x14ac:dyDescent="0.25">
      <c r="A8496" t="s">
        <v>4974</v>
      </c>
      <c r="B8496" t="s">
        <v>6086</v>
      </c>
      <c r="C8496" t="s">
        <v>6357</v>
      </c>
      <c r="D8496" s="1" t="s">
        <v>6358</v>
      </c>
      <c r="E8496" t="s">
        <v>14</v>
      </c>
      <c r="F8496">
        <v>63.782200000000003</v>
      </c>
      <c r="G8496">
        <v>11.674200000000001</v>
      </c>
      <c r="H8496">
        <v>1</v>
      </c>
      <c r="I8496">
        <v>83.3</v>
      </c>
      <c r="J8496" t="str">
        <f>HYPERLINK("https://climate.onebuilding.org/WMO_Region_6_Europe/NOR_Norway/TD_Trondelag/NOR_TD_Verdal-Reppe.012780_TMYx.zip")</f>
        <v>https://climate.onebuilding.org/WMO_Region_6_Europe/NOR_Norway/TD_Trondelag/NOR_TD_Verdal-Reppe.012780_TMYx.zip</v>
      </c>
    </row>
    <row r="8497" spans="1:10" x14ac:dyDescent="0.25">
      <c r="A8497" t="s">
        <v>4974</v>
      </c>
      <c r="B8497" t="s">
        <v>6086</v>
      </c>
      <c r="C8497" t="s">
        <v>6360</v>
      </c>
      <c r="D8497" s="1" t="s">
        <v>6361</v>
      </c>
      <c r="E8497" t="s">
        <v>6362</v>
      </c>
      <c r="F8497">
        <v>64.132999999999996</v>
      </c>
      <c r="G8497">
        <v>11.333</v>
      </c>
      <c r="H8497">
        <v>1</v>
      </c>
      <c r="I8497">
        <v>118</v>
      </c>
      <c r="J8497" t="str">
        <f>HYPERLINK("https://climate.onebuilding.org/WMO_Region_6_Europe/NOR_Norway/TD_Trondelag/NOR_TD_Namdalseid.Vengstad.012800_TMYx.2004-2018.zip")</f>
        <v>https://climate.onebuilding.org/WMO_Region_6_Europe/NOR_Norway/TD_Trondelag/NOR_TD_Namdalseid.Vengstad.012800_TMYx.2004-2018.zip</v>
      </c>
    </row>
    <row r="8498" spans="1:10" x14ac:dyDescent="0.25">
      <c r="A8498" t="s">
        <v>4974</v>
      </c>
      <c r="B8498" t="s">
        <v>6086</v>
      </c>
      <c r="C8498" t="s">
        <v>6360</v>
      </c>
      <c r="D8498" s="1" t="s">
        <v>6361</v>
      </c>
      <c r="E8498" t="s">
        <v>14</v>
      </c>
      <c r="F8498">
        <v>64.132999999999996</v>
      </c>
      <c r="G8498">
        <v>11.333</v>
      </c>
      <c r="H8498">
        <v>1</v>
      </c>
      <c r="I8498">
        <v>118</v>
      </c>
      <c r="J8498" t="str">
        <f>HYPERLINK("https://climate.onebuilding.org/WMO_Region_6_Europe/NOR_Norway/TD_Trondelag/NOR_TD_Namdalseid.Vengstad.012800_TMYx.zip")</f>
        <v>https://climate.onebuilding.org/WMO_Region_6_Europe/NOR_Norway/TD_Trondelag/NOR_TD_Namdalseid.Vengstad.012800_TMYx.zip</v>
      </c>
    </row>
    <row r="8499" spans="1:10" x14ac:dyDescent="0.25">
      <c r="A8499" t="s">
        <v>4974</v>
      </c>
      <c r="B8499" t="s">
        <v>6086</v>
      </c>
      <c r="C8499" t="s">
        <v>6363</v>
      </c>
      <c r="D8499" s="1" t="s">
        <v>6364</v>
      </c>
      <c r="E8499" t="s">
        <v>6365</v>
      </c>
      <c r="F8499">
        <v>64.741900000000001</v>
      </c>
      <c r="G8499">
        <v>12.845800000000001</v>
      </c>
      <c r="H8499">
        <v>1</v>
      </c>
      <c r="I8499">
        <v>140</v>
      </c>
      <c r="J8499" t="str">
        <f>HYPERLINK("https://climate.onebuilding.org/WMO_Region_6_Europe/NOR_Norway/TD_Trondelag/NOR_TD_Namsskogan-Trones.012810_TMYx.2004-2018.zip")</f>
        <v>https://climate.onebuilding.org/WMO_Region_6_Europe/NOR_Norway/TD_Trondelag/NOR_TD_Namsskogan-Trones.012810_TMYx.2004-2018.zip</v>
      </c>
    </row>
    <row r="8500" spans="1:10" x14ac:dyDescent="0.25">
      <c r="A8500" t="s">
        <v>4974</v>
      </c>
      <c r="B8500" t="s">
        <v>6086</v>
      </c>
      <c r="C8500" t="s">
        <v>6363</v>
      </c>
      <c r="D8500" s="1" t="s">
        <v>6364</v>
      </c>
      <c r="E8500" t="s">
        <v>14</v>
      </c>
      <c r="F8500">
        <v>64.741900000000001</v>
      </c>
      <c r="G8500">
        <v>12.845800000000001</v>
      </c>
      <c r="H8500">
        <v>1</v>
      </c>
      <c r="I8500">
        <v>140</v>
      </c>
      <c r="J8500" t="str">
        <f>HYPERLINK("https://climate.onebuilding.org/WMO_Region_6_Europe/NOR_Norway/TD_Trondelag/NOR_TD_Namsskogan-Trones.012810_TMYx.2007-2021.zip")</f>
        <v>https://climate.onebuilding.org/WMO_Region_6_Europe/NOR_Norway/TD_Trondelag/NOR_TD_Namsskogan-Trones.012810_TMYx.2007-2021.zip</v>
      </c>
    </row>
    <row r="8501" spans="1:10" x14ac:dyDescent="0.25">
      <c r="A8501" t="s">
        <v>4974</v>
      </c>
      <c r="B8501" t="s">
        <v>6086</v>
      </c>
      <c r="C8501" t="s">
        <v>6363</v>
      </c>
      <c r="D8501" s="1" t="s">
        <v>6364</v>
      </c>
      <c r="E8501" t="s">
        <v>14</v>
      </c>
      <c r="F8501">
        <v>64.741900000000001</v>
      </c>
      <c r="G8501">
        <v>12.845800000000001</v>
      </c>
      <c r="H8501">
        <v>1</v>
      </c>
      <c r="I8501">
        <v>140</v>
      </c>
      <c r="J8501" t="str">
        <f>HYPERLINK("https://climate.onebuilding.org/WMO_Region_6_Europe/NOR_Norway/TD_Trondelag/NOR_TD_Namsskogan-Trones.012810_TMYx.2009-2023.zip")</f>
        <v>https://climate.onebuilding.org/WMO_Region_6_Europe/NOR_Norway/TD_Trondelag/NOR_TD_Namsskogan-Trones.012810_TMYx.2009-2023.zip</v>
      </c>
    </row>
    <row r="8502" spans="1:10" x14ac:dyDescent="0.25">
      <c r="A8502" t="s">
        <v>4974</v>
      </c>
      <c r="B8502" t="s">
        <v>6086</v>
      </c>
      <c r="C8502" t="s">
        <v>6363</v>
      </c>
      <c r="D8502" s="1" t="s">
        <v>6364</v>
      </c>
      <c r="E8502" t="s">
        <v>14</v>
      </c>
      <c r="F8502">
        <v>64.741900000000001</v>
      </c>
      <c r="G8502">
        <v>12.845800000000001</v>
      </c>
      <c r="H8502">
        <v>1</v>
      </c>
      <c r="I8502">
        <v>140</v>
      </c>
      <c r="J8502" t="str">
        <f>HYPERLINK("https://climate.onebuilding.org/WMO_Region_6_Europe/NOR_Norway/TD_Trondelag/NOR_TD_Namsskogan-Trones.012810_TMYx.zip")</f>
        <v>https://climate.onebuilding.org/WMO_Region_6_Europe/NOR_Norway/TD_Trondelag/NOR_TD_Namsskogan-Trones.012810_TMYx.zip</v>
      </c>
    </row>
    <row r="8503" spans="1:10" x14ac:dyDescent="0.25">
      <c r="A8503" t="s">
        <v>4974</v>
      </c>
      <c r="B8503" t="s">
        <v>6086</v>
      </c>
      <c r="C8503" t="s">
        <v>6366</v>
      </c>
      <c r="D8503" s="1" t="s">
        <v>6367</v>
      </c>
      <c r="E8503" t="s">
        <v>6368</v>
      </c>
      <c r="F8503">
        <v>64.834999999999994</v>
      </c>
      <c r="G8503">
        <v>11.1408</v>
      </c>
      <c r="H8503">
        <v>1</v>
      </c>
      <c r="I8503">
        <v>14</v>
      </c>
      <c r="J8503" t="str">
        <f>HYPERLINK("https://climate.onebuilding.org/WMO_Region_6_Europe/NOR_Norway/TD_Trondelag/NOR_TD_Rorvik.AP-Ryum.012820_TMYx.2004-2018.zip")</f>
        <v>https://climate.onebuilding.org/WMO_Region_6_Europe/NOR_Norway/TD_Trondelag/NOR_TD_Rorvik.AP-Ryum.012820_TMYx.2004-2018.zip</v>
      </c>
    </row>
    <row r="8504" spans="1:10" x14ac:dyDescent="0.25">
      <c r="A8504" t="s">
        <v>4974</v>
      </c>
      <c r="B8504" t="s">
        <v>6086</v>
      </c>
      <c r="C8504" t="s">
        <v>6366</v>
      </c>
      <c r="D8504" s="1" t="s">
        <v>6367</v>
      </c>
      <c r="E8504" t="s">
        <v>14</v>
      </c>
      <c r="F8504">
        <v>64.834999999999994</v>
      </c>
      <c r="G8504">
        <v>11.1408</v>
      </c>
      <c r="H8504">
        <v>1</v>
      </c>
      <c r="I8504">
        <v>14</v>
      </c>
      <c r="J8504" t="str">
        <f>HYPERLINK("https://climate.onebuilding.org/WMO_Region_6_Europe/NOR_Norway/TD_Trondelag/NOR_TD_Rorvik.AP-Ryum.012820_TMYx.2007-2021.zip")</f>
        <v>https://climate.onebuilding.org/WMO_Region_6_Europe/NOR_Norway/TD_Trondelag/NOR_TD_Rorvik.AP-Ryum.012820_TMYx.2007-2021.zip</v>
      </c>
    </row>
    <row r="8505" spans="1:10" x14ac:dyDescent="0.25">
      <c r="A8505" t="s">
        <v>4974</v>
      </c>
      <c r="B8505" t="s">
        <v>6086</v>
      </c>
      <c r="C8505" t="s">
        <v>6366</v>
      </c>
      <c r="D8505" s="1" t="s">
        <v>6367</v>
      </c>
      <c r="E8505" t="s">
        <v>14</v>
      </c>
      <c r="F8505">
        <v>64.834999999999994</v>
      </c>
      <c r="G8505">
        <v>11.1408</v>
      </c>
      <c r="H8505">
        <v>1</v>
      </c>
      <c r="I8505">
        <v>14</v>
      </c>
      <c r="J8505" t="str">
        <f>HYPERLINK("https://climate.onebuilding.org/WMO_Region_6_Europe/NOR_Norway/TD_Trondelag/NOR_TD_Rorvik.AP-Ryum.012820_TMYx.2009-2023.zip")</f>
        <v>https://climate.onebuilding.org/WMO_Region_6_Europe/NOR_Norway/TD_Trondelag/NOR_TD_Rorvik.AP-Ryum.012820_TMYx.2009-2023.zip</v>
      </c>
    </row>
    <row r="8506" spans="1:10" x14ac:dyDescent="0.25">
      <c r="A8506" t="s">
        <v>4974</v>
      </c>
      <c r="B8506" t="s">
        <v>6086</v>
      </c>
      <c r="C8506" t="s">
        <v>6366</v>
      </c>
      <c r="D8506" s="1" t="s">
        <v>6367</v>
      </c>
      <c r="E8506" t="s">
        <v>14</v>
      </c>
      <c r="F8506">
        <v>64.834999999999994</v>
      </c>
      <c r="G8506">
        <v>11.1408</v>
      </c>
      <c r="H8506">
        <v>1</v>
      </c>
      <c r="I8506">
        <v>14</v>
      </c>
      <c r="J8506" t="str">
        <f>HYPERLINK("https://climate.onebuilding.org/WMO_Region_6_Europe/NOR_Norway/TD_Trondelag/NOR_TD_Rorvik.AP-Ryum.012820_TMYx.zip")</f>
        <v>https://climate.onebuilding.org/WMO_Region_6_Europe/NOR_Norway/TD_Trondelag/NOR_TD_Rorvik.AP-Ryum.012820_TMYx.zip</v>
      </c>
    </row>
    <row r="8507" spans="1:10" x14ac:dyDescent="0.25">
      <c r="A8507" t="s">
        <v>4974</v>
      </c>
      <c r="B8507" t="s">
        <v>6086</v>
      </c>
      <c r="C8507" t="s">
        <v>6369</v>
      </c>
      <c r="D8507" s="1" t="s">
        <v>6370</v>
      </c>
      <c r="E8507" t="s">
        <v>6371</v>
      </c>
      <c r="F8507">
        <v>62.679699999999997</v>
      </c>
      <c r="G8507">
        <v>11.816700000000001</v>
      </c>
      <c r="H8507">
        <v>1</v>
      </c>
      <c r="I8507">
        <v>747</v>
      </c>
      <c r="J8507" t="str">
        <f>HYPERLINK("https://climate.onebuilding.org/WMO_Region_6_Europe/NOR_Norway/TD_Trondelag/NOR_TD_Solendet.012870_TMYx.2004-2018.zip")</f>
        <v>https://climate.onebuilding.org/WMO_Region_6_Europe/NOR_Norway/TD_Trondelag/NOR_TD_Solendet.012870_TMYx.2004-2018.zip</v>
      </c>
    </row>
    <row r="8508" spans="1:10" x14ac:dyDescent="0.25">
      <c r="A8508" t="s">
        <v>4974</v>
      </c>
      <c r="B8508" t="s">
        <v>6086</v>
      </c>
      <c r="C8508" t="s">
        <v>6369</v>
      </c>
      <c r="D8508" s="1" t="s">
        <v>6370</v>
      </c>
      <c r="E8508" t="s">
        <v>14</v>
      </c>
      <c r="F8508">
        <v>62.679699999999997</v>
      </c>
      <c r="G8508">
        <v>11.816700000000001</v>
      </c>
      <c r="H8508">
        <v>1</v>
      </c>
      <c r="I8508">
        <v>747</v>
      </c>
      <c r="J8508" t="str">
        <f>HYPERLINK("https://climate.onebuilding.org/WMO_Region_6_Europe/NOR_Norway/TD_Trondelag/NOR_TD_Solendet.012870_TMYx.2007-2021.zip")</f>
        <v>https://climate.onebuilding.org/WMO_Region_6_Europe/NOR_Norway/TD_Trondelag/NOR_TD_Solendet.012870_TMYx.2007-2021.zip</v>
      </c>
    </row>
    <row r="8509" spans="1:10" x14ac:dyDescent="0.25">
      <c r="A8509" t="s">
        <v>4974</v>
      </c>
      <c r="B8509" t="s">
        <v>6086</v>
      </c>
      <c r="C8509" t="s">
        <v>6369</v>
      </c>
      <c r="D8509" s="1" t="s">
        <v>6370</v>
      </c>
      <c r="E8509" t="s">
        <v>14</v>
      </c>
      <c r="F8509">
        <v>62.679699999999997</v>
      </c>
      <c r="G8509">
        <v>11.816700000000001</v>
      </c>
      <c r="H8509">
        <v>1</v>
      </c>
      <c r="I8509">
        <v>747</v>
      </c>
      <c r="J8509" t="str">
        <f>HYPERLINK("https://climate.onebuilding.org/WMO_Region_6_Europe/NOR_Norway/TD_Trondelag/NOR_TD_Solendet.012870_TMYx.2009-2023.zip")</f>
        <v>https://climate.onebuilding.org/WMO_Region_6_Europe/NOR_Norway/TD_Trondelag/NOR_TD_Solendet.012870_TMYx.2009-2023.zip</v>
      </c>
    </row>
    <row r="8510" spans="1:10" x14ac:dyDescent="0.25">
      <c r="A8510" t="s">
        <v>4974</v>
      </c>
      <c r="B8510" t="s">
        <v>6086</v>
      </c>
      <c r="C8510" t="s">
        <v>6369</v>
      </c>
      <c r="D8510" s="1" t="s">
        <v>6370</v>
      </c>
      <c r="E8510" t="s">
        <v>14</v>
      </c>
      <c r="F8510">
        <v>62.679699999999997</v>
      </c>
      <c r="G8510">
        <v>11.816700000000001</v>
      </c>
      <c r="H8510">
        <v>1</v>
      </c>
      <c r="I8510">
        <v>747</v>
      </c>
      <c r="J8510" t="str">
        <f>HYPERLINK("https://climate.onebuilding.org/WMO_Region_6_Europe/NOR_Norway/TD_Trondelag/NOR_TD_Solendet.012870_TMYx.zip")</f>
        <v>https://climate.onebuilding.org/WMO_Region_6_Europe/NOR_Norway/TD_Trondelag/NOR_TD_Solendet.012870_TMYx.zip</v>
      </c>
    </row>
    <row r="8511" spans="1:10" x14ac:dyDescent="0.25">
      <c r="A8511" t="s">
        <v>4974</v>
      </c>
      <c r="B8511" t="s">
        <v>6086</v>
      </c>
      <c r="C8511" t="s">
        <v>6372</v>
      </c>
      <c r="D8511" s="1" t="s">
        <v>6373</v>
      </c>
      <c r="E8511" t="s">
        <v>6374</v>
      </c>
      <c r="F8511">
        <v>62.567</v>
      </c>
      <c r="G8511">
        <v>11.382999999999999</v>
      </c>
      <c r="H8511">
        <v>1</v>
      </c>
      <c r="I8511">
        <v>630</v>
      </c>
      <c r="J8511" t="str">
        <f>HYPERLINK("https://climate.onebuilding.org/WMO_Region_6_Europe/NOR_Norway/TD_Trondelag/NOR_TD_Roros.AP.012880_TMYx.2004-2018.zip")</f>
        <v>https://climate.onebuilding.org/WMO_Region_6_Europe/NOR_Norway/TD_Trondelag/NOR_TD_Roros.AP.012880_TMYx.2004-2018.zip</v>
      </c>
    </row>
    <row r="8512" spans="1:10" x14ac:dyDescent="0.25">
      <c r="A8512" t="s">
        <v>4974</v>
      </c>
      <c r="B8512" t="s">
        <v>6086</v>
      </c>
      <c r="C8512" t="s">
        <v>6372</v>
      </c>
      <c r="D8512" s="1" t="s">
        <v>6373</v>
      </c>
      <c r="E8512" t="s">
        <v>14</v>
      </c>
      <c r="F8512">
        <v>62.576999999999998</v>
      </c>
      <c r="G8512">
        <v>11.352</v>
      </c>
      <c r="H8512">
        <v>1</v>
      </c>
      <c r="I8512">
        <v>630</v>
      </c>
      <c r="J8512" t="str">
        <f>HYPERLINK("https://climate.onebuilding.org/WMO_Region_6_Europe/NOR_Norway/TD_Trondelag/NOR_TD_Roros.AP.012880_TMYx.2007-2021.zip")</f>
        <v>https://climate.onebuilding.org/WMO_Region_6_Europe/NOR_Norway/TD_Trondelag/NOR_TD_Roros.AP.012880_TMYx.2007-2021.zip</v>
      </c>
    </row>
    <row r="8513" spans="1:10" x14ac:dyDescent="0.25">
      <c r="A8513" t="s">
        <v>4974</v>
      </c>
      <c r="B8513" t="s">
        <v>6086</v>
      </c>
      <c r="C8513" t="s">
        <v>6372</v>
      </c>
      <c r="D8513" s="1" t="s">
        <v>6373</v>
      </c>
      <c r="E8513" t="s">
        <v>14</v>
      </c>
      <c r="F8513">
        <v>62.576999999999998</v>
      </c>
      <c r="G8513">
        <v>11.352</v>
      </c>
      <c r="H8513">
        <v>1</v>
      </c>
      <c r="I8513">
        <v>630</v>
      </c>
      <c r="J8513" t="str">
        <f>HYPERLINK("https://climate.onebuilding.org/WMO_Region_6_Europe/NOR_Norway/TD_Trondelag/NOR_TD_Roros.AP.012880_TMYx.2009-2023.zip")</f>
        <v>https://climate.onebuilding.org/WMO_Region_6_Europe/NOR_Norway/TD_Trondelag/NOR_TD_Roros.AP.012880_TMYx.2009-2023.zip</v>
      </c>
    </row>
    <row r="8514" spans="1:10" x14ac:dyDescent="0.25">
      <c r="A8514" t="s">
        <v>4974</v>
      </c>
      <c r="B8514" t="s">
        <v>6086</v>
      </c>
      <c r="C8514" t="s">
        <v>6372</v>
      </c>
      <c r="D8514" s="1" t="s">
        <v>6373</v>
      </c>
      <c r="E8514" t="s">
        <v>14</v>
      </c>
      <c r="F8514">
        <v>62.576999999999998</v>
      </c>
      <c r="G8514">
        <v>11.352</v>
      </c>
      <c r="H8514">
        <v>1</v>
      </c>
      <c r="I8514">
        <v>630</v>
      </c>
      <c r="J8514" t="str">
        <f>HYPERLINK("https://climate.onebuilding.org/WMO_Region_6_Europe/NOR_Norway/TD_Trondelag/NOR_TD_Roros.AP.012880_TMYx.zip")</f>
        <v>https://climate.onebuilding.org/WMO_Region_6_Europe/NOR_Norway/TD_Trondelag/NOR_TD_Roros.AP.012880_TMYx.zip</v>
      </c>
    </row>
    <row r="8515" spans="1:10" x14ac:dyDescent="0.25">
      <c r="A8515" t="s">
        <v>4974</v>
      </c>
      <c r="B8515" t="s">
        <v>6086</v>
      </c>
      <c r="C8515" t="s">
        <v>6375</v>
      </c>
      <c r="D8515" s="1" t="s">
        <v>6376</v>
      </c>
      <c r="E8515" t="s">
        <v>6377</v>
      </c>
      <c r="F8515">
        <v>64.470799999999997</v>
      </c>
      <c r="G8515">
        <v>11.570600000000001</v>
      </c>
      <c r="H8515">
        <v>1</v>
      </c>
      <c r="I8515">
        <v>2.1</v>
      </c>
      <c r="J8515" t="str">
        <f>HYPERLINK("https://climate.onebuilding.org/WMO_Region_6_Europe/NOR_Norway/TD_Trondelag/NOR_TD_Namsos.AP.012900_TMYx.2004-2018.zip")</f>
        <v>https://climate.onebuilding.org/WMO_Region_6_Europe/NOR_Norway/TD_Trondelag/NOR_TD_Namsos.AP.012900_TMYx.2004-2018.zip</v>
      </c>
    </row>
    <row r="8516" spans="1:10" x14ac:dyDescent="0.25">
      <c r="A8516" t="s">
        <v>4974</v>
      </c>
      <c r="B8516" t="s">
        <v>6086</v>
      </c>
      <c r="C8516" t="s">
        <v>6375</v>
      </c>
      <c r="D8516" s="1" t="s">
        <v>6376</v>
      </c>
      <c r="E8516" t="s">
        <v>14</v>
      </c>
      <c r="F8516">
        <v>64.470799999999997</v>
      </c>
      <c r="G8516">
        <v>11.570600000000001</v>
      </c>
      <c r="H8516">
        <v>1</v>
      </c>
      <c r="I8516">
        <v>2.1</v>
      </c>
      <c r="J8516" t="str">
        <f>HYPERLINK("https://climate.onebuilding.org/WMO_Region_6_Europe/NOR_Norway/TD_Trondelag/NOR_TD_Namsos.AP.012900_TMYx.2007-2021.zip")</f>
        <v>https://climate.onebuilding.org/WMO_Region_6_Europe/NOR_Norway/TD_Trondelag/NOR_TD_Namsos.AP.012900_TMYx.2007-2021.zip</v>
      </c>
    </row>
    <row r="8517" spans="1:10" x14ac:dyDescent="0.25">
      <c r="A8517" t="s">
        <v>4974</v>
      </c>
      <c r="B8517" t="s">
        <v>6086</v>
      </c>
      <c r="C8517" t="s">
        <v>6375</v>
      </c>
      <c r="D8517" s="1" t="s">
        <v>6376</v>
      </c>
      <c r="E8517" t="s">
        <v>14</v>
      </c>
      <c r="F8517">
        <v>64.470799999999997</v>
      </c>
      <c r="G8517">
        <v>11.570600000000001</v>
      </c>
      <c r="H8517">
        <v>1</v>
      </c>
      <c r="I8517">
        <v>2.1</v>
      </c>
      <c r="J8517" t="str">
        <f>HYPERLINK("https://climate.onebuilding.org/WMO_Region_6_Europe/NOR_Norway/TD_Trondelag/NOR_TD_Namsos.AP.012900_TMYx.2009-2023.zip")</f>
        <v>https://climate.onebuilding.org/WMO_Region_6_Europe/NOR_Norway/TD_Trondelag/NOR_TD_Namsos.AP.012900_TMYx.2009-2023.zip</v>
      </c>
    </row>
    <row r="8518" spans="1:10" x14ac:dyDescent="0.25">
      <c r="A8518" t="s">
        <v>4974</v>
      </c>
      <c r="B8518" t="s">
        <v>6086</v>
      </c>
      <c r="C8518" t="s">
        <v>6375</v>
      </c>
      <c r="D8518" s="1" t="s">
        <v>6376</v>
      </c>
      <c r="E8518" t="s">
        <v>14</v>
      </c>
      <c r="F8518">
        <v>64.470799999999997</v>
      </c>
      <c r="G8518">
        <v>11.570600000000001</v>
      </c>
      <c r="H8518">
        <v>1</v>
      </c>
      <c r="I8518">
        <v>2.1</v>
      </c>
      <c r="J8518" t="str">
        <f>HYPERLINK("https://climate.onebuilding.org/WMO_Region_6_Europe/NOR_Norway/TD_Trondelag/NOR_TD_Namsos.AP.012900_TMYx.zip")</f>
        <v>https://climate.onebuilding.org/WMO_Region_6_Europe/NOR_Norway/TD_Trondelag/NOR_TD_Namsos.AP.012900_TMYx.zip</v>
      </c>
    </row>
    <row r="8519" spans="1:10" x14ac:dyDescent="0.25">
      <c r="A8519" t="s">
        <v>4974</v>
      </c>
      <c r="B8519" t="s">
        <v>6086</v>
      </c>
      <c r="C8519" t="s">
        <v>6378</v>
      </c>
      <c r="D8519" s="1" t="s">
        <v>6379</v>
      </c>
      <c r="E8519" t="s">
        <v>6380</v>
      </c>
      <c r="F8519">
        <v>64.530799999999999</v>
      </c>
      <c r="G8519">
        <v>12.383599999999999</v>
      </c>
      <c r="H8519">
        <v>1</v>
      </c>
      <c r="I8519">
        <v>95</v>
      </c>
      <c r="J8519" t="str">
        <f>HYPERLINK("https://climate.onebuilding.org/WMO_Region_6_Europe/NOR_Norway/TD_Trondelag/NOR_TD_Gartland.012910_TMYx.2004-2018.zip")</f>
        <v>https://climate.onebuilding.org/WMO_Region_6_Europe/NOR_Norway/TD_Trondelag/NOR_TD_Gartland.012910_TMYx.2004-2018.zip</v>
      </c>
    </row>
    <row r="8520" spans="1:10" x14ac:dyDescent="0.25">
      <c r="A8520" t="s">
        <v>4974</v>
      </c>
      <c r="B8520" t="s">
        <v>6086</v>
      </c>
      <c r="C8520" t="s">
        <v>6378</v>
      </c>
      <c r="D8520" s="1" t="s">
        <v>6379</v>
      </c>
      <c r="E8520" t="s">
        <v>14</v>
      </c>
      <c r="F8520">
        <v>64.530799999999999</v>
      </c>
      <c r="G8520">
        <v>12.383599999999999</v>
      </c>
      <c r="H8520">
        <v>1</v>
      </c>
      <c r="I8520">
        <v>95</v>
      </c>
      <c r="J8520" t="str">
        <f>HYPERLINK("https://climate.onebuilding.org/WMO_Region_6_Europe/NOR_Norway/TD_Trondelag/NOR_TD_Gartland.012910_TMYx.2007-2021.zip")</f>
        <v>https://climate.onebuilding.org/WMO_Region_6_Europe/NOR_Norway/TD_Trondelag/NOR_TD_Gartland.012910_TMYx.2007-2021.zip</v>
      </c>
    </row>
    <row r="8521" spans="1:10" x14ac:dyDescent="0.25">
      <c r="A8521" t="s">
        <v>4974</v>
      </c>
      <c r="B8521" t="s">
        <v>6086</v>
      </c>
      <c r="C8521" t="s">
        <v>6378</v>
      </c>
      <c r="D8521" s="1" t="s">
        <v>6379</v>
      </c>
      <c r="E8521" t="s">
        <v>14</v>
      </c>
      <c r="F8521">
        <v>64.530799999999999</v>
      </c>
      <c r="G8521">
        <v>12.383599999999999</v>
      </c>
      <c r="H8521">
        <v>1</v>
      </c>
      <c r="I8521">
        <v>95</v>
      </c>
      <c r="J8521" t="str">
        <f>HYPERLINK("https://climate.onebuilding.org/WMO_Region_6_Europe/NOR_Norway/TD_Trondelag/NOR_TD_Gartland.012910_TMYx.2009-2023.zip")</f>
        <v>https://climate.onebuilding.org/WMO_Region_6_Europe/NOR_Norway/TD_Trondelag/NOR_TD_Gartland.012910_TMYx.2009-2023.zip</v>
      </c>
    </row>
    <row r="8522" spans="1:10" x14ac:dyDescent="0.25">
      <c r="A8522" t="s">
        <v>4974</v>
      </c>
      <c r="B8522" t="s">
        <v>6086</v>
      </c>
      <c r="C8522" t="s">
        <v>6378</v>
      </c>
      <c r="D8522" s="1" t="s">
        <v>6379</v>
      </c>
      <c r="E8522" t="s">
        <v>14</v>
      </c>
      <c r="F8522">
        <v>64.530799999999999</v>
      </c>
      <c r="G8522">
        <v>12.383599999999999</v>
      </c>
      <c r="H8522">
        <v>1</v>
      </c>
      <c r="I8522">
        <v>95</v>
      </c>
      <c r="J8522" t="str">
        <f>HYPERLINK("https://climate.onebuilding.org/WMO_Region_6_Europe/NOR_Norway/TD_Trondelag/NOR_TD_Gartland.012910_TMYx.zip")</f>
        <v>https://climate.onebuilding.org/WMO_Region_6_Europe/NOR_Norway/TD_Trondelag/NOR_TD_Gartland.012910_TMYx.zip</v>
      </c>
    </row>
    <row r="8523" spans="1:10" x14ac:dyDescent="0.25">
      <c r="A8523" t="s">
        <v>4974</v>
      </c>
      <c r="B8523" t="s">
        <v>6086</v>
      </c>
      <c r="C8523" t="s">
        <v>6381</v>
      </c>
      <c r="D8523" s="1" t="s">
        <v>6382</v>
      </c>
      <c r="E8523" t="s">
        <v>6383</v>
      </c>
      <c r="F8523">
        <v>63.4114</v>
      </c>
      <c r="G8523">
        <v>11.727499999999999</v>
      </c>
      <c r="H8523">
        <v>1</v>
      </c>
      <c r="I8523">
        <v>170</v>
      </c>
      <c r="J8523" t="str">
        <f>HYPERLINK("https://climate.onebuilding.org/WMO_Region_6_Europe/NOR_Norway/TD_Trondelag/NOR_TD_Meraker-Egge.012930_TMYx.2004-2018.zip")</f>
        <v>https://climate.onebuilding.org/WMO_Region_6_Europe/NOR_Norway/TD_Trondelag/NOR_TD_Meraker-Egge.012930_TMYx.2004-2018.zip</v>
      </c>
    </row>
    <row r="8524" spans="1:10" x14ac:dyDescent="0.25">
      <c r="A8524" t="s">
        <v>4974</v>
      </c>
      <c r="B8524" t="s">
        <v>6086</v>
      </c>
      <c r="C8524" t="s">
        <v>6381</v>
      </c>
      <c r="D8524" s="1" t="s">
        <v>6382</v>
      </c>
      <c r="E8524" t="s">
        <v>14</v>
      </c>
      <c r="F8524">
        <v>63.4114</v>
      </c>
      <c r="G8524">
        <v>11.727499999999999</v>
      </c>
      <c r="H8524">
        <v>1</v>
      </c>
      <c r="I8524">
        <v>170</v>
      </c>
      <c r="J8524" t="str">
        <f>HYPERLINK("https://climate.onebuilding.org/WMO_Region_6_Europe/NOR_Norway/TD_Trondelag/NOR_TD_Meraker-Egge.012930_TMYx.2007-2021.zip")</f>
        <v>https://climate.onebuilding.org/WMO_Region_6_Europe/NOR_Norway/TD_Trondelag/NOR_TD_Meraker-Egge.012930_TMYx.2007-2021.zip</v>
      </c>
    </row>
    <row r="8525" spans="1:10" x14ac:dyDescent="0.25">
      <c r="A8525" t="s">
        <v>4974</v>
      </c>
      <c r="B8525" t="s">
        <v>6086</v>
      </c>
      <c r="C8525" t="s">
        <v>6381</v>
      </c>
      <c r="D8525" s="1" t="s">
        <v>6382</v>
      </c>
      <c r="E8525" t="s">
        <v>14</v>
      </c>
      <c r="F8525">
        <v>63.4114</v>
      </c>
      <c r="G8525">
        <v>11.727499999999999</v>
      </c>
      <c r="H8525">
        <v>1</v>
      </c>
      <c r="I8525">
        <v>170</v>
      </c>
      <c r="J8525" t="str">
        <f>HYPERLINK("https://climate.onebuilding.org/WMO_Region_6_Europe/NOR_Norway/TD_Trondelag/NOR_TD_Meraker-Egge.012930_TMYx.2009-2023.zip")</f>
        <v>https://climate.onebuilding.org/WMO_Region_6_Europe/NOR_Norway/TD_Trondelag/NOR_TD_Meraker-Egge.012930_TMYx.2009-2023.zip</v>
      </c>
    </row>
    <row r="8526" spans="1:10" x14ac:dyDescent="0.25">
      <c r="A8526" t="s">
        <v>4974</v>
      </c>
      <c r="B8526" t="s">
        <v>6086</v>
      </c>
      <c r="C8526" t="s">
        <v>6381</v>
      </c>
      <c r="D8526" s="1" t="s">
        <v>6382</v>
      </c>
      <c r="E8526" t="s">
        <v>14</v>
      </c>
      <c r="F8526">
        <v>63.4114</v>
      </c>
      <c r="G8526">
        <v>11.727499999999999</v>
      </c>
      <c r="H8526">
        <v>1</v>
      </c>
      <c r="I8526">
        <v>170</v>
      </c>
      <c r="J8526" t="str">
        <f>HYPERLINK("https://climate.onebuilding.org/WMO_Region_6_Europe/NOR_Norway/TD_Trondelag/NOR_TD_Meraker-Egge.012930_TMYx.zip")</f>
        <v>https://climate.onebuilding.org/WMO_Region_6_Europe/NOR_Norway/TD_Trondelag/NOR_TD_Meraker-Egge.012930_TMYx.zip</v>
      </c>
    </row>
    <row r="8527" spans="1:10" x14ac:dyDescent="0.25">
      <c r="A8527" t="s">
        <v>4974</v>
      </c>
      <c r="B8527" t="s">
        <v>6086</v>
      </c>
      <c r="C8527" t="s">
        <v>6384</v>
      </c>
      <c r="D8527" s="1" t="s">
        <v>6385</v>
      </c>
      <c r="E8527" t="s">
        <v>14</v>
      </c>
      <c r="F8527">
        <v>64.626199999999997</v>
      </c>
      <c r="G8527">
        <v>12.296200000000001</v>
      </c>
      <c r="H8527">
        <v>1</v>
      </c>
      <c r="I8527">
        <v>54</v>
      </c>
      <c r="J8527" t="str">
        <f>HYPERLINK("https://climate.onebuilding.org/WMO_Region_6_Europe/NOR_Norway/TD_Trondelag/NOR_TD_Hoylandet.012950_TMYx.zip")</f>
        <v>https://climate.onebuilding.org/WMO_Region_6_Europe/NOR_Norway/TD_Trondelag/NOR_TD_Hoylandet.012950_TMYx.zip</v>
      </c>
    </row>
    <row r="8528" spans="1:10" x14ac:dyDescent="0.25">
      <c r="A8528" t="s">
        <v>4974</v>
      </c>
      <c r="B8528" t="s">
        <v>6086</v>
      </c>
      <c r="C8528" t="s">
        <v>6386</v>
      </c>
      <c r="D8528" s="1" t="s">
        <v>6387</v>
      </c>
      <c r="E8528" t="s">
        <v>6388</v>
      </c>
      <c r="F8528">
        <v>64.445599999999999</v>
      </c>
      <c r="G8528">
        <v>13.7178</v>
      </c>
      <c r="H8528">
        <v>1</v>
      </c>
      <c r="I8528">
        <v>433</v>
      </c>
      <c r="J8528" t="str">
        <f>HYPERLINK("https://climate.onebuilding.org/WMO_Region_6_Europe/NOR_Norway/TD_Trondelag/NOR_TD_Nordli-Holand.012980_TMYx.2004-2018.zip")</f>
        <v>https://climate.onebuilding.org/WMO_Region_6_Europe/NOR_Norway/TD_Trondelag/NOR_TD_Nordli-Holand.012980_TMYx.2004-2018.zip</v>
      </c>
    </row>
    <row r="8529" spans="1:10" x14ac:dyDescent="0.25">
      <c r="A8529" t="s">
        <v>4974</v>
      </c>
      <c r="B8529" t="s">
        <v>6086</v>
      </c>
      <c r="C8529" t="s">
        <v>6386</v>
      </c>
      <c r="D8529" s="1" t="s">
        <v>6387</v>
      </c>
      <c r="E8529" t="s">
        <v>14</v>
      </c>
      <c r="F8529">
        <v>64.445599999999999</v>
      </c>
      <c r="G8529">
        <v>13.7178</v>
      </c>
      <c r="H8529">
        <v>1</v>
      </c>
      <c r="I8529">
        <v>433</v>
      </c>
      <c r="J8529" t="str">
        <f>HYPERLINK("https://climate.onebuilding.org/WMO_Region_6_Europe/NOR_Norway/TD_Trondelag/NOR_TD_Nordli-Holand.012980_TMYx.2007-2021.zip")</f>
        <v>https://climate.onebuilding.org/WMO_Region_6_Europe/NOR_Norway/TD_Trondelag/NOR_TD_Nordli-Holand.012980_TMYx.2007-2021.zip</v>
      </c>
    </row>
    <row r="8530" spans="1:10" x14ac:dyDescent="0.25">
      <c r="A8530" t="s">
        <v>4974</v>
      </c>
      <c r="B8530" t="s">
        <v>6086</v>
      </c>
      <c r="C8530" t="s">
        <v>6386</v>
      </c>
      <c r="D8530" s="1" t="s">
        <v>6387</v>
      </c>
      <c r="E8530" t="s">
        <v>14</v>
      </c>
      <c r="F8530">
        <v>64.445599999999999</v>
      </c>
      <c r="G8530">
        <v>13.7178</v>
      </c>
      <c r="H8530">
        <v>1</v>
      </c>
      <c r="I8530">
        <v>433</v>
      </c>
      <c r="J8530" t="str">
        <f>HYPERLINK("https://climate.onebuilding.org/WMO_Region_6_Europe/NOR_Norway/TD_Trondelag/NOR_TD_Nordli-Holand.012980_TMYx.2009-2023.zip")</f>
        <v>https://climate.onebuilding.org/WMO_Region_6_Europe/NOR_Norway/TD_Trondelag/NOR_TD_Nordli-Holand.012980_TMYx.2009-2023.zip</v>
      </c>
    </row>
    <row r="8531" spans="1:10" x14ac:dyDescent="0.25">
      <c r="A8531" t="s">
        <v>4974</v>
      </c>
      <c r="B8531" t="s">
        <v>6086</v>
      </c>
      <c r="C8531" t="s">
        <v>6386</v>
      </c>
      <c r="D8531" s="1" t="s">
        <v>6387</v>
      </c>
      <c r="E8531" t="s">
        <v>14</v>
      </c>
      <c r="F8531">
        <v>64.445599999999999</v>
      </c>
      <c r="G8531">
        <v>13.7178</v>
      </c>
      <c r="H8531">
        <v>1</v>
      </c>
      <c r="I8531">
        <v>433</v>
      </c>
      <c r="J8531" t="str">
        <f>HYPERLINK("https://climate.onebuilding.org/WMO_Region_6_Europe/NOR_Norway/TD_Trondelag/NOR_TD_Nordli-Holand.012980_TMYx.zip")</f>
        <v>https://climate.onebuilding.org/WMO_Region_6_Europe/NOR_Norway/TD_Trondelag/NOR_TD_Nordli-Holand.012980_TMYx.zip</v>
      </c>
    </row>
    <row r="8532" spans="1:10" x14ac:dyDescent="0.25">
      <c r="A8532" t="s">
        <v>4974</v>
      </c>
      <c r="B8532" t="s">
        <v>527</v>
      </c>
      <c r="C8532" t="s">
        <v>6389</v>
      </c>
      <c r="D8532" s="1" t="s">
        <v>6390</v>
      </c>
      <c r="E8532" t="s">
        <v>6391</v>
      </c>
      <c r="F8532">
        <v>61.5717</v>
      </c>
      <c r="G8532">
        <v>4.6817000000000002</v>
      </c>
      <c r="H8532">
        <v>0</v>
      </c>
      <c r="I8532">
        <v>25.3</v>
      </c>
      <c r="J8532" t="str">
        <f>HYPERLINK("https://climate.onebuilding.org/WMO_Region_6_Europe/NOR_Norway/SF_Sogn_og_Fjordane/NOR_SF_Ytteroyane.Lighthouse.013040_TMYx.2004-2018.zip")</f>
        <v>https://climate.onebuilding.org/WMO_Region_6_Europe/NOR_Norway/SF_Sogn_og_Fjordane/NOR_SF_Ytteroyane.Lighthouse.013040_TMYx.2004-2018.zip</v>
      </c>
    </row>
    <row r="8533" spans="1:10" x14ac:dyDescent="0.25">
      <c r="A8533" t="s">
        <v>4974</v>
      </c>
      <c r="B8533" t="s">
        <v>527</v>
      </c>
      <c r="C8533" t="s">
        <v>6389</v>
      </c>
      <c r="D8533" s="1" t="s">
        <v>6390</v>
      </c>
      <c r="E8533" t="s">
        <v>14</v>
      </c>
      <c r="F8533">
        <v>61.5717</v>
      </c>
      <c r="G8533">
        <v>4.6817000000000002</v>
      </c>
      <c r="H8533">
        <v>0</v>
      </c>
      <c r="I8533">
        <v>25.3</v>
      </c>
      <c r="J8533" t="str">
        <f>HYPERLINK("https://climate.onebuilding.org/WMO_Region_6_Europe/NOR_Norway/SF_Sogn_og_Fjordane/NOR_SF_Ytteroyane.Lighthouse.013040_TMYx.2007-2021.zip")</f>
        <v>https://climate.onebuilding.org/WMO_Region_6_Europe/NOR_Norway/SF_Sogn_og_Fjordane/NOR_SF_Ytteroyane.Lighthouse.013040_TMYx.2007-2021.zip</v>
      </c>
    </row>
    <row r="8534" spans="1:10" x14ac:dyDescent="0.25">
      <c r="A8534" t="s">
        <v>4974</v>
      </c>
      <c r="B8534" t="s">
        <v>527</v>
      </c>
      <c r="C8534" t="s">
        <v>6389</v>
      </c>
      <c r="D8534" s="1" t="s">
        <v>6390</v>
      </c>
      <c r="E8534" t="s">
        <v>14</v>
      </c>
      <c r="F8534">
        <v>61.5717</v>
      </c>
      <c r="G8534">
        <v>4.6817000000000002</v>
      </c>
      <c r="H8534">
        <v>0</v>
      </c>
      <c r="I8534">
        <v>25.3</v>
      </c>
      <c r="J8534" t="str">
        <f>HYPERLINK("https://climate.onebuilding.org/WMO_Region_6_Europe/NOR_Norway/SF_Sogn_og_Fjordane/NOR_SF_Ytteroyane.Lighthouse.013040_TMYx.2009-2023.zip")</f>
        <v>https://climate.onebuilding.org/WMO_Region_6_Europe/NOR_Norway/SF_Sogn_og_Fjordane/NOR_SF_Ytteroyane.Lighthouse.013040_TMYx.2009-2023.zip</v>
      </c>
    </row>
    <row r="8535" spans="1:10" x14ac:dyDescent="0.25">
      <c r="A8535" t="s">
        <v>4974</v>
      </c>
      <c r="B8535" t="s">
        <v>527</v>
      </c>
      <c r="C8535" t="s">
        <v>6389</v>
      </c>
      <c r="D8535" s="1" t="s">
        <v>6390</v>
      </c>
      <c r="E8535" t="s">
        <v>14</v>
      </c>
      <c r="F8535">
        <v>61.5717</v>
      </c>
      <c r="G8535">
        <v>4.6817000000000002</v>
      </c>
      <c r="H8535">
        <v>0</v>
      </c>
      <c r="I8535">
        <v>25.3</v>
      </c>
      <c r="J8535" t="str">
        <f>HYPERLINK("https://climate.onebuilding.org/WMO_Region_6_Europe/NOR_Norway/SF_Sogn_og_Fjordane/NOR_SF_Ytteroyane.Lighthouse.013040_TMYx.zip")</f>
        <v>https://climate.onebuilding.org/WMO_Region_6_Europe/NOR_Norway/SF_Sogn_og_Fjordane/NOR_SF_Ytteroyane.Lighthouse.013040_TMYx.zip</v>
      </c>
    </row>
    <row r="8536" spans="1:10" x14ac:dyDescent="0.25">
      <c r="A8536" t="s">
        <v>4974</v>
      </c>
      <c r="B8536" t="s">
        <v>681</v>
      </c>
      <c r="C8536" t="s">
        <v>6392</v>
      </c>
      <c r="D8536" s="1" t="s">
        <v>6393</v>
      </c>
      <c r="E8536" t="s">
        <v>14</v>
      </c>
      <c r="F8536">
        <v>60.752099999999999</v>
      </c>
      <c r="G8536">
        <v>4.7107000000000001</v>
      </c>
      <c r="H8536">
        <v>0</v>
      </c>
      <c r="I8536">
        <v>23</v>
      </c>
      <c r="J8536" t="str">
        <f>HYPERLINK("https://climate.onebuilding.org/WMO_Region_6_Europe/NOR_Norway/HO_Hordaland/NOR_HO_Hellisoy.Lighthouse.013060_TMYx.zip")</f>
        <v>https://climate.onebuilding.org/WMO_Region_6_Europe/NOR_Norway/HO_Hordaland/NOR_HO_Hellisoy.Lighthouse.013060_TMYx.zip</v>
      </c>
    </row>
    <row r="8537" spans="1:10" x14ac:dyDescent="0.25">
      <c r="A8537" t="s">
        <v>4974</v>
      </c>
      <c r="B8537" t="s">
        <v>681</v>
      </c>
      <c r="C8537" t="s">
        <v>6394</v>
      </c>
      <c r="D8537" s="1" t="s">
        <v>6395</v>
      </c>
      <c r="E8537" t="s">
        <v>6396</v>
      </c>
      <c r="F8537">
        <v>60.78</v>
      </c>
      <c r="G8537">
        <v>4.7196999999999996</v>
      </c>
      <c r="H8537">
        <v>0</v>
      </c>
      <c r="I8537">
        <v>20</v>
      </c>
      <c r="J8537" t="str">
        <f>HYPERLINK("https://climate.onebuilding.org/WMO_Region_6_Europe/NOR_Norway/HO_Hordaland/NOR_HO_Fedje.013070_TMYx.2004-2018.zip")</f>
        <v>https://climate.onebuilding.org/WMO_Region_6_Europe/NOR_Norway/HO_Hordaland/NOR_HO_Fedje.013070_TMYx.2004-2018.zip</v>
      </c>
    </row>
    <row r="8538" spans="1:10" x14ac:dyDescent="0.25">
      <c r="A8538" t="s">
        <v>4974</v>
      </c>
      <c r="B8538" t="s">
        <v>681</v>
      </c>
      <c r="C8538" t="s">
        <v>6394</v>
      </c>
      <c r="D8538" s="1" t="s">
        <v>6395</v>
      </c>
      <c r="E8538" t="s">
        <v>14</v>
      </c>
      <c r="F8538">
        <v>60.78</v>
      </c>
      <c r="G8538">
        <v>4.7196999999999996</v>
      </c>
      <c r="H8538">
        <v>0</v>
      </c>
      <c r="I8538">
        <v>20</v>
      </c>
      <c r="J8538" t="str">
        <f>HYPERLINK("https://climate.onebuilding.org/WMO_Region_6_Europe/NOR_Norway/HO_Hordaland/NOR_HO_Fedje.013070_TMYx.2007-2021.zip")</f>
        <v>https://climate.onebuilding.org/WMO_Region_6_Europe/NOR_Norway/HO_Hordaland/NOR_HO_Fedje.013070_TMYx.2007-2021.zip</v>
      </c>
    </row>
    <row r="8539" spans="1:10" x14ac:dyDescent="0.25">
      <c r="A8539" t="s">
        <v>4974</v>
      </c>
      <c r="B8539" t="s">
        <v>681</v>
      </c>
      <c r="C8539" t="s">
        <v>6394</v>
      </c>
      <c r="D8539" s="1" t="s">
        <v>6395</v>
      </c>
      <c r="E8539" t="s">
        <v>14</v>
      </c>
      <c r="F8539">
        <v>60.78</v>
      </c>
      <c r="G8539">
        <v>4.7196999999999996</v>
      </c>
      <c r="H8539">
        <v>0</v>
      </c>
      <c r="I8539">
        <v>20</v>
      </c>
      <c r="J8539" t="str">
        <f>HYPERLINK("https://climate.onebuilding.org/WMO_Region_6_Europe/NOR_Norway/HO_Hordaland/NOR_HO_Fedje.013070_TMYx.2009-2023.zip")</f>
        <v>https://climate.onebuilding.org/WMO_Region_6_Europe/NOR_Norway/HO_Hordaland/NOR_HO_Fedje.013070_TMYx.2009-2023.zip</v>
      </c>
    </row>
    <row r="8540" spans="1:10" x14ac:dyDescent="0.25">
      <c r="A8540" t="s">
        <v>4974</v>
      </c>
      <c r="B8540" t="s">
        <v>681</v>
      </c>
      <c r="C8540" t="s">
        <v>6394</v>
      </c>
      <c r="D8540" s="1" t="s">
        <v>6395</v>
      </c>
      <c r="E8540" t="s">
        <v>14</v>
      </c>
      <c r="F8540">
        <v>60.78</v>
      </c>
      <c r="G8540">
        <v>4.7196999999999996</v>
      </c>
      <c r="H8540">
        <v>0</v>
      </c>
      <c r="I8540">
        <v>20</v>
      </c>
      <c r="J8540" t="str">
        <f>HYPERLINK("https://climate.onebuilding.org/WMO_Region_6_Europe/NOR_Norway/HO_Hordaland/NOR_HO_Fedje.013070_TMYx.zip")</f>
        <v>https://climate.onebuilding.org/WMO_Region_6_Europe/NOR_Norway/HO_Hordaland/NOR_HO_Fedje.013070_TMYx.zip</v>
      </c>
    </row>
    <row r="8541" spans="1:10" x14ac:dyDescent="0.25">
      <c r="A8541" t="s">
        <v>4974</v>
      </c>
      <c r="B8541" t="s">
        <v>527</v>
      </c>
      <c r="C8541" t="s">
        <v>6397</v>
      </c>
      <c r="D8541" s="1" t="s">
        <v>6398</v>
      </c>
      <c r="E8541" t="s">
        <v>6399</v>
      </c>
      <c r="F8541">
        <v>61.2928</v>
      </c>
      <c r="G8541">
        <v>5.0444000000000004</v>
      </c>
      <c r="H8541">
        <v>0</v>
      </c>
      <c r="I8541">
        <v>7</v>
      </c>
      <c r="J8541" t="str">
        <f>HYPERLINK("https://climate.onebuilding.org/WMO_Region_6_Europe/NOR_Norway/SF_Sogn_og_Fjordane/NOR_SF_Furuneset.013080_TMYx.2004-2018.zip")</f>
        <v>https://climate.onebuilding.org/WMO_Region_6_Europe/NOR_Norway/SF_Sogn_og_Fjordane/NOR_SF_Furuneset.013080_TMYx.2004-2018.zip</v>
      </c>
    </row>
    <row r="8542" spans="1:10" x14ac:dyDescent="0.25">
      <c r="A8542" t="s">
        <v>4974</v>
      </c>
      <c r="B8542" t="s">
        <v>527</v>
      </c>
      <c r="C8542" t="s">
        <v>6397</v>
      </c>
      <c r="D8542" s="1" t="s">
        <v>6398</v>
      </c>
      <c r="E8542" t="s">
        <v>14</v>
      </c>
      <c r="F8542">
        <v>61.2928</v>
      </c>
      <c r="G8542">
        <v>5.0444000000000004</v>
      </c>
      <c r="H8542">
        <v>0</v>
      </c>
      <c r="I8542">
        <v>7</v>
      </c>
      <c r="J8542" t="str">
        <f>HYPERLINK("https://climate.onebuilding.org/WMO_Region_6_Europe/NOR_Norway/SF_Sogn_og_Fjordane/NOR_SF_Furuneset.013080_TMYx.2007-2021.zip")</f>
        <v>https://climate.onebuilding.org/WMO_Region_6_Europe/NOR_Norway/SF_Sogn_og_Fjordane/NOR_SF_Furuneset.013080_TMYx.2007-2021.zip</v>
      </c>
    </row>
    <row r="8543" spans="1:10" x14ac:dyDescent="0.25">
      <c r="A8543" t="s">
        <v>4974</v>
      </c>
      <c r="B8543" t="s">
        <v>527</v>
      </c>
      <c r="C8543" t="s">
        <v>6397</v>
      </c>
      <c r="D8543" s="1" t="s">
        <v>6398</v>
      </c>
      <c r="E8543" t="s">
        <v>14</v>
      </c>
      <c r="F8543">
        <v>61.2928</v>
      </c>
      <c r="G8543">
        <v>5.0444000000000004</v>
      </c>
      <c r="H8543">
        <v>0</v>
      </c>
      <c r="I8543">
        <v>7</v>
      </c>
      <c r="J8543" t="str">
        <f>HYPERLINK("https://climate.onebuilding.org/WMO_Region_6_Europe/NOR_Norway/SF_Sogn_og_Fjordane/NOR_SF_Furuneset.013080_TMYx.2009-2023.zip")</f>
        <v>https://climate.onebuilding.org/WMO_Region_6_Europe/NOR_Norway/SF_Sogn_og_Fjordane/NOR_SF_Furuneset.013080_TMYx.2009-2023.zip</v>
      </c>
    </row>
    <row r="8544" spans="1:10" x14ac:dyDescent="0.25">
      <c r="A8544" t="s">
        <v>4974</v>
      </c>
      <c r="B8544" t="s">
        <v>527</v>
      </c>
      <c r="C8544" t="s">
        <v>6397</v>
      </c>
      <c r="D8544" s="1" t="s">
        <v>6398</v>
      </c>
      <c r="E8544" t="s">
        <v>14</v>
      </c>
      <c r="F8544">
        <v>61.2928</v>
      </c>
      <c r="G8544">
        <v>5.0444000000000004</v>
      </c>
      <c r="H8544">
        <v>0</v>
      </c>
      <c r="I8544">
        <v>7</v>
      </c>
      <c r="J8544" t="str">
        <f>HYPERLINK("https://climate.onebuilding.org/WMO_Region_6_Europe/NOR_Norway/SF_Sogn_og_Fjordane/NOR_SF_Furuneset.013080_TMYx.zip")</f>
        <v>https://climate.onebuilding.org/WMO_Region_6_Europe/NOR_Norway/SF_Sogn_og_Fjordane/NOR_SF_Furuneset.013080_TMYx.zip</v>
      </c>
    </row>
    <row r="8545" spans="1:10" x14ac:dyDescent="0.25">
      <c r="A8545" t="s">
        <v>4974</v>
      </c>
      <c r="B8545" t="s">
        <v>527</v>
      </c>
      <c r="C8545" t="s">
        <v>6400</v>
      </c>
      <c r="D8545" s="1" t="s">
        <v>6401</v>
      </c>
      <c r="E8545" t="s">
        <v>14</v>
      </c>
      <c r="F8545">
        <v>61.566800000000001</v>
      </c>
      <c r="G8545">
        <v>4.7656999999999998</v>
      </c>
      <c r="H8545">
        <v>0</v>
      </c>
      <c r="I8545">
        <v>10</v>
      </c>
      <c r="J8545" t="str">
        <f>HYPERLINK("https://climate.onebuilding.org/WMO_Region_6_Europe/NOR_Norway/SF_Sogn_og_Fjordane/NOR_SF_Kinn.Island.013090_TMYx.zip")</f>
        <v>https://climate.onebuilding.org/WMO_Region_6_Europe/NOR_Norway/SF_Sogn_og_Fjordane/NOR_SF_Kinn.Island.013090_TMYx.zip</v>
      </c>
    </row>
    <row r="8546" spans="1:10" x14ac:dyDescent="0.25">
      <c r="A8546" t="s">
        <v>4974</v>
      </c>
      <c r="B8546" t="s">
        <v>527</v>
      </c>
      <c r="C8546" t="s">
        <v>6402</v>
      </c>
      <c r="D8546" s="1" t="s">
        <v>6403</v>
      </c>
      <c r="E8546" t="s">
        <v>6404</v>
      </c>
      <c r="F8546">
        <v>61.582999999999998</v>
      </c>
      <c r="G8546">
        <v>5.0278</v>
      </c>
      <c r="H8546">
        <v>0</v>
      </c>
      <c r="I8546">
        <v>11.3</v>
      </c>
      <c r="J8546" t="str">
        <f>HYPERLINK("https://climate.onebuilding.org/WMO_Region_6_Europe/NOR_Norway/SF_Sogn_og_Fjordane/NOR_SF_Floro.AP.013100_TMYx.2004-2018.zip")</f>
        <v>https://climate.onebuilding.org/WMO_Region_6_Europe/NOR_Norway/SF_Sogn_og_Fjordane/NOR_SF_Floro.AP.013100_TMYx.2004-2018.zip</v>
      </c>
    </row>
    <row r="8547" spans="1:10" x14ac:dyDescent="0.25">
      <c r="A8547" t="s">
        <v>4974</v>
      </c>
      <c r="B8547" t="s">
        <v>527</v>
      </c>
      <c r="C8547" t="s">
        <v>6402</v>
      </c>
      <c r="D8547" s="1" t="s">
        <v>6403</v>
      </c>
      <c r="E8547" t="s">
        <v>14</v>
      </c>
      <c r="F8547">
        <v>61.582999999999998</v>
      </c>
      <c r="G8547">
        <v>5.0278</v>
      </c>
      <c r="H8547">
        <v>0</v>
      </c>
      <c r="I8547">
        <v>11.3</v>
      </c>
      <c r="J8547" t="str">
        <f>HYPERLINK("https://climate.onebuilding.org/WMO_Region_6_Europe/NOR_Norway/SF_Sogn_og_Fjordane/NOR_SF_Floro.AP.013100_TMYx.2007-2021.zip")</f>
        <v>https://climate.onebuilding.org/WMO_Region_6_Europe/NOR_Norway/SF_Sogn_og_Fjordane/NOR_SF_Floro.AP.013100_TMYx.2007-2021.zip</v>
      </c>
    </row>
    <row r="8548" spans="1:10" x14ac:dyDescent="0.25">
      <c r="A8548" t="s">
        <v>4974</v>
      </c>
      <c r="B8548" t="s">
        <v>527</v>
      </c>
      <c r="C8548" t="s">
        <v>6402</v>
      </c>
      <c r="D8548" s="1" t="s">
        <v>6403</v>
      </c>
      <c r="E8548" t="s">
        <v>14</v>
      </c>
      <c r="F8548">
        <v>61.582999999999998</v>
      </c>
      <c r="G8548">
        <v>5.0278</v>
      </c>
      <c r="H8548">
        <v>0</v>
      </c>
      <c r="I8548">
        <v>11.3</v>
      </c>
      <c r="J8548" t="str">
        <f>HYPERLINK("https://climate.onebuilding.org/WMO_Region_6_Europe/NOR_Norway/SF_Sogn_og_Fjordane/NOR_SF_Floro.AP.013100_TMYx.2009-2023.zip")</f>
        <v>https://climate.onebuilding.org/WMO_Region_6_Europe/NOR_Norway/SF_Sogn_og_Fjordane/NOR_SF_Floro.AP.013100_TMYx.2009-2023.zip</v>
      </c>
    </row>
    <row r="8549" spans="1:10" x14ac:dyDescent="0.25">
      <c r="A8549" t="s">
        <v>4974</v>
      </c>
      <c r="B8549" t="s">
        <v>527</v>
      </c>
      <c r="C8549" t="s">
        <v>6402</v>
      </c>
      <c r="D8549" s="1" t="s">
        <v>6403</v>
      </c>
      <c r="E8549" t="s">
        <v>14</v>
      </c>
      <c r="F8549">
        <v>61.582999999999998</v>
      </c>
      <c r="G8549">
        <v>5.0278</v>
      </c>
      <c r="H8549">
        <v>0</v>
      </c>
      <c r="I8549">
        <v>11.3</v>
      </c>
      <c r="J8549" t="str">
        <f>HYPERLINK("https://climate.onebuilding.org/WMO_Region_6_Europe/NOR_Norway/SF_Sogn_og_Fjordane/NOR_SF_Floro.AP.013100_TMYx.zip")</f>
        <v>https://climate.onebuilding.org/WMO_Region_6_Europe/NOR_Norway/SF_Sogn_og_Fjordane/NOR_SF_Floro.AP.013100_TMYx.zip</v>
      </c>
    </row>
    <row r="8550" spans="1:10" x14ac:dyDescent="0.25">
      <c r="A8550" t="s">
        <v>4974</v>
      </c>
      <c r="B8550" t="s">
        <v>681</v>
      </c>
      <c r="C8550" t="s">
        <v>6405</v>
      </c>
      <c r="D8550" s="1" t="s">
        <v>6406</v>
      </c>
      <c r="E8550" t="s">
        <v>6407</v>
      </c>
      <c r="F8550">
        <v>60.289200000000001</v>
      </c>
      <c r="G8550">
        <v>5.2263999999999999</v>
      </c>
      <c r="H8550">
        <v>0</v>
      </c>
      <c r="I8550">
        <v>50.3</v>
      </c>
      <c r="J8550" t="str">
        <f>HYPERLINK("https://climate.onebuilding.org/WMO_Region_6_Europe/NOR_Norway/HO_Hordaland/NOR_HO_Bergen.AP-Flesland.013110_TMYx.2004-2018.zip")</f>
        <v>https://climate.onebuilding.org/WMO_Region_6_Europe/NOR_Norway/HO_Hordaland/NOR_HO_Bergen.AP-Flesland.013110_TMYx.2004-2018.zip</v>
      </c>
    </row>
    <row r="8551" spans="1:10" x14ac:dyDescent="0.25">
      <c r="A8551" t="s">
        <v>4974</v>
      </c>
      <c r="B8551" t="s">
        <v>681</v>
      </c>
      <c r="C8551" t="s">
        <v>6405</v>
      </c>
      <c r="D8551" s="1" t="s">
        <v>6406</v>
      </c>
      <c r="E8551" t="s">
        <v>14</v>
      </c>
      <c r="F8551">
        <v>60.289200000000001</v>
      </c>
      <c r="G8551">
        <v>5.2263999999999999</v>
      </c>
      <c r="H8551">
        <v>0</v>
      </c>
      <c r="I8551">
        <v>50.3</v>
      </c>
      <c r="J8551" t="str">
        <f>HYPERLINK("https://climate.onebuilding.org/WMO_Region_6_Europe/NOR_Norway/HO_Hordaland/NOR_HO_Bergen.AP-Flesland.013110_TMYx.2007-2021.zip")</f>
        <v>https://climate.onebuilding.org/WMO_Region_6_Europe/NOR_Norway/HO_Hordaland/NOR_HO_Bergen.AP-Flesland.013110_TMYx.2007-2021.zip</v>
      </c>
    </row>
    <row r="8552" spans="1:10" x14ac:dyDescent="0.25">
      <c r="A8552" t="s">
        <v>4974</v>
      </c>
      <c r="B8552" t="s">
        <v>681</v>
      </c>
      <c r="C8552" t="s">
        <v>6405</v>
      </c>
      <c r="D8552" s="1" t="s">
        <v>6406</v>
      </c>
      <c r="E8552" t="s">
        <v>14</v>
      </c>
      <c r="F8552">
        <v>60.289200000000001</v>
      </c>
      <c r="G8552">
        <v>5.2263999999999999</v>
      </c>
      <c r="H8552">
        <v>0</v>
      </c>
      <c r="I8552">
        <v>50.3</v>
      </c>
      <c r="J8552" t="str">
        <f>HYPERLINK("https://climate.onebuilding.org/WMO_Region_6_Europe/NOR_Norway/HO_Hordaland/NOR_HO_Bergen.AP-Flesland.013110_TMYx.2009-2023.zip")</f>
        <v>https://climate.onebuilding.org/WMO_Region_6_Europe/NOR_Norway/HO_Hordaland/NOR_HO_Bergen.AP-Flesland.013110_TMYx.2009-2023.zip</v>
      </c>
    </row>
    <row r="8553" spans="1:10" x14ac:dyDescent="0.25">
      <c r="A8553" t="s">
        <v>4974</v>
      </c>
      <c r="B8553" t="s">
        <v>681</v>
      </c>
      <c r="C8553" t="s">
        <v>6405</v>
      </c>
      <c r="D8553" s="1" t="s">
        <v>6406</v>
      </c>
      <c r="E8553" t="s">
        <v>14</v>
      </c>
      <c r="F8553">
        <v>60.289200000000001</v>
      </c>
      <c r="G8553">
        <v>5.2263999999999999</v>
      </c>
      <c r="H8553">
        <v>0</v>
      </c>
      <c r="I8553">
        <v>50.3</v>
      </c>
      <c r="J8553" t="str">
        <f>HYPERLINK("https://climate.onebuilding.org/WMO_Region_6_Europe/NOR_Norway/HO_Hordaland/NOR_HO_Bergen.AP-Flesland.013110_TMYx.zip")</f>
        <v>https://climate.onebuilding.org/WMO_Region_6_Europe/NOR_Norway/HO_Hordaland/NOR_HO_Bergen.AP-Flesland.013110_TMYx.zip</v>
      </c>
    </row>
    <row r="8554" spans="1:10" x14ac:dyDescent="0.25">
      <c r="A8554" t="s">
        <v>4974</v>
      </c>
      <c r="B8554" t="s">
        <v>681</v>
      </c>
      <c r="C8554" t="s">
        <v>6408</v>
      </c>
      <c r="D8554" s="1" t="s">
        <v>6409</v>
      </c>
      <c r="E8554" t="s">
        <v>6410</v>
      </c>
      <c r="F8554">
        <v>60.520499999999998</v>
      </c>
      <c r="G8554">
        <v>5.7247000000000003</v>
      </c>
      <c r="H8554">
        <v>0</v>
      </c>
      <c r="I8554">
        <v>10</v>
      </c>
      <c r="J8554" t="str">
        <f>HYPERLINK("https://climate.onebuilding.org/WMO_Region_6_Europe/NOR_Norway/HO_Hordaland/NOR_HO_Fossmark.013140_TMYx.2004-2018.zip")</f>
        <v>https://climate.onebuilding.org/WMO_Region_6_Europe/NOR_Norway/HO_Hordaland/NOR_HO_Fossmark.013140_TMYx.2004-2018.zip</v>
      </c>
    </row>
    <row r="8555" spans="1:10" x14ac:dyDescent="0.25">
      <c r="A8555" t="s">
        <v>4974</v>
      </c>
      <c r="B8555" t="s">
        <v>681</v>
      </c>
      <c r="C8555" t="s">
        <v>6408</v>
      </c>
      <c r="D8555" s="1" t="s">
        <v>6409</v>
      </c>
      <c r="E8555" t="s">
        <v>14</v>
      </c>
      <c r="F8555">
        <v>60.520499999999998</v>
      </c>
      <c r="G8555">
        <v>5.7247000000000003</v>
      </c>
      <c r="H8555">
        <v>0</v>
      </c>
      <c r="I8555">
        <v>10</v>
      </c>
      <c r="J8555" t="str">
        <f>HYPERLINK("https://climate.onebuilding.org/WMO_Region_6_Europe/NOR_Norway/HO_Hordaland/NOR_HO_Fossmark.013140_TMYx.2007-2021.zip")</f>
        <v>https://climate.onebuilding.org/WMO_Region_6_Europe/NOR_Norway/HO_Hordaland/NOR_HO_Fossmark.013140_TMYx.2007-2021.zip</v>
      </c>
    </row>
    <row r="8556" spans="1:10" x14ac:dyDescent="0.25">
      <c r="A8556" t="s">
        <v>4974</v>
      </c>
      <c r="B8556" t="s">
        <v>681</v>
      </c>
      <c r="C8556" t="s">
        <v>6408</v>
      </c>
      <c r="D8556" s="1" t="s">
        <v>6409</v>
      </c>
      <c r="E8556" t="s">
        <v>14</v>
      </c>
      <c r="F8556">
        <v>60.520499999999998</v>
      </c>
      <c r="G8556">
        <v>5.7247000000000003</v>
      </c>
      <c r="H8556">
        <v>0</v>
      </c>
      <c r="I8556">
        <v>10</v>
      </c>
      <c r="J8556" t="str">
        <f>HYPERLINK("https://climate.onebuilding.org/WMO_Region_6_Europe/NOR_Norway/HO_Hordaland/NOR_HO_Fossmark.013140_TMYx.2009-2023.zip")</f>
        <v>https://climate.onebuilding.org/WMO_Region_6_Europe/NOR_Norway/HO_Hordaland/NOR_HO_Fossmark.013140_TMYx.2009-2023.zip</v>
      </c>
    </row>
    <row r="8557" spans="1:10" x14ac:dyDescent="0.25">
      <c r="A8557" t="s">
        <v>4974</v>
      </c>
      <c r="B8557" t="s">
        <v>681</v>
      </c>
      <c r="C8557" t="s">
        <v>6408</v>
      </c>
      <c r="D8557" s="1" t="s">
        <v>6409</v>
      </c>
      <c r="E8557" t="s">
        <v>14</v>
      </c>
      <c r="F8557">
        <v>60.520499999999998</v>
      </c>
      <c r="G8557">
        <v>5.7247000000000003</v>
      </c>
      <c r="H8557">
        <v>0</v>
      </c>
      <c r="I8557">
        <v>10</v>
      </c>
      <c r="J8557" t="str">
        <f>HYPERLINK("https://climate.onebuilding.org/WMO_Region_6_Europe/NOR_Norway/HO_Hordaland/NOR_HO_Fossmark.013140_TMYx.zip")</f>
        <v>https://climate.onebuilding.org/WMO_Region_6_Europe/NOR_Norway/HO_Hordaland/NOR_HO_Fossmark.013140_TMYx.zip</v>
      </c>
    </row>
    <row r="8558" spans="1:10" x14ac:dyDescent="0.25">
      <c r="A8558" t="s">
        <v>4974</v>
      </c>
      <c r="B8558" t="s">
        <v>681</v>
      </c>
      <c r="C8558" t="s">
        <v>6411</v>
      </c>
      <c r="D8558" s="1" t="s">
        <v>6412</v>
      </c>
      <c r="E8558" t="s">
        <v>6413</v>
      </c>
      <c r="F8558">
        <v>60.646900000000002</v>
      </c>
      <c r="G8558">
        <v>6.1105999999999998</v>
      </c>
      <c r="H8558">
        <v>0</v>
      </c>
      <c r="I8558">
        <v>17</v>
      </c>
      <c r="J8558" t="str">
        <f>HYPERLINK("https://climate.onebuilding.org/WMO_Region_6_Europe/NOR_Norway/HO_Hordaland/NOR_HO_Evanger.013150_TMYx.2004-2018.zip")</f>
        <v>https://climate.onebuilding.org/WMO_Region_6_Europe/NOR_Norway/HO_Hordaland/NOR_HO_Evanger.013150_TMYx.2004-2018.zip</v>
      </c>
    </row>
    <row r="8559" spans="1:10" x14ac:dyDescent="0.25">
      <c r="A8559" t="s">
        <v>4974</v>
      </c>
      <c r="B8559" t="s">
        <v>681</v>
      </c>
      <c r="C8559" t="s">
        <v>6411</v>
      </c>
      <c r="D8559" s="1" t="s">
        <v>6412</v>
      </c>
      <c r="E8559" t="s">
        <v>14</v>
      </c>
      <c r="F8559">
        <v>60.646900000000002</v>
      </c>
      <c r="G8559">
        <v>6.1105999999999998</v>
      </c>
      <c r="H8559">
        <v>0</v>
      </c>
      <c r="I8559">
        <v>17</v>
      </c>
      <c r="J8559" t="str">
        <f>HYPERLINK("https://climate.onebuilding.org/WMO_Region_6_Europe/NOR_Norway/HO_Hordaland/NOR_HO_Evanger.013150_TMYx.2007-2021.zip")</f>
        <v>https://climate.onebuilding.org/WMO_Region_6_Europe/NOR_Norway/HO_Hordaland/NOR_HO_Evanger.013150_TMYx.2007-2021.zip</v>
      </c>
    </row>
    <row r="8560" spans="1:10" x14ac:dyDescent="0.25">
      <c r="A8560" t="s">
        <v>4974</v>
      </c>
      <c r="B8560" t="s">
        <v>681</v>
      </c>
      <c r="C8560" t="s">
        <v>6411</v>
      </c>
      <c r="D8560" s="1" t="s">
        <v>6412</v>
      </c>
      <c r="E8560" t="s">
        <v>14</v>
      </c>
      <c r="F8560">
        <v>60.646900000000002</v>
      </c>
      <c r="G8560">
        <v>6.1105999999999998</v>
      </c>
      <c r="H8560">
        <v>0</v>
      </c>
      <c r="I8560">
        <v>17</v>
      </c>
      <c r="J8560" t="str">
        <f>HYPERLINK("https://climate.onebuilding.org/WMO_Region_6_Europe/NOR_Norway/HO_Hordaland/NOR_HO_Evanger.013150_TMYx.2009-2023.zip")</f>
        <v>https://climate.onebuilding.org/WMO_Region_6_Europe/NOR_Norway/HO_Hordaland/NOR_HO_Evanger.013150_TMYx.2009-2023.zip</v>
      </c>
    </row>
    <row r="8561" spans="1:10" x14ac:dyDescent="0.25">
      <c r="A8561" t="s">
        <v>4974</v>
      </c>
      <c r="B8561" t="s">
        <v>681</v>
      </c>
      <c r="C8561" t="s">
        <v>6411</v>
      </c>
      <c r="D8561" s="1" t="s">
        <v>6412</v>
      </c>
      <c r="E8561" t="s">
        <v>14</v>
      </c>
      <c r="F8561">
        <v>60.646900000000002</v>
      </c>
      <c r="G8561">
        <v>6.1105999999999998</v>
      </c>
      <c r="H8561">
        <v>0</v>
      </c>
      <c r="I8561">
        <v>17</v>
      </c>
      <c r="J8561" t="str">
        <f>HYPERLINK("https://climate.onebuilding.org/WMO_Region_6_Europe/NOR_Norway/HO_Hordaland/NOR_HO_Evanger.013150_TMYx.zip")</f>
        <v>https://climate.onebuilding.org/WMO_Region_6_Europe/NOR_Norway/HO_Hordaland/NOR_HO_Evanger.013150_TMYx.zip</v>
      </c>
    </row>
    <row r="8562" spans="1:10" x14ac:dyDescent="0.25">
      <c r="A8562" t="s">
        <v>4974</v>
      </c>
      <c r="B8562" t="s">
        <v>681</v>
      </c>
      <c r="C8562" t="s">
        <v>6414</v>
      </c>
      <c r="D8562" s="1" t="s">
        <v>6415</v>
      </c>
      <c r="E8562" t="s">
        <v>6416</v>
      </c>
      <c r="F8562">
        <v>60.383000000000003</v>
      </c>
      <c r="G8562">
        <v>5.3335999999999997</v>
      </c>
      <c r="H8562">
        <v>0</v>
      </c>
      <c r="I8562">
        <v>35.700000000000003</v>
      </c>
      <c r="J8562" t="str">
        <f>HYPERLINK("https://climate.onebuilding.org/WMO_Region_6_Europe/NOR_Norway/HO_Hordaland/NOR_HO_Bergen-Florida.013170_TMYx.2004-2018.zip")</f>
        <v>https://climate.onebuilding.org/WMO_Region_6_Europe/NOR_Norway/HO_Hordaland/NOR_HO_Bergen-Florida.013170_TMYx.2004-2018.zip</v>
      </c>
    </row>
    <row r="8563" spans="1:10" x14ac:dyDescent="0.25">
      <c r="A8563" t="s">
        <v>4974</v>
      </c>
      <c r="B8563" t="s">
        <v>681</v>
      </c>
      <c r="C8563" t="s">
        <v>6414</v>
      </c>
      <c r="D8563" s="1" t="s">
        <v>6415</v>
      </c>
      <c r="E8563" t="s">
        <v>14</v>
      </c>
      <c r="F8563">
        <v>60.383000000000003</v>
      </c>
      <c r="G8563">
        <v>5.3335999999999997</v>
      </c>
      <c r="H8563">
        <v>0</v>
      </c>
      <c r="I8563">
        <v>35.700000000000003</v>
      </c>
      <c r="J8563" t="str">
        <f>HYPERLINK("https://climate.onebuilding.org/WMO_Region_6_Europe/NOR_Norway/HO_Hordaland/NOR_HO_Bergen-Florida.013170_TMYx.2007-2021.zip")</f>
        <v>https://climate.onebuilding.org/WMO_Region_6_Europe/NOR_Norway/HO_Hordaland/NOR_HO_Bergen-Florida.013170_TMYx.2007-2021.zip</v>
      </c>
    </row>
    <row r="8564" spans="1:10" x14ac:dyDescent="0.25">
      <c r="A8564" t="s">
        <v>4974</v>
      </c>
      <c r="B8564" t="s">
        <v>681</v>
      </c>
      <c r="C8564" t="s">
        <v>6414</v>
      </c>
      <c r="D8564" s="1" t="s">
        <v>6415</v>
      </c>
      <c r="E8564" t="s">
        <v>14</v>
      </c>
      <c r="F8564">
        <v>60.383000000000003</v>
      </c>
      <c r="G8564">
        <v>5.3335999999999997</v>
      </c>
      <c r="H8564">
        <v>0</v>
      </c>
      <c r="I8564">
        <v>35.700000000000003</v>
      </c>
      <c r="J8564" t="str">
        <f>HYPERLINK("https://climate.onebuilding.org/WMO_Region_6_Europe/NOR_Norway/HO_Hordaland/NOR_HO_Bergen-Florida.013170_TMYx.2009-2023.zip")</f>
        <v>https://climate.onebuilding.org/WMO_Region_6_Europe/NOR_Norway/HO_Hordaland/NOR_HO_Bergen-Florida.013170_TMYx.2009-2023.zip</v>
      </c>
    </row>
    <row r="8565" spans="1:10" x14ac:dyDescent="0.25">
      <c r="A8565" t="s">
        <v>4974</v>
      </c>
      <c r="B8565" t="s">
        <v>681</v>
      </c>
      <c r="C8565" t="s">
        <v>6414</v>
      </c>
      <c r="D8565" s="1" t="s">
        <v>6415</v>
      </c>
      <c r="E8565" t="s">
        <v>14</v>
      </c>
      <c r="F8565">
        <v>60.383000000000003</v>
      </c>
      <c r="G8565">
        <v>5.3335999999999997</v>
      </c>
      <c r="H8565">
        <v>0</v>
      </c>
      <c r="I8565">
        <v>35.700000000000003</v>
      </c>
      <c r="J8565" t="str">
        <f>HYPERLINK("https://climate.onebuilding.org/WMO_Region_6_Europe/NOR_Norway/HO_Hordaland/NOR_HO_Bergen-Florida.013170_TMYx.zip")</f>
        <v>https://climate.onebuilding.org/WMO_Region_6_Europe/NOR_Norway/HO_Hordaland/NOR_HO_Bergen-Florida.013170_TMYx.zip</v>
      </c>
    </row>
    <row r="8566" spans="1:10" x14ac:dyDescent="0.25">
      <c r="A8566" t="s">
        <v>4974</v>
      </c>
      <c r="B8566" t="s">
        <v>527</v>
      </c>
      <c r="C8566" t="s">
        <v>6417</v>
      </c>
      <c r="D8566" s="1" t="s">
        <v>6418</v>
      </c>
      <c r="E8566" t="s">
        <v>6419</v>
      </c>
      <c r="F8566">
        <v>61.784999999999997</v>
      </c>
      <c r="G8566">
        <v>6.1871999999999998</v>
      </c>
      <c r="H8566">
        <v>0</v>
      </c>
      <c r="I8566">
        <v>20</v>
      </c>
      <c r="J8566" t="str">
        <f>HYPERLINK("https://climate.onebuilding.org/WMO_Region_6_Europe/NOR_Norway/SF_Sogn_og_Fjordane/NOR_SF_Sandane.013180_TMYx.2004-2018.zip")</f>
        <v>https://climate.onebuilding.org/WMO_Region_6_Europe/NOR_Norway/SF_Sogn_og_Fjordane/NOR_SF_Sandane.013180_TMYx.2004-2018.zip</v>
      </c>
    </row>
    <row r="8567" spans="1:10" x14ac:dyDescent="0.25">
      <c r="A8567" t="s">
        <v>4974</v>
      </c>
      <c r="B8567" t="s">
        <v>527</v>
      </c>
      <c r="C8567" t="s">
        <v>6417</v>
      </c>
      <c r="D8567" s="1" t="s">
        <v>6418</v>
      </c>
      <c r="E8567" t="s">
        <v>14</v>
      </c>
      <c r="F8567">
        <v>61.784999999999997</v>
      </c>
      <c r="G8567">
        <v>6.1871999999999998</v>
      </c>
      <c r="H8567">
        <v>0</v>
      </c>
      <c r="I8567">
        <v>20</v>
      </c>
      <c r="J8567" t="str">
        <f>HYPERLINK("https://climate.onebuilding.org/WMO_Region_6_Europe/NOR_Norway/SF_Sogn_og_Fjordane/NOR_SF_Sandane.013180_TMYx.2007-2021.zip")</f>
        <v>https://climate.onebuilding.org/WMO_Region_6_Europe/NOR_Norway/SF_Sogn_og_Fjordane/NOR_SF_Sandane.013180_TMYx.2007-2021.zip</v>
      </c>
    </row>
    <row r="8568" spans="1:10" x14ac:dyDescent="0.25">
      <c r="A8568" t="s">
        <v>4974</v>
      </c>
      <c r="B8568" t="s">
        <v>527</v>
      </c>
      <c r="C8568" t="s">
        <v>6417</v>
      </c>
      <c r="D8568" s="1" t="s">
        <v>6418</v>
      </c>
      <c r="E8568" t="s">
        <v>14</v>
      </c>
      <c r="F8568">
        <v>61.784999999999997</v>
      </c>
      <c r="G8568">
        <v>6.1871999999999998</v>
      </c>
      <c r="H8568">
        <v>0</v>
      </c>
      <c r="I8568">
        <v>20</v>
      </c>
      <c r="J8568" t="str">
        <f>HYPERLINK("https://climate.onebuilding.org/WMO_Region_6_Europe/NOR_Norway/SF_Sogn_og_Fjordane/NOR_SF_Sandane.013180_TMYx.2009-2023.zip")</f>
        <v>https://climate.onebuilding.org/WMO_Region_6_Europe/NOR_Norway/SF_Sogn_og_Fjordane/NOR_SF_Sandane.013180_TMYx.2009-2023.zip</v>
      </c>
    </row>
    <row r="8569" spans="1:10" x14ac:dyDescent="0.25">
      <c r="A8569" t="s">
        <v>4974</v>
      </c>
      <c r="B8569" t="s">
        <v>527</v>
      </c>
      <c r="C8569" t="s">
        <v>6417</v>
      </c>
      <c r="D8569" s="1" t="s">
        <v>6418</v>
      </c>
      <c r="E8569" t="s">
        <v>14</v>
      </c>
      <c r="F8569">
        <v>61.784999999999997</v>
      </c>
      <c r="G8569">
        <v>6.1871999999999998</v>
      </c>
      <c r="H8569">
        <v>0</v>
      </c>
      <c r="I8569">
        <v>20</v>
      </c>
      <c r="J8569" t="str">
        <f>HYPERLINK("https://climate.onebuilding.org/WMO_Region_6_Europe/NOR_Norway/SF_Sogn_og_Fjordane/NOR_SF_Sandane.013180_TMYx.zip")</f>
        <v>https://climate.onebuilding.org/WMO_Region_6_Europe/NOR_Norway/SF_Sogn_og_Fjordane/NOR_SF_Sandane.013180_TMYx.zip</v>
      </c>
    </row>
    <row r="8570" spans="1:10" x14ac:dyDescent="0.25">
      <c r="A8570" t="s">
        <v>4974</v>
      </c>
      <c r="B8570" t="s">
        <v>6086</v>
      </c>
      <c r="C8570" t="s">
        <v>6420</v>
      </c>
      <c r="D8570" s="1" t="s">
        <v>6421</v>
      </c>
      <c r="E8570" t="s">
        <v>6422</v>
      </c>
      <c r="F8570">
        <v>61.026899999999998</v>
      </c>
      <c r="G8570">
        <v>5.3806000000000003</v>
      </c>
      <c r="H8570">
        <v>0</v>
      </c>
      <c r="I8570">
        <v>38</v>
      </c>
      <c r="J8570" t="str">
        <f>HYPERLINK("https://climate.onebuilding.org/WMO_Region_6_Europe/NOR_Norway/TD_Trondelag/NOR_TD_Takle.013190_TMYx.2004-2018.zip")</f>
        <v>https://climate.onebuilding.org/WMO_Region_6_Europe/NOR_Norway/TD_Trondelag/NOR_TD_Takle.013190_TMYx.2004-2018.zip</v>
      </c>
    </row>
    <row r="8571" spans="1:10" x14ac:dyDescent="0.25">
      <c r="A8571" t="s">
        <v>4974</v>
      </c>
      <c r="B8571" t="s">
        <v>6086</v>
      </c>
      <c r="C8571" t="s">
        <v>6420</v>
      </c>
      <c r="D8571" s="1" t="s">
        <v>6421</v>
      </c>
      <c r="E8571" t="s">
        <v>14</v>
      </c>
      <c r="F8571">
        <v>61.026899999999998</v>
      </c>
      <c r="G8571">
        <v>5.3806000000000003</v>
      </c>
      <c r="H8571">
        <v>0</v>
      </c>
      <c r="I8571">
        <v>38</v>
      </c>
      <c r="J8571" t="str">
        <f>HYPERLINK("https://climate.onebuilding.org/WMO_Region_6_Europe/NOR_Norway/TD_Trondelag/NOR_TD_Takle.013190_TMYx.2007-2021.zip")</f>
        <v>https://climate.onebuilding.org/WMO_Region_6_Europe/NOR_Norway/TD_Trondelag/NOR_TD_Takle.013190_TMYx.2007-2021.zip</v>
      </c>
    </row>
    <row r="8572" spans="1:10" x14ac:dyDescent="0.25">
      <c r="A8572" t="s">
        <v>4974</v>
      </c>
      <c r="B8572" t="s">
        <v>6086</v>
      </c>
      <c r="C8572" t="s">
        <v>6420</v>
      </c>
      <c r="D8572" s="1" t="s">
        <v>6421</v>
      </c>
      <c r="E8572" t="s">
        <v>14</v>
      </c>
      <c r="F8572">
        <v>61.026899999999998</v>
      </c>
      <c r="G8572">
        <v>5.3806000000000003</v>
      </c>
      <c r="H8572">
        <v>0</v>
      </c>
      <c r="I8572">
        <v>38</v>
      </c>
      <c r="J8572" t="str">
        <f>HYPERLINK("https://climate.onebuilding.org/WMO_Region_6_Europe/NOR_Norway/TD_Trondelag/NOR_TD_Takle.013190_TMYx.2009-2023.zip")</f>
        <v>https://climate.onebuilding.org/WMO_Region_6_Europe/NOR_Norway/TD_Trondelag/NOR_TD_Takle.013190_TMYx.2009-2023.zip</v>
      </c>
    </row>
    <row r="8573" spans="1:10" x14ac:dyDescent="0.25">
      <c r="A8573" t="s">
        <v>4974</v>
      </c>
      <c r="B8573" t="s">
        <v>6086</v>
      </c>
      <c r="C8573" t="s">
        <v>6420</v>
      </c>
      <c r="D8573" s="1" t="s">
        <v>6421</v>
      </c>
      <c r="E8573" t="s">
        <v>14</v>
      </c>
      <c r="F8573">
        <v>61.026899999999998</v>
      </c>
      <c r="G8573">
        <v>5.3806000000000003</v>
      </c>
      <c r="H8573">
        <v>0</v>
      </c>
      <c r="I8573">
        <v>38</v>
      </c>
      <c r="J8573" t="str">
        <f>HYPERLINK("https://climate.onebuilding.org/WMO_Region_6_Europe/NOR_Norway/TD_Trondelag/NOR_TD_Takle.013190_TMYx.zip")</f>
        <v>https://climate.onebuilding.org/WMO_Region_6_Europe/NOR_Norway/TD_Trondelag/NOR_TD_Takle.013190_TMYx.zip</v>
      </c>
    </row>
    <row r="8574" spans="1:10" x14ac:dyDescent="0.25">
      <c r="A8574" t="s">
        <v>4974</v>
      </c>
      <c r="B8574" t="s">
        <v>527</v>
      </c>
      <c r="C8574" t="s">
        <v>6423</v>
      </c>
      <c r="D8574" s="1" t="s">
        <v>6424</v>
      </c>
      <c r="E8574" t="s">
        <v>6425</v>
      </c>
      <c r="F8574">
        <v>61.8294</v>
      </c>
      <c r="G8574">
        <v>6.1044999999999998</v>
      </c>
      <c r="H8574">
        <v>0</v>
      </c>
      <c r="I8574">
        <v>59.7</v>
      </c>
      <c r="J8574" t="str">
        <f>HYPERLINK("https://climate.onebuilding.org/WMO_Region_6_Europe/NOR_Norway/SF_Sogn_og_Fjordane/NOR_SF_Sandane.AP-Anda.013200_TMYx.2004-2018.zip")</f>
        <v>https://climate.onebuilding.org/WMO_Region_6_Europe/NOR_Norway/SF_Sogn_og_Fjordane/NOR_SF_Sandane.AP-Anda.013200_TMYx.2004-2018.zip</v>
      </c>
    </row>
    <row r="8575" spans="1:10" x14ac:dyDescent="0.25">
      <c r="A8575" t="s">
        <v>4974</v>
      </c>
      <c r="B8575" t="s">
        <v>527</v>
      </c>
      <c r="C8575" t="s">
        <v>6423</v>
      </c>
      <c r="D8575" s="1" t="s">
        <v>6424</v>
      </c>
      <c r="E8575" t="s">
        <v>14</v>
      </c>
      <c r="F8575">
        <v>61.8294</v>
      </c>
      <c r="G8575">
        <v>6.1044999999999998</v>
      </c>
      <c r="H8575">
        <v>0</v>
      </c>
      <c r="I8575">
        <v>59.7</v>
      </c>
      <c r="J8575" t="str">
        <f>HYPERLINK("https://climate.onebuilding.org/WMO_Region_6_Europe/NOR_Norway/SF_Sogn_og_Fjordane/NOR_SF_Sandane.AP-Anda.013200_TMYx.2007-2021.zip")</f>
        <v>https://climate.onebuilding.org/WMO_Region_6_Europe/NOR_Norway/SF_Sogn_og_Fjordane/NOR_SF_Sandane.AP-Anda.013200_TMYx.2007-2021.zip</v>
      </c>
    </row>
    <row r="8576" spans="1:10" x14ac:dyDescent="0.25">
      <c r="A8576" t="s">
        <v>4974</v>
      </c>
      <c r="B8576" t="s">
        <v>527</v>
      </c>
      <c r="C8576" t="s">
        <v>6423</v>
      </c>
      <c r="D8576" s="1" t="s">
        <v>6424</v>
      </c>
      <c r="E8576" t="s">
        <v>14</v>
      </c>
      <c r="F8576">
        <v>61.8294</v>
      </c>
      <c r="G8576">
        <v>6.1044999999999998</v>
      </c>
      <c r="H8576">
        <v>0</v>
      </c>
      <c r="I8576">
        <v>59.7</v>
      </c>
      <c r="J8576" t="str">
        <f>HYPERLINK("https://climate.onebuilding.org/WMO_Region_6_Europe/NOR_Norway/SF_Sogn_og_Fjordane/NOR_SF_Sandane.AP-Anda.013200_TMYx.2009-2023.zip")</f>
        <v>https://climate.onebuilding.org/WMO_Region_6_Europe/NOR_Norway/SF_Sogn_og_Fjordane/NOR_SF_Sandane.AP-Anda.013200_TMYx.2009-2023.zip</v>
      </c>
    </row>
    <row r="8577" spans="1:10" x14ac:dyDescent="0.25">
      <c r="A8577" t="s">
        <v>4974</v>
      </c>
      <c r="B8577" t="s">
        <v>527</v>
      </c>
      <c r="C8577" t="s">
        <v>6423</v>
      </c>
      <c r="D8577" s="1" t="s">
        <v>6424</v>
      </c>
      <c r="E8577" t="s">
        <v>14</v>
      </c>
      <c r="F8577">
        <v>61.8294</v>
      </c>
      <c r="G8577">
        <v>6.1044999999999998</v>
      </c>
      <c r="H8577">
        <v>0</v>
      </c>
      <c r="I8577">
        <v>59.7</v>
      </c>
      <c r="J8577" t="str">
        <f>HYPERLINK("https://climate.onebuilding.org/WMO_Region_6_Europe/NOR_Norway/SF_Sogn_og_Fjordane/NOR_SF_Sandane.AP-Anda.013200_TMYx.zip")</f>
        <v>https://climate.onebuilding.org/WMO_Region_6_Europe/NOR_Norway/SF_Sogn_og_Fjordane/NOR_SF_Sandane.AP-Anda.013200_TMYx.zip</v>
      </c>
    </row>
    <row r="8578" spans="1:10" x14ac:dyDescent="0.25">
      <c r="A8578" t="s">
        <v>4974</v>
      </c>
      <c r="B8578" t="s">
        <v>6086</v>
      </c>
      <c r="C8578" t="s">
        <v>6426</v>
      </c>
      <c r="D8578" s="1" t="s">
        <v>6427</v>
      </c>
      <c r="E8578" t="s">
        <v>6428</v>
      </c>
      <c r="F8578">
        <v>61.915599999999998</v>
      </c>
      <c r="G8578">
        <v>6.5583</v>
      </c>
      <c r="H8578">
        <v>0</v>
      </c>
      <c r="I8578">
        <v>208</v>
      </c>
      <c r="J8578" t="str">
        <f>HYPERLINK("https://climate.onebuilding.org/WMO_Region_6_Europe/NOR_Norway/TD_Trondelag/NOR_TD_Stryn.013210_TMYx.2004-2018.zip")</f>
        <v>https://climate.onebuilding.org/WMO_Region_6_Europe/NOR_Norway/TD_Trondelag/NOR_TD_Stryn.013210_TMYx.2004-2018.zip</v>
      </c>
    </row>
    <row r="8579" spans="1:10" x14ac:dyDescent="0.25">
      <c r="A8579" t="s">
        <v>4974</v>
      </c>
      <c r="B8579" t="s">
        <v>6086</v>
      </c>
      <c r="C8579" t="s">
        <v>6426</v>
      </c>
      <c r="D8579" s="1" t="s">
        <v>6427</v>
      </c>
      <c r="E8579" t="s">
        <v>14</v>
      </c>
      <c r="F8579">
        <v>61.915599999999998</v>
      </c>
      <c r="G8579">
        <v>6.5583</v>
      </c>
      <c r="H8579">
        <v>0</v>
      </c>
      <c r="I8579">
        <v>208</v>
      </c>
      <c r="J8579" t="str">
        <f>HYPERLINK("https://climate.onebuilding.org/WMO_Region_6_Europe/NOR_Norway/TD_Trondelag/NOR_TD_Stryn.013210_TMYx.2007-2021.zip")</f>
        <v>https://climate.onebuilding.org/WMO_Region_6_Europe/NOR_Norway/TD_Trondelag/NOR_TD_Stryn.013210_TMYx.2007-2021.zip</v>
      </c>
    </row>
    <row r="8580" spans="1:10" x14ac:dyDescent="0.25">
      <c r="A8580" t="s">
        <v>4974</v>
      </c>
      <c r="B8580" t="s">
        <v>6086</v>
      </c>
      <c r="C8580" t="s">
        <v>6426</v>
      </c>
      <c r="D8580" s="1" t="s">
        <v>6427</v>
      </c>
      <c r="E8580" t="s">
        <v>14</v>
      </c>
      <c r="F8580">
        <v>61.915599999999998</v>
      </c>
      <c r="G8580">
        <v>6.5583</v>
      </c>
      <c r="H8580">
        <v>0</v>
      </c>
      <c r="I8580">
        <v>208</v>
      </c>
      <c r="J8580" t="str">
        <f>HYPERLINK("https://climate.onebuilding.org/WMO_Region_6_Europe/NOR_Norway/TD_Trondelag/NOR_TD_Stryn.013210_TMYx.2009-2023.zip")</f>
        <v>https://climate.onebuilding.org/WMO_Region_6_Europe/NOR_Norway/TD_Trondelag/NOR_TD_Stryn.013210_TMYx.2009-2023.zip</v>
      </c>
    </row>
    <row r="8581" spans="1:10" x14ac:dyDescent="0.25">
      <c r="A8581" t="s">
        <v>4974</v>
      </c>
      <c r="B8581" t="s">
        <v>6086</v>
      </c>
      <c r="C8581" t="s">
        <v>6426</v>
      </c>
      <c r="D8581" s="1" t="s">
        <v>6427</v>
      </c>
      <c r="E8581" t="s">
        <v>14</v>
      </c>
      <c r="F8581">
        <v>61.915599999999998</v>
      </c>
      <c r="G8581">
        <v>6.5583</v>
      </c>
      <c r="H8581">
        <v>0</v>
      </c>
      <c r="I8581">
        <v>208</v>
      </c>
      <c r="J8581" t="str">
        <f>HYPERLINK("https://climate.onebuilding.org/WMO_Region_6_Europe/NOR_Norway/TD_Trondelag/NOR_TD_Stryn.013210_TMYx.zip")</f>
        <v>https://climate.onebuilding.org/WMO_Region_6_Europe/NOR_Norway/TD_Trondelag/NOR_TD_Stryn.013210_TMYx.zip</v>
      </c>
    </row>
    <row r="8582" spans="1:10" x14ac:dyDescent="0.25">
      <c r="A8582" t="s">
        <v>4974</v>
      </c>
      <c r="B8582" t="s">
        <v>527</v>
      </c>
      <c r="C8582" t="s">
        <v>6429</v>
      </c>
      <c r="D8582" s="1" t="s">
        <v>6430</v>
      </c>
      <c r="E8582" t="s">
        <v>6431</v>
      </c>
      <c r="F8582">
        <v>61.466999999999999</v>
      </c>
      <c r="G8582">
        <v>5.9169999999999998</v>
      </c>
      <c r="H8582">
        <v>0</v>
      </c>
      <c r="I8582">
        <v>64</v>
      </c>
      <c r="J8582" t="str">
        <f>HYPERLINK("https://climate.onebuilding.org/WMO_Region_6_Europe/NOR_Norway/SF_Sogn_og_Fjordane/NOR_SF_Forde.Tefre.013220_TMYx.2004-2018.zip")</f>
        <v>https://climate.onebuilding.org/WMO_Region_6_Europe/NOR_Norway/SF_Sogn_og_Fjordane/NOR_SF_Forde.Tefre.013220_TMYx.2004-2018.zip</v>
      </c>
    </row>
    <row r="8583" spans="1:10" x14ac:dyDescent="0.25">
      <c r="A8583" t="s">
        <v>4974</v>
      </c>
      <c r="B8583" t="s">
        <v>527</v>
      </c>
      <c r="C8583" t="s">
        <v>6429</v>
      </c>
      <c r="D8583" s="1" t="s">
        <v>6430</v>
      </c>
      <c r="E8583" t="s">
        <v>14</v>
      </c>
      <c r="F8583">
        <v>61.466999999999999</v>
      </c>
      <c r="G8583">
        <v>5.9169999999999998</v>
      </c>
      <c r="H8583">
        <v>0</v>
      </c>
      <c r="I8583">
        <v>64</v>
      </c>
      <c r="J8583" t="str">
        <f>HYPERLINK("https://climate.onebuilding.org/WMO_Region_6_Europe/NOR_Norway/SF_Sogn_og_Fjordane/NOR_SF_Forde.Tefre.013220_TMYx.2007-2021.zip")</f>
        <v>https://climate.onebuilding.org/WMO_Region_6_Europe/NOR_Norway/SF_Sogn_og_Fjordane/NOR_SF_Forde.Tefre.013220_TMYx.2007-2021.zip</v>
      </c>
    </row>
    <row r="8584" spans="1:10" x14ac:dyDescent="0.25">
      <c r="A8584" t="s">
        <v>4974</v>
      </c>
      <c r="B8584" t="s">
        <v>527</v>
      </c>
      <c r="C8584" t="s">
        <v>6429</v>
      </c>
      <c r="D8584" s="1" t="s">
        <v>6430</v>
      </c>
      <c r="E8584" t="s">
        <v>14</v>
      </c>
      <c r="F8584">
        <v>61.466999999999999</v>
      </c>
      <c r="G8584">
        <v>5.9169999999999998</v>
      </c>
      <c r="H8584">
        <v>0</v>
      </c>
      <c r="I8584">
        <v>64</v>
      </c>
      <c r="J8584" t="str">
        <f>HYPERLINK("https://climate.onebuilding.org/WMO_Region_6_Europe/NOR_Norway/SF_Sogn_og_Fjordane/NOR_SF_Forde.Tefre.013220_TMYx.2009-2023.zip")</f>
        <v>https://climate.onebuilding.org/WMO_Region_6_Europe/NOR_Norway/SF_Sogn_og_Fjordane/NOR_SF_Forde.Tefre.013220_TMYx.2009-2023.zip</v>
      </c>
    </row>
    <row r="8585" spans="1:10" x14ac:dyDescent="0.25">
      <c r="A8585" t="s">
        <v>4974</v>
      </c>
      <c r="B8585" t="s">
        <v>527</v>
      </c>
      <c r="C8585" t="s">
        <v>6429</v>
      </c>
      <c r="D8585" s="1" t="s">
        <v>6430</v>
      </c>
      <c r="E8585" t="s">
        <v>14</v>
      </c>
      <c r="F8585">
        <v>61.466999999999999</v>
      </c>
      <c r="G8585">
        <v>5.9169999999999998</v>
      </c>
      <c r="H8585">
        <v>0</v>
      </c>
      <c r="I8585">
        <v>64</v>
      </c>
      <c r="J8585" t="str">
        <f>HYPERLINK("https://climate.onebuilding.org/WMO_Region_6_Europe/NOR_Norway/SF_Sogn_og_Fjordane/NOR_SF_Forde.Tefre.013220_TMYx.zip")</f>
        <v>https://climate.onebuilding.org/WMO_Region_6_Europe/NOR_Norway/SF_Sogn_og_Fjordane/NOR_SF_Forde.Tefre.013220_TMYx.zip</v>
      </c>
    </row>
    <row r="8586" spans="1:10" x14ac:dyDescent="0.25">
      <c r="A8586" t="s">
        <v>4974</v>
      </c>
      <c r="B8586" t="s">
        <v>527</v>
      </c>
      <c r="C8586" t="s">
        <v>6432</v>
      </c>
      <c r="D8586" s="1" t="s">
        <v>6433</v>
      </c>
      <c r="E8586" t="s">
        <v>6434</v>
      </c>
      <c r="F8586">
        <v>61.391100000000002</v>
      </c>
      <c r="G8586">
        <v>5.76</v>
      </c>
      <c r="H8586">
        <v>0</v>
      </c>
      <c r="I8586">
        <v>318.8</v>
      </c>
      <c r="J8586" t="str">
        <f>HYPERLINK("https://climate.onebuilding.org/WMO_Region_6_Europe/NOR_Norway/SF_Sogn_og_Fjordane/NOR_SF_Forde.AP-Bringeland.013230_TMYx.2004-2018.zip")</f>
        <v>https://climate.onebuilding.org/WMO_Region_6_Europe/NOR_Norway/SF_Sogn_og_Fjordane/NOR_SF_Forde.AP-Bringeland.013230_TMYx.2004-2018.zip</v>
      </c>
    </row>
    <row r="8587" spans="1:10" x14ac:dyDescent="0.25">
      <c r="A8587" t="s">
        <v>4974</v>
      </c>
      <c r="B8587" t="s">
        <v>527</v>
      </c>
      <c r="C8587" t="s">
        <v>6432</v>
      </c>
      <c r="D8587" s="1" t="s">
        <v>6433</v>
      </c>
      <c r="E8587" t="s">
        <v>14</v>
      </c>
      <c r="F8587">
        <v>61.391100000000002</v>
      </c>
      <c r="G8587">
        <v>5.76</v>
      </c>
      <c r="H8587">
        <v>0</v>
      </c>
      <c r="I8587">
        <v>318.8</v>
      </c>
      <c r="J8587" t="str">
        <f>HYPERLINK("https://climate.onebuilding.org/WMO_Region_6_Europe/NOR_Norway/SF_Sogn_og_Fjordane/NOR_SF_Forde.AP-Bringeland.013230_TMYx.2007-2021.zip")</f>
        <v>https://climate.onebuilding.org/WMO_Region_6_Europe/NOR_Norway/SF_Sogn_og_Fjordane/NOR_SF_Forde.AP-Bringeland.013230_TMYx.2007-2021.zip</v>
      </c>
    </row>
    <row r="8588" spans="1:10" x14ac:dyDescent="0.25">
      <c r="A8588" t="s">
        <v>4974</v>
      </c>
      <c r="B8588" t="s">
        <v>527</v>
      </c>
      <c r="C8588" t="s">
        <v>6432</v>
      </c>
      <c r="D8588" s="1" t="s">
        <v>6433</v>
      </c>
      <c r="E8588" t="s">
        <v>14</v>
      </c>
      <c r="F8588">
        <v>61.391100000000002</v>
      </c>
      <c r="G8588">
        <v>5.76</v>
      </c>
      <c r="H8588">
        <v>0</v>
      </c>
      <c r="I8588">
        <v>318.8</v>
      </c>
      <c r="J8588" t="str">
        <f>HYPERLINK("https://climate.onebuilding.org/WMO_Region_6_Europe/NOR_Norway/SF_Sogn_og_Fjordane/NOR_SF_Forde.AP-Bringeland.013230_TMYx.2009-2023.zip")</f>
        <v>https://climate.onebuilding.org/WMO_Region_6_Europe/NOR_Norway/SF_Sogn_og_Fjordane/NOR_SF_Forde.AP-Bringeland.013230_TMYx.2009-2023.zip</v>
      </c>
    </row>
    <row r="8589" spans="1:10" x14ac:dyDescent="0.25">
      <c r="A8589" t="s">
        <v>4974</v>
      </c>
      <c r="B8589" t="s">
        <v>527</v>
      </c>
      <c r="C8589" t="s">
        <v>6432</v>
      </c>
      <c r="D8589" s="1" t="s">
        <v>6433</v>
      </c>
      <c r="E8589" t="s">
        <v>14</v>
      </c>
      <c r="F8589">
        <v>61.391100000000002</v>
      </c>
      <c r="G8589">
        <v>5.76</v>
      </c>
      <c r="H8589">
        <v>0</v>
      </c>
      <c r="I8589">
        <v>318.8</v>
      </c>
      <c r="J8589" t="str">
        <f>HYPERLINK("https://climate.onebuilding.org/WMO_Region_6_Europe/NOR_Norway/SF_Sogn_og_Fjordane/NOR_SF_Forde.AP-Bringeland.013230_TMYx.zip")</f>
        <v>https://climate.onebuilding.org/WMO_Region_6_Europe/NOR_Norway/SF_Sogn_og_Fjordane/NOR_SF_Forde.AP-Bringeland.013230_TMYx.zip</v>
      </c>
    </row>
    <row r="8590" spans="1:10" x14ac:dyDescent="0.25">
      <c r="A8590" t="s">
        <v>4974</v>
      </c>
      <c r="B8590" t="s">
        <v>681</v>
      </c>
      <c r="C8590" t="s">
        <v>6435</v>
      </c>
      <c r="D8590" s="1" t="s">
        <v>6436</v>
      </c>
      <c r="E8590" t="s">
        <v>6437</v>
      </c>
      <c r="F8590">
        <v>60.856099999999998</v>
      </c>
      <c r="G8590">
        <v>5.9730999999999996</v>
      </c>
      <c r="H8590">
        <v>0</v>
      </c>
      <c r="I8590">
        <v>125</v>
      </c>
      <c r="J8590" t="str">
        <f>HYPERLINK("https://climate.onebuilding.org/WMO_Region_6_Europe/NOR_Norway/HO_Hordaland/NOR_HO_Modalen.013260_TMYx.2004-2018.zip")</f>
        <v>https://climate.onebuilding.org/WMO_Region_6_Europe/NOR_Norway/HO_Hordaland/NOR_HO_Modalen.013260_TMYx.2004-2018.zip</v>
      </c>
    </row>
    <row r="8591" spans="1:10" x14ac:dyDescent="0.25">
      <c r="A8591" t="s">
        <v>4974</v>
      </c>
      <c r="B8591" t="s">
        <v>681</v>
      </c>
      <c r="C8591" t="s">
        <v>6435</v>
      </c>
      <c r="D8591" s="1" t="s">
        <v>6436</v>
      </c>
      <c r="E8591" t="s">
        <v>14</v>
      </c>
      <c r="F8591">
        <v>60.856099999999998</v>
      </c>
      <c r="G8591">
        <v>5.9730999999999996</v>
      </c>
      <c r="H8591">
        <v>0</v>
      </c>
      <c r="I8591">
        <v>125</v>
      </c>
      <c r="J8591" t="str">
        <f>HYPERLINK("https://climate.onebuilding.org/WMO_Region_6_Europe/NOR_Norway/HO_Hordaland/NOR_HO_Modalen.013260_TMYx.2007-2021.zip")</f>
        <v>https://climate.onebuilding.org/WMO_Region_6_Europe/NOR_Norway/HO_Hordaland/NOR_HO_Modalen.013260_TMYx.2007-2021.zip</v>
      </c>
    </row>
    <row r="8592" spans="1:10" x14ac:dyDescent="0.25">
      <c r="A8592" t="s">
        <v>4974</v>
      </c>
      <c r="B8592" t="s">
        <v>681</v>
      </c>
      <c r="C8592" t="s">
        <v>6435</v>
      </c>
      <c r="D8592" s="1" t="s">
        <v>6436</v>
      </c>
      <c r="E8592" t="s">
        <v>14</v>
      </c>
      <c r="F8592">
        <v>60.856099999999998</v>
      </c>
      <c r="G8592">
        <v>5.9730999999999996</v>
      </c>
      <c r="H8592">
        <v>0</v>
      </c>
      <c r="I8592">
        <v>125</v>
      </c>
      <c r="J8592" t="str">
        <f>HYPERLINK("https://climate.onebuilding.org/WMO_Region_6_Europe/NOR_Norway/HO_Hordaland/NOR_HO_Modalen.013260_TMYx.2009-2023.zip")</f>
        <v>https://climate.onebuilding.org/WMO_Region_6_Europe/NOR_Norway/HO_Hordaland/NOR_HO_Modalen.013260_TMYx.2009-2023.zip</v>
      </c>
    </row>
    <row r="8593" spans="1:10" x14ac:dyDescent="0.25">
      <c r="A8593" t="s">
        <v>4974</v>
      </c>
      <c r="B8593" t="s">
        <v>681</v>
      </c>
      <c r="C8593" t="s">
        <v>6435</v>
      </c>
      <c r="D8593" s="1" t="s">
        <v>6436</v>
      </c>
      <c r="E8593" t="s">
        <v>14</v>
      </c>
      <c r="F8593">
        <v>60.856099999999998</v>
      </c>
      <c r="G8593">
        <v>5.9730999999999996</v>
      </c>
      <c r="H8593">
        <v>0</v>
      </c>
      <c r="I8593">
        <v>125</v>
      </c>
      <c r="J8593" t="str">
        <f>HYPERLINK("https://climate.onebuilding.org/WMO_Region_6_Europe/NOR_Norway/HO_Hordaland/NOR_HO_Modalen.013260_TMYx.zip")</f>
        <v>https://climate.onebuilding.org/WMO_Region_6_Europe/NOR_Norway/HO_Hordaland/NOR_HO_Modalen.013260_TMYx.zip</v>
      </c>
    </row>
    <row r="8594" spans="1:10" x14ac:dyDescent="0.25">
      <c r="A8594" t="s">
        <v>4974</v>
      </c>
      <c r="B8594" t="s">
        <v>681</v>
      </c>
      <c r="C8594" t="s">
        <v>6438</v>
      </c>
      <c r="D8594" s="1" t="s">
        <v>6439</v>
      </c>
      <c r="E8594" t="s">
        <v>6440</v>
      </c>
      <c r="F8594">
        <v>60.388599999999997</v>
      </c>
      <c r="G8594">
        <v>5.9638999999999998</v>
      </c>
      <c r="H8594">
        <v>0</v>
      </c>
      <c r="I8594">
        <v>455</v>
      </c>
      <c r="J8594" t="str">
        <f>HYPERLINK("https://climate.onebuilding.org/WMO_Region_6_Europe/NOR_Norway/HO_Hordaland/NOR_HO_Kvamskogen-Jonshogdi.013270_TMYx.2004-2018.zip")</f>
        <v>https://climate.onebuilding.org/WMO_Region_6_Europe/NOR_Norway/HO_Hordaland/NOR_HO_Kvamskogen-Jonshogdi.013270_TMYx.2004-2018.zip</v>
      </c>
    </row>
    <row r="8595" spans="1:10" x14ac:dyDescent="0.25">
      <c r="A8595" t="s">
        <v>4974</v>
      </c>
      <c r="B8595" t="s">
        <v>681</v>
      </c>
      <c r="C8595" t="s">
        <v>6438</v>
      </c>
      <c r="D8595" s="1" t="s">
        <v>6439</v>
      </c>
      <c r="E8595" t="s">
        <v>14</v>
      </c>
      <c r="F8595">
        <v>60.388599999999997</v>
      </c>
      <c r="G8595">
        <v>5.9638999999999998</v>
      </c>
      <c r="H8595">
        <v>0</v>
      </c>
      <c r="I8595">
        <v>455</v>
      </c>
      <c r="J8595" t="str">
        <f>HYPERLINK("https://climate.onebuilding.org/WMO_Region_6_Europe/NOR_Norway/HO_Hordaland/NOR_HO_Kvamskogen-Jonshogdi.013270_TMYx.2007-2021.zip")</f>
        <v>https://climate.onebuilding.org/WMO_Region_6_Europe/NOR_Norway/HO_Hordaland/NOR_HO_Kvamskogen-Jonshogdi.013270_TMYx.2007-2021.zip</v>
      </c>
    </row>
    <row r="8596" spans="1:10" x14ac:dyDescent="0.25">
      <c r="A8596" t="s">
        <v>4974</v>
      </c>
      <c r="B8596" t="s">
        <v>681</v>
      </c>
      <c r="C8596" t="s">
        <v>6438</v>
      </c>
      <c r="D8596" s="1" t="s">
        <v>6439</v>
      </c>
      <c r="E8596" t="s">
        <v>14</v>
      </c>
      <c r="F8596">
        <v>60.388599999999997</v>
      </c>
      <c r="G8596">
        <v>5.9638999999999998</v>
      </c>
      <c r="H8596">
        <v>0</v>
      </c>
      <c r="I8596">
        <v>455</v>
      </c>
      <c r="J8596" t="str">
        <f>HYPERLINK("https://climate.onebuilding.org/WMO_Region_6_Europe/NOR_Norway/HO_Hordaland/NOR_HO_Kvamskogen-Jonshogdi.013270_TMYx.2009-2023.zip")</f>
        <v>https://climate.onebuilding.org/WMO_Region_6_Europe/NOR_Norway/HO_Hordaland/NOR_HO_Kvamskogen-Jonshogdi.013270_TMYx.2009-2023.zip</v>
      </c>
    </row>
    <row r="8597" spans="1:10" x14ac:dyDescent="0.25">
      <c r="A8597" t="s">
        <v>4974</v>
      </c>
      <c r="B8597" t="s">
        <v>681</v>
      </c>
      <c r="C8597" t="s">
        <v>6438</v>
      </c>
      <c r="D8597" s="1" t="s">
        <v>6439</v>
      </c>
      <c r="E8597" t="s">
        <v>14</v>
      </c>
      <c r="F8597">
        <v>60.388599999999997</v>
      </c>
      <c r="G8597">
        <v>5.9638999999999998</v>
      </c>
      <c r="H8597">
        <v>0</v>
      </c>
      <c r="I8597">
        <v>455</v>
      </c>
      <c r="J8597" t="str">
        <f>HYPERLINK("https://climate.onebuilding.org/WMO_Region_6_Europe/NOR_Norway/HO_Hordaland/NOR_HO_Kvamskogen-Jonshogdi.013270_TMYx.zip")</f>
        <v>https://climate.onebuilding.org/WMO_Region_6_Europe/NOR_Norway/HO_Hordaland/NOR_HO_Kvamskogen-Jonshogdi.013270_TMYx.zip</v>
      </c>
    </row>
    <row r="8598" spans="1:10" x14ac:dyDescent="0.25">
      <c r="A8598" t="s">
        <v>4974</v>
      </c>
      <c r="B8598" t="s">
        <v>527</v>
      </c>
      <c r="C8598" t="s">
        <v>6441</v>
      </c>
      <c r="D8598" s="1" t="s">
        <v>6442</v>
      </c>
      <c r="E8598" t="s">
        <v>6443</v>
      </c>
      <c r="F8598">
        <v>60.363999999999997</v>
      </c>
      <c r="G8598">
        <v>6.2790999999999997</v>
      </c>
      <c r="H8598">
        <v>0</v>
      </c>
      <c r="I8598">
        <v>57</v>
      </c>
      <c r="J8598" t="str">
        <f>HYPERLINK("https://climate.onebuilding.org/WMO_Region_6_Europe/NOR_Norway/SF_Sogn_og_Fjordane/NOR_SF_Kvamsoy.Island.013290_TMYx.2004-2018.zip")</f>
        <v>https://climate.onebuilding.org/WMO_Region_6_Europe/NOR_Norway/SF_Sogn_og_Fjordane/NOR_SF_Kvamsoy.Island.013290_TMYx.2004-2018.zip</v>
      </c>
    </row>
    <row r="8599" spans="1:10" x14ac:dyDescent="0.25">
      <c r="A8599" t="s">
        <v>4974</v>
      </c>
      <c r="B8599" t="s">
        <v>527</v>
      </c>
      <c r="C8599" t="s">
        <v>6441</v>
      </c>
      <c r="D8599" s="1" t="s">
        <v>6442</v>
      </c>
      <c r="E8599" t="s">
        <v>14</v>
      </c>
      <c r="F8599">
        <v>60.363999999999997</v>
      </c>
      <c r="G8599">
        <v>6.2790999999999997</v>
      </c>
      <c r="H8599">
        <v>0</v>
      </c>
      <c r="I8599">
        <v>57</v>
      </c>
      <c r="J8599" t="str">
        <f>HYPERLINK("https://climate.onebuilding.org/WMO_Region_6_Europe/NOR_Norway/SF_Sogn_og_Fjordane/NOR_SF_Kvamsoy.Island.013290_TMYx.2007-2021.zip")</f>
        <v>https://climate.onebuilding.org/WMO_Region_6_Europe/NOR_Norway/SF_Sogn_og_Fjordane/NOR_SF_Kvamsoy.Island.013290_TMYx.2007-2021.zip</v>
      </c>
    </row>
    <row r="8600" spans="1:10" x14ac:dyDescent="0.25">
      <c r="A8600" t="s">
        <v>4974</v>
      </c>
      <c r="B8600" t="s">
        <v>527</v>
      </c>
      <c r="C8600" t="s">
        <v>6441</v>
      </c>
      <c r="D8600" s="1" t="s">
        <v>6442</v>
      </c>
      <c r="E8600" t="s">
        <v>14</v>
      </c>
      <c r="F8600">
        <v>60.363999999999997</v>
      </c>
      <c r="G8600">
        <v>6.2790999999999997</v>
      </c>
      <c r="H8600">
        <v>0</v>
      </c>
      <c r="I8600">
        <v>57</v>
      </c>
      <c r="J8600" t="str">
        <f>HYPERLINK("https://climate.onebuilding.org/WMO_Region_6_Europe/NOR_Norway/SF_Sogn_og_Fjordane/NOR_SF_Kvamsoy.Island.013290_TMYx.2009-2023.zip")</f>
        <v>https://climate.onebuilding.org/WMO_Region_6_Europe/NOR_Norway/SF_Sogn_og_Fjordane/NOR_SF_Kvamsoy.Island.013290_TMYx.2009-2023.zip</v>
      </c>
    </row>
    <row r="8601" spans="1:10" x14ac:dyDescent="0.25">
      <c r="A8601" t="s">
        <v>4974</v>
      </c>
      <c r="B8601" t="s">
        <v>527</v>
      </c>
      <c r="C8601" t="s">
        <v>6441</v>
      </c>
      <c r="D8601" s="1" t="s">
        <v>6442</v>
      </c>
      <c r="E8601" t="s">
        <v>14</v>
      </c>
      <c r="F8601">
        <v>60.363999999999997</v>
      </c>
      <c r="G8601">
        <v>6.2790999999999997</v>
      </c>
      <c r="H8601">
        <v>0</v>
      </c>
      <c r="I8601">
        <v>57</v>
      </c>
      <c r="J8601" t="str">
        <f>HYPERLINK("https://climate.onebuilding.org/WMO_Region_6_Europe/NOR_Norway/SF_Sogn_og_Fjordane/NOR_SF_Kvamsoy.Island.013290_TMYx.zip")</f>
        <v>https://climate.onebuilding.org/WMO_Region_6_Europe/NOR_Norway/SF_Sogn_og_Fjordane/NOR_SF_Kvamsoy.Island.013290_TMYx.zip</v>
      </c>
    </row>
    <row r="8602" spans="1:10" x14ac:dyDescent="0.25">
      <c r="A8602" t="s">
        <v>4974</v>
      </c>
      <c r="B8602" t="s">
        <v>681</v>
      </c>
      <c r="C8602" t="s">
        <v>6444</v>
      </c>
      <c r="D8602" s="1" t="s">
        <v>6445</v>
      </c>
      <c r="E8602" t="s">
        <v>14</v>
      </c>
      <c r="F8602">
        <v>60.217799999999997</v>
      </c>
      <c r="G8602">
        <v>5.976</v>
      </c>
      <c r="H8602">
        <v>0</v>
      </c>
      <c r="I8602">
        <v>6</v>
      </c>
      <c r="J8602" t="str">
        <f>HYPERLINK("https://climate.onebuilding.org/WMO_Region_6_Europe/NOR_Norway/HO_Hordaland/NOR_HO_Omastrand.013300_TMYx.zip")</f>
        <v>https://climate.onebuilding.org/WMO_Region_6_Europe/NOR_Norway/HO_Hordaland/NOR_HO_Omastrand.013300_TMYx.zip</v>
      </c>
    </row>
    <row r="8603" spans="1:10" x14ac:dyDescent="0.25">
      <c r="A8603" t="s">
        <v>4974</v>
      </c>
      <c r="B8603" t="s">
        <v>527</v>
      </c>
      <c r="C8603" t="s">
        <v>6446</v>
      </c>
      <c r="D8603" s="1" t="s">
        <v>6447</v>
      </c>
      <c r="E8603" t="s">
        <v>6448</v>
      </c>
      <c r="F8603">
        <v>61.423099999999998</v>
      </c>
      <c r="G8603">
        <v>6.7641999999999998</v>
      </c>
      <c r="H8603">
        <v>0</v>
      </c>
      <c r="I8603">
        <v>3</v>
      </c>
      <c r="J8603" t="str">
        <f>HYPERLINK("https://climate.onebuilding.org/WMO_Region_6_Europe/NOR_Norway/SF_Sogn_og_Fjordane/NOR_SF_Fjaerland.Bremuseet.013320_TMYx.2004-2018.zip")</f>
        <v>https://climate.onebuilding.org/WMO_Region_6_Europe/NOR_Norway/SF_Sogn_og_Fjordane/NOR_SF_Fjaerland.Bremuseet.013320_TMYx.2004-2018.zip</v>
      </c>
    </row>
    <row r="8604" spans="1:10" x14ac:dyDescent="0.25">
      <c r="A8604" t="s">
        <v>4974</v>
      </c>
      <c r="B8604" t="s">
        <v>527</v>
      </c>
      <c r="C8604" t="s">
        <v>6446</v>
      </c>
      <c r="D8604" s="1" t="s">
        <v>6447</v>
      </c>
      <c r="E8604" t="s">
        <v>14</v>
      </c>
      <c r="F8604">
        <v>61.423099999999998</v>
      </c>
      <c r="G8604">
        <v>6.7641999999999998</v>
      </c>
      <c r="H8604">
        <v>0</v>
      </c>
      <c r="I8604">
        <v>3</v>
      </c>
      <c r="J8604" t="str">
        <f>HYPERLINK("https://climate.onebuilding.org/WMO_Region_6_Europe/NOR_Norway/SF_Sogn_og_Fjordane/NOR_SF_Fjaerland.Bremuseet.013320_TMYx.2007-2021.zip")</f>
        <v>https://climate.onebuilding.org/WMO_Region_6_Europe/NOR_Norway/SF_Sogn_og_Fjordane/NOR_SF_Fjaerland.Bremuseet.013320_TMYx.2007-2021.zip</v>
      </c>
    </row>
    <row r="8605" spans="1:10" x14ac:dyDescent="0.25">
      <c r="A8605" t="s">
        <v>4974</v>
      </c>
      <c r="B8605" t="s">
        <v>527</v>
      </c>
      <c r="C8605" t="s">
        <v>6446</v>
      </c>
      <c r="D8605" s="1" t="s">
        <v>6447</v>
      </c>
      <c r="E8605" t="s">
        <v>14</v>
      </c>
      <c r="F8605">
        <v>61.423099999999998</v>
      </c>
      <c r="G8605">
        <v>6.7641999999999998</v>
      </c>
      <c r="H8605">
        <v>0</v>
      </c>
      <c r="I8605">
        <v>3</v>
      </c>
      <c r="J8605" t="str">
        <f>HYPERLINK("https://climate.onebuilding.org/WMO_Region_6_Europe/NOR_Norway/SF_Sogn_og_Fjordane/NOR_SF_Fjaerland.Bremuseet.013320_TMYx.2009-2023.zip")</f>
        <v>https://climate.onebuilding.org/WMO_Region_6_Europe/NOR_Norway/SF_Sogn_og_Fjordane/NOR_SF_Fjaerland.Bremuseet.013320_TMYx.2009-2023.zip</v>
      </c>
    </row>
    <row r="8606" spans="1:10" x14ac:dyDescent="0.25">
      <c r="A8606" t="s">
        <v>4974</v>
      </c>
      <c r="B8606" t="s">
        <v>527</v>
      </c>
      <c r="C8606" t="s">
        <v>6446</v>
      </c>
      <c r="D8606" s="1" t="s">
        <v>6447</v>
      </c>
      <c r="E8606" t="s">
        <v>14</v>
      </c>
      <c r="F8606">
        <v>61.423099999999998</v>
      </c>
      <c r="G8606">
        <v>6.7641999999999998</v>
      </c>
      <c r="H8606">
        <v>0</v>
      </c>
      <c r="I8606">
        <v>3</v>
      </c>
      <c r="J8606" t="str">
        <f>HYPERLINK("https://climate.onebuilding.org/WMO_Region_6_Europe/NOR_Norway/SF_Sogn_og_Fjordane/NOR_SF_Fjaerland.Bremuseet.013320_TMYx.zip")</f>
        <v>https://climate.onebuilding.org/WMO_Region_6_Europe/NOR_Norway/SF_Sogn_og_Fjordane/NOR_SF_Fjaerland.Bremuseet.013320_TMYx.zip</v>
      </c>
    </row>
    <row r="8607" spans="1:10" x14ac:dyDescent="0.25">
      <c r="A8607" t="s">
        <v>4974</v>
      </c>
      <c r="B8607" t="s">
        <v>681</v>
      </c>
      <c r="C8607" t="s">
        <v>6449</v>
      </c>
      <c r="D8607" s="1" t="s">
        <v>6450</v>
      </c>
      <c r="E8607" t="s">
        <v>14</v>
      </c>
      <c r="F8607">
        <v>60.645600000000002</v>
      </c>
      <c r="G8607">
        <v>6.2218999999999998</v>
      </c>
      <c r="H8607">
        <v>0</v>
      </c>
      <c r="I8607">
        <v>328</v>
      </c>
      <c r="J8607" t="str">
        <f>HYPERLINK("https://climate.onebuilding.org/WMO_Region_6_Europe/NOR_Norway/HO_Hordaland/NOR_HO_Bulken.013360_TMYx.2007-2021.zip")</f>
        <v>https://climate.onebuilding.org/WMO_Region_6_Europe/NOR_Norway/HO_Hordaland/NOR_HO_Bulken.013360_TMYx.2007-2021.zip</v>
      </c>
    </row>
    <row r="8608" spans="1:10" x14ac:dyDescent="0.25">
      <c r="A8608" t="s">
        <v>4974</v>
      </c>
      <c r="B8608" t="s">
        <v>681</v>
      </c>
      <c r="C8608" t="s">
        <v>6449</v>
      </c>
      <c r="D8608" s="1" t="s">
        <v>6450</v>
      </c>
      <c r="E8608" t="s">
        <v>14</v>
      </c>
      <c r="F8608">
        <v>60.645600000000002</v>
      </c>
      <c r="G8608">
        <v>6.2218999999999998</v>
      </c>
      <c r="H8608">
        <v>0</v>
      </c>
      <c r="I8608">
        <v>328</v>
      </c>
      <c r="J8608" t="str">
        <f>HYPERLINK("https://climate.onebuilding.org/WMO_Region_6_Europe/NOR_Norway/HO_Hordaland/NOR_HO_Bulken.013360_TMYx.2009-2023.zip")</f>
        <v>https://climate.onebuilding.org/WMO_Region_6_Europe/NOR_Norway/HO_Hordaland/NOR_HO_Bulken.013360_TMYx.2009-2023.zip</v>
      </c>
    </row>
    <row r="8609" spans="1:10" x14ac:dyDescent="0.25">
      <c r="A8609" t="s">
        <v>4974</v>
      </c>
      <c r="B8609" t="s">
        <v>681</v>
      </c>
      <c r="C8609" t="s">
        <v>6449</v>
      </c>
      <c r="D8609" s="1" t="s">
        <v>6450</v>
      </c>
      <c r="E8609" t="s">
        <v>14</v>
      </c>
      <c r="F8609">
        <v>60.645600000000002</v>
      </c>
      <c r="G8609">
        <v>6.2218999999999998</v>
      </c>
      <c r="H8609">
        <v>0</v>
      </c>
      <c r="I8609">
        <v>328</v>
      </c>
      <c r="J8609" t="str">
        <f>HYPERLINK("https://climate.onebuilding.org/WMO_Region_6_Europe/NOR_Norway/HO_Hordaland/NOR_HO_Bulken.013360_TMYx.zip")</f>
        <v>https://climate.onebuilding.org/WMO_Region_6_Europe/NOR_Norway/HO_Hordaland/NOR_HO_Bulken.013360_TMYx.zip</v>
      </c>
    </row>
    <row r="8610" spans="1:10" x14ac:dyDescent="0.25">
      <c r="A8610" t="s">
        <v>4974</v>
      </c>
      <c r="B8610" t="s">
        <v>681</v>
      </c>
      <c r="C8610" t="s">
        <v>6451</v>
      </c>
      <c r="D8610" s="1" t="s">
        <v>6452</v>
      </c>
      <c r="E8610" t="s">
        <v>6453</v>
      </c>
      <c r="F8610">
        <v>60.625</v>
      </c>
      <c r="G8610">
        <v>6.4260999999999999</v>
      </c>
      <c r="H8610">
        <v>0</v>
      </c>
      <c r="I8610">
        <v>55.3</v>
      </c>
      <c r="J8610" t="str">
        <f>HYPERLINK("https://climate.onebuilding.org/WMO_Region_6_Europe/NOR_Norway/HO_Hordaland/NOR_HO_Vossevangen.013370_TMYx.2004-2018.zip")</f>
        <v>https://climate.onebuilding.org/WMO_Region_6_Europe/NOR_Norway/HO_Hordaland/NOR_HO_Vossevangen.013370_TMYx.2004-2018.zip</v>
      </c>
    </row>
    <row r="8611" spans="1:10" x14ac:dyDescent="0.25">
      <c r="A8611" t="s">
        <v>4974</v>
      </c>
      <c r="B8611" t="s">
        <v>681</v>
      </c>
      <c r="C8611" t="s">
        <v>6451</v>
      </c>
      <c r="D8611" s="1" t="s">
        <v>6452</v>
      </c>
      <c r="E8611" t="s">
        <v>14</v>
      </c>
      <c r="F8611">
        <v>60.625</v>
      </c>
      <c r="G8611">
        <v>6.4260999999999999</v>
      </c>
      <c r="H8611">
        <v>0</v>
      </c>
      <c r="I8611">
        <v>55.3</v>
      </c>
      <c r="J8611" t="str">
        <f>HYPERLINK("https://climate.onebuilding.org/WMO_Region_6_Europe/NOR_Norway/HO_Hordaland/NOR_HO_Vossevangen.013370_TMYx.2007-2021.zip")</f>
        <v>https://climate.onebuilding.org/WMO_Region_6_Europe/NOR_Norway/HO_Hordaland/NOR_HO_Vossevangen.013370_TMYx.2007-2021.zip</v>
      </c>
    </row>
    <row r="8612" spans="1:10" x14ac:dyDescent="0.25">
      <c r="A8612" t="s">
        <v>4974</v>
      </c>
      <c r="B8612" t="s">
        <v>681</v>
      </c>
      <c r="C8612" t="s">
        <v>6451</v>
      </c>
      <c r="D8612" s="1" t="s">
        <v>6452</v>
      </c>
      <c r="E8612" t="s">
        <v>14</v>
      </c>
      <c r="F8612">
        <v>60.625</v>
      </c>
      <c r="G8612">
        <v>6.4260999999999999</v>
      </c>
      <c r="H8612">
        <v>0</v>
      </c>
      <c r="I8612">
        <v>55.3</v>
      </c>
      <c r="J8612" t="str">
        <f>HYPERLINK("https://climate.onebuilding.org/WMO_Region_6_Europe/NOR_Norway/HO_Hordaland/NOR_HO_Vossevangen.013370_TMYx.2009-2023.zip")</f>
        <v>https://climate.onebuilding.org/WMO_Region_6_Europe/NOR_Norway/HO_Hordaland/NOR_HO_Vossevangen.013370_TMYx.2009-2023.zip</v>
      </c>
    </row>
    <row r="8613" spans="1:10" x14ac:dyDescent="0.25">
      <c r="A8613" t="s">
        <v>4974</v>
      </c>
      <c r="B8613" t="s">
        <v>681</v>
      </c>
      <c r="C8613" t="s">
        <v>6451</v>
      </c>
      <c r="D8613" s="1" t="s">
        <v>6452</v>
      </c>
      <c r="E8613" t="s">
        <v>14</v>
      </c>
      <c r="F8613">
        <v>60.625</v>
      </c>
      <c r="G8613">
        <v>6.4260999999999999</v>
      </c>
      <c r="H8613">
        <v>0</v>
      </c>
      <c r="I8613">
        <v>55.3</v>
      </c>
      <c r="J8613" t="str">
        <f>HYPERLINK("https://climate.onebuilding.org/WMO_Region_6_Europe/NOR_Norway/HO_Hordaland/NOR_HO_Vossevangen.013370_TMYx.zip")</f>
        <v>https://climate.onebuilding.org/WMO_Region_6_Europe/NOR_Norway/HO_Hordaland/NOR_HO_Vossevangen.013370_TMYx.zip</v>
      </c>
    </row>
    <row r="8614" spans="1:10" x14ac:dyDescent="0.25">
      <c r="A8614" t="s">
        <v>4974</v>
      </c>
      <c r="B8614" t="s">
        <v>527</v>
      </c>
      <c r="C8614" t="s">
        <v>6454</v>
      </c>
      <c r="D8614" s="1" t="s">
        <v>6455</v>
      </c>
      <c r="E8614" t="s">
        <v>6456</v>
      </c>
      <c r="F8614">
        <v>61.171100000000003</v>
      </c>
      <c r="G8614">
        <v>6.6468999999999996</v>
      </c>
      <c r="H8614">
        <v>0</v>
      </c>
      <c r="I8614">
        <v>54</v>
      </c>
      <c r="J8614" t="str">
        <f>HYPERLINK("https://climate.onebuilding.org/WMO_Region_6_Europe/NOR_Norway/SF_Sogn_og_Fjordane/NOR_SF_Vangsnes.013380_TMYx.2004-2018.zip")</f>
        <v>https://climate.onebuilding.org/WMO_Region_6_Europe/NOR_Norway/SF_Sogn_og_Fjordane/NOR_SF_Vangsnes.013380_TMYx.2004-2018.zip</v>
      </c>
    </row>
    <row r="8615" spans="1:10" x14ac:dyDescent="0.25">
      <c r="A8615" t="s">
        <v>4974</v>
      </c>
      <c r="B8615" t="s">
        <v>527</v>
      </c>
      <c r="C8615" t="s">
        <v>6454</v>
      </c>
      <c r="D8615" s="1" t="s">
        <v>6455</v>
      </c>
      <c r="E8615" t="s">
        <v>14</v>
      </c>
      <c r="F8615">
        <v>61.171100000000003</v>
      </c>
      <c r="G8615">
        <v>6.6468999999999996</v>
      </c>
      <c r="H8615">
        <v>0</v>
      </c>
      <c r="I8615">
        <v>54</v>
      </c>
      <c r="J8615" t="str">
        <f>HYPERLINK("https://climate.onebuilding.org/WMO_Region_6_Europe/NOR_Norway/SF_Sogn_og_Fjordane/NOR_SF_Vangsnes.013380_TMYx.2007-2021.zip")</f>
        <v>https://climate.onebuilding.org/WMO_Region_6_Europe/NOR_Norway/SF_Sogn_og_Fjordane/NOR_SF_Vangsnes.013380_TMYx.2007-2021.zip</v>
      </c>
    </row>
    <row r="8616" spans="1:10" x14ac:dyDescent="0.25">
      <c r="A8616" t="s">
        <v>4974</v>
      </c>
      <c r="B8616" t="s">
        <v>527</v>
      </c>
      <c r="C8616" t="s">
        <v>6454</v>
      </c>
      <c r="D8616" s="1" t="s">
        <v>6455</v>
      </c>
      <c r="E8616" t="s">
        <v>14</v>
      </c>
      <c r="F8616">
        <v>61.171100000000003</v>
      </c>
      <c r="G8616">
        <v>6.6468999999999996</v>
      </c>
      <c r="H8616">
        <v>0</v>
      </c>
      <c r="I8616">
        <v>54</v>
      </c>
      <c r="J8616" t="str">
        <f>HYPERLINK("https://climate.onebuilding.org/WMO_Region_6_Europe/NOR_Norway/SF_Sogn_og_Fjordane/NOR_SF_Vangsnes.013380_TMYx.2009-2023.zip")</f>
        <v>https://climate.onebuilding.org/WMO_Region_6_Europe/NOR_Norway/SF_Sogn_og_Fjordane/NOR_SF_Vangsnes.013380_TMYx.2009-2023.zip</v>
      </c>
    </row>
    <row r="8617" spans="1:10" x14ac:dyDescent="0.25">
      <c r="A8617" t="s">
        <v>4974</v>
      </c>
      <c r="B8617" t="s">
        <v>527</v>
      </c>
      <c r="C8617" t="s">
        <v>6454</v>
      </c>
      <c r="D8617" s="1" t="s">
        <v>6455</v>
      </c>
      <c r="E8617" t="s">
        <v>14</v>
      </c>
      <c r="F8617">
        <v>61.171100000000003</v>
      </c>
      <c r="G8617">
        <v>6.6468999999999996</v>
      </c>
      <c r="H8617">
        <v>0</v>
      </c>
      <c r="I8617">
        <v>54</v>
      </c>
      <c r="J8617" t="str">
        <f>HYPERLINK("https://climate.onebuilding.org/WMO_Region_6_Europe/NOR_Norway/SF_Sogn_og_Fjordane/NOR_SF_Vangsnes.013380_TMYx.zip")</f>
        <v>https://climate.onebuilding.org/WMO_Region_6_Europe/NOR_Norway/SF_Sogn_og_Fjordane/NOR_SF_Vangsnes.013380_TMYx.zip</v>
      </c>
    </row>
    <row r="8618" spans="1:10" x14ac:dyDescent="0.25">
      <c r="A8618" t="s">
        <v>4974</v>
      </c>
      <c r="B8618" t="s">
        <v>681</v>
      </c>
      <c r="C8618" t="s">
        <v>6457</v>
      </c>
      <c r="D8618" s="1" t="s">
        <v>6458</v>
      </c>
      <c r="E8618" t="s">
        <v>6459</v>
      </c>
      <c r="F8618">
        <v>60.408299999999997</v>
      </c>
      <c r="G8618">
        <v>7.2797000000000001</v>
      </c>
      <c r="H8618">
        <v>0</v>
      </c>
      <c r="I8618">
        <v>737</v>
      </c>
      <c r="J8618" t="str">
        <f>HYPERLINK("https://climate.onebuilding.org/WMO_Region_6_Europe/NOR_Norway/HO_Hordaland/NOR_HO_Fet.i.Eidfjord.013400_TMYx.2004-2018.zip")</f>
        <v>https://climate.onebuilding.org/WMO_Region_6_Europe/NOR_Norway/HO_Hordaland/NOR_HO_Fet.i.Eidfjord.013400_TMYx.2004-2018.zip</v>
      </c>
    </row>
    <row r="8619" spans="1:10" x14ac:dyDescent="0.25">
      <c r="A8619" t="s">
        <v>4974</v>
      </c>
      <c r="B8619" t="s">
        <v>681</v>
      </c>
      <c r="C8619" t="s">
        <v>6457</v>
      </c>
      <c r="D8619" s="1" t="s">
        <v>6458</v>
      </c>
      <c r="E8619" t="s">
        <v>14</v>
      </c>
      <c r="F8619">
        <v>60.408299999999997</v>
      </c>
      <c r="G8619">
        <v>7.2797000000000001</v>
      </c>
      <c r="H8619">
        <v>0</v>
      </c>
      <c r="I8619">
        <v>737</v>
      </c>
      <c r="J8619" t="str">
        <f>HYPERLINK("https://climate.onebuilding.org/WMO_Region_6_Europe/NOR_Norway/HO_Hordaland/NOR_HO_Fet.i.Eidfjord.013400_TMYx.2007-2021.zip")</f>
        <v>https://climate.onebuilding.org/WMO_Region_6_Europe/NOR_Norway/HO_Hordaland/NOR_HO_Fet.i.Eidfjord.013400_TMYx.2007-2021.zip</v>
      </c>
    </row>
    <row r="8620" spans="1:10" x14ac:dyDescent="0.25">
      <c r="A8620" t="s">
        <v>4974</v>
      </c>
      <c r="B8620" t="s">
        <v>681</v>
      </c>
      <c r="C8620" t="s">
        <v>6457</v>
      </c>
      <c r="D8620" s="1" t="s">
        <v>6458</v>
      </c>
      <c r="E8620" t="s">
        <v>14</v>
      </c>
      <c r="F8620">
        <v>60.408299999999997</v>
      </c>
      <c r="G8620">
        <v>7.2797000000000001</v>
      </c>
      <c r="H8620">
        <v>0</v>
      </c>
      <c r="I8620">
        <v>737</v>
      </c>
      <c r="J8620" t="str">
        <f>HYPERLINK("https://climate.onebuilding.org/WMO_Region_6_Europe/NOR_Norway/HO_Hordaland/NOR_HO_Fet.i.Eidfjord.013400_TMYx.2009-2023.zip")</f>
        <v>https://climate.onebuilding.org/WMO_Region_6_Europe/NOR_Norway/HO_Hordaland/NOR_HO_Fet.i.Eidfjord.013400_TMYx.2009-2023.zip</v>
      </c>
    </row>
    <row r="8621" spans="1:10" x14ac:dyDescent="0.25">
      <c r="A8621" t="s">
        <v>4974</v>
      </c>
      <c r="B8621" t="s">
        <v>681</v>
      </c>
      <c r="C8621" t="s">
        <v>6457</v>
      </c>
      <c r="D8621" s="1" t="s">
        <v>6458</v>
      </c>
      <c r="E8621" t="s">
        <v>14</v>
      </c>
      <c r="F8621">
        <v>60.408299999999997</v>
      </c>
      <c r="G8621">
        <v>7.2797000000000001</v>
      </c>
      <c r="H8621">
        <v>0</v>
      </c>
      <c r="I8621">
        <v>737</v>
      </c>
      <c r="J8621" t="str">
        <f>HYPERLINK("https://climate.onebuilding.org/WMO_Region_6_Europe/NOR_Norway/HO_Hordaland/NOR_HO_Fet.i.Eidfjord.013400_TMYx.zip")</f>
        <v>https://climate.onebuilding.org/WMO_Region_6_Europe/NOR_Norway/HO_Hordaland/NOR_HO_Fet.i.Eidfjord.013400_TMYx.zip</v>
      </c>
    </row>
    <row r="8622" spans="1:10" x14ac:dyDescent="0.25">
      <c r="A8622" t="s">
        <v>4974</v>
      </c>
      <c r="B8622" t="s">
        <v>681</v>
      </c>
      <c r="C8622" t="s">
        <v>6460</v>
      </c>
      <c r="D8622" s="1" t="s">
        <v>6461</v>
      </c>
      <c r="E8622" t="s">
        <v>14</v>
      </c>
      <c r="F8622">
        <v>60.466999999999999</v>
      </c>
      <c r="G8622">
        <v>6.867</v>
      </c>
      <c r="H8622">
        <v>0</v>
      </c>
      <c r="I8622">
        <v>166</v>
      </c>
      <c r="J8622" t="str">
        <f>HYPERLINK("https://climate.onebuilding.org/WMO_Region_6_Europe/NOR_Norway/HO_Hordaland/NOR_HO_Eidfjord.013410_TMYx.zip")</f>
        <v>https://climate.onebuilding.org/WMO_Region_6_Europe/NOR_Norway/HO_Hordaland/NOR_HO_Eidfjord.013410_TMYx.zip</v>
      </c>
    </row>
    <row r="8623" spans="1:10" x14ac:dyDescent="0.25">
      <c r="A8623" t="s">
        <v>4974</v>
      </c>
      <c r="B8623" t="s">
        <v>681</v>
      </c>
      <c r="C8623" t="s">
        <v>6462</v>
      </c>
      <c r="D8623" s="1" t="s">
        <v>6463</v>
      </c>
      <c r="E8623" t="s">
        <v>6464</v>
      </c>
      <c r="F8623">
        <v>60.318600000000004</v>
      </c>
      <c r="G8623">
        <v>6.6539000000000001</v>
      </c>
      <c r="H8623">
        <v>0</v>
      </c>
      <c r="I8623">
        <v>12</v>
      </c>
      <c r="J8623" t="str">
        <f>HYPERLINK("https://climate.onebuilding.org/WMO_Region_6_Europe/NOR_Norway/HO_Hordaland/NOR_HO_Ullensvang.013420_TMYx.2004-2018.zip")</f>
        <v>https://climate.onebuilding.org/WMO_Region_6_Europe/NOR_Norway/HO_Hordaland/NOR_HO_Ullensvang.013420_TMYx.2004-2018.zip</v>
      </c>
    </row>
    <row r="8624" spans="1:10" x14ac:dyDescent="0.25">
      <c r="A8624" t="s">
        <v>4974</v>
      </c>
      <c r="B8624" t="s">
        <v>681</v>
      </c>
      <c r="C8624" t="s">
        <v>6462</v>
      </c>
      <c r="D8624" s="1" t="s">
        <v>6463</v>
      </c>
      <c r="E8624" t="s">
        <v>14</v>
      </c>
      <c r="F8624">
        <v>60.318600000000004</v>
      </c>
      <c r="G8624">
        <v>6.6539000000000001</v>
      </c>
      <c r="H8624">
        <v>0</v>
      </c>
      <c r="I8624">
        <v>12</v>
      </c>
      <c r="J8624" t="str">
        <f>HYPERLINK("https://climate.onebuilding.org/WMO_Region_6_Europe/NOR_Norway/HO_Hordaland/NOR_HO_Ullensvang.013420_TMYx.2007-2021.zip")</f>
        <v>https://climate.onebuilding.org/WMO_Region_6_Europe/NOR_Norway/HO_Hordaland/NOR_HO_Ullensvang.013420_TMYx.2007-2021.zip</v>
      </c>
    </row>
    <row r="8625" spans="1:10" x14ac:dyDescent="0.25">
      <c r="A8625" t="s">
        <v>4974</v>
      </c>
      <c r="B8625" t="s">
        <v>681</v>
      </c>
      <c r="C8625" t="s">
        <v>6462</v>
      </c>
      <c r="D8625" s="1" t="s">
        <v>6463</v>
      </c>
      <c r="E8625" t="s">
        <v>14</v>
      </c>
      <c r="F8625">
        <v>60.318600000000004</v>
      </c>
      <c r="G8625">
        <v>6.6539000000000001</v>
      </c>
      <c r="H8625">
        <v>0</v>
      </c>
      <c r="I8625">
        <v>12</v>
      </c>
      <c r="J8625" t="str">
        <f>HYPERLINK("https://climate.onebuilding.org/WMO_Region_6_Europe/NOR_Norway/HO_Hordaland/NOR_HO_Ullensvang.013420_TMYx.2009-2023.zip")</f>
        <v>https://climate.onebuilding.org/WMO_Region_6_Europe/NOR_Norway/HO_Hordaland/NOR_HO_Ullensvang.013420_TMYx.2009-2023.zip</v>
      </c>
    </row>
    <row r="8626" spans="1:10" x14ac:dyDescent="0.25">
      <c r="A8626" t="s">
        <v>4974</v>
      </c>
      <c r="B8626" t="s">
        <v>681</v>
      </c>
      <c r="C8626" t="s">
        <v>6462</v>
      </c>
      <c r="D8626" s="1" t="s">
        <v>6463</v>
      </c>
      <c r="E8626" t="s">
        <v>14</v>
      </c>
      <c r="F8626">
        <v>60.318600000000004</v>
      </c>
      <c r="G8626">
        <v>6.6539000000000001</v>
      </c>
      <c r="H8626">
        <v>0</v>
      </c>
      <c r="I8626">
        <v>12</v>
      </c>
      <c r="J8626" t="str">
        <f>HYPERLINK("https://climate.onebuilding.org/WMO_Region_6_Europe/NOR_Norway/HO_Hordaland/NOR_HO_Ullensvang.013420_TMYx.zip")</f>
        <v>https://climate.onebuilding.org/WMO_Region_6_Europe/NOR_Norway/HO_Hordaland/NOR_HO_Ullensvang.013420_TMYx.zip</v>
      </c>
    </row>
    <row r="8627" spans="1:10" x14ac:dyDescent="0.25">
      <c r="A8627" t="s">
        <v>4974</v>
      </c>
      <c r="B8627" t="s">
        <v>681</v>
      </c>
      <c r="C8627" t="s">
        <v>6465</v>
      </c>
      <c r="D8627" s="1" t="s">
        <v>6466</v>
      </c>
      <c r="E8627" t="s">
        <v>6467</v>
      </c>
      <c r="F8627">
        <v>60.701999999999998</v>
      </c>
      <c r="G8627">
        <v>6.9371999999999998</v>
      </c>
      <c r="H8627">
        <v>0</v>
      </c>
      <c r="I8627">
        <v>695</v>
      </c>
      <c r="J8627" t="str">
        <f>HYPERLINK("https://climate.onebuilding.org/WMO_Region_6_Europe/NOR_Norway/HO_Hordaland/NOR_HO_Mjolfjell.013440_TMYx.2004-2018.zip")</f>
        <v>https://climate.onebuilding.org/WMO_Region_6_Europe/NOR_Norway/HO_Hordaland/NOR_HO_Mjolfjell.013440_TMYx.2004-2018.zip</v>
      </c>
    </row>
    <row r="8628" spans="1:10" x14ac:dyDescent="0.25">
      <c r="A8628" t="s">
        <v>4974</v>
      </c>
      <c r="B8628" t="s">
        <v>681</v>
      </c>
      <c r="C8628" t="s">
        <v>6465</v>
      </c>
      <c r="D8628" s="1" t="s">
        <v>6466</v>
      </c>
      <c r="E8628" t="s">
        <v>14</v>
      </c>
      <c r="F8628">
        <v>60.701999999999998</v>
      </c>
      <c r="G8628">
        <v>6.9371999999999998</v>
      </c>
      <c r="H8628">
        <v>0</v>
      </c>
      <c r="I8628">
        <v>695</v>
      </c>
      <c r="J8628" t="str">
        <f>HYPERLINK("https://climate.onebuilding.org/WMO_Region_6_Europe/NOR_Norway/HO_Hordaland/NOR_HO_Mjolfjell.013440_TMYx.2007-2021.zip")</f>
        <v>https://climate.onebuilding.org/WMO_Region_6_Europe/NOR_Norway/HO_Hordaland/NOR_HO_Mjolfjell.013440_TMYx.2007-2021.zip</v>
      </c>
    </row>
    <row r="8629" spans="1:10" x14ac:dyDescent="0.25">
      <c r="A8629" t="s">
        <v>4974</v>
      </c>
      <c r="B8629" t="s">
        <v>681</v>
      </c>
      <c r="C8629" t="s">
        <v>6465</v>
      </c>
      <c r="D8629" s="1" t="s">
        <v>6466</v>
      </c>
      <c r="E8629" t="s">
        <v>14</v>
      </c>
      <c r="F8629">
        <v>60.701999999999998</v>
      </c>
      <c r="G8629">
        <v>6.9371999999999998</v>
      </c>
      <c r="H8629">
        <v>0</v>
      </c>
      <c r="I8629">
        <v>695</v>
      </c>
      <c r="J8629" t="str">
        <f>HYPERLINK("https://climate.onebuilding.org/WMO_Region_6_Europe/NOR_Norway/HO_Hordaland/NOR_HO_Mjolfjell.013440_TMYx.2009-2023.zip")</f>
        <v>https://climate.onebuilding.org/WMO_Region_6_Europe/NOR_Norway/HO_Hordaland/NOR_HO_Mjolfjell.013440_TMYx.2009-2023.zip</v>
      </c>
    </row>
    <row r="8630" spans="1:10" x14ac:dyDescent="0.25">
      <c r="A8630" t="s">
        <v>4974</v>
      </c>
      <c r="B8630" t="s">
        <v>681</v>
      </c>
      <c r="C8630" t="s">
        <v>6465</v>
      </c>
      <c r="D8630" s="1" t="s">
        <v>6466</v>
      </c>
      <c r="E8630" t="s">
        <v>14</v>
      </c>
      <c r="F8630">
        <v>60.701999999999998</v>
      </c>
      <c r="G8630">
        <v>6.9371999999999998</v>
      </c>
      <c r="H8630">
        <v>0</v>
      </c>
      <c r="I8630">
        <v>695</v>
      </c>
      <c r="J8630" t="str">
        <f>HYPERLINK("https://climate.onebuilding.org/WMO_Region_6_Europe/NOR_Norway/HO_Hordaland/NOR_HO_Mjolfjell.013440_TMYx.zip")</f>
        <v>https://climate.onebuilding.org/WMO_Region_6_Europe/NOR_Norway/HO_Hordaland/NOR_HO_Mjolfjell.013440_TMYx.zip</v>
      </c>
    </row>
    <row r="8631" spans="1:10" x14ac:dyDescent="0.25">
      <c r="A8631" t="s">
        <v>4974</v>
      </c>
      <c r="B8631" t="s">
        <v>681</v>
      </c>
      <c r="C8631" t="s">
        <v>6468</v>
      </c>
      <c r="D8631" s="1" t="s">
        <v>6469</v>
      </c>
      <c r="E8631" t="s">
        <v>14</v>
      </c>
      <c r="F8631">
        <v>60.719200000000001</v>
      </c>
      <c r="G8631">
        <v>7.2085999999999997</v>
      </c>
      <c r="H8631">
        <v>0</v>
      </c>
      <c r="I8631">
        <v>960</v>
      </c>
      <c r="J8631" t="str">
        <f>HYPERLINK("https://climate.onebuilding.org/WMO_Region_6_Europe/NOR_Norway/HO_Hordaland/NOR_HO_Klevavatnet.013450_TMYx.2007-2021.zip")</f>
        <v>https://climate.onebuilding.org/WMO_Region_6_Europe/NOR_Norway/HO_Hordaland/NOR_HO_Klevavatnet.013450_TMYx.2007-2021.zip</v>
      </c>
    </row>
    <row r="8632" spans="1:10" x14ac:dyDescent="0.25">
      <c r="A8632" t="s">
        <v>4974</v>
      </c>
      <c r="B8632" t="s">
        <v>681</v>
      </c>
      <c r="C8632" t="s">
        <v>6468</v>
      </c>
      <c r="D8632" s="1" t="s">
        <v>6469</v>
      </c>
      <c r="E8632" t="s">
        <v>14</v>
      </c>
      <c r="F8632">
        <v>60.719200000000001</v>
      </c>
      <c r="G8632">
        <v>7.2085999999999997</v>
      </c>
      <c r="H8632">
        <v>0</v>
      </c>
      <c r="I8632">
        <v>960</v>
      </c>
      <c r="J8632" t="str">
        <f>HYPERLINK("https://climate.onebuilding.org/WMO_Region_6_Europe/NOR_Norway/HO_Hordaland/NOR_HO_Klevavatnet.013450_TMYx.2009-2023.zip")</f>
        <v>https://climate.onebuilding.org/WMO_Region_6_Europe/NOR_Norway/HO_Hordaland/NOR_HO_Klevavatnet.013450_TMYx.2009-2023.zip</v>
      </c>
    </row>
    <row r="8633" spans="1:10" x14ac:dyDescent="0.25">
      <c r="A8633" t="s">
        <v>4974</v>
      </c>
      <c r="B8633" t="s">
        <v>681</v>
      </c>
      <c r="C8633" t="s">
        <v>6468</v>
      </c>
      <c r="D8633" s="1" t="s">
        <v>6469</v>
      </c>
      <c r="E8633" t="s">
        <v>14</v>
      </c>
      <c r="F8633">
        <v>60.719200000000001</v>
      </c>
      <c r="G8633">
        <v>7.2085999999999997</v>
      </c>
      <c r="H8633">
        <v>0</v>
      </c>
      <c r="I8633">
        <v>960</v>
      </c>
      <c r="J8633" t="str">
        <f>HYPERLINK("https://climate.onebuilding.org/WMO_Region_6_Europe/NOR_Norway/HO_Hordaland/NOR_HO_Klevavatnet.013450_TMYx.zip")</f>
        <v>https://climate.onebuilding.org/WMO_Region_6_Europe/NOR_Norway/HO_Hordaland/NOR_HO_Klevavatnet.013450_TMYx.zip</v>
      </c>
    </row>
    <row r="8634" spans="1:10" x14ac:dyDescent="0.25">
      <c r="A8634" t="s">
        <v>4974</v>
      </c>
      <c r="B8634" t="s">
        <v>681</v>
      </c>
      <c r="C8634" t="s">
        <v>6470</v>
      </c>
      <c r="D8634" s="1" t="s">
        <v>6471</v>
      </c>
      <c r="E8634" t="s">
        <v>6472</v>
      </c>
      <c r="F8634">
        <v>60.6569</v>
      </c>
      <c r="G8634">
        <v>7.2769000000000004</v>
      </c>
      <c r="H8634">
        <v>0</v>
      </c>
      <c r="I8634">
        <v>1162</v>
      </c>
      <c r="J8634" t="str">
        <f>HYPERLINK("https://climate.onebuilding.org/WMO_Region_6_Europe/NOR_Norway/HO_Hordaland/NOR_HO_Midtstova.013460_TMYx.2004-2018.zip")</f>
        <v>https://climate.onebuilding.org/WMO_Region_6_Europe/NOR_Norway/HO_Hordaland/NOR_HO_Midtstova.013460_TMYx.2004-2018.zip</v>
      </c>
    </row>
    <row r="8635" spans="1:10" x14ac:dyDescent="0.25">
      <c r="A8635" t="s">
        <v>4974</v>
      </c>
      <c r="B8635" t="s">
        <v>681</v>
      </c>
      <c r="C8635" t="s">
        <v>6470</v>
      </c>
      <c r="D8635" s="1" t="s">
        <v>6471</v>
      </c>
      <c r="E8635" t="s">
        <v>14</v>
      </c>
      <c r="F8635">
        <v>60.6569</v>
      </c>
      <c r="G8635">
        <v>7.2769000000000004</v>
      </c>
      <c r="H8635">
        <v>0</v>
      </c>
      <c r="I8635">
        <v>1162</v>
      </c>
      <c r="J8635" t="str">
        <f>HYPERLINK("https://climate.onebuilding.org/WMO_Region_6_Europe/NOR_Norway/HO_Hordaland/NOR_HO_Midtstova.013460_TMYx.2007-2021.zip")</f>
        <v>https://climate.onebuilding.org/WMO_Region_6_Europe/NOR_Norway/HO_Hordaland/NOR_HO_Midtstova.013460_TMYx.2007-2021.zip</v>
      </c>
    </row>
    <row r="8636" spans="1:10" x14ac:dyDescent="0.25">
      <c r="A8636" t="s">
        <v>4974</v>
      </c>
      <c r="B8636" t="s">
        <v>681</v>
      </c>
      <c r="C8636" t="s">
        <v>6470</v>
      </c>
      <c r="D8636" s="1" t="s">
        <v>6471</v>
      </c>
      <c r="E8636" t="s">
        <v>14</v>
      </c>
      <c r="F8636">
        <v>60.6569</v>
      </c>
      <c r="G8636">
        <v>7.2769000000000004</v>
      </c>
      <c r="H8636">
        <v>0</v>
      </c>
      <c r="I8636">
        <v>1162</v>
      </c>
      <c r="J8636" t="str">
        <f>HYPERLINK("https://climate.onebuilding.org/WMO_Region_6_Europe/NOR_Norway/HO_Hordaland/NOR_HO_Midtstova.013460_TMYx.2009-2023.zip")</f>
        <v>https://climate.onebuilding.org/WMO_Region_6_Europe/NOR_Norway/HO_Hordaland/NOR_HO_Midtstova.013460_TMYx.2009-2023.zip</v>
      </c>
    </row>
    <row r="8637" spans="1:10" x14ac:dyDescent="0.25">
      <c r="A8637" t="s">
        <v>4974</v>
      </c>
      <c r="B8637" t="s">
        <v>681</v>
      </c>
      <c r="C8637" t="s">
        <v>6470</v>
      </c>
      <c r="D8637" s="1" t="s">
        <v>6471</v>
      </c>
      <c r="E8637" t="s">
        <v>14</v>
      </c>
      <c r="F8637">
        <v>60.6569</v>
      </c>
      <c r="G8637">
        <v>7.2769000000000004</v>
      </c>
      <c r="H8637">
        <v>0</v>
      </c>
      <c r="I8637">
        <v>1162</v>
      </c>
      <c r="J8637" t="str">
        <f>HYPERLINK("https://climate.onebuilding.org/WMO_Region_6_Europe/NOR_Norway/HO_Hordaland/NOR_HO_Midtstova.013460_TMYx.zip")</f>
        <v>https://climate.onebuilding.org/WMO_Region_6_Europe/NOR_Norway/HO_Hordaland/NOR_HO_Midtstova.013460_TMYx.zip</v>
      </c>
    </row>
    <row r="8638" spans="1:10" x14ac:dyDescent="0.25">
      <c r="A8638" t="s">
        <v>4974</v>
      </c>
      <c r="B8638" t="s">
        <v>6086</v>
      </c>
      <c r="C8638" t="s">
        <v>6473</v>
      </c>
      <c r="D8638" s="1" t="s">
        <v>6474</v>
      </c>
      <c r="E8638" t="s">
        <v>6475</v>
      </c>
      <c r="F8638">
        <v>61.158099999999997</v>
      </c>
      <c r="G8638">
        <v>7.1414</v>
      </c>
      <c r="H8638">
        <v>0</v>
      </c>
      <c r="I8638">
        <v>498</v>
      </c>
      <c r="J8638" t="str">
        <f>HYPERLINK("https://climate.onebuilding.org/WMO_Region_6_Europe/NOR_Norway/TD_Trondelag/NOR_TD_Sogndal.AP-Haukasen.013470_TMYx.2004-2018.zip")</f>
        <v>https://climate.onebuilding.org/WMO_Region_6_Europe/NOR_Norway/TD_Trondelag/NOR_TD_Sogndal.AP-Haukasen.013470_TMYx.2004-2018.zip</v>
      </c>
    </row>
    <row r="8639" spans="1:10" x14ac:dyDescent="0.25">
      <c r="A8639" t="s">
        <v>4974</v>
      </c>
      <c r="B8639" t="s">
        <v>6086</v>
      </c>
      <c r="C8639" t="s">
        <v>6473</v>
      </c>
      <c r="D8639" s="1" t="s">
        <v>6474</v>
      </c>
      <c r="E8639" t="s">
        <v>14</v>
      </c>
      <c r="F8639">
        <v>61.158099999999997</v>
      </c>
      <c r="G8639">
        <v>7.1414</v>
      </c>
      <c r="H8639">
        <v>0</v>
      </c>
      <c r="I8639">
        <v>498</v>
      </c>
      <c r="J8639" t="str">
        <f>HYPERLINK("https://climate.onebuilding.org/WMO_Region_6_Europe/NOR_Norway/TD_Trondelag/NOR_TD_Sogndal.AP-Haukasen.013470_TMYx.2007-2021.zip")</f>
        <v>https://climate.onebuilding.org/WMO_Region_6_Europe/NOR_Norway/TD_Trondelag/NOR_TD_Sogndal.AP-Haukasen.013470_TMYx.2007-2021.zip</v>
      </c>
    </row>
    <row r="8640" spans="1:10" x14ac:dyDescent="0.25">
      <c r="A8640" t="s">
        <v>4974</v>
      </c>
      <c r="B8640" t="s">
        <v>6086</v>
      </c>
      <c r="C8640" t="s">
        <v>6473</v>
      </c>
      <c r="D8640" s="1" t="s">
        <v>6474</v>
      </c>
      <c r="E8640" t="s">
        <v>14</v>
      </c>
      <c r="F8640">
        <v>61.158099999999997</v>
      </c>
      <c r="G8640">
        <v>7.1414</v>
      </c>
      <c r="H8640">
        <v>0</v>
      </c>
      <c r="I8640">
        <v>498</v>
      </c>
      <c r="J8640" t="str">
        <f>HYPERLINK("https://climate.onebuilding.org/WMO_Region_6_Europe/NOR_Norway/TD_Trondelag/NOR_TD_Sogndal.AP-Haukasen.013470_TMYx.2009-2023.zip")</f>
        <v>https://climate.onebuilding.org/WMO_Region_6_Europe/NOR_Norway/TD_Trondelag/NOR_TD_Sogndal.AP-Haukasen.013470_TMYx.2009-2023.zip</v>
      </c>
    </row>
    <row r="8641" spans="1:10" x14ac:dyDescent="0.25">
      <c r="A8641" t="s">
        <v>4974</v>
      </c>
      <c r="B8641" t="s">
        <v>6086</v>
      </c>
      <c r="C8641" t="s">
        <v>6473</v>
      </c>
      <c r="D8641" s="1" t="s">
        <v>6474</v>
      </c>
      <c r="E8641" t="s">
        <v>14</v>
      </c>
      <c r="F8641">
        <v>61.158099999999997</v>
      </c>
      <c r="G8641">
        <v>7.1414</v>
      </c>
      <c r="H8641">
        <v>0</v>
      </c>
      <c r="I8641">
        <v>498</v>
      </c>
      <c r="J8641" t="str">
        <f>HYPERLINK("https://climate.onebuilding.org/WMO_Region_6_Europe/NOR_Norway/TD_Trondelag/NOR_TD_Sogndal.AP-Haukasen.013470_TMYx.zip")</f>
        <v>https://climate.onebuilding.org/WMO_Region_6_Europe/NOR_Norway/TD_Trondelag/NOR_TD_Sogndal.AP-Haukasen.013470_TMYx.zip</v>
      </c>
    </row>
    <row r="8642" spans="1:10" x14ac:dyDescent="0.25">
      <c r="A8642" t="s">
        <v>4974</v>
      </c>
      <c r="B8642" t="s">
        <v>681</v>
      </c>
      <c r="C8642" t="s">
        <v>6476</v>
      </c>
      <c r="D8642" s="1" t="s">
        <v>6477</v>
      </c>
      <c r="E8642" t="s">
        <v>6478</v>
      </c>
      <c r="F8642">
        <v>60.592500000000001</v>
      </c>
      <c r="G8642">
        <v>7.5303000000000004</v>
      </c>
      <c r="H8642">
        <v>1</v>
      </c>
      <c r="I8642">
        <v>1209.8</v>
      </c>
      <c r="J8642" t="str">
        <f>HYPERLINK("https://climate.onebuilding.org/WMO_Region_6_Europe/NOR_Norway/HO_Hordaland/NOR_HO_Finsevatn.013500_TMYx.2004-2018.zip")</f>
        <v>https://climate.onebuilding.org/WMO_Region_6_Europe/NOR_Norway/HO_Hordaland/NOR_HO_Finsevatn.013500_TMYx.2004-2018.zip</v>
      </c>
    </row>
    <row r="8643" spans="1:10" x14ac:dyDescent="0.25">
      <c r="A8643" t="s">
        <v>4974</v>
      </c>
      <c r="B8643" t="s">
        <v>681</v>
      </c>
      <c r="C8643" t="s">
        <v>6476</v>
      </c>
      <c r="D8643" s="1" t="s">
        <v>6477</v>
      </c>
      <c r="E8643" t="s">
        <v>14</v>
      </c>
      <c r="F8643">
        <v>60.592500000000001</v>
      </c>
      <c r="G8643">
        <v>7.5303000000000004</v>
      </c>
      <c r="H8643">
        <v>1</v>
      </c>
      <c r="I8643">
        <v>1209.8</v>
      </c>
      <c r="J8643" t="str">
        <f>HYPERLINK("https://climate.onebuilding.org/WMO_Region_6_Europe/NOR_Norway/HO_Hordaland/NOR_HO_Finsevatn.013500_TMYx.2007-2021.zip")</f>
        <v>https://climate.onebuilding.org/WMO_Region_6_Europe/NOR_Norway/HO_Hordaland/NOR_HO_Finsevatn.013500_TMYx.2007-2021.zip</v>
      </c>
    </row>
    <row r="8644" spans="1:10" x14ac:dyDescent="0.25">
      <c r="A8644" t="s">
        <v>4974</v>
      </c>
      <c r="B8644" t="s">
        <v>681</v>
      </c>
      <c r="C8644" t="s">
        <v>6476</v>
      </c>
      <c r="D8644" s="1" t="s">
        <v>6477</v>
      </c>
      <c r="E8644" t="s">
        <v>14</v>
      </c>
      <c r="F8644">
        <v>60.592500000000001</v>
      </c>
      <c r="G8644">
        <v>7.5303000000000004</v>
      </c>
      <c r="H8644">
        <v>1</v>
      </c>
      <c r="I8644">
        <v>1209.8</v>
      </c>
      <c r="J8644" t="str">
        <f>HYPERLINK("https://climate.onebuilding.org/WMO_Region_6_Europe/NOR_Norway/HO_Hordaland/NOR_HO_Finsevatn.013500_TMYx.2009-2023.zip")</f>
        <v>https://climate.onebuilding.org/WMO_Region_6_Europe/NOR_Norway/HO_Hordaland/NOR_HO_Finsevatn.013500_TMYx.2009-2023.zip</v>
      </c>
    </row>
    <row r="8645" spans="1:10" x14ac:dyDescent="0.25">
      <c r="A8645" t="s">
        <v>4974</v>
      </c>
      <c r="B8645" t="s">
        <v>681</v>
      </c>
      <c r="C8645" t="s">
        <v>6476</v>
      </c>
      <c r="D8645" s="1" t="s">
        <v>6477</v>
      </c>
      <c r="E8645" t="s">
        <v>14</v>
      </c>
      <c r="F8645">
        <v>60.592500000000001</v>
      </c>
      <c r="G8645">
        <v>7.5303000000000004</v>
      </c>
      <c r="H8645">
        <v>1</v>
      </c>
      <c r="I8645">
        <v>1209.8</v>
      </c>
      <c r="J8645" t="str">
        <f>HYPERLINK("https://climate.onebuilding.org/WMO_Region_6_Europe/NOR_Norway/HO_Hordaland/NOR_HO_Finsevatn.013500_TMYx.zip")</f>
        <v>https://climate.onebuilding.org/WMO_Region_6_Europe/NOR_Norway/HO_Hordaland/NOR_HO_Finsevatn.013500_TMYx.zip</v>
      </c>
    </row>
    <row r="8646" spans="1:10" x14ac:dyDescent="0.25">
      <c r="A8646" t="s">
        <v>4974</v>
      </c>
      <c r="B8646" t="s">
        <v>681</v>
      </c>
      <c r="C8646" t="s">
        <v>6479</v>
      </c>
      <c r="D8646" s="1" t="s">
        <v>6480</v>
      </c>
      <c r="E8646" t="s">
        <v>6481</v>
      </c>
      <c r="F8646">
        <v>60.183900000000001</v>
      </c>
      <c r="G8646">
        <v>7.4813999999999998</v>
      </c>
      <c r="H8646">
        <v>0</v>
      </c>
      <c r="I8646">
        <v>1250</v>
      </c>
      <c r="J8646" t="str">
        <f>HYPERLINK("https://climate.onebuilding.org/WMO_Region_6_Europe/NOR_Norway/HO_Hordaland/NOR_HO_Sandhaug.013520_TMYx.2004-2018.zip")</f>
        <v>https://climate.onebuilding.org/WMO_Region_6_Europe/NOR_Norway/HO_Hordaland/NOR_HO_Sandhaug.013520_TMYx.2004-2018.zip</v>
      </c>
    </row>
    <row r="8647" spans="1:10" x14ac:dyDescent="0.25">
      <c r="A8647" t="s">
        <v>4974</v>
      </c>
      <c r="B8647" t="s">
        <v>681</v>
      </c>
      <c r="C8647" t="s">
        <v>6479</v>
      </c>
      <c r="D8647" s="1" t="s">
        <v>6480</v>
      </c>
      <c r="E8647" t="s">
        <v>14</v>
      </c>
      <c r="F8647">
        <v>60.183900000000001</v>
      </c>
      <c r="G8647">
        <v>7.4813999999999998</v>
      </c>
      <c r="H8647">
        <v>0</v>
      </c>
      <c r="I8647">
        <v>1250</v>
      </c>
      <c r="J8647" t="str">
        <f>HYPERLINK("https://climate.onebuilding.org/WMO_Region_6_Europe/NOR_Norway/HO_Hordaland/NOR_HO_Sandhaug.013520_TMYx.2007-2021.zip")</f>
        <v>https://climate.onebuilding.org/WMO_Region_6_Europe/NOR_Norway/HO_Hordaland/NOR_HO_Sandhaug.013520_TMYx.2007-2021.zip</v>
      </c>
    </row>
    <row r="8648" spans="1:10" x14ac:dyDescent="0.25">
      <c r="A8648" t="s">
        <v>4974</v>
      </c>
      <c r="B8648" t="s">
        <v>681</v>
      </c>
      <c r="C8648" t="s">
        <v>6479</v>
      </c>
      <c r="D8648" s="1" t="s">
        <v>6480</v>
      </c>
      <c r="E8648" t="s">
        <v>14</v>
      </c>
      <c r="F8648">
        <v>60.183900000000001</v>
      </c>
      <c r="G8648">
        <v>7.4813999999999998</v>
      </c>
      <c r="H8648">
        <v>0</v>
      </c>
      <c r="I8648">
        <v>1250</v>
      </c>
      <c r="J8648" t="str">
        <f>HYPERLINK("https://climate.onebuilding.org/WMO_Region_6_Europe/NOR_Norway/HO_Hordaland/NOR_HO_Sandhaug.013520_TMYx.2009-2023.zip")</f>
        <v>https://climate.onebuilding.org/WMO_Region_6_Europe/NOR_Norway/HO_Hordaland/NOR_HO_Sandhaug.013520_TMYx.2009-2023.zip</v>
      </c>
    </row>
    <row r="8649" spans="1:10" x14ac:dyDescent="0.25">
      <c r="A8649" t="s">
        <v>4974</v>
      </c>
      <c r="B8649" t="s">
        <v>681</v>
      </c>
      <c r="C8649" t="s">
        <v>6479</v>
      </c>
      <c r="D8649" s="1" t="s">
        <v>6480</v>
      </c>
      <c r="E8649" t="s">
        <v>14</v>
      </c>
      <c r="F8649">
        <v>60.183900000000001</v>
      </c>
      <c r="G8649">
        <v>7.4813999999999998</v>
      </c>
      <c r="H8649">
        <v>0</v>
      </c>
      <c r="I8649">
        <v>1250</v>
      </c>
      <c r="J8649" t="str">
        <f>HYPERLINK("https://climate.onebuilding.org/WMO_Region_6_Europe/NOR_Norway/HO_Hordaland/NOR_HO_Sandhaug.013520_TMYx.zip")</f>
        <v>https://climate.onebuilding.org/WMO_Region_6_Europe/NOR_Norway/HO_Hordaland/NOR_HO_Sandhaug.013520_TMYx.zip</v>
      </c>
    </row>
    <row r="8650" spans="1:10" x14ac:dyDescent="0.25">
      <c r="A8650" t="s">
        <v>4974</v>
      </c>
      <c r="B8650" t="s">
        <v>527</v>
      </c>
      <c r="C8650" t="s">
        <v>6482</v>
      </c>
      <c r="D8650" s="1" t="s">
        <v>6483</v>
      </c>
      <c r="E8650" t="s">
        <v>6484</v>
      </c>
      <c r="F8650">
        <v>61.103099999999998</v>
      </c>
      <c r="G8650">
        <v>7.5025000000000004</v>
      </c>
      <c r="H8650">
        <v>0</v>
      </c>
      <c r="I8650">
        <v>4.0999999999999996</v>
      </c>
      <c r="J8650" t="str">
        <f>HYPERLINK("https://climate.onebuilding.org/WMO_Region_6_Europe/NOR_Norway/SF_Sogn_og_Fjordane/NOR_SF_Laerdal.013550_TMYx.2004-2018.zip")</f>
        <v>https://climate.onebuilding.org/WMO_Region_6_Europe/NOR_Norway/SF_Sogn_og_Fjordane/NOR_SF_Laerdal.013550_TMYx.2004-2018.zip</v>
      </c>
    </row>
    <row r="8651" spans="1:10" x14ac:dyDescent="0.25">
      <c r="A8651" t="s">
        <v>4974</v>
      </c>
      <c r="B8651" t="s">
        <v>527</v>
      </c>
      <c r="C8651" t="s">
        <v>6482</v>
      </c>
      <c r="D8651" s="1" t="s">
        <v>6483</v>
      </c>
      <c r="E8651" t="s">
        <v>14</v>
      </c>
      <c r="F8651">
        <v>61.103099999999998</v>
      </c>
      <c r="G8651">
        <v>7.5025000000000004</v>
      </c>
      <c r="H8651">
        <v>0</v>
      </c>
      <c r="I8651">
        <v>4.0999999999999996</v>
      </c>
      <c r="J8651" t="str">
        <f>HYPERLINK("https://climate.onebuilding.org/WMO_Region_6_Europe/NOR_Norway/SF_Sogn_og_Fjordane/NOR_SF_Laerdal.013550_TMYx.2007-2021.zip")</f>
        <v>https://climate.onebuilding.org/WMO_Region_6_Europe/NOR_Norway/SF_Sogn_og_Fjordane/NOR_SF_Laerdal.013550_TMYx.2007-2021.zip</v>
      </c>
    </row>
    <row r="8652" spans="1:10" x14ac:dyDescent="0.25">
      <c r="A8652" t="s">
        <v>4974</v>
      </c>
      <c r="B8652" t="s">
        <v>527</v>
      </c>
      <c r="C8652" t="s">
        <v>6482</v>
      </c>
      <c r="D8652" s="1" t="s">
        <v>6483</v>
      </c>
      <c r="E8652" t="s">
        <v>14</v>
      </c>
      <c r="F8652">
        <v>61.103099999999998</v>
      </c>
      <c r="G8652">
        <v>7.5025000000000004</v>
      </c>
      <c r="H8652">
        <v>0</v>
      </c>
      <c r="I8652">
        <v>4.0999999999999996</v>
      </c>
      <c r="J8652" t="str">
        <f>HYPERLINK("https://climate.onebuilding.org/WMO_Region_6_Europe/NOR_Norway/SF_Sogn_og_Fjordane/NOR_SF_Laerdal.013550_TMYx.2009-2023.zip")</f>
        <v>https://climate.onebuilding.org/WMO_Region_6_Europe/NOR_Norway/SF_Sogn_og_Fjordane/NOR_SF_Laerdal.013550_TMYx.2009-2023.zip</v>
      </c>
    </row>
    <row r="8653" spans="1:10" x14ac:dyDescent="0.25">
      <c r="A8653" t="s">
        <v>4974</v>
      </c>
      <c r="B8653" t="s">
        <v>527</v>
      </c>
      <c r="C8653" t="s">
        <v>6482</v>
      </c>
      <c r="D8653" s="1" t="s">
        <v>6483</v>
      </c>
      <c r="E8653" t="s">
        <v>14</v>
      </c>
      <c r="F8653">
        <v>61.103099999999998</v>
      </c>
      <c r="G8653">
        <v>7.5025000000000004</v>
      </c>
      <c r="H8653">
        <v>0</v>
      </c>
      <c r="I8653">
        <v>4.0999999999999996</v>
      </c>
      <c r="J8653" t="str">
        <f>HYPERLINK("https://climate.onebuilding.org/WMO_Region_6_Europe/NOR_Norway/SF_Sogn_og_Fjordane/NOR_SF_Laerdal.013550_TMYx.zip")</f>
        <v>https://climate.onebuilding.org/WMO_Region_6_Europe/NOR_Norway/SF_Sogn_og_Fjordane/NOR_SF_Laerdal.013550_TMYx.zip</v>
      </c>
    </row>
    <row r="8654" spans="1:10" x14ac:dyDescent="0.25">
      <c r="A8654" t="s">
        <v>4974</v>
      </c>
      <c r="B8654" t="s">
        <v>527</v>
      </c>
      <c r="C8654" t="s">
        <v>6485</v>
      </c>
      <c r="D8654" s="1" t="s">
        <v>6486</v>
      </c>
      <c r="E8654" t="s">
        <v>14</v>
      </c>
      <c r="F8654">
        <v>61.517000000000003</v>
      </c>
      <c r="G8654">
        <v>7.9</v>
      </c>
      <c r="H8654">
        <v>1</v>
      </c>
      <c r="I8654">
        <v>2062</v>
      </c>
      <c r="J8654" t="str">
        <f>HYPERLINK("https://climate.onebuilding.org/WMO_Region_6_Europe/NOR_Norway/SF_Sogn_og_Fjordane/NOR_SF_Fannaraki.013560_TMYx.zip")</f>
        <v>https://climate.onebuilding.org/WMO_Region_6_Europe/NOR_Norway/SF_Sogn_og_Fjordane/NOR_SF_Fannaraki.013560_TMYx.zip</v>
      </c>
    </row>
    <row r="8655" spans="1:10" x14ac:dyDescent="0.25">
      <c r="A8655" t="s">
        <v>4974</v>
      </c>
      <c r="B8655" t="s">
        <v>233</v>
      </c>
      <c r="C8655" t="s">
        <v>6487</v>
      </c>
      <c r="D8655" s="1" t="s">
        <v>6488</v>
      </c>
      <c r="E8655" t="s">
        <v>6489</v>
      </c>
      <c r="F8655">
        <v>60.8705</v>
      </c>
      <c r="G8655">
        <v>8.5175000000000001</v>
      </c>
      <c r="H8655">
        <v>1</v>
      </c>
      <c r="I8655">
        <v>804.2</v>
      </c>
      <c r="J8655" t="str">
        <f>HYPERLINK("https://climate.onebuilding.org/WMO_Region_6_Europe/NOR_Norway/BU_Buskerud/NOR_BU_Hollekolten.013570_TMYx.2004-2018.zip")</f>
        <v>https://climate.onebuilding.org/WMO_Region_6_Europe/NOR_Norway/BU_Buskerud/NOR_BU_Hollekolten.013570_TMYx.2004-2018.zip</v>
      </c>
    </row>
    <row r="8656" spans="1:10" x14ac:dyDescent="0.25">
      <c r="A8656" t="s">
        <v>4974</v>
      </c>
      <c r="B8656" t="s">
        <v>233</v>
      </c>
      <c r="C8656" t="s">
        <v>6487</v>
      </c>
      <c r="D8656" s="1" t="s">
        <v>6488</v>
      </c>
      <c r="E8656" t="s">
        <v>14</v>
      </c>
      <c r="F8656">
        <v>60.8705</v>
      </c>
      <c r="G8656">
        <v>8.5175000000000001</v>
      </c>
      <c r="H8656">
        <v>1</v>
      </c>
      <c r="I8656">
        <v>804.2</v>
      </c>
      <c r="J8656" t="str">
        <f>HYPERLINK("https://climate.onebuilding.org/WMO_Region_6_Europe/NOR_Norway/BU_Buskerud/NOR_BU_Hollekolten.013570_TMYx.2007-2021.zip")</f>
        <v>https://climate.onebuilding.org/WMO_Region_6_Europe/NOR_Norway/BU_Buskerud/NOR_BU_Hollekolten.013570_TMYx.2007-2021.zip</v>
      </c>
    </row>
    <row r="8657" spans="1:10" x14ac:dyDescent="0.25">
      <c r="A8657" t="s">
        <v>4974</v>
      </c>
      <c r="B8657" t="s">
        <v>233</v>
      </c>
      <c r="C8657" t="s">
        <v>6487</v>
      </c>
      <c r="D8657" s="1" t="s">
        <v>6488</v>
      </c>
      <c r="E8657" t="s">
        <v>14</v>
      </c>
      <c r="F8657">
        <v>60.8705</v>
      </c>
      <c r="G8657">
        <v>8.5175000000000001</v>
      </c>
      <c r="H8657">
        <v>1</v>
      </c>
      <c r="I8657">
        <v>804.2</v>
      </c>
      <c r="J8657" t="str">
        <f>HYPERLINK("https://climate.onebuilding.org/WMO_Region_6_Europe/NOR_Norway/BU_Buskerud/NOR_BU_Hollekolten.013570_TMYx.2009-2023.zip")</f>
        <v>https://climate.onebuilding.org/WMO_Region_6_Europe/NOR_Norway/BU_Buskerud/NOR_BU_Hollekolten.013570_TMYx.2009-2023.zip</v>
      </c>
    </row>
    <row r="8658" spans="1:10" x14ac:dyDescent="0.25">
      <c r="A8658" t="s">
        <v>4974</v>
      </c>
      <c r="B8658" t="s">
        <v>233</v>
      </c>
      <c r="C8658" t="s">
        <v>6487</v>
      </c>
      <c r="D8658" s="1" t="s">
        <v>6488</v>
      </c>
      <c r="E8658" t="s">
        <v>14</v>
      </c>
      <c r="F8658">
        <v>60.8705</v>
      </c>
      <c r="G8658">
        <v>8.5175000000000001</v>
      </c>
      <c r="H8658">
        <v>1</v>
      </c>
      <c r="I8658">
        <v>804.2</v>
      </c>
      <c r="J8658" t="str">
        <f>HYPERLINK("https://climate.onebuilding.org/WMO_Region_6_Europe/NOR_Norway/BU_Buskerud/NOR_BU_Hollekolten.013570_TMYx.zip")</f>
        <v>https://climate.onebuilding.org/WMO_Region_6_Europe/NOR_Norway/BU_Buskerud/NOR_BU_Hollekolten.013570_TMYx.zip</v>
      </c>
    </row>
    <row r="8659" spans="1:10" x14ac:dyDescent="0.25">
      <c r="A8659" t="s">
        <v>4974</v>
      </c>
      <c r="B8659" t="s">
        <v>233</v>
      </c>
      <c r="C8659" t="s">
        <v>6490</v>
      </c>
      <c r="D8659" s="1" t="s">
        <v>6491</v>
      </c>
      <c r="E8659" t="s">
        <v>6492</v>
      </c>
      <c r="F8659">
        <v>60.854700000000001</v>
      </c>
      <c r="G8659">
        <v>8.5930999999999997</v>
      </c>
      <c r="H8659">
        <v>1</v>
      </c>
      <c r="I8659">
        <v>604</v>
      </c>
      <c r="J8659" t="str">
        <f>HYPERLINK("https://climate.onebuilding.org/WMO_Region_6_Europe/NOR_Norway/BU_Buskerud/NOR_BU_Hemsedal.013580_TMYx.2004-2018.zip")</f>
        <v>https://climate.onebuilding.org/WMO_Region_6_Europe/NOR_Norway/BU_Buskerud/NOR_BU_Hemsedal.013580_TMYx.2004-2018.zip</v>
      </c>
    </row>
    <row r="8660" spans="1:10" x14ac:dyDescent="0.25">
      <c r="A8660" t="s">
        <v>4974</v>
      </c>
      <c r="B8660" t="s">
        <v>233</v>
      </c>
      <c r="C8660" t="s">
        <v>6490</v>
      </c>
      <c r="D8660" s="1" t="s">
        <v>6491</v>
      </c>
      <c r="E8660" t="s">
        <v>14</v>
      </c>
      <c r="F8660">
        <v>60.854700000000001</v>
      </c>
      <c r="G8660">
        <v>8.5930999999999997</v>
      </c>
      <c r="H8660">
        <v>1</v>
      </c>
      <c r="I8660">
        <v>604</v>
      </c>
      <c r="J8660" t="str">
        <f>HYPERLINK("https://climate.onebuilding.org/WMO_Region_6_Europe/NOR_Norway/BU_Buskerud/NOR_BU_Hemsedal.013580_TMYx.2007-2021.zip")</f>
        <v>https://climate.onebuilding.org/WMO_Region_6_Europe/NOR_Norway/BU_Buskerud/NOR_BU_Hemsedal.013580_TMYx.2007-2021.zip</v>
      </c>
    </row>
    <row r="8661" spans="1:10" x14ac:dyDescent="0.25">
      <c r="A8661" t="s">
        <v>4974</v>
      </c>
      <c r="B8661" t="s">
        <v>233</v>
      </c>
      <c r="C8661" t="s">
        <v>6490</v>
      </c>
      <c r="D8661" s="1" t="s">
        <v>6491</v>
      </c>
      <c r="E8661" t="s">
        <v>14</v>
      </c>
      <c r="F8661">
        <v>60.854700000000001</v>
      </c>
      <c r="G8661">
        <v>8.5930999999999997</v>
      </c>
      <c r="H8661">
        <v>1</v>
      </c>
      <c r="I8661">
        <v>604</v>
      </c>
      <c r="J8661" t="str">
        <f>HYPERLINK("https://climate.onebuilding.org/WMO_Region_6_Europe/NOR_Norway/BU_Buskerud/NOR_BU_Hemsedal.013580_TMYx.2009-2023.zip")</f>
        <v>https://climate.onebuilding.org/WMO_Region_6_Europe/NOR_Norway/BU_Buskerud/NOR_BU_Hemsedal.013580_TMYx.2009-2023.zip</v>
      </c>
    </row>
    <row r="8662" spans="1:10" x14ac:dyDescent="0.25">
      <c r="A8662" t="s">
        <v>4974</v>
      </c>
      <c r="B8662" t="s">
        <v>233</v>
      </c>
      <c r="C8662" t="s">
        <v>6490</v>
      </c>
      <c r="D8662" s="1" t="s">
        <v>6491</v>
      </c>
      <c r="E8662" t="s">
        <v>14</v>
      </c>
      <c r="F8662">
        <v>60.854700000000001</v>
      </c>
      <c r="G8662">
        <v>8.5930999999999997</v>
      </c>
      <c r="H8662">
        <v>1</v>
      </c>
      <c r="I8662">
        <v>604</v>
      </c>
      <c r="J8662" t="str">
        <f>HYPERLINK("https://climate.onebuilding.org/WMO_Region_6_Europe/NOR_Norway/BU_Buskerud/NOR_BU_Hemsedal.013580_TMYx.zip")</f>
        <v>https://climate.onebuilding.org/WMO_Region_6_Europe/NOR_Norway/BU_Buskerud/NOR_BU_Hemsedal.013580_TMYx.zip</v>
      </c>
    </row>
    <row r="8663" spans="1:10" x14ac:dyDescent="0.25">
      <c r="A8663" t="s">
        <v>4974</v>
      </c>
      <c r="B8663" t="s">
        <v>233</v>
      </c>
      <c r="C8663" t="s">
        <v>6493</v>
      </c>
      <c r="D8663" s="1" t="s">
        <v>6494</v>
      </c>
      <c r="E8663" t="s">
        <v>6495</v>
      </c>
      <c r="F8663">
        <v>60.53</v>
      </c>
      <c r="G8663">
        <v>8.1946999999999992</v>
      </c>
      <c r="H8663">
        <v>1</v>
      </c>
      <c r="I8663">
        <v>773.5</v>
      </c>
      <c r="J8663" t="str">
        <f>HYPERLINK("https://climate.onebuilding.org/WMO_Region_6_Europe/NOR_Norway/BU_Buskerud/NOR_BU_Geilo-Oldebraten.013590_TMYx.2004-2018.zip")</f>
        <v>https://climate.onebuilding.org/WMO_Region_6_Europe/NOR_Norway/BU_Buskerud/NOR_BU_Geilo-Oldebraten.013590_TMYx.2004-2018.zip</v>
      </c>
    </row>
    <row r="8664" spans="1:10" x14ac:dyDescent="0.25">
      <c r="A8664" t="s">
        <v>4974</v>
      </c>
      <c r="B8664" t="s">
        <v>233</v>
      </c>
      <c r="C8664" t="s">
        <v>6493</v>
      </c>
      <c r="D8664" s="1" t="s">
        <v>6494</v>
      </c>
      <c r="E8664" t="s">
        <v>14</v>
      </c>
      <c r="F8664">
        <v>60.53</v>
      </c>
      <c r="G8664">
        <v>8.1946999999999992</v>
      </c>
      <c r="H8664">
        <v>1</v>
      </c>
      <c r="I8664">
        <v>773.5</v>
      </c>
      <c r="J8664" t="str">
        <f>HYPERLINK("https://climate.onebuilding.org/WMO_Region_6_Europe/NOR_Norway/BU_Buskerud/NOR_BU_Geilo-Oldebraten.013590_TMYx.2007-2021.zip")</f>
        <v>https://climate.onebuilding.org/WMO_Region_6_Europe/NOR_Norway/BU_Buskerud/NOR_BU_Geilo-Oldebraten.013590_TMYx.2007-2021.zip</v>
      </c>
    </row>
    <row r="8665" spans="1:10" x14ac:dyDescent="0.25">
      <c r="A8665" t="s">
        <v>4974</v>
      </c>
      <c r="B8665" t="s">
        <v>233</v>
      </c>
      <c r="C8665" t="s">
        <v>6493</v>
      </c>
      <c r="D8665" s="1" t="s">
        <v>6494</v>
      </c>
      <c r="E8665" t="s">
        <v>14</v>
      </c>
      <c r="F8665">
        <v>60.53</v>
      </c>
      <c r="G8665">
        <v>8.1946999999999992</v>
      </c>
      <c r="H8665">
        <v>1</v>
      </c>
      <c r="I8665">
        <v>773.5</v>
      </c>
      <c r="J8665" t="str">
        <f>HYPERLINK("https://climate.onebuilding.org/WMO_Region_6_Europe/NOR_Norway/BU_Buskerud/NOR_BU_Geilo-Oldebraten.013590_TMYx.2009-2023.zip")</f>
        <v>https://climate.onebuilding.org/WMO_Region_6_Europe/NOR_Norway/BU_Buskerud/NOR_BU_Geilo-Oldebraten.013590_TMYx.2009-2023.zip</v>
      </c>
    </row>
    <row r="8666" spans="1:10" x14ac:dyDescent="0.25">
      <c r="A8666" t="s">
        <v>4974</v>
      </c>
      <c r="B8666" t="s">
        <v>233</v>
      </c>
      <c r="C8666" t="s">
        <v>6493</v>
      </c>
      <c r="D8666" s="1" t="s">
        <v>6494</v>
      </c>
      <c r="E8666" t="s">
        <v>14</v>
      </c>
      <c r="F8666">
        <v>60.53</v>
      </c>
      <c r="G8666">
        <v>8.1946999999999992</v>
      </c>
      <c r="H8666">
        <v>1</v>
      </c>
      <c r="I8666">
        <v>773.5</v>
      </c>
      <c r="J8666" t="str">
        <f>HYPERLINK("https://climate.onebuilding.org/WMO_Region_6_Europe/NOR_Norway/BU_Buskerud/NOR_BU_Geilo-Oldebraten.013590_TMYx.zip")</f>
        <v>https://climate.onebuilding.org/WMO_Region_6_Europe/NOR_Norway/BU_Buskerud/NOR_BU_Geilo-Oldebraten.013590_TMYx.zip</v>
      </c>
    </row>
    <row r="8667" spans="1:10" x14ac:dyDescent="0.25">
      <c r="A8667" t="s">
        <v>4974</v>
      </c>
      <c r="B8667" t="s">
        <v>5629</v>
      </c>
      <c r="C8667" t="s">
        <v>6496</v>
      </c>
      <c r="D8667" s="1" t="s">
        <v>6497</v>
      </c>
      <c r="E8667" t="s">
        <v>6498</v>
      </c>
      <c r="F8667">
        <v>61.8964</v>
      </c>
      <c r="G8667">
        <v>7.8956</v>
      </c>
      <c r="H8667">
        <v>1</v>
      </c>
      <c r="I8667">
        <v>664</v>
      </c>
      <c r="J8667" t="str">
        <f>HYPERLINK("https://climate.onebuilding.org/WMO_Region_6_Europe/NOR_Norway/MR_More_og_Romsdal/NOR_MR_Brata.Slettom.013600_TMYx.2004-2018.zip")</f>
        <v>https://climate.onebuilding.org/WMO_Region_6_Europe/NOR_Norway/MR_More_og_Romsdal/NOR_MR_Brata.Slettom.013600_TMYx.2004-2018.zip</v>
      </c>
    </row>
    <row r="8668" spans="1:10" x14ac:dyDescent="0.25">
      <c r="A8668" t="s">
        <v>4974</v>
      </c>
      <c r="B8668" t="s">
        <v>5629</v>
      </c>
      <c r="C8668" t="s">
        <v>6496</v>
      </c>
      <c r="D8668" s="1" t="s">
        <v>6497</v>
      </c>
      <c r="E8668" t="s">
        <v>14</v>
      </c>
      <c r="F8668">
        <v>61.8964</v>
      </c>
      <c r="G8668">
        <v>7.8956</v>
      </c>
      <c r="H8668">
        <v>1</v>
      </c>
      <c r="I8668">
        <v>664</v>
      </c>
      <c r="J8668" t="str">
        <f>HYPERLINK("https://climate.onebuilding.org/WMO_Region_6_Europe/NOR_Norway/MR_More_og_Romsdal/NOR_MR_Brata.Slettom.013600_TMYx.2007-2021.zip")</f>
        <v>https://climate.onebuilding.org/WMO_Region_6_Europe/NOR_Norway/MR_More_og_Romsdal/NOR_MR_Brata.Slettom.013600_TMYx.2007-2021.zip</v>
      </c>
    </row>
    <row r="8669" spans="1:10" x14ac:dyDescent="0.25">
      <c r="A8669" t="s">
        <v>4974</v>
      </c>
      <c r="B8669" t="s">
        <v>5629</v>
      </c>
      <c r="C8669" t="s">
        <v>6496</v>
      </c>
      <c r="D8669" s="1" t="s">
        <v>6497</v>
      </c>
      <c r="E8669" t="s">
        <v>14</v>
      </c>
      <c r="F8669">
        <v>61.8964</v>
      </c>
      <c r="G8669">
        <v>7.8956</v>
      </c>
      <c r="H8669">
        <v>1</v>
      </c>
      <c r="I8669">
        <v>664</v>
      </c>
      <c r="J8669" t="str">
        <f>HYPERLINK("https://climate.onebuilding.org/WMO_Region_6_Europe/NOR_Norway/MR_More_og_Romsdal/NOR_MR_Brata.Slettom.013600_TMYx.2009-2023.zip")</f>
        <v>https://climate.onebuilding.org/WMO_Region_6_Europe/NOR_Norway/MR_More_og_Romsdal/NOR_MR_Brata.Slettom.013600_TMYx.2009-2023.zip</v>
      </c>
    </row>
    <row r="8670" spans="1:10" x14ac:dyDescent="0.25">
      <c r="A8670" t="s">
        <v>4974</v>
      </c>
      <c r="B8670" t="s">
        <v>5629</v>
      </c>
      <c r="C8670" t="s">
        <v>6496</v>
      </c>
      <c r="D8670" s="1" t="s">
        <v>6497</v>
      </c>
      <c r="E8670" t="s">
        <v>14</v>
      </c>
      <c r="F8670">
        <v>61.8964</v>
      </c>
      <c r="G8670">
        <v>7.8956</v>
      </c>
      <c r="H8670">
        <v>1</v>
      </c>
      <c r="I8670">
        <v>664</v>
      </c>
      <c r="J8670" t="str">
        <f>HYPERLINK("https://climate.onebuilding.org/WMO_Region_6_Europe/NOR_Norway/MR_More_og_Romsdal/NOR_MR_Brata.Slettom.013600_TMYx.zip")</f>
        <v>https://climate.onebuilding.org/WMO_Region_6_Europe/NOR_Norway/MR_More_og_Romsdal/NOR_MR_Brata.Slettom.013600_TMYx.zip</v>
      </c>
    </row>
    <row r="8671" spans="1:10" x14ac:dyDescent="0.25">
      <c r="A8671" t="s">
        <v>4974</v>
      </c>
      <c r="B8671" t="s">
        <v>6281</v>
      </c>
      <c r="C8671" t="s">
        <v>6499</v>
      </c>
      <c r="D8671" s="1" t="s">
        <v>6500</v>
      </c>
      <c r="E8671" t="s">
        <v>6501</v>
      </c>
      <c r="F8671">
        <v>62.016100000000002</v>
      </c>
      <c r="G8671">
        <v>7.6635999999999997</v>
      </c>
      <c r="H8671">
        <v>1</v>
      </c>
      <c r="I8671">
        <v>871.9</v>
      </c>
      <c r="J8671" t="str">
        <f>HYPERLINK("https://climate.onebuilding.org/WMO_Region_6_Europe/NOR_Norway/OP_Oppland/NOR_OP_Grotli.013610_TMYx.2004-2018.zip")</f>
        <v>https://climate.onebuilding.org/WMO_Region_6_Europe/NOR_Norway/OP_Oppland/NOR_OP_Grotli.013610_TMYx.2004-2018.zip</v>
      </c>
    </row>
    <row r="8672" spans="1:10" x14ac:dyDescent="0.25">
      <c r="A8672" t="s">
        <v>4974</v>
      </c>
      <c r="B8672" t="s">
        <v>6281</v>
      </c>
      <c r="C8672" t="s">
        <v>6499</v>
      </c>
      <c r="D8672" s="1" t="s">
        <v>6500</v>
      </c>
      <c r="E8672" t="s">
        <v>14</v>
      </c>
      <c r="F8672">
        <v>62.016100000000002</v>
      </c>
      <c r="G8672">
        <v>7.6635999999999997</v>
      </c>
      <c r="H8672">
        <v>1</v>
      </c>
      <c r="I8672">
        <v>871.9</v>
      </c>
      <c r="J8672" t="str">
        <f>HYPERLINK("https://climate.onebuilding.org/WMO_Region_6_Europe/NOR_Norway/OP_Oppland/NOR_OP_Grotli.013610_TMYx.2007-2021.zip")</f>
        <v>https://climate.onebuilding.org/WMO_Region_6_Europe/NOR_Norway/OP_Oppland/NOR_OP_Grotli.013610_TMYx.2007-2021.zip</v>
      </c>
    </row>
    <row r="8673" spans="1:10" x14ac:dyDescent="0.25">
      <c r="A8673" t="s">
        <v>4974</v>
      </c>
      <c r="B8673" t="s">
        <v>6281</v>
      </c>
      <c r="C8673" t="s">
        <v>6499</v>
      </c>
      <c r="D8673" s="1" t="s">
        <v>6500</v>
      </c>
      <c r="E8673" t="s">
        <v>14</v>
      </c>
      <c r="F8673">
        <v>62.016100000000002</v>
      </c>
      <c r="G8673">
        <v>7.6635999999999997</v>
      </c>
      <c r="H8673">
        <v>1</v>
      </c>
      <c r="I8673">
        <v>871.9</v>
      </c>
      <c r="J8673" t="str">
        <f>HYPERLINK("https://climate.onebuilding.org/WMO_Region_6_Europe/NOR_Norway/OP_Oppland/NOR_OP_Grotli.013610_TMYx.2009-2023.zip")</f>
        <v>https://climate.onebuilding.org/WMO_Region_6_Europe/NOR_Norway/OP_Oppland/NOR_OP_Grotli.013610_TMYx.2009-2023.zip</v>
      </c>
    </row>
    <row r="8674" spans="1:10" x14ac:dyDescent="0.25">
      <c r="A8674" t="s">
        <v>4974</v>
      </c>
      <c r="B8674" t="s">
        <v>6281</v>
      </c>
      <c r="C8674" t="s">
        <v>6499</v>
      </c>
      <c r="D8674" s="1" t="s">
        <v>6500</v>
      </c>
      <c r="E8674" t="s">
        <v>14</v>
      </c>
      <c r="F8674">
        <v>62.016100000000002</v>
      </c>
      <c r="G8674">
        <v>7.6635999999999997</v>
      </c>
      <c r="H8674">
        <v>1</v>
      </c>
      <c r="I8674">
        <v>871.9</v>
      </c>
      <c r="J8674" t="str">
        <f>HYPERLINK("https://climate.onebuilding.org/WMO_Region_6_Europe/NOR_Norway/OP_Oppland/NOR_OP_Grotli.013610_TMYx.zip")</f>
        <v>https://climate.onebuilding.org/WMO_Region_6_Europe/NOR_Norway/OP_Oppland/NOR_OP_Grotli.013610_TMYx.zip</v>
      </c>
    </row>
    <row r="8675" spans="1:10" x14ac:dyDescent="0.25">
      <c r="A8675" t="s">
        <v>4974</v>
      </c>
      <c r="B8675" t="s">
        <v>6281</v>
      </c>
      <c r="C8675" t="s">
        <v>6502</v>
      </c>
      <c r="D8675" s="1" t="s">
        <v>6503</v>
      </c>
      <c r="E8675" t="s">
        <v>6504</v>
      </c>
      <c r="F8675">
        <v>61.677799999999998</v>
      </c>
      <c r="G8675">
        <v>8.3727999999999998</v>
      </c>
      <c r="H8675">
        <v>1</v>
      </c>
      <c r="I8675">
        <v>1892.7</v>
      </c>
      <c r="J8675" t="str">
        <f>HYPERLINK("https://climate.onebuilding.org/WMO_Region_6_Europe/NOR_Norway/OP_Oppland/NOR_OP_Juvvasshoe.013620_TMYx.2004-2018.zip")</f>
        <v>https://climate.onebuilding.org/WMO_Region_6_Europe/NOR_Norway/OP_Oppland/NOR_OP_Juvvasshoe.013620_TMYx.2004-2018.zip</v>
      </c>
    </row>
    <row r="8676" spans="1:10" x14ac:dyDescent="0.25">
      <c r="A8676" t="s">
        <v>4974</v>
      </c>
      <c r="B8676" t="s">
        <v>6281</v>
      </c>
      <c r="C8676" t="s">
        <v>6502</v>
      </c>
      <c r="D8676" s="1" t="s">
        <v>6503</v>
      </c>
      <c r="E8676" t="s">
        <v>14</v>
      </c>
      <c r="F8676">
        <v>61.677799999999998</v>
      </c>
      <c r="G8676">
        <v>8.3727999999999998</v>
      </c>
      <c r="H8676">
        <v>1</v>
      </c>
      <c r="I8676">
        <v>1892.7</v>
      </c>
      <c r="J8676" t="str">
        <f>HYPERLINK("https://climate.onebuilding.org/WMO_Region_6_Europe/NOR_Norway/OP_Oppland/NOR_OP_Juvvasshoe.013620_TMYx.2007-2021.zip")</f>
        <v>https://climate.onebuilding.org/WMO_Region_6_Europe/NOR_Norway/OP_Oppland/NOR_OP_Juvvasshoe.013620_TMYx.2007-2021.zip</v>
      </c>
    </row>
    <row r="8677" spans="1:10" x14ac:dyDescent="0.25">
      <c r="A8677" t="s">
        <v>4974</v>
      </c>
      <c r="B8677" t="s">
        <v>6281</v>
      </c>
      <c r="C8677" t="s">
        <v>6502</v>
      </c>
      <c r="D8677" s="1" t="s">
        <v>6503</v>
      </c>
      <c r="E8677" t="s">
        <v>14</v>
      </c>
      <c r="F8677">
        <v>61.677799999999998</v>
      </c>
      <c r="G8677">
        <v>8.3727999999999998</v>
      </c>
      <c r="H8677">
        <v>1</v>
      </c>
      <c r="I8677">
        <v>1892.7</v>
      </c>
      <c r="J8677" t="str">
        <f>HYPERLINK("https://climate.onebuilding.org/WMO_Region_6_Europe/NOR_Norway/OP_Oppland/NOR_OP_Juvvasshoe.013620_TMYx.2009-2023.zip")</f>
        <v>https://climate.onebuilding.org/WMO_Region_6_Europe/NOR_Norway/OP_Oppland/NOR_OP_Juvvasshoe.013620_TMYx.2009-2023.zip</v>
      </c>
    </row>
    <row r="8678" spans="1:10" x14ac:dyDescent="0.25">
      <c r="A8678" t="s">
        <v>4974</v>
      </c>
      <c r="B8678" t="s">
        <v>6281</v>
      </c>
      <c r="C8678" t="s">
        <v>6502</v>
      </c>
      <c r="D8678" s="1" t="s">
        <v>6503</v>
      </c>
      <c r="E8678" t="s">
        <v>14</v>
      </c>
      <c r="F8678">
        <v>61.677799999999998</v>
      </c>
      <c r="G8678">
        <v>8.3727999999999998</v>
      </c>
      <c r="H8678">
        <v>1</v>
      </c>
      <c r="I8678">
        <v>1892.7</v>
      </c>
      <c r="J8678" t="str">
        <f>HYPERLINK("https://climate.onebuilding.org/WMO_Region_6_Europe/NOR_Norway/OP_Oppland/NOR_OP_Juvvasshoe.013620_TMYx.zip")</f>
        <v>https://climate.onebuilding.org/WMO_Region_6_Europe/NOR_Norway/OP_Oppland/NOR_OP_Juvvasshoe.013620_TMYx.zip</v>
      </c>
    </row>
    <row r="8679" spans="1:10" x14ac:dyDescent="0.25">
      <c r="A8679" t="s">
        <v>4974</v>
      </c>
      <c r="B8679" t="s">
        <v>6281</v>
      </c>
      <c r="C8679" t="s">
        <v>6505</v>
      </c>
      <c r="D8679" s="1" t="s">
        <v>6506</v>
      </c>
      <c r="E8679" t="s">
        <v>6507</v>
      </c>
      <c r="F8679">
        <v>61.177799999999998</v>
      </c>
      <c r="G8679">
        <v>8.1125000000000007</v>
      </c>
      <c r="H8679">
        <v>1</v>
      </c>
      <c r="I8679">
        <v>955.1</v>
      </c>
      <c r="J8679" t="str">
        <f>HYPERLINK("https://climate.onebuilding.org/WMO_Region_6_Europe/NOR_Norway/OP_Oppland/NOR_OP_Filefjell.013640_TMYx.2004-2018.zip")</f>
        <v>https://climate.onebuilding.org/WMO_Region_6_Europe/NOR_Norway/OP_Oppland/NOR_OP_Filefjell.013640_TMYx.2004-2018.zip</v>
      </c>
    </row>
    <row r="8680" spans="1:10" x14ac:dyDescent="0.25">
      <c r="A8680" t="s">
        <v>4974</v>
      </c>
      <c r="B8680" t="s">
        <v>6281</v>
      </c>
      <c r="C8680" t="s">
        <v>6505</v>
      </c>
      <c r="D8680" s="1" t="s">
        <v>6506</v>
      </c>
      <c r="E8680" t="s">
        <v>14</v>
      </c>
      <c r="F8680">
        <v>61.177799999999998</v>
      </c>
      <c r="G8680">
        <v>8.1125000000000007</v>
      </c>
      <c r="H8680">
        <v>1</v>
      </c>
      <c r="I8680">
        <v>955.1</v>
      </c>
      <c r="J8680" t="str">
        <f>HYPERLINK("https://climate.onebuilding.org/WMO_Region_6_Europe/NOR_Norway/OP_Oppland/NOR_OP_Filefjell.013640_TMYx.2007-2021.zip")</f>
        <v>https://climate.onebuilding.org/WMO_Region_6_Europe/NOR_Norway/OP_Oppland/NOR_OP_Filefjell.013640_TMYx.2007-2021.zip</v>
      </c>
    </row>
    <row r="8681" spans="1:10" x14ac:dyDescent="0.25">
      <c r="A8681" t="s">
        <v>4974</v>
      </c>
      <c r="B8681" t="s">
        <v>6281</v>
      </c>
      <c r="C8681" t="s">
        <v>6505</v>
      </c>
      <c r="D8681" s="1" t="s">
        <v>6506</v>
      </c>
      <c r="E8681" t="s">
        <v>14</v>
      </c>
      <c r="F8681">
        <v>61.177799999999998</v>
      </c>
      <c r="G8681">
        <v>8.1125000000000007</v>
      </c>
      <c r="H8681">
        <v>1</v>
      </c>
      <c r="I8681">
        <v>955.1</v>
      </c>
      <c r="J8681" t="str">
        <f>HYPERLINK("https://climate.onebuilding.org/WMO_Region_6_Europe/NOR_Norway/OP_Oppland/NOR_OP_Filefjell.013640_TMYx.2009-2023.zip")</f>
        <v>https://climate.onebuilding.org/WMO_Region_6_Europe/NOR_Norway/OP_Oppland/NOR_OP_Filefjell.013640_TMYx.2009-2023.zip</v>
      </c>
    </row>
    <row r="8682" spans="1:10" x14ac:dyDescent="0.25">
      <c r="A8682" t="s">
        <v>4974</v>
      </c>
      <c r="B8682" t="s">
        <v>6281</v>
      </c>
      <c r="C8682" t="s">
        <v>6505</v>
      </c>
      <c r="D8682" s="1" t="s">
        <v>6506</v>
      </c>
      <c r="E8682" t="s">
        <v>14</v>
      </c>
      <c r="F8682">
        <v>61.177799999999998</v>
      </c>
      <c r="G8682">
        <v>8.1125000000000007</v>
      </c>
      <c r="H8682">
        <v>1</v>
      </c>
      <c r="I8682">
        <v>955.1</v>
      </c>
      <c r="J8682" t="str">
        <f>HYPERLINK("https://climate.onebuilding.org/WMO_Region_6_Europe/NOR_Norway/OP_Oppland/NOR_OP_Filefjell.013640_TMYx.zip")</f>
        <v>https://climate.onebuilding.org/WMO_Region_6_Europe/NOR_Norway/OP_Oppland/NOR_OP_Filefjell.013640_TMYx.zip</v>
      </c>
    </row>
    <row r="8683" spans="1:10" x14ac:dyDescent="0.25">
      <c r="A8683" t="s">
        <v>4974</v>
      </c>
      <c r="B8683" t="s">
        <v>6281</v>
      </c>
      <c r="C8683" t="s">
        <v>6508</v>
      </c>
      <c r="D8683" s="1" t="s">
        <v>6509</v>
      </c>
      <c r="E8683" t="s">
        <v>6510</v>
      </c>
      <c r="F8683">
        <v>61.250599999999999</v>
      </c>
      <c r="G8683">
        <v>8.9228000000000005</v>
      </c>
      <c r="H8683">
        <v>1</v>
      </c>
      <c r="I8683">
        <v>965</v>
      </c>
      <c r="J8683" t="str">
        <f>HYPERLINK("https://climate.onebuilding.org/WMO_Region_6_Europe/NOR_Norway/OP_Oppland/NOR_OP_Beitostolen.013650_TMYx.2004-2018.zip")</f>
        <v>https://climate.onebuilding.org/WMO_Region_6_Europe/NOR_Norway/OP_Oppland/NOR_OP_Beitostolen.013650_TMYx.2004-2018.zip</v>
      </c>
    </row>
    <row r="8684" spans="1:10" x14ac:dyDescent="0.25">
      <c r="A8684" t="s">
        <v>4974</v>
      </c>
      <c r="B8684" t="s">
        <v>6281</v>
      </c>
      <c r="C8684" t="s">
        <v>6508</v>
      </c>
      <c r="D8684" s="1" t="s">
        <v>6509</v>
      </c>
      <c r="E8684" t="s">
        <v>14</v>
      </c>
      <c r="F8684">
        <v>61.250599999999999</v>
      </c>
      <c r="G8684">
        <v>8.9228000000000005</v>
      </c>
      <c r="H8684">
        <v>1</v>
      </c>
      <c r="I8684">
        <v>965</v>
      </c>
      <c r="J8684" t="str">
        <f>HYPERLINK("https://climate.onebuilding.org/WMO_Region_6_Europe/NOR_Norway/OP_Oppland/NOR_OP_Beitostolen.013650_TMYx.2007-2021.zip")</f>
        <v>https://climate.onebuilding.org/WMO_Region_6_Europe/NOR_Norway/OP_Oppland/NOR_OP_Beitostolen.013650_TMYx.2007-2021.zip</v>
      </c>
    </row>
    <row r="8685" spans="1:10" x14ac:dyDescent="0.25">
      <c r="A8685" t="s">
        <v>4974</v>
      </c>
      <c r="B8685" t="s">
        <v>6281</v>
      </c>
      <c r="C8685" t="s">
        <v>6508</v>
      </c>
      <c r="D8685" s="1" t="s">
        <v>6509</v>
      </c>
      <c r="E8685" t="s">
        <v>14</v>
      </c>
      <c r="F8685">
        <v>61.250599999999999</v>
      </c>
      <c r="G8685">
        <v>8.9228000000000005</v>
      </c>
      <c r="H8685">
        <v>1</v>
      </c>
      <c r="I8685">
        <v>965</v>
      </c>
      <c r="J8685" t="str">
        <f>HYPERLINK("https://climate.onebuilding.org/WMO_Region_6_Europe/NOR_Norway/OP_Oppland/NOR_OP_Beitostolen.013650_TMYx.2009-2023.zip")</f>
        <v>https://climate.onebuilding.org/WMO_Region_6_Europe/NOR_Norway/OP_Oppland/NOR_OP_Beitostolen.013650_TMYx.2009-2023.zip</v>
      </c>
    </row>
    <row r="8686" spans="1:10" x14ac:dyDescent="0.25">
      <c r="A8686" t="s">
        <v>4974</v>
      </c>
      <c r="B8686" t="s">
        <v>6281</v>
      </c>
      <c r="C8686" t="s">
        <v>6508</v>
      </c>
      <c r="D8686" s="1" t="s">
        <v>6509</v>
      </c>
      <c r="E8686" t="s">
        <v>14</v>
      </c>
      <c r="F8686">
        <v>61.250599999999999</v>
      </c>
      <c r="G8686">
        <v>8.9228000000000005</v>
      </c>
      <c r="H8686">
        <v>1</v>
      </c>
      <c r="I8686">
        <v>965</v>
      </c>
      <c r="J8686" t="str">
        <f>HYPERLINK("https://climate.onebuilding.org/WMO_Region_6_Europe/NOR_Norway/OP_Oppland/NOR_OP_Beitostolen.013650_TMYx.zip")</f>
        <v>https://climate.onebuilding.org/WMO_Region_6_Europe/NOR_Norway/OP_Oppland/NOR_OP_Beitostolen.013650_TMYx.zip</v>
      </c>
    </row>
    <row r="8687" spans="1:10" x14ac:dyDescent="0.25">
      <c r="A8687" t="s">
        <v>4974</v>
      </c>
      <c r="B8687" t="s">
        <v>6281</v>
      </c>
      <c r="C8687" t="s">
        <v>6511</v>
      </c>
      <c r="D8687" s="1" t="s">
        <v>6512</v>
      </c>
      <c r="E8687" t="s">
        <v>6513</v>
      </c>
      <c r="F8687">
        <v>61.564399999999999</v>
      </c>
      <c r="G8687">
        <v>7.9977999999999998</v>
      </c>
      <c r="H8687">
        <v>1</v>
      </c>
      <c r="I8687">
        <v>1413</v>
      </c>
      <c r="J8687" t="str">
        <f>HYPERLINK("https://climate.onebuilding.org/WMO_Region_6_Europe/NOR_Norway/OP_Oppland/NOR_OP_Sognefjell.013660_TMYx.2004-2018.zip")</f>
        <v>https://climate.onebuilding.org/WMO_Region_6_Europe/NOR_Norway/OP_Oppland/NOR_OP_Sognefjell.013660_TMYx.2004-2018.zip</v>
      </c>
    </row>
    <row r="8688" spans="1:10" x14ac:dyDescent="0.25">
      <c r="A8688" t="s">
        <v>4974</v>
      </c>
      <c r="B8688" t="s">
        <v>6281</v>
      </c>
      <c r="C8688" t="s">
        <v>6511</v>
      </c>
      <c r="D8688" s="1" t="s">
        <v>6512</v>
      </c>
      <c r="E8688" t="s">
        <v>14</v>
      </c>
      <c r="F8688">
        <v>61.564399999999999</v>
      </c>
      <c r="G8688">
        <v>7.9977999999999998</v>
      </c>
      <c r="H8688">
        <v>1</v>
      </c>
      <c r="I8688">
        <v>1413</v>
      </c>
      <c r="J8688" t="str">
        <f>HYPERLINK("https://climate.onebuilding.org/WMO_Region_6_Europe/NOR_Norway/OP_Oppland/NOR_OP_Sognefjell.013660_TMYx.2007-2021.zip")</f>
        <v>https://climate.onebuilding.org/WMO_Region_6_Europe/NOR_Norway/OP_Oppland/NOR_OP_Sognefjell.013660_TMYx.2007-2021.zip</v>
      </c>
    </row>
    <row r="8689" spans="1:10" x14ac:dyDescent="0.25">
      <c r="A8689" t="s">
        <v>4974</v>
      </c>
      <c r="B8689" t="s">
        <v>6281</v>
      </c>
      <c r="C8689" t="s">
        <v>6511</v>
      </c>
      <c r="D8689" s="1" t="s">
        <v>6512</v>
      </c>
      <c r="E8689" t="s">
        <v>14</v>
      </c>
      <c r="F8689">
        <v>61.564399999999999</v>
      </c>
      <c r="G8689">
        <v>7.9977999999999998</v>
      </c>
      <c r="H8689">
        <v>1</v>
      </c>
      <c r="I8689">
        <v>1413</v>
      </c>
      <c r="J8689" t="str">
        <f>HYPERLINK("https://climate.onebuilding.org/WMO_Region_6_Europe/NOR_Norway/OP_Oppland/NOR_OP_Sognefjell.013660_TMYx.2009-2023.zip")</f>
        <v>https://climate.onebuilding.org/WMO_Region_6_Europe/NOR_Norway/OP_Oppland/NOR_OP_Sognefjell.013660_TMYx.2009-2023.zip</v>
      </c>
    </row>
    <row r="8690" spans="1:10" x14ac:dyDescent="0.25">
      <c r="A8690" t="s">
        <v>4974</v>
      </c>
      <c r="B8690" t="s">
        <v>6281</v>
      </c>
      <c r="C8690" t="s">
        <v>6511</v>
      </c>
      <c r="D8690" s="1" t="s">
        <v>6512</v>
      </c>
      <c r="E8690" t="s">
        <v>14</v>
      </c>
      <c r="F8690">
        <v>61.564399999999999</v>
      </c>
      <c r="G8690">
        <v>7.9977999999999998</v>
      </c>
      <c r="H8690">
        <v>1</v>
      </c>
      <c r="I8690">
        <v>1413</v>
      </c>
      <c r="J8690" t="str">
        <f>HYPERLINK("https://climate.onebuilding.org/WMO_Region_6_Europe/NOR_Norway/OP_Oppland/NOR_OP_Sognefjell.013660_TMYx.zip")</f>
        <v>https://climate.onebuilding.org/WMO_Region_6_Europe/NOR_Norway/OP_Oppland/NOR_OP_Sognefjell.013660_TMYx.zip</v>
      </c>
    </row>
    <row r="8691" spans="1:10" x14ac:dyDescent="0.25">
      <c r="A8691" t="s">
        <v>4974</v>
      </c>
      <c r="B8691" t="s">
        <v>6281</v>
      </c>
      <c r="C8691" t="s">
        <v>6514</v>
      </c>
      <c r="D8691" s="1" t="s">
        <v>6515</v>
      </c>
      <c r="E8691" t="s">
        <v>6516</v>
      </c>
      <c r="F8691">
        <v>60.9786</v>
      </c>
      <c r="G8691">
        <v>9.2239000000000004</v>
      </c>
      <c r="H8691">
        <v>1</v>
      </c>
      <c r="I8691">
        <v>365.4</v>
      </c>
      <c r="J8691" t="str">
        <f>HYPERLINK("https://climate.onebuilding.org/WMO_Region_6_Europe/NOR_Norway/OP_Oppland/NOR_OP_Fagernes.013670_TMYx.2004-2018.zip")</f>
        <v>https://climate.onebuilding.org/WMO_Region_6_Europe/NOR_Norway/OP_Oppland/NOR_OP_Fagernes.013670_TMYx.2004-2018.zip</v>
      </c>
    </row>
    <row r="8692" spans="1:10" x14ac:dyDescent="0.25">
      <c r="A8692" t="s">
        <v>4974</v>
      </c>
      <c r="B8692" t="s">
        <v>6281</v>
      </c>
      <c r="C8692" t="s">
        <v>6514</v>
      </c>
      <c r="D8692" s="1" t="s">
        <v>6515</v>
      </c>
      <c r="E8692" t="s">
        <v>14</v>
      </c>
      <c r="F8692">
        <v>60.9786</v>
      </c>
      <c r="G8692">
        <v>9.2239000000000004</v>
      </c>
      <c r="H8692">
        <v>1</v>
      </c>
      <c r="I8692">
        <v>365.4</v>
      </c>
      <c r="J8692" t="str">
        <f>HYPERLINK("https://climate.onebuilding.org/WMO_Region_6_Europe/NOR_Norway/OP_Oppland/NOR_OP_Fagernes.013670_TMYx.2007-2021.zip")</f>
        <v>https://climate.onebuilding.org/WMO_Region_6_Europe/NOR_Norway/OP_Oppland/NOR_OP_Fagernes.013670_TMYx.2007-2021.zip</v>
      </c>
    </row>
    <row r="8693" spans="1:10" x14ac:dyDescent="0.25">
      <c r="A8693" t="s">
        <v>4974</v>
      </c>
      <c r="B8693" t="s">
        <v>6281</v>
      </c>
      <c r="C8693" t="s">
        <v>6514</v>
      </c>
      <c r="D8693" s="1" t="s">
        <v>6515</v>
      </c>
      <c r="E8693" t="s">
        <v>14</v>
      </c>
      <c r="F8693">
        <v>60.9786</v>
      </c>
      <c r="G8693">
        <v>9.2239000000000004</v>
      </c>
      <c r="H8693">
        <v>1</v>
      </c>
      <c r="I8693">
        <v>365.4</v>
      </c>
      <c r="J8693" t="str">
        <f>HYPERLINK("https://climate.onebuilding.org/WMO_Region_6_Europe/NOR_Norway/OP_Oppland/NOR_OP_Fagernes.013670_TMYx.2009-2023.zip")</f>
        <v>https://climate.onebuilding.org/WMO_Region_6_Europe/NOR_Norway/OP_Oppland/NOR_OP_Fagernes.013670_TMYx.2009-2023.zip</v>
      </c>
    </row>
    <row r="8694" spans="1:10" x14ac:dyDescent="0.25">
      <c r="A8694" t="s">
        <v>4974</v>
      </c>
      <c r="B8694" t="s">
        <v>6281</v>
      </c>
      <c r="C8694" t="s">
        <v>6514</v>
      </c>
      <c r="D8694" s="1" t="s">
        <v>6515</v>
      </c>
      <c r="E8694" t="s">
        <v>14</v>
      </c>
      <c r="F8694">
        <v>60.9786</v>
      </c>
      <c r="G8694">
        <v>9.2239000000000004</v>
      </c>
      <c r="H8694">
        <v>1</v>
      </c>
      <c r="I8694">
        <v>365.4</v>
      </c>
      <c r="J8694" t="str">
        <f>HYPERLINK("https://climate.onebuilding.org/WMO_Region_6_Europe/NOR_Norway/OP_Oppland/NOR_OP_Fagernes.013670_TMYx.zip")</f>
        <v>https://climate.onebuilding.org/WMO_Region_6_Europe/NOR_Norway/OP_Oppland/NOR_OP_Fagernes.013670_TMYx.zip</v>
      </c>
    </row>
    <row r="8695" spans="1:10" x14ac:dyDescent="0.25">
      <c r="A8695" t="s">
        <v>4974</v>
      </c>
      <c r="B8695" t="s">
        <v>6281</v>
      </c>
      <c r="C8695" t="s">
        <v>6517</v>
      </c>
      <c r="D8695" s="1" t="s">
        <v>6518</v>
      </c>
      <c r="E8695" t="s">
        <v>6519</v>
      </c>
      <c r="F8695">
        <v>61.012799999999999</v>
      </c>
      <c r="G8695">
        <v>9.2927999999999997</v>
      </c>
      <c r="H8695">
        <v>1</v>
      </c>
      <c r="I8695">
        <v>822</v>
      </c>
      <c r="J8695" t="str">
        <f>HYPERLINK("https://climate.onebuilding.org/WMO_Region_6_Europe/NOR_Norway/OP_Oppland/NOR_OP_Fagernes.AP-Leirin.013680_TMYx.2004-2018.zip")</f>
        <v>https://climate.onebuilding.org/WMO_Region_6_Europe/NOR_Norway/OP_Oppland/NOR_OP_Fagernes.AP-Leirin.013680_TMYx.2004-2018.zip</v>
      </c>
    </row>
    <row r="8696" spans="1:10" x14ac:dyDescent="0.25">
      <c r="A8696" t="s">
        <v>4974</v>
      </c>
      <c r="B8696" t="s">
        <v>6281</v>
      </c>
      <c r="C8696" t="s">
        <v>6517</v>
      </c>
      <c r="D8696" s="1" t="s">
        <v>6518</v>
      </c>
      <c r="E8696" t="s">
        <v>14</v>
      </c>
      <c r="F8696">
        <v>61.012799999999999</v>
      </c>
      <c r="G8696">
        <v>9.2927999999999997</v>
      </c>
      <c r="H8696">
        <v>1</v>
      </c>
      <c r="I8696">
        <v>822</v>
      </c>
      <c r="J8696" t="str">
        <f>HYPERLINK("https://climate.onebuilding.org/WMO_Region_6_Europe/NOR_Norway/OP_Oppland/NOR_OP_Fagernes.AP-Leirin.013680_TMYx.2007-2021.zip")</f>
        <v>https://climate.onebuilding.org/WMO_Region_6_Europe/NOR_Norway/OP_Oppland/NOR_OP_Fagernes.AP-Leirin.013680_TMYx.2007-2021.zip</v>
      </c>
    </row>
    <row r="8697" spans="1:10" x14ac:dyDescent="0.25">
      <c r="A8697" t="s">
        <v>4974</v>
      </c>
      <c r="B8697" t="s">
        <v>6281</v>
      </c>
      <c r="C8697" t="s">
        <v>6517</v>
      </c>
      <c r="D8697" s="1" t="s">
        <v>6518</v>
      </c>
      <c r="E8697" t="s">
        <v>14</v>
      </c>
      <c r="F8697">
        <v>61.012799999999999</v>
      </c>
      <c r="G8697">
        <v>9.2927999999999997</v>
      </c>
      <c r="H8697">
        <v>1</v>
      </c>
      <c r="I8697">
        <v>822</v>
      </c>
      <c r="J8697" t="str">
        <f>HYPERLINK("https://climate.onebuilding.org/WMO_Region_6_Europe/NOR_Norway/OP_Oppland/NOR_OP_Fagernes.AP-Leirin.013680_TMYx.2009-2023.zip")</f>
        <v>https://climate.onebuilding.org/WMO_Region_6_Europe/NOR_Norway/OP_Oppland/NOR_OP_Fagernes.AP-Leirin.013680_TMYx.2009-2023.zip</v>
      </c>
    </row>
    <row r="8698" spans="1:10" x14ac:dyDescent="0.25">
      <c r="A8698" t="s">
        <v>4974</v>
      </c>
      <c r="B8698" t="s">
        <v>6281</v>
      </c>
      <c r="C8698" t="s">
        <v>6517</v>
      </c>
      <c r="D8698" s="1" t="s">
        <v>6518</v>
      </c>
      <c r="E8698" t="s">
        <v>14</v>
      </c>
      <c r="F8698">
        <v>61.012799999999999</v>
      </c>
      <c r="G8698">
        <v>9.2927999999999997</v>
      </c>
      <c r="H8698">
        <v>1</v>
      </c>
      <c r="I8698">
        <v>822</v>
      </c>
      <c r="J8698" t="str">
        <f>HYPERLINK("https://climate.onebuilding.org/WMO_Region_6_Europe/NOR_Norway/OP_Oppland/NOR_OP_Fagernes.AP-Leirin.013680_TMYx.zip")</f>
        <v>https://climate.onebuilding.org/WMO_Region_6_Europe/NOR_Norway/OP_Oppland/NOR_OP_Fagernes.AP-Leirin.013680_TMYx.zip</v>
      </c>
    </row>
    <row r="8699" spans="1:10" x14ac:dyDescent="0.25">
      <c r="A8699" t="s">
        <v>4974</v>
      </c>
      <c r="B8699" t="s">
        <v>6281</v>
      </c>
      <c r="C8699" t="s">
        <v>6520</v>
      </c>
      <c r="D8699" s="1" t="s">
        <v>6521</v>
      </c>
      <c r="E8699" t="s">
        <v>6522</v>
      </c>
      <c r="F8699">
        <v>60.921999999999997</v>
      </c>
      <c r="G8699">
        <v>9.2931000000000008</v>
      </c>
      <c r="H8699">
        <v>1</v>
      </c>
      <c r="I8699">
        <v>658</v>
      </c>
      <c r="J8699" t="str">
        <f>HYPERLINK("https://climate.onebuilding.org/WMO_Region_6_Europe/NOR_Norway/OP_Oppland/NOR_OP_Abjorsbraten.013690_TMYx.2004-2018.zip")</f>
        <v>https://climate.onebuilding.org/WMO_Region_6_Europe/NOR_Norway/OP_Oppland/NOR_OP_Abjorsbraten.013690_TMYx.2004-2018.zip</v>
      </c>
    </row>
    <row r="8700" spans="1:10" x14ac:dyDescent="0.25">
      <c r="A8700" t="s">
        <v>4974</v>
      </c>
      <c r="B8700" t="s">
        <v>6281</v>
      </c>
      <c r="C8700" t="s">
        <v>6520</v>
      </c>
      <c r="D8700" s="1" t="s">
        <v>6521</v>
      </c>
      <c r="E8700" t="s">
        <v>14</v>
      </c>
      <c r="F8700">
        <v>60.921999999999997</v>
      </c>
      <c r="G8700">
        <v>9.2931000000000008</v>
      </c>
      <c r="H8700">
        <v>1</v>
      </c>
      <c r="I8700">
        <v>658</v>
      </c>
      <c r="J8700" t="str">
        <f>HYPERLINK("https://climate.onebuilding.org/WMO_Region_6_Europe/NOR_Norway/OP_Oppland/NOR_OP_Abjorsbraten.013690_TMYx.2007-2021.zip")</f>
        <v>https://climate.onebuilding.org/WMO_Region_6_Europe/NOR_Norway/OP_Oppland/NOR_OP_Abjorsbraten.013690_TMYx.2007-2021.zip</v>
      </c>
    </row>
    <row r="8701" spans="1:10" x14ac:dyDescent="0.25">
      <c r="A8701" t="s">
        <v>4974</v>
      </c>
      <c r="B8701" t="s">
        <v>6281</v>
      </c>
      <c r="C8701" t="s">
        <v>6520</v>
      </c>
      <c r="D8701" s="1" t="s">
        <v>6521</v>
      </c>
      <c r="E8701" t="s">
        <v>14</v>
      </c>
      <c r="F8701">
        <v>60.921999999999997</v>
      </c>
      <c r="G8701">
        <v>9.2931000000000008</v>
      </c>
      <c r="H8701">
        <v>1</v>
      </c>
      <c r="I8701">
        <v>658</v>
      </c>
      <c r="J8701" t="str">
        <f>HYPERLINK("https://climate.onebuilding.org/WMO_Region_6_Europe/NOR_Norway/OP_Oppland/NOR_OP_Abjorsbraten.013690_TMYx.2009-2023.zip")</f>
        <v>https://climate.onebuilding.org/WMO_Region_6_Europe/NOR_Norway/OP_Oppland/NOR_OP_Abjorsbraten.013690_TMYx.2009-2023.zip</v>
      </c>
    </row>
    <row r="8702" spans="1:10" x14ac:dyDescent="0.25">
      <c r="A8702" t="s">
        <v>4974</v>
      </c>
      <c r="B8702" t="s">
        <v>6281</v>
      </c>
      <c r="C8702" t="s">
        <v>6520</v>
      </c>
      <c r="D8702" s="1" t="s">
        <v>6521</v>
      </c>
      <c r="E8702" t="s">
        <v>14</v>
      </c>
      <c r="F8702">
        <v>60.921999999999997</v>
      </c>
      <c r="G8702">
        <v>9.2931000000000008</v>
      </c>
      <c r="H8702">
        <v>1</v>
      </c>
      <c r="I8702">
        <v>658</v>
      </c>
      <c r="J8702" t="str">
        <f>HYPERLINK("https://climate.onebuilding.org/WMO_Region_6_Europe/NOR_Norway/OP_Oppland/NOR_OP_Abjorsbraten.013690_TMYx.zip")</f>
        <v>https://climate.onebuilding.org/WMO_Region_6_Europe/NOR_Norway/OP_Oppland/NOR_OP_Abjorsbraten.013690_TMYx.zip</v>
      </c>
    </row>
    <row r="8703" spans="1:10" x14ac:dyDescent="0.25">
      <c r="A8703" t="s">
        <v>4974</v>
      </c>
      <c r="B8703" t="s">
        <v>6281</v>
      </c>
      <c r="C8703" t="s">
        <v>6523</v>
      </c>
      <c r="D8703" s="1" t="s">
        <v>6524</v>
      </c>
      <c r="E8703" t="s">
        <v>6525</v>
      </c>
      <c r="F8703">
        <v>61.530799999999999</v>
      </c>
      <c r="G8703">
        <v>9.4022000000000006</v>
      </c>
      <c r="H8703">
        <v>1</v>
      </c>
      <c r="I8703">
        <v>928</v>
      </c>
      <c r="J8703" t="str">
        <f>HYPERLINK("https://climate.onebuilding.org/WMO_Region_6_Europe/NOR_Norway/OP_Oppland/NOR_OP_Skabu.013700_TMYx.2004-2018.zip")</f>
        <v>https://climate.onebuilding.org/WMO_Region_6_Europe/NOR_Norway/OP_Oppland/NOR_OP_Skabu.013700_TMYx.2004-2018.zip</v>
      </c>
    </row>
    <row r="8704" spans="1:10" x14ac:dyDescent="0.25">
      <c r="A8704" t="s">
        <v>4974</v>
      </c>
      <c r="B8704" t="s">
        <v>6281</v>
      </c>
      <c r="C8704" t="s">
        <v>6523</v>
      </c>
      <c r="D8704" s="1" t="s">
        <v>6524</v>
      </c>
      <c r="E8704" t="s">
        <v>14</v>
      </c>
      <c r="F8704">
        <v>61.530799999999999</v>
      </c>
      <c r="G8704">
        <v>9.4022000000000006</v>
      </c>
      <c r="H8704">
        <v>1</v>
      </c>
      <c r="I8704">
        <v>928</v>
      </c>
      <c r="J8704" t="str">
        <f>HYPERLINK("https://climate.onebuilding.org/WMO_Region_6_Europe/NOR_Norway/OP_Oppland/NOR_OP_Skabu.013700_TMYx.2007-2021.zip")</f>
        <v>https://climate.onebuilding.org/WMO_Region_6_Europe/NOR_Norway/OP_Oppland/NOR_OP_Skabu.013700_TMYx.2007-2021.zip</v>
      </c>
    </row>
    <row r="8705" spans="1:10" x14ac:dyDescent="0.25">
      <c r="A8705" t="s">
        <v>4974</v>
      </c>
      <c r="B8705" t="s">
        <v>6281</v>
      </c>
      <c r="C8705" t="s">
        <v>6523</v>
      </c>
      <c r="D8705" s="1" t="s">
        <v>6524</v>
      </c>
      <c r="E8705" t="s">
        <v>14</v>
      </c>
      <c r="F8705">
        <v>61.530799999999999</v>
      </c>
      <c r="G8705">
        <v>9.4022000000000006</v>
      </c>
      <c r="H8705">
        <v>1</v>
      </c>
      <c r="I8705">
        <v>928</v>
      </c>
      <c r="J8705" t="str">
        <f>HYPERLINK("https://climate.onebuilding.org/WMO_Region_6_Europe/NOR_Norway/OP_Oppland/NOR_OP_Skabu.013700_TMYx.2009-2023.zip")</f>
        <v>https://climate.onebuilding.org/WMO_Region_6_Europe/NOR_Norway/OP_Oppland/NOR_OP_Skabu.013700_TMYx.2009-2023.zip</v>
      </c>
    </row>
    <row r="8706" spans="1:10" x14ac:dyDescent="0.25">
      <c r="A8706" t="s">
        <v>4974</v>
      </c>
      <c r="B8706" t="s">
        <v>6281</v>
      </c>
      <c r="C8706" t="s">
        <v>6523</v>
      </c>
      <c r="D8706" s="1" t="s">
        <v>6524</v>
      </c>
      <c r="E8706" t="s">
        <v>14</v>
      </c>
      <c r="F8706">
        <v>61.530799999999999</v>
      </c>
      <c r="G8706">
        <v>9.4022000000000006</v>
      </c>
      <c r="H8706">
        <v>1</v>
      </c>
      <c r="I8706">
        <v>928</v>
      </c>
      <c r="J8706" t="str">
        <f>HYPERLINK("https://climate.onebuilding.org/WMO_Region_6_Europe/NOR_Norway/OP_Oppland/NOR_OP_Skabu.013700_TMYx.zip")</f>
        <v>https://climate.onebuilding.org/WMO_Region_6_Europe/NOR_Norway/OP_Oppland/NOR_OP_Skabu.013700_TMYx.zip</v>
      </c>
    </row>
    <row r="8707" spans="1:10" x14ac:dyDescent="0.25">
      <c r="A8707" t="s">
        <v>4974</v>
      </c>
      <c r="B8707" t="s">
        <v>6281</v>
      </c>
      <c r="C8707" t="s">
        <v>6526</v>
      </c>
      <c r="D8707" s="1" t="s">
        <v>6527</v>
      </c>
      <c r="E8707" t="s">
        <v>6528</v>
      </c>
      <c r="F8707">
        <v>61.121899999999997</v>
      </c>
      <c r="G8707">
        <v>9.0631000000000004</v>
      </c>
      <c r="H8707">
        <v>1</v>
      </c>
      <c r="I8707">
        <v>521</v>
      </c>
      <c r="J8707" t="str">
        <f>HYPERLINK("https://climate.onebuilding.org/WMO_Region_6_Europe/NOR_Norway/OP_Oppland/NOR_OP_Loken.i.Volbu.013710_TMYx.2004-2018.zip")</f>
        <v>https://climate.onebuilding.org/WMO_Region_6_Europe/NOR_Norway/OP_Oppland/NOR_OP_Loken.i.Volbu.013710_TMYx.2004-2018.zip</v>
      </c>
    </row>
    <row r="8708" spans="1:10" x14ac:dyDescent="0.25">
      <c r="A8708" t="s">
        <v>4974</v>
      </c>
      <c r="B8708" t="s">
        <v>6281</v>
      </c>
      <c r="C8708" t="s">
        <v>6526</v>
      </c>
      <c r="D8708" s="1" t="s">
        <v>6527</v>
      </c>
      <c r="E8708" t="s">
        <v>14</v>
      </c>
      <c r="F8708">
        <v>61.121899999999997</v>
      </c>
      <c r="G8708">
        <v>9.0631000000000004</v>
      </c>
      <c r="H8708">
        <v>1</v>
      </c>
      <c r="I8708">
        <v>521</v>
      </c>
      <c r="J8708" t="str">
        <f>HYPERLINK("https://climate.onebuilding.org/WMO_Region_6_Europe/NOR_Norway/OP_Oppland/NOR_OP_Loken.i.Volbu.013710_TMYx.2007-2021.zip")</f>
        <v>https://climate.onebuilding.org/WMO_Region_6_Europe/NOR_Norway/OP_Oppland/NOR_OP_Loken.i.Volbu.013710_TMYx.2007-2021.zip</v>
      </c>
    </row>
    <row r="8709" spans="1:10" x14ac:dyDescent="0.25">
      <c r="A8709" t="s">
        <v>4974</v>
      </c>
      <c r="B8709" t="s">
        <v>6281</v>
      </c>
      <c r="C8709" t="s">
        <v>6526</v>
      </c>
      <c r="D8709" s="1" t="s">
        <v>6527</v>
      </c>
      <c r="E8709" t="s">
        <v>14</v>
      </c>
      <c r="F8709">
        <v>61.121899999999997</v>
      </c>
      <c r="G8709">
        <v>9.0631000000000004</v>
      </c>
      <c r="H8709">
        <v>1</v>
      </c>
      <c r="I8709">
        <v>521</v>
      </c>
      <c r="J8709" t="str">
        <f>HYPERLINK("https://climate.onebuilding.org/WMO_Region_6_Europe/NOR_Norway/OP_Oppland/NOR_OP_Loken.i.Volbu.013710_TMYx.2009-2023.zip")</f>
        <v>https://climate.onebuilding.org/WMO_Region_6_Europe/NOR_Norway/OP_Oppland/NOR_OP_Loken.i.Volbu.013710_TMYx.2009-2023.zip</v>
      </c>
    </row>
    <row r="8710" spans="1:10" x14ac:dyDescent="0.25">
      <c r="A8710" t="s">
        <v>4974</v>
      </c>
      <c r="B8710" t="s">
        <v>6281</v>
      </c>
      <c r="C8710" t="s">
        <v>6526</v>
      </c>
      <c r="D8710" s="1" t="s">
        <v>6527</v>
      </c>
      <c r="E8710" t="s">
        <v>14</v>
      </c>
      <c r="F8710">
        <v>61.121899999999997</v>
      </c>
      <c r="G8710">
        <v>9.0631000000000004</v>
      </c>
      <c r="H8710">
        <v>1</v>
      </c>
      <c r="I8710">
        <v>521</v>
      </c>
      <c r="J8710" t="str">
        <f>HYPERLINK("https://climate.onebuilding.org/WMO_Region_6_Europe/NOR_Norway/OP_Oppland/NOR_OP_Loken.i.Volbu.013710_TMYx.zip")</f>
        <v>https://climate.onebuilding.org/WMO_Region_6_Europe/NOR_Norway/OP_Oppland/NOR_OP_Loken.i.Volbu.013710_TMYx.zip</v>
      </c>
    </row>
    <row r="8711" spans="1:10" x14ac:dyDescent="0.25">
      <c r="A8711" t="s">
        <v>4974</v>
      </c>
      <c r="B8711" t="s">
        <v>233</v>
      </c>
      <c r="C8711" t="s">
        <v>6529</v>
      </c>
      <c r="D8711" s="1" t="s">
        <v>6530</v>
      </c>
      <c r="E8711" t="s">
        <v>6531</v>
      </c>
      <c r="F8711">
        <v>60.566899999999997</v>
      </c>
      <c r="G8711">
        <v>9.1335999999999995</v>
      </c>
      <c r="H8711">
        <v>1</v>
      </c>
      <c r="I8711">
        <v>167.3</v>
      </c>
      <c r="J8711" t="str">
        <f>HYPERLINK("https://climate.onebuilding.org/WMO_Region_6_Europe/NOR_Norway/BU_Buskerud/NOR_BU_Nesbyen-Todokk-Skoglund.013730_TMYx.2004-2018.zip")</f>
        <v>https://climate.onebuilding.org/WMO_Region_6_Europe/NOR_Norway/BU_Buskerud/NOR_BU_Nesbyen-Todokk-Skoglund.013730_TMYx.2004-2018.zip</v>
      </c>
    </row>
    <row r="8712" spans="1:10" x14ac:dyDescent="0.25">
      <c r="A8712" t="s">
        <v>4974</v>
      </c>
      <c r="B8712" t="s">
        <v>233</v>
      </c>
      <c r="C8712" t="s">
        <v>6529</v>
      </c>
      <c r="D8712" s="1" t="s">
        <v>6530</v>
      </c>
      <c r="E8712" t="s">
        <v>14</v>
      </c>
      <c r="F8712">
        <v>60.566899999999997</v>
      </c>
      <c r="G8712">
        <v>9.1335999999999995</v>
      </c>
      <c r="H8712">
        <v>1</v>
      </c>
      <c r="I8712">
        <v>167.3</v>
      </c>
      <c r="J8712" t="str">
        <f>HYPERLINK("https://climate.onebuilding.org/WMO_Region_6_Europe/NOR_Norway/BU_Buskerud/NOR_BU_Nesbyen-Todokk-Skoglund.013730_TMYx.2007-2021.zip")</f>
        <v>https://climate.onebuilding.org/WMO_Region_6_Europe/NOR_Norway/BU_Buskerud/NOR_BU_Nesbyen-Todokk-Skoglund.013730_TMYx.2007-2021.zip</v>
      </c>
    </row>
    <row r="8713" spans="1:10" x14ac:dyDescent="0.25">
      <c r="A8713" t="s">
        <v>4974</v>
      </c>
      <c r="B8713" t="s">
        <v>233</v>
      </c>
      <c r="C8713" t="s">
        <v>6529</v>
      </c>
      <c r="D8713" s="1" t="s">
        <v>6530</v>
      </c>
      <c r="E8713" t="s">
        <v>14</v>
      </c>
      <c r="F8713">
        <v>60.566899999999997</v>
      </c>
      <c r="G8713">
        <v>9.1335999999999995</v>
      </c>
      <c r="H8713">
        <v>1</v>
      </c>
      <c r="I8713">
        <v>167.3</v>
      </c>
      <c r="J8713" t="str">
        <f>HYPERLINK("https://climate.onebuilding.org/WMO_Region_6_Europe/NOR_Norway/BU_Buskerud/NOR_BU_Nesbyen-Todokk-Skoglund.013730_TMYx.2009-2023.zip")</f>
        <v>https://climate.onebuilding.org/WMO_Region_6_Europe/NOR_Norway/BU_Buskerud/NOR_BU_Nesbyen-Todokk-Skoglund.013730_TMYx.2009-2023.zip</v>
      </c>
    </row>
    <row r="8714" spans="1:10" x14ac:dyDescent="0.25">
      <c r="A8714" t="s">
        <v>4974</v>
      </c>
      <c r="B8714" t="s">
        <v>233</v>
      </c>
      <c r="C8714" t="s">
        <v>6529</v>
      </c>
      <c r="D8714" s="1" t="s">
        <v>6530</v>
      </c>
      <c r="E8714" t="s">
        <v>14</v>
      </c>
      <c r="F8714">
        <v>60.566899999999997</v>
      </c>
      <c r="G8714">
        <v>9.1335999999999995</v>
      </c>
      <c r="H8714">
        <v>1</v>
      </c>
      <c r="I8714">
        <v>167.3</v>
      </c>
      <c r="J8714" t="str">
        <f>HYPERLINK("https://climate.onebuilding.org/WMO_Region_6_Europe/NOR_Norway/BU_Buskerud/NOR_BU_Nesbyen-Todokk-Skoglund.013730_TMYx.zip")</f>
        <v>https://climate.onebuilding.org/WMO_Region_6_Europe/NOR_Norway/BU_Buskerud/NOR_BU_Nesbyen-Todokk-Skoglund.013730_TMYx.zip</v>
      </c>
    </row>
    <row r="8715" spans="1:10" x14ac:dyDescent="0.25">
      <c r="A8715" t="s">
        <v>4974</v>
      </c>
      <c r="B8715" t="s">
        <v>6281</v>
      </c>
      <c r="C8715" t="s">
        <v>6532</v>
      </c>
      <c r="D8715" s="1" t="s">
        <v>6533</v>
      </c>
      <c r="E8715" t="s">
        <v>6534</v>
      </c>
      <c r="F8715">
        <v>60.934399999999997</v>
      </c>
      <c r="G8715">
        <v>10.0358</v>
      </c>
      <c r="H8715">
        <v>1</v>
      </c>
      <c r="I8715">
        <v>542</v>
      </c>
      <c r="J8715" t="str">
        <f>HYPERLINK("https://climate.onebuilding.org/WMO_Region_6_Europe/NOR_Norway/OP_Oppland/NOR_OP_Vest.Torpa.013740_TMYx.2004-2018.zip")</f>
        <v>https://climate.onebuilding.org/WMO_Region_6_Europe/NOR_Norway/OP_Oppland/NOR_OP_Vest.Torpa.013740_TMYx.2004-2018.zip</v>
      </c>
    </row>
    <row r="8716" spans="1:10" x14ac:dyDescent="0.25">
      <c r="A8716" t="s">
        <v>4974</v>
      </c>
      <c r="B8716" t="s">
        <v>6281</v>
      </c>
      <c r="C8716" t="s">
        <v>6532</v>
      </c>
      <c r="D8716" s="1" t="s">
        <v>6533</v>
      </c>
      <c r="E8716" t="s">
        <v>14</v>
      </c>
      <c r="F8716">
        <v>60.934399999999997</v>
      </c>
      <c r="G8716">
        <v>10.0358</v>
      </c>
      <c r="H8716">
        <v>1</v>
      </c>
      <c r="I8716">
        <v>542</v>
      </c>
      <c r="J8716" t="str">
        <f>HYPERLINK("https://climate.onebuilding.org/WMO_Region_6_Europe/NOR_Norway/OP_Oppland/NOR_OP_Vest.Torpa.013740_TMYx.2007-2021.zip")</f>
        <v>https://climate.onebuilding.org/WMO_Region_6_Europe/NOR_Norway/OP_Oppland/NOR_OP_Vest.Torpa.013740_TMYx.2007-2021.zip</v>
      </c>
    </row>
    <row r="8717" spans="1:10" x14ac:dyDescent="0.25">
      <c r="A8717" t="s">
        <v>4974</v>
      </c>
      <c r="B8717" t="s">
        <v>6281</v>
      </c>
      <c r="C8717" t="s">
        <v>6532</v>
      </c>
      <c r="D8717" s="1" t="s">
        <v>6533</v>
      </c>
      <c r="E8717" t="s">
        <v>14</v>
      </c>
      <c r="F8717">
        <v>60.934399999999997</v>
      </c>
      <c r="G8717">
        <v>10.0358</v>
      </c>
      <c r="H8717">
        <v>1</v>
      </c>
      <c r="I8717">
        <v>542</v>
      </c>
      <c r="J8717" t="str">
        <f>HYPERLINK("https://climate.onebuilding.org/WMO_Region_6_Europe/NOR_Norway/OP_Oppland/NOR_OP_Vest.Torpa.013740_TMYx.2009-2023.zip")</f>
        <v>https://climate.onebuilding.org/WMO_Region_6_Europe/NOR_Norway/OP_Oppland/NOR_OP_Vest.Torpa.013740_TMYx.2009-2023.zip</v>
      </c>
    </row>
    <row r="8718" spans="1:10" x14ac:dyDescent="0.25">
      <c r="A8718" t="s">
        <v>4974</v>
      </c>
      <c r="B8718" t="s">
        <v>6281</v>
      </c>
      <c r="C8718" t="s">
        <v>6532</v>
      </c>
      <c r="D8718" s="1" t="s">
        <v>6533</v>
      </c>
      <c r="E8718" t="s">
        <v>14</v>
      </c>
      <c r="F8718">
        <v>60.934399999999997</v>
      </c>
      <c r="G8718">
        <v>10.0358</v>
      </c>
      <c r="H8718">
        <v>1</v>
      </c>
      <c r="I8718">
        <v>542</v>
      </c>
      <c r="J8718" t="str">
        <f>HYPERLINK("https://climate.onebuilding.org/WMO_Region_6_Europe/NOR_Norway/OP_Oppland/NOR_OP_Vest.Torpa.013740_TMYx.zip")</f>
        <v>https://climate.onebuilding.org/WMO_Region_6_Europe/NOR_Norway/OP_Oppland/NOR_OP_Vest.Torpa.013740_TMYx.zip</v>
      </c>
    </row>
    <row r="8719" spans="1:10" x14ac:dyDescent="0.25">
      <c r="A8719" t="s">
        <v>4974</v>
      </c>
      <c r="B8719" t="s">
        <v>6281</v>
      </c>
      <c r="C8719" t="s">
        <v>6535</v>
      </c>
      <c r="D8719" s="1" t="s">
        <v>6536</v>
      </c>
      <c r="E8719" t="s">
        <v>6537</v>
      </c>
      <c r="F8719">
        <v>61.464700000000001</v>
      </c>
      <c r="G8719">
        <v>10.1275</v>
      </c>
      <c r="H8719">
        <v>1</v>
      </c>
      <c r="I8719">
        <v>1028</v>
      </c>
      <c r="J8719" t="str">
        <f>HYPERLINK("https://climate.onebuilding.org/WMO_Region_6_Europe/NOR_Norway/OP_Oppland/NOR_OP_Kvitfjell.013750_TMYx.2004-2018.zip")</f>
        <v>https://climate.onebuilding.org/WMO_Region_6_Europe/NOR_Norway/OP_Oppland/NOR_OP_Kvitfjell.013750_TMYx.2004-2018.zip</v>
      </c>
    </row>
    <row r="8720" spans="1:10" x14ac:dyDescent="0.25">
      <c r="A8720" t="s">
        <v>4974</v>
      </c>
      <c r="B8720" t="s">
        <v>6281</v>
      </c>
      <c r="C8720" t="s">
        <v>6535</v>
      </c>
      <c r="D8720" s="1" t="s">
        <v>6536</v>
      </c>
      <c r="E8720" t="s">
        <v>14</v>
      </c>
      <c r="F8720">
        <v>61.464700000000001</v>
      </c>
      <c r="G8720">
        <v>10.1275</v>
      </c>
      <c r="H8720">
        <v>1</v>
      </c>
      <c r="I8720">
        <v>1028</v>
      </c>
      <c r="J8720" t="str">
        <f>HYPERLINK("https://climate.onebuilding.org/WMO_Region_6_Europe/NOR_Norway/OP_Oppland/NOR_OP_Kvitfjell.013750_TMYx.2007-2021.zip")</f>
        <v>https://climate.onebuilding.org/WMO_Region_6_Europe/NOR_Norway/OP_Oppland/NOR_OP_Kvitfjell.013750_TMYx.2007-2021.zip</v>
      </c>
    </row>
    <row r="8721" spans="1:10" x14ac:dyDescent="0.25">
      <c r="A8721" t="s">
        <v>4974</v>
      </c>
      <c r="B8721" t="s">
        <v>6281</v>
      </c>
      <c r="C8721" t="s">
        <v>6535</v>
      </c>
      <c r="D8721" s="1" t="s">
        <v>6536</v>
      </c>
      <c r="E8721" t="s">
        <v>14</v>
      </c>
      <c r="F8721">
        <v>61.464700000000001</v>
      </c>
      <c r="G8721">
        <v>10.1275</v>
      </c>
      <c r="H8721">
        <v>1</v>
      </c>
      <c r="I8721">
        <v>1028</v>
      </c>
      <c r="J8721" t="str">
        <f>HYPERLINK("https://climate.onebuilding.org/WMO_Region_6_Europe/NOR_Norway/OP_Oppland/NOR_OP_Kvitfjell.013750_TMYx.2009-2023.zip")</f>
        <v>https://climate.onebuilding.org/WMO_Region_6_Europe/NOR_Norway/OP_Oppland/NOR_OP_Kvitfjell.013750_TMYx.2009-2023.zip</v>
      </c>
    </row>
    <row r="8722" spans="1:10" x14ac:dyDescent="0.25">
      <c r="A8722" t="s">
        <v>4974</v>
      </c>
      <c r="B8722" t="s">
        <v>6281</v>
      </c>
      <c r="C8722" t="s">
        <v>6535</v>
      </c>
      <c r="D8722" s="1" t="s">
        <v>6536</v>
      </c>
      <c r="E8722" t="s">
        <v>14</v>
      </c>
      <c r="F8722">
        <v>61.464700000000001</v>
      </c>
      <c r="G8722">
        <v>10.1275</v>
      </c>
      <c r="H8722">
        <v>1</v>
      </c>
      <c r="I8722">
        <v>1028</v>
      </c>
      <c r="J8722" t="str">
        <f>HYPERLINK("https://climate.onebuilding.org/WMO_Region_6_Europe/NOR_Norway/OP_Oppland/NOR_OP_Kvitfjell.013750_TMYx.zip")</f>
        <v>https://climate.onebuilding.org/WMO_Region_6_Europe/NOR_Norway/OP_Oppland/NOR_OP_Kvitfjell.013750_TMYx.zip</v>
      </c>
    </row>
    <row r="8723" spans="1:10" x14ac:dyDescent="0.25">
      <c r="A8723" t="s">
        <v>4974</v>
      </c>
      <c r="B8723" t="s">
        <v>233</v>
      </c>
      <c r="C8723" t="s">
        <v>6538</v>
      </c>
      <c r="D8723" s="1" t="s">
        <v>6539</v>
      </c>
      <c r="E8723" t="s">
        <v>6540</v>
      </c>
      <c r="F8723">
        <v>60.382800000000003</v>
      </c>
      <c r="G8723">
        <v>9.6050000000000004</v>
      </c>
      <c r="H8723">
        <v>1</v>
      </c>
      <c r="I8723">
        <v>142</v>
      </c>
      <c r="J8723" t="str">
        <f>HYPERLINK("https://climate.onebuilding.org/WMO_Region_6_Europe/NOR_Norway/BU_Buskerud/NOR_BU_Gulsvik.013760_TMYx.2004-2018.zip")</f>
        <v>https://climate.onebuilding.org/WMO_Region_6_Europe/NOR_Norway/BU_Buskerud/NOR_BU_Gulsvik.013760_TMYx.2004-2018.zip</v>
      </c>
    </row>
    <row r="8724" spans="1:10" x14ac:dyDescent="0.25">
      <c r="A8724" t="s">
        <v>4974</v>
      </c>
      <c r="B8724" t="s">
        <v>233</v>
      </c>
      <c r="C8724" t="s">
        <v>6538</v>
      </c>
      <c r="D8724" s="1" t="s">
        <v>6539</v>
      </c>
      <c r="E8724" t="s">
        <v>14</v>
      </c>
      <c r="F8724">
        <v>60.382800000000003</v>
      </c>
      <c r="G8724">
        <v>9.6050000000000004</v>
      </c>
      <c r="H8724">
        <v>1</v>
      </c>
      <c r="I8724">
        <v>142</v>
      </c>
      <c r="J8724" t="str">
        <f>HYPERLINK("https://climate.onebuilding.org/WMO_Region_6_Europe/NOR_Norway/BU_Buskerud/NOR_BU_Gulsvik.013760_TMYx.2007-2021.zip")</f>
        <v>https://climate.onebuilding.org/WMO_Region_6_Europe/NOR_Norway/BU_Buskerud/NOR_BU_Gulsvik.013760_TMYx.2007-2021.zip</v>
      </c>
    </row>
    <row r="8725" spans="1:10" x14ac:dyDescent="0.25">
      <c r="A8725" t="s">
        <v>4974</v>
      </c>
      <c r="B8725" t="s">
        <v>233</v>
      </c>
      <c r="C8725" t="s">
        <v>6538</v>
      </c>
      <c r="D8725" s="1" t="s">
        <v>6539</v>
      </c>
      <c r="E8725" t="s">
        <v>14</v>
      </c>
      <c r="F8725">
        <v>60.382800000000003</v>
      </c>
      <c r="G8725">
        <v>9.6050000000000004</v>
      </c>
      <c r="H8725">
        <v>1</v>
      </c>
      <c r="I8725">
        <v>142</v>
      </c>
      <c r="J8725" t="str">
        <f>HYPERLINK("https://climate.onebuilding.org/WMO_Region_6_Europe/NOR_Norway/BU_Buskerud/NOR_BU_Gulsvik.013760_TMYx.2009-2023.zip")</f>
        <v>https://climate.onebuilding.org/WMO_Region_6_Europe/NOR_Norway/BU_Buskerud/NOR_BU_Gulsvik.013760_TMYx.2009-2023.zip</v>
      </c>
    </row>
    <row r="8726" spans="1:10" x14ac:dyDescent="0.25">
      <c r="A8726" t="s">
        <v>4974</v>
      </c>
      <c r="B8726" t="s">
        <v>233</v>
      </c>
      <c r="C8726" t="s">
        <v>6538</v>
      </c>
      <c r="D8726" s="1" t="s">
        <v>6539</v>
      </c>
      <c r="E8726" t="s">
        <v>14</v>
      </c>
      <c r="F8726">
        <v>60.382800000000003</v>
      </c>
      <c r="G8726">
        <v>9.6050000000000004</v>
      </c>
      <c r="H8726">
        <v>1</v>
      </c>
      <c r="I8726">
        <v>142</v>
      </c>
      <c r="J8726" t="str">
        <f>HYPERLINK("https://climate.onebuilding.org/WMO_Region_6_Europe/NOR_Norway/BU_Buskerud/NOR_BU_Gulsvik.013760_TMYx.zip")</f>
        <v>https://climate.onebuilding.org/WMO_Region_6_Europe/NOR_Norway/BU_Buskerud/NOR_BU_Gulsvik.013760_TMYx.zip</v>
      </c>
    </row>
    <row r="8727" spans="1:10" x14ac:dyDescent="0.25">
      <c r="A8727" t="s">
        <v>4974</v>
      </c>
      <c r="B8727" t="s">
        <v>6281</v>
      </c>
      <c r="C8727" t="s">
        <v>6541</v>
      </c>
      <c r="D8727" s="1" t="s">
        <v>6542</v>
      </c>
      <c r="E8727" t="s">
        <v>6543</v>
      </c>
      <c r="F8727">
        <v>61.092500000000001</v>
      </c>
      <c r="G8727">
        <v>10.4772</v>
      </c>
      <c r="H8727">
        <v>1</v>
      </c>
      <c r="I8727">
        <v>242.4</v>
      </c>
      <c r="J8727" t="str">
        <f>HYPERLINK("https://climate.onebuilding.org/WMO_Region_6_Europe/NOR_Norway/OP_Oppland/NOR_OP_Lillehammer-Saetherengen.013780_TMYx.2004-2018.zip")</f>
        <v>https://climate.onebuilding.org/WMO_Region_6_Europe/NOR_Norway/OP_Oppland/NOR_OP_Lillehammer-Saetherengen.013780_TMYx.2004-2018.zip</v>
      </c>
    </row>
    <row r="8728" spans="1:10" x14ac:dyDescent="0.25">
      <c r="A8728" t="s">
        <v>4974</v>
      </c>
      <c r="B8728" t="s">
        <v>6281</v>
      </c>
      <c r="C8728" t="s">
        <v>6541</v>
      </c>
      <c r="D8728" s="1" t="s">
        <v>6542</v>
      </c>
      <c r="E8728" t="s">
        <v>14</v>
      </c>
      <c r="F8728">
        <v>61.092500000000001</v>
      </c>
      <c r="G8728">
        <v>10.4772</v>
      </c>
      <c r="H8728">
        <v>1</v>
      </c>
      <c r="I8728">
        <v>242.4</v>
      </c>
      <c r="J8728" t="str">
        <f>HYPERLINK("https://climate.onebuilding.org/WMO_Region_6_Europe/NOR_Norway/OP_Oppland/NOR_OP_Lillehammer-Saetherengen.013780_TMYx.2007-2021.zip")</f>
        <v>https://climate.onebuilding.org/WMO_Region_6_Europe/NOR_Norway/OP_Oppland/NOR_OP_Lillehammer-Saetherengen.013780_TMYx.2007-2021.zip</v>
      </c>
    </row>
    <row r="8729" spans="1:10" x14ac:dyDescent="0.25">
      <c r="A8729" t="s">
        <v>4974</v>
      </c>
      <c r="B8729" t="s">
        <v>6281</v>
      </c>
      <c r="C8729" t="s">
        <v>6541</v>
      </c>
      <c r="D8729" s="1" t="s">
        <v>6542</v>
      </c>
      <c r="E8729" t="s">
        <v>14</v>
      </c>
      <c r="F8729">
        <v>61.092500000000001</v>
      </c>
      <c r="G8729">
        <v>10.4772</v>
      </c>
      <c r="H8729">
        <v>1</v>
      </c>
      <c r="I8729">
        <v>242.4</v>
      </c>
      <c r="J8729" t="str">
        <f>HYPERLINK("https://climate.onebuilding.org/WMO_Region_6_Europe/NOR_Norway/OP_Oppland/NOR_OP_Lillehammer-Saetherengen.013780_TMYx.2009-2023.zip")</f>
        <v>https://climate.onebuilding.org/WMO_Region_6_Europe/NOR_Norway/OP_Oppland/NOR_OP_Lillehammer-Saetherengen.013780_TMYx.2009-2023.zip</v>
      </c>
    </row>
    <row r="8730" spans="1:10" x14ac:dyDescent="0.25">
      <c r="A8730" t="s">
        <v>4974</v>
      </c>
      <c r="B8730" t="s">
        <v>6281</v>
      </c>
      <c r="C8730" t="s">
        <v>6541</v>
      </c>
      <c r="D8730" s="1" t="s">
        <v>6542</v>
      </c>
      <c r="E8730" t="s">
        <v>14</v>
      </c>
      <c r="F8730">
        <v>61.092500000000001</v>
      </c>
      <c r="G8730">
        <v>10.4772</v>
      </c>
      <c r="H8730">
        <v>1</v>
      </c>
      <c r="I8730">
        <v>242.4</v>
      </c>
      <c r="J8730" t="str">
        <f>HYPERLINK("https://climate.onebuilding.org/WMO_Region_6_Europe/NOR_Norway/OP_Oppland/NOR_OP_Lillehammer-Saetherengen.013780_TMYx.zip")</f>
        <v>https://climate.onebuilding.org/WMO_Region_6_Europe/NOR_Norway/OP_Oppland/NOR_OP_Lillehammer-Saetherengen.013780_TMYx.zip</v>
      </c>
    </row>
    <row r="8731" spans="1:10" x14ac:dyDescent="0.25">
      <c r="A8731" t="s">
        <v>4974</v>
      </c>
      <c r="B8731" t="s">
        <v>6281</v>
      </c>
      <c r="C8731" t="s">
        <v>6544</v>
      </c>
      <c r="D8731" s="1" t="s">
        <v>6545</v>
      </c>
      <c r="E8731" t="s">
        <v>14</v>
      </c>
      <c r="F8731">
        <v>61.881100000000004</v>
      </c>
      <c r="G8731">
        <v>10.1516</v>
      </c>
      <c r="H8731">
        <v>1</v>
      </c>
      <c r="I8731">
        <v>710</v>
      </c>
      <c r="J8731" t="str">
        <f>HYPERLINK("https://climate.onebuilding.org/WMO_Region_6_Europe/NOR_Norway/OP_Oppland/NOR_OP_Sor.Nesset.013790_TMYx.zip")</f>
        <v>https://climate.onebuilding.org/WMO_Region_6_Europe/NOR_Norway/OP_Oppland/NOR_OP_Sor.Nesset.013790_TMYx.zip</v>
      </c>
    </row>
    <row r="8732" spans="1:10" x14ac:dyDescent="0.25">
      <c r="A8732" t="s">
        <v>4974</v>
      </c>
      <c r="B8732" t="s">
        <v>6281</v>
      </c>
      <c r="C8732" t="s">
        <v>6546</v>
      </c>
      <c r="D8732" s="1" t="s">
        <v>6547</v>
      </c>
      <c r="E8732" t="s">
        <v>6548</v>
      </c>
      <c r="F8732">
        <v>61.6511</v>
      </c>
      <c r="G8732">
        <v>10.108599999999999</v>
      </c>
      <c r="H8732">
        <v>1</v>
      </c>
      <c r="I8732">
        <v>930</v>
      </c>
      <c r="J8732" t="str">
        <f>HYPERLINK("https://climate.onebuilding.org/WMO_Region_6_Europe/NOR_Norway/OP_Oppland/NOR_OP_Venabu.013800_TMYx.2004-2018.zip")</f>
        <v>https://climate.onebuilding.org/WMO_Region_6_Europe/NOR_Norway/OP_Oppland/NOR_OP_Venabu.013800_TMYx.2004-2018.zip</v>
      </c>
    </row>
    <row r="8733" spans="1:10" x14ac:dyDescent="0.25">
      <c r="A8733" t="s">
        <v>4974</v>
      </c>
      <c r="B8733" t="s">
        <v>6281</v>
      </c>
      <c r="C8733" t="s">
        <v>6546</v>
      </c>
      <c r="D8733" s="1" t="s">
        <v>6547</v>
      </c>
      <c r="E8733" t="s">
        <v>14</v>
      </c>
      <c r="F8733">
        <v>61.6511</v>
      </c>
      <c r="G8733">
        <v>10.108599999999999</v>
      </c>
      <c r="H8733">
        <v>1</v>
      </c>
      <c r="I8733">
        <v>930</v>
      </c>
      <c r="J8733" t="str">
        <f>HYPERLINK("https://climate.onebuilding.org/WMO_Region_6_Europe/NOR_Norway/OP_Oppland/NOR_OP_Venabu.013800_TMYx.2007-2021.zip")</f>
        <v>https://climate.onebuilding.org/WMO_Region_6_Europe/NOR_Norway/OP_Oppland/NOR_OP_Venabu.013800_TMYx.2007-2021.zip</v>
      </c>
    </row>
    <row r="8734" spans="1:10" x14ac:dyDescent="0.25">
      <c r="A8734" t="s">
        <v>4974</v>
      </c>
      <c r="B8734" t="s">
        <v>6281</v>
      </c>
      <c r="C8734" t="s">
        <v>6546</v>
      </c>
      <c r="D8734" s="1" t="s">
        <v>6547</v>
      </c>
      <c r="E8734" t="s">
        <v>14</v>
      </c>
      <c r="F8734">
        <v>61.6511</v>
      </c>
      <c r="G8734">
        <v>10.108599999999999</v>
      </c>
      <c r="H8734">
        <v>1</v>
      </c>
      <c r="I8734">
        <v>930</v>
      </c>
      <c r="J8734" t="str">
        <f>HYPERLINK("https://climate.onebuilding.org/WMO_Region_6_Europe/NOR_Norway/OP_Oppland/NOR_OP_Venabu.013800_TMYx.2009-2023.zip")</f>
        <v>https://climate.onebuilding.org/WMO_Region_6_Europe/NOR_Norway/OP_Oppland/NOR_OP_Venabu.013800_TMYx.2009-2023.zip</v>
      </c>
    </row>
    <row r="8735" spans="1:10" x14ac:dyDescent="0.25">
      <c r="A8735" t="s">
        <v>4974</v>
      </c>
      <c r="B8735" t="s">
        <v>6281</v>
      </c>
      <c r="C8735" t="s">
        <v>6546</v>
      </c>
      <c r="D8735" s="1" t="s">
        <v>6547</v>
      </c>
      <c r="E8735" t="s">
        <v>14</v>
      </c>
      <c r="F8735">
        <v>61.6511</v>
      </c>
      <c r="G8735">
        <v>10.108599999999999</v>
      </c>
      <c r="H8735">
        <v>1</v>
      </c>
      <c r="I8735">
        <v>930</v>
      </c>
      <c r="J8735" t="str">
        <f>HYPERLINK("https://climate.onebuilding.org/WMO_Region_6_Europe/NOR_Norway/OP_Oppland/NOR_OP_Venabu.013800_TMYx.zip")</f>
        <v>https://climate.onebuilding.org/WMO_Region_6_Europe/NOR_Norway/OP_Oppland/NOR_OP_Venabu.013800_TMYx.zip</v>
      </c>
    </row>
    <row r="8736" spans="1:10" x14ac:dyDescent="0.25">
      <c r="A8736" t="s">
        <v>4974</v>
      </c>
      <c r="B8736" t="s">
        <v>6281</v>
      </c>
      <c r="C8736" t="s">
        <v>6549</v>
      </c>
      <c r="D8736" s="1" t="s">
        <v>6550</v>
      </c>
      <c r="E8736" t="s">
        <v>6551</v>
      </c>
      <c r="F8736">
        <v>60.700299999999999</v>
      </c>
      <c r="G8736">
        <v>10.8683</v>
      </c>
      <c r="H8736">
        <v>1</v>
      </c>
      <c r="I8736">
        <v>264</v>
      </c>
      <c r="J8736" t="str">
        <f>HYPERLINK("https://climate.onebuilding.org/WMO_Region_6_Europe/NOR_Norway/OP_Oppland/NOR_OP_Apelsvoll.013810_TMYx.2004-2018.zip")</f>
        <v>https://climate.onebuilding.org/WMO_Region_6_Europe/NOR_Norway/OP_Oppland/NOR_OP_Apelsvoll.013810_TMYx.2004-2018.zip</v>
      </c>
    </row>
    <row r="8737" spans="1:10" x14ac:dyDescent="0.25">
      <c r="A8737" t="s">
        <v>4974</v>
      </c>
      <c r="B8737" t="s">
        <v>6281</v>
      </c>
      <c r="C8737" t="s">
        <v>6549</v>
      </c>
      <c r="D8737" s="1" t="s">
        <v>6550</v>
      </c>
      <c r="E8737" t="s">
        <v>14</v>
      </c>
      <c r="F8737">
        <v>60.700299999999999</v>
      </c>
      <c r="G8737">
        <v>10.8683</v>
      </c>
      <c r="H8737">
        <v>1</v>
      </c>
      <c r="I8737">
        <v>264</v>
      </c>
      <c r="J8737" t="str">
        <f>HYPERLINK("https://climate.onebuilding.org/WMO_Region_6_Europe/NOR_Norway/OP_Oppland/NOR_OP_Apelsvoll.013810_TMYx.2007-2021.zip")</f>
        <v>https://climate.onebuilding.org/WMO_Region_6_Europe/NOR_Norway/OP_Oppland/NOR_OP_Apelsvoll.013810_TMYx.2007-2021.zip</v>
      </c>
    </row>
    <row r="8738" spans="1:10" x14ac:dyDescent="0.25">
      <c r="A8738" t="s">
        <v>4974</v>
      </c>
      <c r="B8738" t="s">
        <v>6281</v>
      </c>
      <c r="C8738" t="s">
        <v>6549</v>
      </c>
      <c r="D8738" s="1" t="s">
        <v>6550</v>
      </c>
      <c r="E8738" t="s">
        <v>14</v>
      </c>
      <c r="F8738">
        <v>60.700299999999999</v>
      </c>
      <c r="G8738">
        <v>10.8683</v>
      </c>
      <c r="H8738">
        <v>1</v>
      </c>
      <c r="I8738">
        <v>264</v>
      </c>
      <c r="J8738" t="str">
        <f>HYPERLINK("https://climate.onebuilding.org/WMO_Region_6_Europe/NOR_Norway/OP_Oppland/NOR_OP_Apelsvoll.013810_TMYx.2009-2023.zip")</f>
        <v>https://climate.onebuilding.org/WMO_Region_6_Europe/NOR_Norway/OP_Oppland/NOR_OP_Apelsvoll.013810_TMYx.2009-2023.zip</v>
      </c>
    </row>
    <row r="8739" spans="1:10" x14ac:dyDescent="0.25">
      <c r="A8739" t="s">
        <v>4974</v>
      </c>
      <c r="B8739" t="s">
        <v>6281</v>
      </c>
      <c r="C8739" t="s">
        <v>6549</v>
      </c>
      <c r="D8739" s="1" t="s">
        <v>6550</v>
      </c>
      <c r="E8739" t="s">
        <v>14</v>
      </c>
      <c r="F8739">
        <v>60.700299999999999</v>
      </c>
      <c r="G8739">
        <v>10.8683</v>
      </c>
      <c r="H8739">
        <v>1</v>
      </c>
      <c r="I8739">
        <v>264</v>
      </c>
      <c r="J8739" t="str">
        <f>HYPERLINK("https://climate.onebuilding.org/WMO_Region_6_Europe/NOR_Norway/OP_Oppland/NOR_OP_Apelsvoll.013810_TMYx.zip")</f>
        <v>https://climate.onebuilding.org/WMO_Region_6_Europe/NOR_Norway/OP_Oppland/NOR_OP_Apelsvoll.013810_TMYx.zip</v>
      </c>
    </row>
    <row r="8740" spans="1:10" x14ac:dyDescent="0.25">
      <c r="A8740" t="s">
        <v>4974</v>
      </c>
      <c r="B8740" t="s">
        <v>1451</v>
      </c>
      <c r="C8740" t="s">
        <v>6552</v>
      </c>
      <c r="D8740" s="1" t="s">
        <v>6553</v>
      </c>
      <c r="E8740" t="s">
        <v>6554</v>
      </c>
      <c r="F8740">
        <v>60.773299999999999</v>
      </c>
      <c r="G8740">
        <v>10.8056</v>
      </c>
      <c r="H8740">
        <v>1</v>
      </c>
      <c r="I8740">
        <v>128</v>
      </c>
      <c r="J8740" t="str">
        <f>HYPERLINK("https://climate.onebuilding.org/WMO_Region_6_Europe/NOR_Norway/HE_Hedmark/NOR_HE_Kise.013820_TMYx.2004-2018.zip")</f>
        <v>https://climate.onebuilding.org/WMO_Region_6_Europe/NOR_Norway/HE_Hedmark/NOR_HE_Kise.013820_TMYx.2004-2018.zip</v>
      </c>
    </row>
    <row r="8741" spans="1:10" x14ac:dyDescent="0.25">
      <c r="A8741" t="s">
        <v>4974</v>
      </c>
      <c r="B8741" t="s">
        <v>1451</v>
      </c>
      <c r="C8741" t="s">
        <v>6552</v>
      </c>
      <c r="D8741" s="1" t="s">
        <v>6553</v>
      </c>
      <c r="E8741" t="s">
        <v>14</v>
      </c>
      <c r="F8741">
        <v>60.773299999999999</v>
      </c>
      <c r="G8741">
        <v>10.8056</v>
      </c>
      <c r="H8741">
        <v>1</v>
      </c>
      <c r="I8741">
        <v>128</v>
      </c>
      <c r="J8741" t="str">
        <f>HYPERLINK("https://climate.onebuilding.org/WMO_Region_6_Europe/NOR_Norway/HE_Hedmark/NOR_HE_Kise.013820_TMYx.2007-2021.zip")</f>
        <v>https://climate.onebuilding.org/WMO_Region_6_Europe/NOR_Norway/HE_Hedmark/NOR_HE_Kise.013820_TMYx.2007-2021.zip</v>
      </c>
    </row>
    <row r="8742" spans="1:10" x14ac:dyDescent="0.25">
      <c r="A8742" t="s">
        <v>4974</v>
      </c>
      <c r="B8742" t="s">
        <v>1451</v>
      </c>
      <c r="C8742" t="s">
        <v>6552</v>
      </c>
      <c r="D8742" s="1" t="s">
        <v>6553</v>
      </c>
      <c r="E8742" t="s">
        <v>14</v>
      </c>
      <c r="F8742">
        <v>60.773299999999999</v>
      </c>
      <c r="G8742">
        <v>10.8056</v>
      </c>
      <c r="H8742">
        <v>1</v>
      </c>
      <c r="I8742">
        <v>128</v>
      </c>
      <c r="J8742" t="str">
        <f>HYPERLINK("https://climate.onebuilding.org/WMO_Region_6_Europe/NOR_Norway/HE_Hedmark/NOR_HE_Kise.013820_TMYx.2009-2023.zip")</f>
        <v>https://climate.onebuilding.org/WMO_Region_6_Europe/NOR_Norway/HE_Hedmark/NOR_HE_Kise.013820_TMYx.2009-2023.zip</v>
      </c>
    </row>
    <row r="8743" spans="1:10" x14ac:dyDescent="0.25">
      <c r="A8743" t="s">
        <v>4974</v>
      </c>
      <c r="B8743" t="s">
        <v>1451</v>
      </c>
      <c r="C8743" t="s">
        <v>6552</v>
      </c>
      <c r="D8743" s="1" t="s">
        <v>6553</v>
      </c>
      <c r="E8743" t="s">
        <v>14</v>
      </c>
      <c r="F8743">
        <v>60.773299999999999</v>
      </c>
      <c r="G8743">
        <v>10.8056</v>
      </c>
      <c r="H8743">
        <v>1</v>
      </c>
      <c r="I8743">
        <v>128</v>
      </c>
      <c r="J8743" t="str">
        <f>HYPERLINK("https://climate.onebuilding.org/WMO_Region_6_Europe/NOR_Norway/HE_Hedmark/NOR_HE_Kise.013820_TMYx.zip")</f>
        <v>https://climate.onebuilding.org/WMO_Region_6_Europe/NOR_Norway/HE_Hedmark/NOR_HE_Kise.013820_TMYx.zip</v>
      </c>
    </row>
    <row r="8744" spans="1:10" x14ac:dyDescent="0.25">
      <c r="A8744" t="s">
        <v>4974</v>
      </c>
      <c r="B8744" t="s">
        <v>1451</v>
      </c>
      <c r="C8744" t="s">
        <v>6555</v>
      </c>
      <c r="D8744" s="1" t="s">
        <v>6556</v>
      </c>
      <c r="E8744" t="s">
        <v>6557</v>
      </c>
      <c r="F8744">
        <v>61.4253</v>
      </c>
      <c r="G8744">
        <v>11.080299999999999</v>
      </c>
      <c r="H8744">
        <v>1</v>
      </c>
      <c r="I8744">
        <v>255</v>
      </c>
      <c r="J8744" t="str">
        <f>HYPERLINK("https://climate.onebuilding.org/WMO_Region_6_Europe/NOR_Norway/HE_Hedmark/NOR_HE_Evenstad.Overenget.013830_TMYx.2004-2018.zip")</f>
        <v>https://climate.onebuilding.org/WMO_Region_6_Europe/NOR_Norway/HE_Hedmark/NOR_HE_Evenstad.Overenget.013830_TMYx.2004-2018.zip</v>
      </c>
    </row>
    <row r="8745" spans="1:10" x14ac:dyDescent="0.25">
      <c r="A8745" t="s">
        <v>4974</v>
      </c>
      <c r="B8745" t="s">
        <v>1451</v>
      </c>
      <c r="C8745" t="s">
        <v>6555</v>
      </c>
      <c r="D8745" s="1" t="s">
        <v>6556</v>
      </c>
      <c r="E8745" t="s">
        <v>14</v>
      </c>
      <c r="F8745">
        <v>61.4253</v>
      </c>
      <c r="G8745">
        <v>11.080299999999999</v>
      </c>
      <c r="H8745">
        <v>1</v>
      </c>
      <c r="I8745">
        <v>255</v>
      </c>
      <c r="J8745" t="str">
        <f>HYPERLINK("https://climate.onebuilding.org/WMO_Region_6_Europe/NOR_Norway/HE_Hedmark/NOR_HE_Evenstad.Overenget.013830_TMYx.2007-2021.zip")</f>
        <v>https://climate.onebuilding.org/WMO_Region_6_Europe/NOR_Norway/HE_Hedmark/NOR_HE_Evenstad.Overenget.013830_TMYx.2007-2021.zip</v>
      </c>
    </row>
    <row r="8746" spans="1:10" x14ac:dyDescent="0.25">
      <c r="A8746" t="s">
        <v>4974</v>
      </c>
      <c r="B8746" t="s">
        <v>1451</v>
      </c>
      <c r="C8746" t="s">
        <v>6555</v>
      </c>
      <c r="D8746" s="1" t="s">
        <v>6556</v>
      </c>
      <c r="E8746" t="s">
        <v>14</v>
      </c>
      <c r="F8746">
        <v>61.4253</v>
      </c>
      <c r="G8746">
        <v>11.080299999999999</v>
      </c>
      <c r="H8746">
        <v>1</v>
      </c>
      <c r="I8746">
        <v>255</v>
      </c>
      <c r="J8746" t="str">
        <f>HYPERLINK("https://climate.onebuilding.org/WMO_Region_6_Europe/NOR_Norway/HE_Hedmark/NOR_HE_Evenstad.Overenget.013830_TMYx.2009-2023.zip")</f>
        <v>https://climate.onebuilding.org/WMO_Region_6_Europe/NOR_Norway/HE_Hedmark/NOR_HE_Evenstad.Overenget.013830_TMYx.2009-2023.zip</v>
      </c>
    </row>
    <row r="8747" spans="1:10" x14ac:dyDescent="0.25">
      <c r="A8747" t="s">
        <v>4974</v>
      </c>
      <c r="B8747" t="s">
        <v>1451</v>
      </c>
      <c r="C8747" t="s">
        <v>6555</v>
      </c>
      <c r="D8747" s="1" t="s">
        <v>6556</v>
      </c>
      <c r="E8747" t="s">
        <v>14</v>
      </c>
      <c r="F8747">
        <v>61.4253</v>
      </c>
      <c r="G8747">
        <v>11.080299999999999</v>
      </c>
      <c r="H8747">
        <v>1</v>
      </c>
      <c r="I8747">
        <v>255</v>
      </c>
      <c r="J8747" t="str">
        <f>HYPERLINK("https://climate.onebuilding.org/WMO_Region_6_Europe/NOR_Norway/HE_Hedmark/NOR_HE_Evenstad.Overenget.013830_TMYx.zip")</f>
        <v>https://climate.onebuilding.org/WMO_Region_6_Europe/NOR_Norway/HE_Hedmark/NOR_HE_Evenstad.Overenget.013830_TMYx.zip</v>
      </c>
    </row>
    <row r="8748" spans="1:10" x14ac:dyDescent="0.25">
      <c r="A8748" t="s">
        <v>4974</v>
      </c>
      <c r="B8748" t="s">
        <v>6117</v>
      </c>
      <c r="C8748" t="s">
        <v>6558</v>
      </c>
      <c r="D8748" s="1" t="s">
        <v>6559</v>
      </c>
      <c r="E8748" t="s">
        <v>6560</v>
      </c>
      <c r="F8748">
        <v>60.206400000000002</v>
      </c>
      <c r="G8748">
        <v>11.08</v>
      </c>
      <c r="H8748">
        <v>1</v>
      </c>
      <c r="I8748">
        <v>207.6</v>
      </c>
      <c r="J8748" t="str">
        <f>HYPERLINK("https://climate.onebuilding.org/WMO_Region_6_Europe/NOR_Norway/AK_Akershus/NOR_AK_Oslo.AP-Gardermoen.013840_TMYx.2004-2018.zip")</f>
        <v>https://climate.onebuilding.org/WMO_Region_6_Europe/NOR_Norway/AK_Akershus/NOR_AK_Oslo.AP-Gardermoen.013840_TMYx.2004-2018.zip</v>
      </c>
    </row>
    <row r="8749" spans="1:10" x14ac:dyDescent="0.25">
      <c r="A8749" t="s">
        <v>4974</v>
      </c>
      <c r="B8749" t="s">
        <v>6117</v>
      </c>
      <c r="C8749" t="s">
        <v>6558</v>
      </c>
      <c r="D8749" s="1" t="s">
        <v>6559</v>
      </c>
      <c r="E8749" t="s">
        <v>14</v>
      </c>
      <c r="F8749">
        <v>60.206400000000002</v>
      </c>
      <c r="G8749">
        <v>11.08</v>
      </c>
      <c r="H8749">
        <v>1</v>
      </c>
      <c r="I8749">
        <v>207.6</v>
      </c>
      <c r="J8749" t="str">
        <f>HYPERLINK("https://climate.onebuilding.org/WMO_Region_6_Europe/NOR_Norway/AK_Akershus/NOR_AK_Oslo.AP-Gardermoen.013840_TMYx.2007-2021.zip")</f>
        <v>https://climate.onebuilding.org/WMO_Region_6_Europe/NOR_Norway/AK_Akershus/NOR_AK_Oslo.AP-Gardermoen.013840_TMYx.2007-2021.zip</v>
      </c>
    </row>
    <row r="8750" spans="1:10" x14ac:dyDescent="0.25">
      <c r="A8750" t="s">
        <v>4974</v>
      </c>
      <c r="B8750" t="s">
        <v>6117</v>
      </c>
      <c r="C8750" t="s">
        <v>6558</v>
      </c>
      <c r="D8750" s="1" t="s">
        <v>6559</v>
      </c>
      <c r="E8750" t="s">
        <v>14</v>
      </c>
      <c r="F8750">
        <v>60.206400000000002</v>
      </c>
      <c r="G8750">
        <v>11.08</v>
      </c>
      <c r="H8750">
        <v>1</v>
      </c>
      <c r="I8750">
        <v>207.6</v>
      </c>
      <c r="J8750" t="str">
        <f>HYPERLINK("https://climate.onebuilding.org/WMO_Region_6_Europe/NOR_Norway/AK_Akershus/NOR_AK_Oslo.AP-Gardermoen.013840_TMYx.2009-2023.zip")</f>
        <v>https://climate.onebuilding.org/WMO_Region_6_Europe/NOR_Norway/AK_Akershus/NOR_AK_Oslo.AP-Gardermoen.013840_TMYx.2009-2023.zip</v>
      </c>
    </row>
    <row r="8751" spans="1:10" x14ac:dyDescent="0.25">
      <c r="A8751" t="s">
        <v>4974</v>
      </c>
      <c r="B8751" t="s">
        <v>6117</v>
      </c>
      <c r="C8751" t="s">
        <v>6558</v>
      </c>
      <c r="D8751" s="1" t="s">
        <v>6559</v>
      </c>
      <c r="E8751" t="s">
        <v>14</v>
      </c>
      <c r="F8751">
        <v>60.206400000000002</v>
      </c>
      <c r="G8751">
        <v>11.08</v>
      </c>
      <c r="H8751">
        <v>1</v>
      </c>
      <c r="I8751">
        <v>207.6</v>
      </c>
      <c r="J8751" t="str">
        <f>HYPERLINK("https://climate.onebuilding.org/WMO_Region_6_Europe/NOR_Norway/AK_Akershus/NOR_AK_Oslo.AP-Gardermoen.013840_TMYx.zip")</f>
        <v>https://climate.onebuilding.org/WMO_Region_6_Europe/NOR_Norway/AK_Akershus/NOR_AK_Oslo.AP-Gardermoen.013840_TMYx.zip</v>
      </c>
    </row>
    <row r="8752" spans="1:10" x14ac:dyDescent="0.25">
      <c r="A8752" t="s">
        <v>4974</v>
      </c>
      <c r="B8752" t="s">
        <v>1451</v>
      </c>
      <c r="C8752" t="s">
        <v>6561</v>
      </c>
      <c r="D8752" s="1" t="s">
        <v>6562</v>
      </c>
      <c r="E8752" t="s">
        <v>6563</v>
      </c>
      <c r="F8752">
        <v>60.817799999999998</v>
      </c>
      <c r="G8752">
        <v>11.0694</v>
      </c>
      <c r="H8752">
        <v>1</v>
      </c>
      <c r="I8752">
        <v>222.3</v>
      </c>
      <c r="J8752" t="str">
        <f>HYPERLINK("https://climate.onebuilding.org/WMO_Region_6_Europe/NOR_Norway/HE_Hedmark/NOR_HE_Hamar.AP.013850_TMYx.2004-2018.zip")</f>
        <v>https://climate.onebuilding.org/WMO_Region_6_Europe/NOR_Norway/HE_Hedmark/NOR_HE_Hamar.AP.013850_TMYx.2004-2018.zip</v>
      </c>
    </row>
    <row r="8753" spans="1:10" x14ac:dyDescent="0.25">
      <c r="A8753" t="s">
        <v>4974</v>
      </c>
      <c r="B8753" t="s">
        <v>1451</v>
      </c>
      <c r="C8753" t="s">
        <v>6561</v>
      </c>
      <c r="D8753" s="1" t="s">
        <v>6562</v>
      </c>
      <c r="E8753" t="s">
        <v>14</v>
      </c>
      <c r="F8753">
        <v>60.817799999999998</v>
      </c>
      <c r="G8753">
        <v>11.0694</v>
      </c>
      <c r="H8753">
        <v>1</v>
      </c>
      <c r="I8753">
        <v>222.3</v>
      </c>
      <c r="J8753" t="str">
        <f>HYPERLINK("https://climate.onebuilding.org/WMO_Region_6_Europe/NOR_Norway/HE_Hedmark/NOR_HE_Hamar.AP.013850_TMYx.2007-2021.zip")</f>
        <v>https://climate.onebuilding.org/WMO_Region_6_Europe/NOR_Norway/HE_Hedmark/NOR_HE_Hamar.AP.013850_TMYx.2007-2021.zip</v>
      </c>
    </row>
    <row r="8754" spans="1:10" x14ac:dyDescent="0.25">
      <c r="A8754" t="s">
        <v>4974</v>
      </c>
      <c r="B8754" t="s">
        <v>1451</v>
      </c>
      <c r="C8754" t="s">
        <v>6561</v>
      </c>
      <c r="D8754" s="1" t="s">
        <v>6562</v>
      </c>
      <c r="E8754" t="s">
        <v>14</v>
      </c>
      <c r="F8754">
        <v>60.817799999999998</v>
      </c>
      <c r="G8754">
        <v>11.0694</v>
      </c>
      <c r="H8754">
        <v>1</v>
      </c>
      <c r="I8754">
        <v>222.3</v>
      </c>
      <c r="J8754" t="str">
        <f>HYPERLINK("https://climate.onebuilding.org/WMO_Region_6_Europe/NOR_Norway/HE_Hedmark/NOR_HE_Hamar.AP.013850_TMYx.2009-2023.zip")</f>
        <v>https://climate.onebuilding.org/WMO_Region_6_Europe/NOR_Norway/HE_Hedmark/NOR_HE_Hamar.AP.013850_TMYx.2009-2023.zip</v>
      </c>
    </row>
    <row r="8755" spans="1:10" x14ac:dyDescent="0.25">
      <c r="A8755" t="s">
        <v>4974</v>
      </c>
      <c r="B8755" t="s">
        <v>1451</v>
      </c>
      <c r="C8755" t="s">
        <v>6561</v>
      </c>
      <c r="D8755" s="1" t="s">
        <v>6562</v>
      </c>
      <c r="E8755" t="s">
        <v>14</v>
      </c>
      <c r="F8755">
        <v>60.817799999999998</v>
      </c>
      <c r="G8755">
        <v>11.0694</v>
      </c>
      <c r="H8755">
        <v>1</v>
      </c>
      <c r="I8755">
        <v>222.3</v>
      </c>
      <c r="J8755" t="str">
        <f>HYPERLINK("https://climate.onebuilding.org/WMO_Region_6_Europe/NOR_Norway/HE_Hedmark/NOR_HE_Hamar.AP.013850_TMYx.zip")</f>
        <v>https://climate.onebuilding.org/WMO_Region_6_Europe/NOR_Norway/HE_Hedmark/NOR_HE_Hamar.AP.013850_TMYx.zip</v>
      </c>
    </row>
    <row r="8756" spans="1:10" x14ac:dyDescent="0.25">
      <c r="A8756" t="s">
        <v>4974</v>
      </c>
      <c r="B8756" t="s">
        <v>1451</v>
      </c>
      <c r="C8756" t="s">
        <v>6564</v>
      </c>
      <c r="D8756" s="1" t="s">
        <v>6565</v>
      </c>
      <c r="E8756" t="s">
        <v>6566</v>
      </c>
      <c r="F8756">
        <v>60.800800000000002</v>
      </c>
      <c r="G8756">
        <v>11.0975</v>
      </c>
      <c r="H8756">
        <v>1</v>
      </c>
      <c r="I8756">
        <v>132</v>
      </c>
      <c r="J8756" t="str">
        <f>HYPERLINK("https://climate.onebuilding.org/WMO_Region_6_Europe/NOR_Norway/HE_Hedmark/NOR_HE_Hamar.013860_TMYx.2004-2018.zip")</f>
        <v>https://climate.onebuilding.org/WMO_Region_6_Europe/NOR_Norway/HE_Hedmark/NOR_HE_Hamar.013860_TMYx.2004-2018.zip</v>
      </c>
    </row>
    <row r="8757" spans="1:10" x14ac:dyDescent="0.25">
      <c r="A8757" t="s">
        <v>4974</v>
      </c>
      <c r="B8757" t="s">
        <v>1451</v>
      </c>
      <c r="C8757" t="s">
        <v>6564</v>
      </c>
      <c r="D8757" s="1" t="s">
        <v>6565</v>
      </c>
      <c r="E8757" t="s">
        <v>14</v>
      </c>
      <c r="F8757">
        <v>60.800800000000002</v>
      </c>
      <c r="G8757">
        <v>11.0975</v>
      </c>
      <c r="H8757">
        <v>1</v>
      </c>
      <c r="I8757">
        <v>132</v>
      </c>
      <c r="J8757" t="str">
        <f>HYPERLINK("https://climate.onebuilding.org/WMO_Region_6_Europe/NOR_Norway/HE_Hedmark/NOR_HE_Hamar.013860_TMYx.2007-2021.zip")</f>
        <v>https://climate.onebuilding.org/WMO_Region_6_Europe/NOR_Norway/HE_Hedmark/NOR_HE_Hamar.013860_TMYx.2007-2021.zip</v>
      </c>
    </row>
    <row r="8758" spans="1:10" x14ac:dyDescent="0.25">
      <c r="A8758" t="s">
        <v>4974</v>
      </c>
      <c r="B8758" t="s">
        <v>1451</v>
      </c>
      <c r="C8758" t="s">
        <v>6564</v>
      </c>
      <c r="D8758" s="1" t="s">
        <v>6565</v>
      </c>
      <c r="E8758" t="s">
        <v>14</v>
      </c>
      <c r="F8758">
        <v>60.800800000000002</v>
      </c>
      <c r="G8758">
        <v>11.0975</v>
      </c>
      <c r="H8758">
        <v>1</v>
      </c>
      <c r="I8758">
        <v>132</v>
      </c>
      <c r="J8758" t="str">
        <f>HYPERLINK("https://climate.onebuilding.org/WMO_Region_6_Europe/NOR_Norway/HE_Hedmark/NOR_HE_Hamar.013860_TMYx.2009-2023.zip")</f>
        <v>https://climate.onebuilding.org/WMO_Region_6_Europe/NOR_Norway/HE_Hedmark/NOR_HE_Hamar.013860_TMYx.2009-2023.zip</v>
      </c>
    </row>
    <row r="8759" spans="1:10" x14ac:dyDescent="0.25">
      <c r="A8759" t="s">
        <v>4974</v>
      </c>
      <c r="B8759" t="s">
        <v>1451</v>
      </c>
      <c r="C8759" t="s">
        <v>6564</v>
      </c>
      <c r="D8759" s="1" t="s">
        <v>6565</v>
      </c>
      <c r="E8759" t="s">
        <v>14</v>
      </c>
      <c r="F8759">
        <v>60.800800000000002</v>
      </c>
      <c r="G8759">
        <v>11.0975</v>
      </c>
      <c r="H8759">
        <v>1</v>
      </c>
      <c r="I8759">
        <v>132</v>
      </c>
      <c r="J8759" t="str">
        <f>HYPERLINK("https://climate.onebuilding.org/WMO_Region_6_Europe/NOR_Norway/HE_Hedmark/NOR_HE_Hamar.013860_TMYx.zip")</f>
        <v>https://climate.onebuilding.org/WMO_Region_6_Europe/NOR_Norway/HE_Hedmark/NOR_HE_Hamar.013860_TMYx.zip</v>
      </c>
    </row>
    <row r="8760" spans="1:10" x14ac:dyDescent="0.25">
      <c r="A8760" t="s">
        <v>4974</v>
      </c>
      <c r="B8760" t="s">
        <v>6281</v>
      </c>
      <c r="C8760" t="s">
        <v>6567</v>
      </c>
      <c r="D8760" s="1" t="s">
        <v>6568</v>
      </c>
      <c r="E8760" t="s">
        <v>6569</v>
      </c>
      <c r="F8760">
        <v>61.454999999999998</v>
      </c>
      <c r="G8760">
        <v>10.185600000000001</v>
      </c>
      <c r="H8760">
        <v>1</v>
      </c>
      <c r="I8760">
        <v>200</v>
      </c>
      <c r="J8760" t="str">
        <f>HYPERLINK("https://climate.onebuilding.org/WMO_Region_6_Europe/NOR_Norway/OP_Oppland/NOR_OP_Favang.013870_TMYx.2004-2018.zip")</f>
        <v>https://climate.onebuilding.org/WMO_Region_6_Europe/NOR_Norway/OP_Oppland/NOR_OP_Favang.013870_TMYx.2004-2018.zip</v>
      </c>
    </row>
    <row r="8761" spans="1:10" x14ac:dyDescent="0.25">
      <c r="A8761" t="s">
        <v>4974</v>
      </c>
      <c r="B8761" t="s">
        <v>6281</v>
      </c>
      <c r="C8761" t="s">
        <v>6567</v>
      </c>
      <c r="D8761" s="1" t="s">
        <v>6568</v>
      </c>
      <c r="E8761" t="s">
        <v>14</v>
      </c>
      <c r="F8761">
        <v>61.454999999999998</v>
      </c>
      <c r="G8761">
        <v>10.185600000000001</v>
      </c>
      <c r="H8761">
        <v>1</v>
      </c>
      <c r="I8761">
        <v>200</v>
      </c>
      <c r="J8761" t="str">
        <f>HYPERLINK("https://climate.onebuilding.org/WMO_Region_6_Europe/NOR_Norway/OP_Oppland/NOR_OP_Favang.013870_TMYx.2007-2021.zip")</f>
        <v>https://climate.onebuilding.org/WMO_Region_6_Europe/NOR_Norway/OP_Oppland/NOR_OP_Favang.013870_TMYx.2007-2021.zip</v>
      </c>
    </row>
    <row r="8762" spans="1:10" x14ac:dyDescent="0.25">
      <c r="A8762" t="s">
        <v>4974</v>
      </c>
      <c r="B8762" t="s">
        <v>6281</v>
      </c>
      <c r="C8762" t="s">
        <v>6567</v>
      </c>
      <c r="D8762" s="1" t="s">
        <v>6568</v>
      </c>
      <c r="E8762" t="s">
        <v>14</v>
      </c>
      <c r="F8762">
        <v>61.454999999999998</v>
      </c>
      <c r="G8762">
        <v>10.185600000000001</v>
      </c>
      <c r="H8762">
        <v>1</v>
      </c>
      <c r="I8762">
        <v>200</v>
      </c>
      <c r="J8762" t="str">
        <f>HYPERLINK("https://climate.onebuilding.org/WMO_Region_6_Europe/NOR_Norway/OP_Oppland/NOR_OP_Favang.013870_TMYx.2009-2023.zip")</f>
        <v>https://climate.onebuilding.org/WMO_Region_6_Europe/NOR_Norway/OP_Oppland/NOR_OP_Favang.013870_TMYx.2009-2023.zip</v>
      </c>
    </row>
    <row r="8763" spans="1:10" x14ac:dyDescent="0.25">
      <c r="A8763" t="s">
        <v>4974</v>
      </c>
      <c r="B8763" t="s">
        <v>6281</v>
      </c>
      <c r="C8763" t="s">
        <v>6567</v>
      </c>
      <c r="D8763" s="1" t="s">
        <v>6568</v>
      </c>
      <c r="E8763" t="s">
        <v>14</v>
      </c>
      <c r="F8763">
        <v>61.454999999999998</v>
      </c>
      <c r="G8763">
        <v>10.185600000000001</v>
      </c>
      <c r="H8763">
        <v>1</v>
      </c>
      <c r="I8763">
        <v>200</v>
      </c>
      <c r="J8763" t="str">
        <f>HYPERLINK("https://climate.onebuilding.org/WMO_Region_6_Europe/NOR_Norway/OP_Oppland/NOR_OP_Favang.013870_TMYx.zip")</f>
        <v>https://climate.onebuilding.org/WMO_Region_6_Europe/NOR_Norway/OP_Oppland/NOR_OP_Favang.013870_TMYx.zip</v>
      </c>
    </row>
    <row r="8764" spans="1:10" x14ac:dyDescent="0.25">
      <c r="A8764" t="s">
        <v>4974</v>
      </c>
      <c r="B8764" t="s">
        <v>1451</v>
      </c>
      <c r="C8764" t="s">
        <v>6570</v>
      </c>
      <c r="D8764" s="1" t="s">
        <v>6571</v>
      </c>
      <c r="E8764" t="s">
        <v>6572</v>
      </c>
      <c r="F8764">
        <v>61.1858</v>
      </c>
      <c r="G8764">
        <v>11.3706</v>
      </c>
      <c r="H8764">
        <v>1</v>
      </c>
      <c r="I8764">
        <v>255.7</v>
      </c>
      <c r="J8764" t="str">
        <f>HYPERLINK("https://climate.onebuilding.org/WMO_Region_6_Europe/NOR_Norway/HE_Hedmark/NOR_HE_Rena.AP.013890_TMYx.2004-2018.zip")</f>
        <v>https://climate.onebuilding.org/WMO_Region_6_Europe/NOR_Norway/HE_Hedmark/NOR_HE_Rena.AP.013890_TMYx.2004-2018.zip</v>
      </c>
    </row>
    <row r="8765" spans="1:10" x14ac:dyDescent="0.25">
      <c r="A8765" t="s">
        <v>4974</v>
      </c>
      <c r="B8765" t="s">
        <v>1451</v>
      </c>
      <c r="C8765" t="s">
        <v>6570</v>
      </c>
      <c r="D8765" s="1" t="s">
        <v>6571</v>
      </c>
      <c r="E8765" t="s">
        <v>14</v>
      </c>
      <c r="F8765">
        <v>61.1858</v>
      </c>
      <c r="G8765">
        <v>11.3706</v>
      </c>
      <c r="H8765">
        <v>1</v>
      </c>
      <c r="I8765">
        <v>255.7</v>
      </c>
      <c r="J8765" t="str">
        <f>HYPERLINK("https://climate.onebuilding.org/WMO_Region_6_Europe/NOR_Norway/HE_Hedmark/NOR_HE_Rena.AP.013890_TMYx.2007-2021.zip")</f>
        <v>https://climate.onebuilding.org/WMO_Region_6_Europe/NOR_Norway/HE_Hedmark/NOR_HE_Rena.AP.013890_TMYx.2007-2021.zip</v>
      </c>
    </row>
    <row r="8766" spans="1:10" x14ac:dyDescent="0.25">
      <c r="A8766" t="s">
        <v>4974</v>
      </c>
      <c r="B8766" t="s">
        <v>1451</v>
      </c>
      <c r="C8766" t="s">
        <v>6570</v>
      </c>
      <c r="D8766" s="1" t="s">
        <v>6571</v>
      </c>
      <c r="E8766" t="s">
        <v>14</v>
      </c>
      <c r="F8766">
        <v>61.1858</v>
      </c>
      <c r="G8766">
        <v>11.3706</v>
      </c>
      <c r="H8766">
        <v>1</v>
      </c>
      <c r="I8766">
        <v>255.7</v>
      </c>
      <c r="J8766" t="str">
        <f>HYPERLINK("https://climate.onebuilding.org/WMO_Region_6_Europe/NOR_Norway/HE_Hedmark/NOR_HE_Rena.AP.013890_TMYx.2009-2023.zip")</f>
        <v>https://climate.onebuilding.org/WMO_Region_6_Europe/NOR_Norway/HE_Hedmark/NOR_HE_Rena.AP.013890_TMYx.2009-2023.zip</v>
      </c>
    </row>
    <row r="8767" spans="1:10" x14ac:dyDescent="0.25">
      <c r="A8767" t="s">
        <v>4974</v>
      </c>
      <c r="B8767" t="s">
        <v>1451</v>
      </c>
      <c r="C8767" t="s">
        <v>6570</v>
      </c>
      <c r="D8767" s="1" t="s">
        <v>6571</v>
      </c>
      <c r="E8767" t="s">
        <v>14</v>
      </c>
      <c r="F8767">
        <v>61.1858</v>
      </c>
      <c r="G8767">
        <v>11.3706</v>
      </c>
      <c r="H8767">
        <v>1</v>
      </c>
      <c r="I8767">
        <v>255.7</v>
      </c>
      <c r="J8767" t="str">
        <f>HYPERLINK("https://climate.onebuilding.org/WMO_Region_6_Europe/NOR_Norway/HE_Hedmark/NOR_HE_Rena.AP.013890_TMYx.zip")</f>
        <v>https://climate.onebuilding.org/WMO_Region_6_Europe/NOR_Norway/HE_Hedmark/NOR_HE_Rena.AP.013890_TMYx.zip</v>
      </c>
    </row>
    <row r="8768" spans="1:10" x14ac:dyDescent="0.25">
      <c r="A8768" t="s">
        <v>4974</v>
      </c>
      <c r="B8768" t="s">
        <v>1451</v>
      </c>
      <c r="C8768" t="s">
        <v>6573</v>
      </c>
      <c r="D8768" s="1" t="s">
        <v>6574</v>
      </c>
      <c r="E8768" t="s">
        <v>6575</v>
      </c>
      <c r="F8768">
        <v>60.613900000000001</v>
      </c>
      <c r="G8768">
        <v>12.0122</v>
      </c>
      <c r="H8768">
        <v>1</v>
      </c>
      <c r="I8768">
        <v>184.6</v>
      </c>
      <c r="J8768" t="str">
        <f>HYPERLINK("https://climate.onebuilding.org/WMO_Region_6_Europe/NOR_Norway/HE_Hedmark/NOR_HE_Flisa.013920_TMYx.2004-2018.zip")</f>
        <v>https://climate.onebuilding.org/WMO_Region_6_Europe/NOR_Norway/HE_Hedmark/NOR_HE_Flisa.013920_TMYx.2004-2018.zip</v>
      </c>
    </row>
    <row r="8769" spans="1:10" x14ac:dyDescent="0.25">
      <c r="A8769" t="s">
        <v>4974</v>
      </c>
      <c r="B8769" t="s">
        <v>1451</v>
      </c>
      <c r="C8769" t="s">
        <v>6573</v>
      </c>
      <c r="D8769" s="1" t="s">
        <v>6574</v>
      </c>
      <c r="E8769" t="s">
        <v>14</v>
      </c>
      <c r="F8769">
        <v>60.613900000000001</v>
      </c>
      <c r="G8769">
        <v>12.0122</v>
      </c>
      <c r="H8769">
        <v>1</v>
      </c>
      <c r="I8769">
        <v>184.6</v>
      </c>
      <c r="J8769" t="str">
        <f>HYPERLINK("https://climate.onebuilding.org/WMO_Region_6_Europe/NOR_Norway/HE_Hedmark/NOR_HE_Flisa.013920_TMYx.2007-2021.zip")</f>
        <v>https://climate.onebuilding.org/WMO_Region_6_Europe/NOR_Norway/HE_Hedmark/NOR_HE_Flisa.013920_TMYx.2007-2021.zip</v>
      </c>
    </row>
    <row r="8770" spans="1:10" x14ac:dyDescent="0.25">
      <c r="A8770" t="s">
        <v>4974</v>
      </c>
      <c r="B8770" t="s">
        <v>1451</v>
      </c>
      <c r="C8770" t="s">
        <v>6573</v>
      </c>
      <c r="D8770" s="1" t="s">
        <v>6574</v>
      </c>
      <c r="E8770" t="s">
        <v>14</v>
      </c>
      <c r="F8770">
        <v>60.613900000000001</v>
      </c>
      <c r="G8770">
        <v>12.0122</v>
      </c>
      <c r="H8770">
        <v>1</v>
      </c>
      <c r="I8770">
        <v>184.6</v>
      </c>
      <c r="J8770" t="str">
        <f>HYPERLINK("https://climate.onebuilding.org/WMO_Region_6_Europe/NOR_Norway/HE_Hedmark/NOR_HE_Flisa.013920_TMYx.2009-2023.zip")</f>
        <v>https://climate.onebuilding.org/WMO_Region_6_Europe/NOR_Norway/HE_Hedmark/NOR_HE_Flisa.013920_TMYx.2009-2023.zip</v>
      </c>
    </row>
    <row r="8771" spans="1:10" x14ac:dyDescent="0.25">
      <c r="A8771" t="s">
        <v>4974</v>
      </c>
      <c r="B8771" t="s">
        <v>1451</v>
      </c>
      <c r="C8771" t="s">
        <v>6573</v>
      </c>
      <c r="D8771" s="1" t="s">
        <v>6574</v>
      </c>
      <c r="E8771" t="s">
        <v>14</v>
      </c>
      <c r="F8771">
        <v>60.613900000000001</v>
      </c>
      <c r="G8771">
        <v>12.0122</v>
      </c>
      <c r="H8771">
        <v>1</v>
      </c>
      <c r="I8771">
        <v>184.6</v>
      </c>
      <c r="J8771" t="str">
        <f>HYPERLINK("https://climate.onebuilding.org/WMO_Region_6_Europe/NOR_Norway/HE_Hedmark/NOR_HE_Flisa.013920_TMYx.zip")</f>
        <v>https://climate.onebuilding.org/WMO_Region_6_Europe/NOR_Norway/HE_Hedmark/NOR_HE_Flisa.013920_TMYx.zip</v>
      </c>
    </row>
    <row r="8772" spans="1:10" x14ac:dyDescent="0.25">
      <c r="A8772" t="s">
        <v>4974</v>
      </c>
      <c r="B8772" t="s">
        <v>1451</v>
      </c>
      <c r="C8772" t="s">
        <v>6576</v>
      </c>
      <c r="D8772" s="1" t="s">
        <v>6577</v>
      </c>
      <c r="E8772" t="s">
        <v>6578</v>
      </c>
      <c r="F8772">
        <v>61.889699999999998</v>
      </c>
      <c r="G8772">
        <v>12.033300000000001</v>
      </c>
      <c r="H8772">
        <v>1</v>
      </c>
      <c r="I8772">
        <v>673.5</v>
      </c>
      <c r="J8772" t="str">
        <f>HYPERLINK("https://climate.onebuilding.org/WMO_Region_6_Europe/NOR_Norway/HE_Hedmark/NOR_HE_Drevsjo.013930_TMYx.2004-2018.zip")</f>
        <v>https://climate.onebuilding.org/WMO_Region_6_Europe/NOR_Norway/HE_Hedmark/NOR_HE_Drevsjo.013930_TMYx.2004-2018.zip</v>
      </c>
    </row>
    <row r="8773" spans="1:10" x14ac:dyDescent="0.25">
      <c r="A8773" t="s">
        <v>4974</v>
      </c>
      <c r="B8773" t="s">
        <v>1451</v>
      </c>
      <c r="C8773" t="s">
        <v>6576</v>
      </c>
      <c r="D8773" s="1" t="s">
        <v>6577</v>
      </c>
      <c r="E8773" t="s">
        <v>14</v>
      </c>
      <c r="F8773">
        <v>61.889699999999998</v>
      </c>
      <c r="G8773">
        <v>12.033300000000001</v>
      </c>
      <c r="H8773">
        <v>1</v>
      </c>
      <c r="I8773">
        <v>673.5</v>
      </c>
      <c r="J8773" t="str">
        <f>HYPERLINK("https://climate.onebuilding.org/WMO_Region_6_Europe/NOR_Norway/HE_Hedmark/NOR_HE_Drevsjo.013930_TMYx.2007-2021.zip")</f>
        <v>https://climate.onebuilding.org/WMO_Region_6_Europe/NOR_Norway/HE_Hedmark/NOR_HE_Drevsjo.013930_TMYx.2007-2021.zip</v>
      </c>
    </row>
    <row r="8774" spans="1:10" x14ac:dyDescent="0.25">
      <c r="A8774" t="s">
        <v>4974</v>
      </c>
      <c r="B8774" t="s">
        <v>1451</v>
      </c>
      <c r="C8774" t="s">
        <v>6576</v>
      </c>
      <c r="D8774" s="1" t="s">
        <v>6577</v>
      </c>
      <c r="E8774" t="s">
        <v>14</v>
      </c>
      <c r="F8774">
        <v>61.889699999999998</v>
      </c>
      <c r="G8774">
        <v>12.033300000000001</v>
      </c>
      <c r="H8774">
        <v>1</v>
      </c>
      <c r="I8774">
        <v>673.5</v>
      </c>
      <c r="J8774" t="str">
        <f>HYPERLINK("https://climate.onebuilding.org/WMO_Region_6_Europe/NOR_Norway/HE_Hedmark/NOR_HE_Drevsjo.013930_TMYx.2009-2023.zip")</f>
        <v>https://climate.onebuilding.org/WMO_Region_6_Europe/NOR_Norway/HE_Hedmark/NOR_HE_Drevsjo.013930_TMYx.2009-2023.zip</v>
      </c>
    </row>
    <row r="8775" spans="1:10" x14ac:dyDescent="0.25">
      <c r="A8775" t="s">
        <v>4974</v>
      </c>
      <c r="B8775" t="s">
        <v>1451</v>
      </c>
      <c r="C8775" t="s">
        <v>6576</v>
      </c>
      <c r="D8775" s="1" t="s">
        <v>6577</v>
      </c>
      <c r="E8775" t="s">
        <v>14</v>
      </c>
      <c r="F8775">
        <v>61.889699999999998</v>
      </c>
      <c r="G8775">
        <v>12.033300000000001</v>
      </c>
      <c r="H8775">
        <v>1</v>
      </c>
      <c r="I8775">
        <v>673.5</v>
      </c>
      <c r="J8775" t="str">
        <f>HYPERLINK("https://climate.onebuilding.org/WMO_Region_6_Europe/NOR_Norway/HE_Hedmark/NOR_HE_Drevsjo.013930_TMYx.zip")</f>
        <v>https://climate.onebuilding.org/WMO_Region_6_Europe/NOR_Norway/HE_Hedmark/NOR_HE_Drevsjo.013930_TMYx.zip</v>
      </c>
    </row>
    <row r="8776" spans="1:10" x14ac:dyDescent="0.25">
      <c r="A8776" t="s">
        <v>4974</v>
      </c>
      <c r="B8776" t="s">
        <v>1451</v>
      </c>
      <c r="C8776" t="s">
        <v>6579</v>
      </c>
      <c r="D8776" s="1" t="s">
        <v>6580</v>
      </c>
      <c r="E8776" t="s">
        <v>6581</v>
      </c>
      <c r="F8776">
        <v>61.294199999999996</v>
      </c>
      <c r="G8776">
        <v>12.271699999999999</v>
      </c>
      <c r="H8776">
        <v>1</v>
      </c>
      <c r="I8776">
        <v>361.4</v>
      </c>
      <c r="J8776" t="str">
        <f>HYPERLINK("https://climate.onebuilding.org/WMO_Region_6_Europe/NOR_Norway/HE_Hedmark/NOR_HE_Trysil.Vegstasjon.013970_TMYx.2004-2018.zip")</f>
        <v>https://climate.onebuilding.org/WMO_Region_6_Europe/NOR_Norway/HE_Hedmark/NOR_HE_Trysil.Vegstasjon.013970_TMYx.2004-2018.zip</v>
      </c>
    </row>
    <row r="8777" spans="1:10" x14ac:dyDescent="0.25">
      <c r="A8777" t="s">
        <v>4974</v>
      </c>
      <c r="B8777" t="s">
        <v>1451</v>
      </c>
      <c r="C8777" t="s">
        <v>6579</v>
      </c>
      <c r="D8777" s="1" t="s">
        <v>6580</v>
      </c>
      <c r="E8777" t="s">
        <v>14</v>
      </c>
      <c r="F8777">
        <v>61.294199999999996</v>
      </c>
      <c r="G8777">
        <v>12.271699999999999</v>
      </c>
      <c r="H8777">
        <v>1</v>
      </c>
      <c r="I8777">
        <v>361.4</v>
      </c>
      <c r="J8777" t="str">
        <f>HYPERLINK("https://climate.onebuilding.org/WMO_Region_6_Europe/NOR_Norway/HE_Hedmark/NOR_HE_Trysil.Vegstasjon.013970_TMYx.2007-2021.zip")</f>
        <v>https://climate.onebuilding.org/WMO_Region_6_Europe/NOR_Norway/HE_Hedmark/NOR_HE_Trysil.Vegstasjon.013970_TMYx.2007-2021.zip</v>
      </c>
    </row>
    <row r="8778" spans="1:10" x14ac:dyDescent="0.25">
      <c r="A8778" t="s">
        <v>4974</v>
      </c>
      <c r="B8778" t="s">
        <v>1451</v>
      </c>
      <c r="C8778" t="s">
        <v>6579</v>
      </c>
      <c r="D8778" s="1" t="s">
        <v>6580</v>
      </c>
      <c r="E8778" t="s">
        <v>14</v>
      </c>
      <c r="F8778">
        <v>61.294199999999996</v>
      </c>
      <c r="G8778">
        <v>12.271699999999999</v>
      </c>
      <c r="H8778">
        <v>1</v>
      </c>
      <c r="I8778">
        <v>361.4</v>
      </c>
      <c r="J8778" t="str">
        <f>HYPERLINK("https://climate.onebuilding.org/WMO_Region_6_Europe/NOR_Norway/HE_Hedmark/NOR_HE_Trysil.Vegstasjon.013970_TMYx.2009-2023.zip")</f>
        <v>https://climate.onebuilding.org/WMO_Region_6_Europe/NOR_Norway/HE_Hedmark/NOR_HE_Trysil.Vegstasjon.013970_TMYx.2009-2023.zip</v>
      </c>
    </row>
    <row r="8779" spans="1:10" x14ac:dyDescent="0.25">
      <c r="A8779" t="s">
        <v>4974</v>
      </c>
      <c r="B8779" t="s">
        <v>1451</v>
      </c>
      <c r="C8779" t="s">
        <v>6579</v>
      </c>
      <c r="D8779" s="1" t="s">
        <v>6580</v>
      </c>
      <c r="E8779" t="s">
        <v>14</v>
      </c>
      <c r="F8779">
        <v>61.294199999999996</v>
      </c>
      <c r="G8779">
        <v>12.271699999999999</v>
      </c>
      <c r="H8779">
        <v>1</v>
      </c>
      <c r="I8779">
        <v>361.4</v>
      </c>
      <c r="J8779" t="str">
        <f>HYPERLINK("https://climate.onebuilding.org/WMO_Region_6_Europe/NOR_Norway/HE_Hedmark/NOR_HE_Trysil.Vegstasjon.013970_TMYx.zip")</f>
        <v>https://climate.onebuilding.org/WMO_Region_6_Europe/NOR_Norway/HE_Hedmark/NOR_HE_Trysil.Vegstasjon.013970_TMYx.zip</v>
      </c>
    </row>
    <row r="8780" spans="1:10" x14ac:dyDescent="0.25">
      <c r="A8780" t="s">
        <v>4974</v>
      </c>
      <c r="B8780" t="s">
        <v>6582</v>
      </c>
      <c r="C8780" t="s">
        <v>6583</v>
      </c>
      <c r="D8780" s="1" t="s">
        <v>6584</v>
      </c>
      <c r="E8780" t="s">
        <v>6585</v>
      </c>
      <c r="F8780">
        <v>59.306399999999996</v>
      </c>
      <c r="G8780">
        <v>4.8722000000000003</v>
      </c>
      <c r="H8780">
        <v>0</v>
      </c>
      <c r="I8780">
        <v>56.3</v>
      </c>
      <c r="J8780" t="str">
        <f>HYPERLINK("https://climate.onebuilding.org/WMO_Region_6_Europe/NOR_Norway/RO_Rogaland/NOR_RO_Utsira.Lighthouse.014030_TMYx.2004-2018.zip")</f>
        <v>https://climate.onebuilding.org/WMO_Region_6_Europe/NOR_Norway/RO_Rogaland/NOR_RO_Utsira.Lighthouse.014030_TMYx.2004-2018.zip</v>
      </c>
    </row>
    <row r="8781" spans="1:10" x14ac:dyDescent="0.25">
      <c r="A8781" t="s">
        <v>4974</v>
      </c>
      <c r="B8781" t="s">
        <v>6582</v>
      </c>
      <c r="C8781" t="s">
        <v>6583</v>
      </c>
      <c r="D8781" s="1" t="s">
        <v>6584</v>
      </c>
      <c r="E8781" t="s">
        <v>14</v>
      </c>
      <c r="F8781">
        <v>59.306399999999996</v>
      </c>
      <c r="G8781">
        <v>4.8722000000000003</v>
      </c>
      <c r="H8781">
        <v>0</v>
      </c>
      <c r="I8781">
        <v>56.3</v>
      </c>
      <c r="J8781" t="str">
        <f>HYPERLINK("https://climate.onebuilding.org/WMO_Region_6_Europe/NOR_Norway/RO_Rogaland/NOR_RO_Utsira.Lighthouse.014030_TMYx.2007-2021.zip")</f>
        <v>https://climate.onebuilding.org/WMO_Region_6_Europe/NOR_Norway/RO_Rogaland/NOR_RO_Utsira.Lighthouse.014030_TMYx.2007-2021.zip</v>
      </c>
    </row>
    <row r="8782" spans="1:10" x14ac:dyDescent="0.25">
      <c r="A8782" t="s">
        <v>4974</v>
      </c>
      <c r="B8782" t="s">
        <v>6582</v>
      </c>
      <c r="C8782" t="s">
        <v>6583</v>
      </c>
      <c r="D8782" s="1" t="s">
        <v>6584</v>
      </c>
      <c r="E8782" t="s">
        <v>14</v>
      </c>
      <c r="F8782">
        <v>59.306399999999996</v>
      </c>
      <c r="G8782">
        <v>4.8722000000000003</v>
      </c>
      <c r="H8782">
        <v>0</v>
      </c>
      <c r="I8782">
        <v>56.3</v>
      </c>
      <c r="J8782" t="str">
        <f>HYPERLINK("https://climate.onebuilding.org/WMO_Region_6_Europe/NOR_Norway/RO_Rogaland/NOR_RO_Utsira.Lighthouse.014030_TMYx.2009-2023.zip")</f>
        <v>https://climate.onebuilding.org/WMO_Region_6_Europe/NOR_Norway/RO_Rogaland/NOR_RO_Utsira.Lighthouse.014030_TMYx.2009-2023.zip</v>
      </c>
    </row>
    <row r="8783" spans="1:10" x14ac:dyDescent="0.25">
      <c r="A8783" t="s">
        <v>4974</v>
      </c>
      <c r="B8783" t="s">
        <v>6582</v>
      </c>
      <c r="C8783" t="s">
        <v>6583</v>
      </c>
      <c r="D8783" s="1" t="s">
        <v>6584</v>
      </c>
      <c r="E8783" t="s">
        <v>14</v>
      </c>
      <c r="F8783">
        <v>59.306399999999996</v>
      </c>
      <c r="G8783">
        <v>4.8722000000000003</v>
      </c>
      <c r="H8783">
        <v>0</v>
      </c>
      <c r="I8783">
        <v>56.3</v>
      </c>
      <c r="J8783" t="str">
        <f>HYPERLINK("https://climate.onebuilding.org/WMO_Region_6_Europe/NOR_Norway/RO_Rogaland/NOR_RO_Utsira.Lighthouse.014030_TMYx.zip")</f>
        <v>https://climate.onebuilding.org/WMO_Region_6_Europe/NOR_Norway/RO_Rogaland/NOR_RO_Utsira.Lighthouse.014030_TMYx.zip</v>
      </c>
    </row>
    <row r="8784" spans="1:10" x14ac:dyDescent="0.25">
      <c r="A8784" t="s">
        <v>4974</v>
      </c>
      <c r="B8784" t="s">
        <v>681</v>
      </c>
      <c r="C8784" t="s">
        <v>6586</v>
      </c>
      <c r="D8784" s="1" t="s">
        <v>6587</v>
      </c>
      <c r="E8784" t="s">
        <v>6588</v>
      </c>
      <c r="F8784">
        <v>59.908099999999997</v>
      </c>
      <c r="G8784">
        <v>5.0681000000000003</v>
      </c>
      <c r="H8784">
        <v>0</v>
      </c>
      <c r="I8784">
        <v>16.3</v>
      </c>
      <c r="J8784" t="str">
        <f>HYPERLINK("https://climate.onebuilding.org/WMO_Region_6_Europe/NOR_Norway/HO_Hordaland/NOR_HO_Slatteroy.Lighthouse.014060_TMYx.2004-2018.zip")</f>
        <v>https://climate.onebuilding.org/WMO_Region_6_Europe/NOR_Norway/HO_Hordaland/NOR_HO_Slatteroy.Lighthouse.014060_TMYx.2004-2018.zip</v>
      </c>
    </row>
    <row r="8785" spans="1:10" x14ac:dyDescent="0.25">
      <c r="A8785" t="s">
        <v>4974</v>
      </c>
      <c r="B8785" t="s">
        <v>681</v>
      </c>
      <c r="C8785" t="s">
        <v>6586</v>
      </c>
      <c r="D8785" s="1" t="s">
        <v>6587</v>
      </c>
      <c r="E8785" t="s">
        <v>14</v>
      </c>
      <c r="F8785">
        <v>59.908099999999997</v>
      </c>
      <c r="G8785">
        <v>5.0681000000000003</v>
      </c>
      <c r="H8785">
        <v>0</v>
      </c>
      <c r="I8785">
        <v>16.3</v>
      </c>
      <c r="J8785" t="str">
        <f>HYPERLINK("https://climate.onebuilding.org/WMO_Region_6_Europe/NOR_Norway/HO_Hordaland/NOR_HO_Slatteroy.Lighthouse.014060_TMYx.2007-2021.zip")</f>
        <v>https://climate.onebuilding.org/WMO_Region_6_Europe/NOR_Norway/HO_Hordaland/NOR_HO_Slatteroy.Lighthouse.014060_TMYx.2007-2021.zip</v>
      </c>
    </row>
    <row r="8786" spans="1:10" x14ac:dyDescent="0.25">
      <c r="A8786" t="s">
        <v>4974</v>
      </c>
      <c r="B8786" t="s">
        <v>681</v>
      </c>
      <c r="C8786" t="s">
        <v>6586</v>
      </c>
      <c r="D8786" s="1" t="s">
        <v>6587</v>
      </c>
      <c r="E8786" t="s">
        <v>14</v>
      </c>
      <c r="F8786">
        <v>59.908099999999997</v>
      </c>
      <c r="G8786">
        <v>5.0681000000000003</v>
      </c>
      <c r="H8786">
        <v>0</v>
      </c>
      <c r="I8786">
        <v>16.3</v>
      </c>
      <c r="J8786" t="str">
        <f>HYPERLINK("https://climate.onebuilding.org/WMO_Region_6_Europe/NOR_Norway/HO_Hordaland/NOR_HO_Slatteroy.Lighthouse.014060_TMYx.2009-2023.zip")</f>
        <v>https://climate.onebuilding.org/WMO_Region_6_Europe/NOR_Norway/HO_Hordaland/NOR_HO_Slatteroy.Lighthouse.014060_TMYx.2009-2023.zip</v>
      </c>
    </row>
    <row r="8787" spans="1:10" x14ac:dyDescent="0.25">
      <c r="A8787" t="s">
        <v>4974</v>
      </c>
      <c r="B8787" t="s">
        <v>681</v>
      </c>
      <c r="C8787" t="s">
        <v>6586</v>
      </c>
      <c r="D8787" s="1" t="s">
        <v>6587</v>
      </c>
      <c r="E8787" t="s">
        <v>14</v>
      </c>
      <c r="F8787">
        <v>59.908099999999997</v>
      </c>
      <c r="G8787">
        <v>5.0681000000000003</v>
      </c>
      <c r="H8787">
        <v>0</v>
      </c>
      <c r="I8787">
        <v>16.3</v>
      </c>
      <c r="J8787" t="str">
        <f>HYPERLINK("https://climate.onebuilding.org/WMO_Region_6_Europe/NOR_Norway/HO_Hordaland/NOR_HO_Slatteroy.Lighthouse.014060_TMYx.zip")</f>
        <v>https://climate.onebuilding.org/WMO_Region_6_Europe/NOR_Norway/HO_Hordaland/NOR_HO_Slatteroy.Lighthouse.014060_TMYx.zip</v>
      </c>
    </row>
    <row r="8788" spans="1:10" x14ac:dyDescent="0.25">
      <c r="A8788" t="s">
        <v>4974</v>
      </c>
      <c r="B8788" t="s">
        <v>6582</v>
      </c>
      <c r="C8788" t="s">
        <v>6589</v>
      </c>
      <c r="D8788" s="1" t="s">
        <v>6590</v>
      </c>
      <c r="E8788" t="s">
        <v>6591</v>
      </c>
      <c r="F8788">
        <v>59.349699999999999</v>
      </c>
      <c r="G8788">
        <v>5.1978</v>
      </c>
      <c r="H8788">
        <v>0</v>
      </c>
      <c r="I8788">
        <v>26.2</v>
      </c>
      <c r="J8788" t="str">
        <f>HYPERLINK("https://climate.onebuilding.org/WMO_Region_6_Europe/NOR_Norway/RO_Rogaland/NOR_RO_Haugesund.AP-Karmoy.014080_TMYx.2004-2018.zip")</f>
        <v>https://climate.onebuilding.org/WMO_Region_6_Europe/NOR_Norway/RO_Rogaland/NOR_RO_Haugesund.AP-Karmoy.014080_TMYx.2004-2018.zip</v>
      </c>
    </row>
    <row r="8789" spans="1:10" x14ac:dyDescent="0.25">
      <c r="A8789" t="s">
        <v>4974</v>
      </c>
      <c r="B8789" t="s">
        <v>6582</v>
      </c>
      <c r="C8789" t="s">
        <v>6589</v>
      </c>
      <c r="D8789" s="1" t="s">
        <v>6590</v>
      </c>
      <c r="E8789" t="s">
        <v>14</v>
      </c>
      <c r="F8789">
        <v>59.349699999999999</v>
      </c>
      <c r="G8789">
        <v>5.1978</v>
      </c>
      <c r="H8789">
        <v>0</v>
      </c>
      <c r="I8789">
        <v>26.2</v>
      </c>
      <c r="J8789" t="str">
        <f>HYPERLINK("https://climate.onebuilding.org/WMO_Region_6_Europe/NOR_Norway/RO_Rogaland/NOR_RO_Haugesund.AP-Karmoy.014080_TMYx.2007-2021.zip")</f>
        <v>https://climate.onebuilding.org/WMO_Region_6_Europe/NOR_Norway/RO_Rogaland/NOR_RO_Haugesund.AP-Karmoy.014080_TMYx.2007-2021.zip</v>
      </c>
    </row>
    <row r="8790" spans="1:10" x14ac:dyDescent="0.25">
      <c r="A8790" t="s">
        <v>4974</v>
      </c>
      <c r="B8790" t="s">
        <v>6582</v>
      </c>
      <c r="C8790" t="s">
        <v>6589</v>
      </c>
      <c r="D8790" s="1" t="s">
        <v>6590</v>
      </c>
      <c r="E8790" t="s">
        <v>14</v>
      </c>
      <c r="F8790">
        <v>59.349699999999999</v>
      </c>
      <c r="G8790">
        <v>5.1978</v>
      </c>
      <c r="H8790">
        <v>0</v>
      </c>
      <c r="I8790">
        <v>26.2</v>
      </c>
      <c r="J8790" t="str">
        <f>HYPERLINK("https://climate.onebuilding.org/WMO_Region_6_Europe/NOR_Norway/RO_Rogaland/NOR_RO_Haugesund.AP-Karmoy.014080_TMYx.2009-2023.zip")</f>
        <v>https://climate.onebuilding.org/WMO_Region_6_Europe/NOR_Norway/RO_Rogaland/NOR_RO_Haugesund.AP-Karmoy.014080_TMYx.2009-2023.zip</v>
      </c>
    </row>
    <row r="8791" spans="1:10" x14ac:dyDescent="0.25">
      <c r="A8791" t="s">
        <v>4974</v>
      </c>
      <c r="B8791" t="s">
        <v>6582</v>
      </c>
      <c r="C8791" t="s">
        <v>6589</v>
      </c>
      <c r="D8791" s="1" t="s">
        <v>6590</v>
      </c>
      <c r="E8791" t="s">
        <v>14</v>
      </c>
      <c r="F8791">
        <v>59.349699999999999</v>
      </c>
      <c r="G8791">
        <v>5.1978</v>
      </c>
      <c r="H8791">
        <v>0</v>
      </c>
      <c r="I8791">
        <v>26.2</v>
      </c>
      <c r="J8791" t="str">
        <f>HYPERLINK("https://climate.onebuilding.org/WMO_Region_6_Europe/NOR_Norway/RO_Rogaland/NOR_RO_Haugesund.AP-Karmoy.014080_TMYx.zip")</f>
        <v>https://climate.onebuilding.org/WMO_Region_6_Europe/NOR_Norway/RO_Rogaland/NOR_RO_Haugesund.AP-Karmoy.014080_TMYx.zip</v>
      </c>
    </row>
    <row r="8792" spans="1:10" x14ac:dyDescent="0.25">
      <c r="A8792" t="s">
        <v>4974</v>
      </c>
      <c r="B8792" t="s">
        <v>6582</v>
      </c>
      <c r="C8792" t="s">
        <v>6592</v>
      </c>
      <c r="D8792" s="1" t="s">
        <v>6593</v>
      </c>
      <c r="E8792" t="s">
        <v>6594</v>
      </c>
      <c r="F8792">
        <v>59.070300000000003</v>
      </c>
      <c r="G8792">
        <v>5.4119000000000002</v>
      </c>
      <c r="H8792">
        <v>0</v>
      </c>
      <c r="I8792">
        <v>22.4</v>
      </c>
      <c r="J8792" t="str">
        <f>HYPERLINK("https://climate.onebuilding.org/WMO_Region_6_Europe/NOR_Norway/RO_Rogaland/NOR_RO_Kvitsoy-Nordbo.014110_TMYx.2004-2018.zip")</f>
        <v>https://climate.onebuilding.org/WMO_Region_6_Europe/NOR_Norway/RO_Rogaland/NOR_RO_Kvitsoy-Nordbo.014110_TMYx.2004-2018.zip</v>
      </c>
    </row>
    <row r="8793" spans="1:10" x14ac:dyDescent="0.25">
      <c r="A8793" t="s">
        <v>4974</v>
      </c>
      <c r="B8793" t="s">
        <v>6582</v>
      </c>
      <c r="C8793" t="s">
        <v>6592</v>
      </c>
      <c r="D8793" s="1" t="s">
        <v>6593</v>
      </c>
      <c r="E8793" t="s">
        <v>14</v>
      </c>
      <c r="F8793">
        <v>59.070300000000003</v>
      </c>
      <c r="G8793">
        <v>5.4119000000000002</v>
      </c>
      <c r="H8793">
        <v>0</v>
      </c>
      <c r="I8793">
        <v>22.4</v>
      </c>
      <c r="J8793" t="str">
        <f>HYPERLINK("https://climate.onebuilding.org/WMO_Region_6_Europe/NOR_Norway/RO_Rogaland/NOR_RO_Kvitsoy-Nordbo.014110_TMYx.2007-2021.zip")</f>
        <v>https://climate.onebuilding.org/WMO_Region_6_Europe/NOR_Norway/RO_Rogaland/NOR_RO_Kvitsoy-Nordbo.014110_TMYx.2007-2021.zip</v>
      </c>
    </row>
    <row r="8794" spans="1:10" x14ac:dyDescent="0.25">
      <c r="A8794" t="s">
        <v>4974</v>
      </c>
      <c r="B8794" t="s">
        <v>6582</v>
      </c>
      <c r="C8794" t="s">
        <v>6592</v>
      </c>
      <c r="D8794" s="1" t="s">
        <v>6593</v>
      </c>
      <c r="E8794" t="s">
        <v>14</v>
      </c>
      <c r="F8794">
        <v>59.070300000000003</v>
      </c>
      <c r="G8794">
        <v>5.4119000000000002</v>
      </c>
      <c r="H8794">
        <v>0</v>
      </c>
      <c r="I8794">
        <v>22.4</v>
      </c>
      <c r="J8794" t="str">
        <f>HYPERLINK("https://climate.onebuilding.org/WMO_Region_6_Europe/NOR_Norway/RO_Rogaland/NOR_RO_Kvitsoy-Nordbo.014110_TMYx.2009-2023.zip")</f>
        <v>https://climate.onebuilding.org/WMO_Region_6_Europe/NOR_Norway/RO_Rogaland/NOR_RO_Kvitsoy-Nordbo.014110_TMYx.2009-2023.zip</v>
      </c>
    </row>
    <row r="8795" spans="1:10" x14ac:dyDescent="0.25">
      <c r="A8795" t="s">
        <v>4974</v>
      </c>
      <c r="B8795" t="s">
        <v>6582</v>
      </c>
      <c r="C8795" t="s">
        <v>6592</v>
      </c>
      <c r="D8795" s="1" t="s">
        <v>6593</v>
      </c>
      <c r="E8795" t="s">
        <v>14</v>
      </c>
      <c r="F8795">
        <v>59.070300000000003</v>
      </c>
      <c r="G8795">
        <v>5.4119000000000002</v>
      </c>
      <c r="H8795">
        <v>0</v>
      </c>
      <c r="I8795">
        <v>22.4</v>
      </c>
      <c r="J8795" t="str">
        <f>HYPERLINK("https://climate.onebuilding.org/WMO_Region_6_Europe/NOR_Norway/RO_Rogaland/NOR_RO_Kvitsoy-Nordbo.014110_TMYx.zip")</f>
        <v>https://climate.onebuilding.org/WMO_Region_6_Europe/NOR_Norway/RO_Rogaland/NOR_RO_Kvitsoy-Nordbo.014110_TMYx.zip</v>
      </c>
    </row>
    <row r="8796" spans="1:10" x14ac:dyDescent="0.25">
      <c r="A8796" t="s">
        <v>4974</v>
      </c>
      <c r="B8796" t="s">
        <v>6582</v>
      </c>
      <c r="C8796" t="s">
        <v>6595</v>
      </c>
      <c r="D8796" s="1" t="s">
        <v>6596</v>
      </c>
      <c r="E8796" t="s">
        <v>6597</v>
      </c>
      <c r="F8796">
        <v>58.659199999999998</v>
      </c>
      <c r="G8796">
        <v>5.5552999999999999</v>
      </c>
      <c r="H8796">
        <v>0</v>
      </c>
      <c r="I8796">
        <v>25.6</v>
      </c>
      <c r="J8796" t="str">
        <f>HYPERLINK("https://climate.onebuilding.org/WMO_Region_6_Europe/NOR_Norway/RO_Rogaland/NOR_RO_Obrestad.014120_TMYx.2004-2018.zip")</f>
        <v>https://climate.onebuilding.org/WMO_Region_6_Europe/NOR_Norway/RO_Rogaland/NOR_RO_Obrestad.014120_TMYx.2004-2018.zip</v>
      </c>
    </row>
    <row r="8797" spans="1:10" x14ac:dyDescent="0.25">
      <c r="A8797" t="s">
        <v>4974</v>
      </c>
      <c r="B8797" t="s">
        <v>6582</v>
      </c>
      <c r="C8797" t="s">
        <v>6595</v>
      </c>
      <c r="D8797" s="1" t="s">
        <v>6596</v>
      </c>
      <c r="E8797" t="s">
        <v>14</v>
      </c>
      <c r="F8797">
        <v>58.659199999999998</v>
      </c>
      <c r="G8797">
        <v>5.5552999999999999</v>
      </c>
      <c r="H8797">
        <v>0</v>
      </c>
      <c r="I8797">
        <v>25.6</v>
      </c>
      <c r="J8797" t="str">
        <f>HYPERLINK("https://climate.onebuilding.org/WMO_Region_6_Europe/NOR_Norway/RO_Rogaland/NOR_RO_Obrestad.014120_TMYx.2007-2021.zip")</f>
        <v>https://climate.onebuilding.org/WMO_Region_6_Europe/NOR_Norway/RO_Rogaland/NOR_RO_Obrestad.014120_TMYx.2007-2021.zip</v>
      </c>
    </row>
    <row r="8798" spans="1:10" x14ac:dyDescent="0.25">
      <c r="A8798" t="s">
        <v>4974</v>
      </c>
      <c r="B8798" t="s">
        <v>6582</v>
      </c>
      <c r="C8798" t="s">
        <v>6595</v>
      </c>
      <c r="D8798" s="1" t="s">
        <v>6596</v>
      </c>
      <c r="E8798" t="s">
        <v>14</v>
      </c>
      <c r="F8798">
        <v>58.659199999999998</v>
      </c>
      <c r="G8798">
        <v>5.5552999999999999</v>
      </c>
      <c r="H8798">
        <v>0</v>
      </c>
      <c r="I8798">
        <v>25.6</v>
      </c>
      <c r="J8798" t="str">
        <f>HYPERLINK("https://climate.onebuilding.org/WMO_Region_6_Europe/NOR_Norway/RO_Rogaland/NOR_RO_Obrestad.014120_TMYx.2009-2023.zip")</f>
        <v>https://climate.onebuilding.org/WMO_Region_6_Europe/NOR_Norway/RO_Rogaland/NOR_RO_Obrestad.014120_TMYx.2009-2023.zip</v>
      </c>
    </row>
    <row r="8799" spans="1:10" x14ac:dyDescent="0.25">
      <c r="A8799" t="s">
        <v>4974</v>
      </c>
      <c r="B8799" t="s">
        <v>6582</v>
      </c>
      <c r="C8799" t="s">
        <v>6595</v>
      </c>
      <c r="D8799" s="1" t="s">
        <v>6596</v>
      </c>
      <c r="E8799" t="s">
        <v>14</v>
      </c>
      <c r="F8799">
        <v>58.659199999999998</v>
      </c>
      <c r="G8799">
        <v>5.5552999999999999</v>
      </c>
      <c r="H8799">
        <v>0</v>
      </c>
      <c r="I8799">
        <v>25.6</v>
      </c>
      <c r="J8799" t="str">
        <f>HYPERLINK("https://climate.onebuilding.org/WMO_Region_6_Europe/NOR_Norway/RO_Rogaland/NOR_RO_Obrestad.014120_TMYx.zip")</f>
        <v>https://climate.onebuilding.org/WMO_Region_6_Europe/NOR_Norway/RO_Rogaland/NOR_RO_Obrestad.014120_TMYx.zip</v>
      </c>
    </row>
    <row r="8800" spans="1:10" x14ac:dyDescent="0.25">
      <c r="A8800" t="s">
        <v>4974</v>
      </c>
      <c r="B8800" t="s">
        <v>6582</v>
      </c>
      <c r="C8800" t="s">
        <v>6598</v>
      </c>
      <c r="D8800" s="1" t="s">
        <v>6599</v>
      </c>
      <c r="E8800" t="s">
        <v>6600</v>
      </c>
      <c r="F8800">
        <v>58.760599999999997</v>
      </c>
      <c r="G8800">
        <v>5.6505999999999998</v>
      </c>
      <c r="H8800">
        <v>0</v>
      </c>
      <c r="I8800">
        <v>87</v>
      </c>
      <c r="J8800" t="str">
        <f>HYPERLINK("https://climate.onebuilding.org/WMO_Region_6_Europe/NOR_Norway/RO_Rogaland/NOR_RO_Saerheim.014130_TMYx.2004-2018.zip")</f>
        <v>https://climate.onebuilding.org/WMO_Region_6_Europe/NOR_Norway/RO_Rogaland/NOR_RO_Saerheim.014130_TMYx.2004-2018.zip</v>
      </c>
    </row>
    <row r="8801" spans="1:10" x14ac:dyDescent="0.25">
      <c r="A8801" t="s">
        <v>4974</v>
      </c>
      <c r="B8801" t="s">
        <v>6582</v>
      </c>
      <c r="C8801" t="s">
        <v>6598</v>
      </c>
      <c r="D8801" s="1" t="s">
        <v>6599</v>
      </c>
      <c r="E8801" t="s">
        <v>14</v>
      </c>
      <c r="F8801">
        <v>58.760599999999997</v>
      </c>
      <c r="G8801">
        <v>5.6505999999999998</v>
      </c>
      <c r="H8801">
        <v>0</v>
      </c>
      <c r="I8801">
        <v>87</v>
      </c>
      <c r="J8801" t="str">
        <f>HYPERLINK("https://climate.onebuilding.org/WMO_Region_6_Europe/NOR_Norway/RO_Rogaland/NOR_RO_Saerheim.014130_TMYx.2007-2021.zip")</f>
        <v>https://climate.onebuilding.org/WMO_Region_6_Europe/NOR_Norway/RO_Rogaland/NOR_RO_Saerheim.014130_TMYx.2007-2021.zip</v>
      </c>
    </row>
    <row r="8802" spans="1:10" x14ac:dyDescent="0.25">
      <c r="A8802" t="s">
        <v>4974</v>
      </c>
      <c r="B8802" t="s">
        <v>6582</v>
      </c>
      <c r="C8802" t="s">
        <v>6598</v>
      </c>
      <c r="D8802" s="1" t="s">
        <v>6599</v>
      </c>
      <c r="E8802" t="s">
        <v>14</v>
      </c>
      <c r="F8802">
        <v>58.760599999999997</v>
      </c>
      <c r="G8802">
        <v>5.6505999999999998</v>
      </c>
      <c r="H8802">
        <v>0</v>
      </c>
      <c r="I8802">
        <v>87</v>
      </c>
      <c r="J8802" t="str">
        <f>HYPERLINK("https://climate.onebuilding.org/WMO_Region_6_Europe/NOR_Norway/RO_Rogaland/NOR_RO_Saerheim.014130_TMYx.2009-2023.zip")</f>
        <v>https://climate.onebuilding.org/WMO_Region_6_Europe/NOR_Norway/RO_Rogaland/NOR_RO_Saerheim.014130_TMYx.2009-2023.zip</v>
      </c>
    </row>
    <row r="8803" spans="1:10" x14ac:dyDescent="0.25">
      <c r="A8803" t="s">
        <v>4974</v>
      </c>
      <c r="B8803" t="s">
        <v>6582</v>
      </c>
      <c r="C8803" t="s">
        <v>6598</v>
      </c>
      <c r="D8803" s="1" t="s">
        <v>6599</v>
      </c>
      <c r="E8803" t="s">
        <v>14</v>
      </c>
      <c r="F8803">
        <v>58.760599999999997</v>
      </c>
      <c r="G8803">
        <v>5.6505999999999998</v>
      </c>
      <c r="H8803">
        <v>0</v>
      </c>
      <c r="I8803">
        <v>87</v>
      </c>
      <c r="J8803" t="str">
        <f>HYPERLINK("https://climate.onebuilding.org/WMO_Region_6_Europe/NOR_Norway/RO_Rogaland/NOR_RO_Saerheim.014130_TMYx.zip")</f>
        <v>https://climate.onebuilding.org/WMO_Region_6_Europe/NOR_Norway/RO_Rogaland/NOR_RO_Saerheim.014130_TMYx.zip</v>
      </c>
    </row>
    <row r="8804" spans="1:10" x14ac:dyDescent="0.25">
      <c r="A8804" t="s">
        <v>4974</v>
      </c>
      <c r="B8804" t="s">
        <v>6582</v>
      </c>
      <c r="C8804" t="s">
        <v>6601</v>
      </c>
      <c r="D8804" s="1" t="s">
        <v>6602</v>
      </c>
      <c r="E8804" t="s">
        <v>6603</v>
      </c>
      <c r="F8804">
        <v>59.438099999999999</v>
      </c>
      <c r="G8804">
        <v>5.0781000000000001</v>
      </c>
      <c r="H8804">
        <v>0</v>
      </c>
      <c r="I8804">
        <v>25</v>
      </c>
      <c r="J8804" t="str">
        <f>HYPERLINK("https://climate.onebuilding.org/WMO_Region_6_Europe/NOR_Norway/RO_Rogaland/NOR_RO_Rovaer.014140_TMYx.2004-2018.zip")</f>
        <v>https://climate.onebuilding.org/WMO_Region_6_Europe/NOR_Norway/RO_Rogaland/NOR_RO_Rovaer.014140_TMYx.2004-2018.zip</v>
      </c>
    </row>
    <row r="8805" spans="1:10" x14ac:dyDescent="0.25">
      <c r="A8805" t="s">
        <v>4974</v>
      </c>
      <c r="B8805" t="s">
        <v>6582</v>
      </c>
      <c r="C8805" t="s">
        <v>6601</v>
      </c>
      <c r="D8805" s="1" t="s">
        <v>6602</v>
      </c>
      <c r="E8805" t="s">
        <v>14</v>
      </c>
      <c r="F8805">
        <v>59.438099999999999</v>
      </c>
      <c r="G8805">
        <v>5.0781000000000001</v>
      </c>
      <c r="H8805">
        <v>0</v>
      </c>
      <c r="I8805">
        <v>25</v>
      </c>
      <c r="J8805" t="str">
        <f>HYPERLINK("https://climate.onebuilding.org/WMO_Region_6_Europe/NOR_Norway/RO_Rogaland/NOR_RO_Rovaer.014140_TMYx.2007-2021.zip")</f>
        <v>https://climate.onebuilding.org/WMO_Region_6_Europe/NOR_Norway/RO_Rogaland/NOR_RO_Rovaer.014140_TMYx.2007-2021.zip</v>
      </c>
    </row>
    <row r="8806" spans="1:10" x14ac:dyDescent="0.25">
      <c r="A8806" t="s">
        <v>4974</v>
      </c>
      <c r="B8806" t="s">
        <v>6582</v>
      </c>
      <c r="C8806" t="s">
        <v>6601</v>
      </c>
      <c r="D8806" s="1" t="s">
        <v>6602</v>
      </c>
      <c r="E8806" t="s">
        <v>14</v>
      </c>
      <c r="F8806">
        <v>59.438099999999999</v>
      </c>
      <c r="G8806">
        <v>5.0781000000000001</v>
      </c>
      <c r="H8806">
        <v>0</v>
      </c>
      <c r="I8806">
        <v>25</v>
      </c>
      <c r="J8806" t="str">
        <f>HYPERLINK("https://climate.onebuilding.org/WMO_Region_6_Europe/NOR_Norway/RO_Rogaland/NOR_RO_Rovaer.014140_TMYx.2009-2023.zip")</f>
        <v>https://climate.onebuilding.org/WMO_Region_6_Europe/NOR_Norway/RO_Rogaland/NOR_RO_Rovaer.014140_TMYx.2009-2023.zip</v>
      </c>
    </row>
    <row r="8807" spans="1:10" x14ac:dyDescent="0.25">
      <c r="A8807" t="s">
        <v>4974</v>
      </c>
      <c r="B8807" t="s">
        <v>6582</v>
      </c>
      <c r="C8807" t="s">
        <v>6601</v>
      </c>
      <c r="D8807" s="1" t="s">
        <v>6602</v>
      </c>
      <c r="E8807" t="s">
        <v>14</v>
      </c>
      <c r="F8807">
        <v>59.438099999999999</v>
      </c>
      <c r="G8807">
        <v>5.0781000000000001</v>
      </c>
      <c r="H8807">
        <v>0</v>
      </c>
      <c r="I8807">
        <v>25</v>
      </c>
      <c r="J8807" t="str">
        <f>HYPERLINK("https://climate.onebuilding.org/WMO_Region_6_Europe/NOR_Norway/RO_Rogaland/NOR_RO_Rovaer.014140_TMYx.zip")</f>
        <v>https://climate.onebuilding.org/WMO_Region_6_Europe/NOR_Norway/RO_Rogaland/NOR_RO_Rovaer.014140_TMYx.zip</v>
      </c>
    </row>
    <row r="8808" spans="1:10" x14ac:dyDescent="0.25">
      <c r="A8808" t="s">
        <v>4974</v>
      </c>
      <c r="B8808" t="s">
        <v>6582</v>
      </c>
      <c r="C8808" t="s">
        <v>6604</v>
      </c>
      <c r="D8808" s="1" t="s">
        <v>6605</v>
      </c>
      <c r="E8808" t="s">
        <v>6606</v>
      </c>
      <c r="F8808">
        <v>58.8842</v>
      </c>
      <c r="G8808">
        <v>5.6368999999999998</v>
      </c>
      <c r="H8808">
        <v>0</v>
      </c>
      <c r="I8808">
        <v>8.8000000000000007</v>
      </c>
      <c r="J8808" t="str">
        <f>HYPERLINK("https://climate.onebuilding.org/WMO_Region_6_Europe/NOR_Norway/RO_Rogaland/NOR_RO_Stavanger.AP-Sola.014150_TMYx.2004-2018.zip")</f>
        <v>https://climate.onebuilding.org/WMO_Region_6_Europe/NOR_Norway/RO_Rogaland/NOR_RO_Stavanger.AP-Sola.014150_TMYx.2004-2018.zip</v>
      </c>
    </row>
    <row r="8809" spans="1:10" x14ac:dyDescent="0.25">
      <c r="A8809" t="s">
        <v>4974</v>
      </c>
      <c r="B8809" t="s">
        <v>6582</v>
      </c>
      <c r="C8809" t="s">
        <v>6604</v>
      </c>
      <c r="D8809" s="1" t="s">
        <v>6605</v>
      </c>
      <c r="E8809" t="s">
        <v>14</v>
      </c>
      <c r="F8809">
        <v>58.8842</v>
      </c>
      <c r="G8809">
        <v>5.6368999999999998</v>
      </c>
      <c r="H8809">
        <v>0</v>
      </c>
      <c r="I8809">
        <v>8.8000000000000007</v>
      </c>
      <c r="J8809" t="str">
        <f>HYPERLINK("https://climate.onebuilding.org/WMO_Region_6_Europe/NOR_Norway/RO_Rogaland/NOR_RO_Stavanger.AP-Sola.014150_TMYx.2007-2021.zip")</f>
        <v>https://climate.onebuilding.org/WMO_Region_6_Europe/NOR_Norway/RO_Rogaland/NOR_RO_Stavanger.AP-Sola.014150_TMYx.2007-2021.zip</v>
      </c>
    </row>
    <row r="8810" spans="1:10" x14ac:dyDescent="0.25">
      <c r="A8810" t="s">
        <v>4974</v>
      </c>
      <c r="B8810" t="s">
        <v>6582</v>
      </c>
      <c r="C8810" t="s">
        <v>6604</v>
      </c>
      <c r="D8810" s="1" t="s">
        <v>6605</v>
      </c>
      <c r="E8810" t="s">
        <v>14</v>
      </c>
      <c r="F8810">
        <v>58.8842</v>
      </c>
      <c r="G8810">
        <v>5.6368999999999998</v>
      </c>
      <c r="H8810">
        <v>0</v>
      </c>
      <c r="I8810">
        <v>8.8000000000000007</v>
      </c>
      <c r="J8810" t="str">
        <f>HYPERLINK("https://climate.onebuilding.org/WMO_Region_6_Europe/NOR_Norway/RO_Rogaland/NOR_RO_Stavanger.AP-Sola.014150_TMYx.2009-2023.zip")</f>
        <v>https://climate.onebuilding.org/WMO_Region_6_Europe/NOR_Norway/RO_Rogaland/NOR_RO_Stavanger.AP-Sola.014150_TMYx.2009-2023.zip</v>
      </c>
    </row>
    <row r="8811" spans="1:10" x14ac:dyDescent="0.25">
      <c r="A8811" t="s">
        <v>4974</v>
      </c>
      <c r="B8811" t="s">
        <v>6582</v>
      </c>
      <c r="C8811" t="s">
        <v>6604</v>
      </c>
      <c r="D8811" s="1" t="s">
        <v>6605</v>
      </c>
      <c r="E8811" t="s">
        <v>14</v>
      </c>
      <c r="F8811">
        <v>58.8842</v>
      </c>
      <c r="G8811">
        <v>5.6368999999999998</v>
      </c>
      <c r="H8811">
        <v>0</v>
      </c>
      <c r="I8811">
        <v>8.8000000000000007</v>
      </c>
      <c r="J8811" t="str">
        <f>HYPERLINK("https://climate.onebuilding.org/WMO_Region_6_Europe/NOR_Norway/RO_Rogaland/NOR_RO_Stavanger.AP-Sola.014150_TMYx.zip")</f>
        <v>https://climate.onebuilding.org/WMO_Region_6_Europe/NOR_Norway/RO_Rogaland/NOR_RO_Stavanger.AP-Sola.014150_TMYx.zip</v>
      </c>
    </row>
    <row r="8812" spans="1:10" x14ac:dyDescent="0.25">
      <c r="A8812" t="s">
        <v>4974</v>
      </c>
      <c r="B8812" t="s">
        <v>6582</v>
      </c>
      <c r="C8812" t="s">
        <v>6607</v>
      </c>
      <c r="D8812" s="1" t="s">
        <v>6608</v>
      </c>
      <c r="E8812" t="s">
        <v>6609</v>
      </c>
      <c r="F8812">
        <v>58.956899999999997</v>
      </c>
      <c r="G8812">
        <v>5.73</v>
      </c>
      <c r="H8812">
        <v>0</v>
      </c>
      <c r="I8812">
        <v>72</v>
      </c>
      <c r="J8812" t="str">
        <f>HYPERLINK("https://climate.onebuilding.org/WMO_Region_6_Europe/NOR_Norway/RO_Rogaland/NOR_RO_Stavanger.Vaaland.014160_TMYx.2004-2018.zip")</f>
        <v>https://climate.onebuilding.org/WMO_Region_6_Europe/NOR_Norway/RO_Rogaland/NOR_RO_Stavanger.Vaaland.014160_TMYx.2004-2018.zip</v>
      </c>
    </row>
    <row r="8813" spans="1:10" x14ac:dyDescent="0.25">
      <c r="A8813" t="s">
        <v>4974</v>
      </c>
      <c r="B8813" t="s">
        <v>6582</v>
      </c>
      <c r="C8813" t="s">
        <v>6607</v>
      </c>
      <c r="D8813" s="1" t="s">
        <v>6608</v>
      </c>
      <c r="E8813" t="s">
        <v>14</v>
      </c>
      <c r="F8813">
        <v>58.956899999999997</v>
      </c>
      <c r="G8813">
        <v>5.73</v>
      </c>
      <c r="H8813">
        <v>0</v>
      </c>
      <c r="I8813">
        <v>72</v>
      </c>
      <c r="J8813" t="str">
        <f>HYPERLINK("https://climate.onebuilding.org/WMO_Region_6_Europe/NOR_Norway/RO_Rogaland/NOR_RO_Stavanger.Vaaland.014160_TMYx.2007-2021.zip")</f>
        <v>https://climate.onebuilding.org/WMO_Region_6_Europe/NOR_Norway/RO_Rogaland/NOR_RO_Stavanger.Vaaland.014160_TMYx.2007-2021.zip</v>
      </c>
    </row>
    <row r="8814" spans="1:10" x14ac:dyDescent="0.25">
      <c r="A8814" t="s">
        <v>4974</v>
      </c>
      <c r="B8814" t="s">
        <v>6582</v>
      </c>
      <c r="C8814" t="s">
        <v>6607</v>
      </c>
      <c r="D8814" s="1" t="s">
        <v>6608</v>
      </c>
      <c r="E8814" t="s">
        <v>14</v>
      </c>
      <c r="F8814">
        <v>58.956899999999997</v>
      </c>
      <c r="G8814">
        <v>5.73</v>
      </c>
      <c r="H8814">
        <v>0</v>
      </c>
      <c r="I8814">
        <v>72</v>
      </c>
      <c r="J8814" t="str">
        <f>HYPERLINK("https://climate.onebuilding.org/WMO_Region_6_Europe/NOR_Norway/RO_Rogaland/NOR_RO_Stavanger.Vaaland.014160_TMYx.2009-2023.zip")</f>
        <v>https://climate.onebuilding.org/WMO_Region_6_Europe/NOR_Norway/RO_Rogaland/NOR_RO_Stavanger.Vaaland.014160_TMYx.2009-2023.zip</v>
      </c>
    </row>
    <row r="8815" spans="1:10" x14ac:dyDescent="0.25">
      <c r="A8815" t="s">
        <v>4974</v>
      </c>
      <c r="B8815" t="s">
        <v>6582</v>
      </c>
      <c r="C8815" t="s">
        <v>6607</v>
      </c>
      <c r="D8815" s="1" t="s">
        <v>6608</v>
      </c>
      <c r="E8815" t="s">
        <v>14</v>
      </c>
      <c r="F8815">
        <v>58.956899999999997</v>
      </c>
      <c r="G8815">
        <v>5.73</v>
      </c>
      <c r="H8815">
        <v>0</v>
      </c>
      <c r="I8815">
        <v>72</v>
      </c>
      <c r="J8815" t="str">
        <f>HYPERLINK("https://climate.onebuilding.org/WMO_Region_6_Europe/NOR_Norway/RO_Rogaland/NOR_RO_Stavanger.Vaaland.014160_TMYx.zip")</f>
        <v>https://climate.onebuilding.org/WMO_Region_6_Europe/NOR_Norway/RO_Rogaland/NOR_RO_Stavanger.Vaaland.014160_TMYx.zip</v>
      </c>
    </row>
    <row r="8816" spans="1:10" x14ac:dyDescent="0.25">
      <c r="A8816" t="s">
        <v>4974</v>
      </c>
      <c r="B8816" t="s">
        <v>6582</v>
      </c>
      <c r="C8816" t="s">
        <v>6610</v>
      </c>
      <c r="D8816" s="1" t="s">
        <v>6611</v>
      </c>
      <c r="E8816" t="s">
        <v>6612</v>
      </c>
      <c r="F8816">
        <v>59.492800000000003</v>
      </c>
      <c r="G8816">
        <v>5.7207999999999997</v>
      </c>
      <c r="H8816">
        <v>0</v>
      </c>
      <c r="I8816">
        <v>65</v>
      </c>
      <c r="J8816" t="str">
        <f>HYPERLINK("https://climate.onebuilding.org/WMO_Region_6_Europe/NOR_Norway/RO_Rogaland/NOR_RO_Nedre.Vats.014170_TMYx.2004-2018.zip")</f>
        <v>https://climate.onebuilding.org/WMO_Region_6_Europe/NOR_Norway/RO_Rogaland/NOR_RO_Nedre.Vats.014170_TMYx.2004-2018.zip</v>
      </c>
    </row>
    <row r="8817" spans="1:10" x14ac:dyDescent="0.25">
      <c r="A8817" t="s">
        <v>4974</v>
      </c>
      <c r="B8817" t="s">
        <v>6582</v>
      </c>
      <c r="C8817" t="s">
        <v>6610</v>
      </c>
      <c r="D8817" s="1" t="s">
        <v>6611</v>
      </c>
      <c r="E8817" t="s">
        <v>14</v>
      </c>
      <c r="F8817">
        <v>59.492800000000003</v>
      </c>
      <c r="G8817">
        <v>5.7207999999999997</v>
      </c>
      <c r="H8817">
        <v>0</v>
      </c>
      <c r="I8817">
        <v>65</v>
      </c>
      <c r="J8817" t="str">
        <f>HYPERLINK("https://climate.onebuilding.org/WMO_Region_6_Europe/NOR_Norway/RO_Rogaland/NOR_RO_Nedre.Vats.014170_TMYx.2007-2021.zip")</f>
        <v>https://climate.onebuilding.org/WMO_Region_6_Europe/NOR_Norway/RO_Rogaland/NOR_RO_Nedre.Vats.014170_TMYx.2007-2021.zip</v>
      </c>
    </row>
    <row r="8818" spans="1:10" x14ac:dyDescent="0.25">
      <c r="A8818" t="s">
        <v>4974</v>
      </c>
      <c r="B8818" t="s">
        <v>6582</v>
      </c>
      <c r="C8818" t="s">
        <v>6610</v>
      </c>
      <c r="D8818" s="1" t="s">
        <v>6611</v>
      </c>
      <c r="E8818" t="s">
        <v>14</v>
      </c>
      <c r="F8818">
        <v>59.492800000000003</v>
      </c>
      <c r="G8818">
        <v>5.7207999999999997</v>
      </c>
      <c r="H8818">
        <v>0</v>
      </c>
      <c r="I8818">
        <v>65</v>
      </c>
      <c r="J8818" t="str">
        <f>HYPERLINK("https://climate.onebuilding.org/WMO_Region_6_Europe/NOR_Norway/RO_Rogaland/NOR_RO_Nedre.Vats.014170_TMYx.2009-2023.zip")</f>
        <v>https://climate.onebuilding.org/WMO_Region_6_Europe/NOR_Norway/RO_Rogaland/NOR_RO_Nedre.Vats.014170_TMYx.2009-2023.zip</v>
      </c>
    </row>
    <row r="8819" spans="1:10" x14ac:dyDescent="0.25">
      <c r="A8819" t="s">
        <v>4974</v>
      </c>
      <c r="B8819" t="s">
        <v>6582</v>
      </c>
      <c r="C8819" t="s">
        <v>6610</v>
      </c>
      <c r="D8819" s="1" t="s">
        <v>6611</v>
      </c>
      <c r="E8819" t="s">
        <v>14</v>
      </c>
      <c r="F8819">
        <v>59.492800000000003</v>
      </c>
      <c r="G8819">
        <v>5.7207999999999997</v>
      </c>
      <c r="H8819">
        <v>0</v>
      </c>
      <c r="I8819">
        <v>65</v>
      </c>
      <c r="J8819" t="str">
        <f>HYPERLINK("https://climate.onebuilding.org/WMO_Region_6_Europe/NOR_Norway/RO_Rogaland/NOR_RO_Nedre.Vats.014170_TMYx.zip")</f>
        <v>https://climate.onebuilding.org/WMO_Region_6_Europe/NOR_Norway/RO_Rogaland/NOR_RO_Nedre.Vats.014170_TMYx.zip</v>
      </c>
    </row>
    <row r="8820" spans="1:10" x14ac:dyDescent="0.25">
      <c r="A8820" t="s">
        <v>4974</v>
      </c>
      <c r="B8820" t="s">
        <v>681</v>
      </c>
      <c r="C8820" t="s">
        <v>6613</v>
      </c>
      <c r="D8820" s="1" t="s">
        <v>6614</v>
      </c>
      <c r="E8820" t="s">
        <v>6615</v>
      </c>
      <c r="F8820">
        <v>60.0167</v>
      </c>
      <c r="G8820">
        <v>5.2058</v>
      </c>
      <c r="H8820">
        <v>0</v>
      </c>
      <c r="I8820">
        <v>32</v>
      </c>
      <c r="J8820" t="str">
        <f>HYPERLINK("https://climate.onebuilding.org/WMO_Region_6_Europe/NOR_Norway/HO_Hordaland/NOR_HO_Austevoll.014180_TMYx.2004-2018.zip")</f>
        <v>https://climate.onebuilding.org/WMO_Region_6_Europe/NOR_Norway/HO_Hordaland/NOR_HO_Austevoll.014180_TMYx.2004-2018.zip</v>
      </c>
    </row>
    <row r="8821" spans="1:10" x14ac:dyDescent="0.25">
      <c r="A8821" t="s">
        <v>4974</v>
      </c>
      <c r="B8821" t="s">
        <v>681</v>
      </c>
      <c r="C8821" t="s">
        <v>6613</v>
      </c>
      <c r="D8821" s="1" t="s">
        <v>6614</v>
      </c>
      <c r="E8821" t="s">
        <v>14</v>
      </c>
      <c r="F8821">
        <v>60.0167</v>
      </c>
      <c r="G8821">
        <v>5.2058</v>
      </c>
      <c r="H8821">
        <v>0</v>
      </c>
      <c r="I8821">
        <v>32</v>
      </c>
      <c r="J8821" t="str">
        <f>HYPERLINK("https://climate.onebuilding.org/WMO_Region_6_Europe/NOR_Norway/HO_Hordaland/NOR_HO_Austevoll.014180_TMYx.2007-2021.zip")</f>
        <v>https://climate.onebuilding.org/WMO_Region_6_Europe/NOR_Norway/HO_Hordaland/NOR_HO_Austevoll.014180_TMYx.2007-2021.zip</v>
      </c>
    </row>
    <row r="8822" spans="1:10" x14ac:dyDescent="0.25">
      <c r="A8822" t="s">
        <v>4974</v>
      </c>
      <c r="B8822" t="s">
        <v>681</v>
      </c>
      <c r="C8822" t="s">
        <v>6613</v>
      </c>
      <c r="D8822" s="1" t="s">
        <v>6614</v>
      </c>
      <c r="E8822" t="s">
        <v>14</v>
      </c>
      <c r="F8822">
        <v>60.0167</v>
      </c>
      <c r="G8822">
        <v>5.2058</v>
      </c>
      <c r="H8822">
        <v>0</v>
      </c>
      <c r="I8822">
        <v>32</v>
      </c>
      <c r="J8822" t="str">
        <f>HYPERLINK("https://climate.onebuilding.org/WMO_Region_6_Europe/NOR_Norway/HO_Hordaland/NOR_HO_Austevoll.014180_TMYx.2009-2023.zip")</f>
        <v>https://climate.onebuilding.org/WMO_Region_6_Europe/NOR_Norway/HO_Hordaland/NOR_HO_Austevoll.014180_TMYx.2009-2023.zip</v>
      </c>
    </row>
    <row r="8823" spans="1:10" x14ac:dyDescent="0.25">
      <c r="A8823" t="s">
        <v>4974</v>
      </c>
      <c r="B8823" t="s">
        <v>681</v>
      </c>
      <c r="C8823" t="s">
        <v>6613</v>
      </c>
      <c r="D8823" s="1" t="s">
        <v>6614</v>
      </c>
      <c r="E8823" t="s">
        <v>14</v>
      </c>
      <c r="F8823">
        <v>60.0167</v>
      </c>
      <c r="G8823">
        <v>5.2058</v>
      </c>
      <c r="H8823">
        <v>0</v>
      </c>
      <c r="I8823">
        <v>32</v>
      </c>
      <c r="J8823" t="str">
        <f>HYPERLINK("https://climate.onebuilding.org/WMO_Region_6_Europe/NOR_Norway/HO_Hordaland/NOR_HO_Austevoll.014180_TMYx.zip")</f>
        <v>https://climate.onebuilding.org/WMO_Region_6_Europe/NOR_Norway/HO_Hordaland/NOR_HO_Austevoll.014180_TMYx.zip</v>
      </c>
    </row>
    <row r="8824" spans="1:10" x14ac:dyDescent="0.25">
      <c r="A8824" t="s">
        <v>4974</v>
      </c>
      <c r="B8824" t="s">
        <v>6582</v>
      </c>
      <c r="C8824" t="s">
        <v>6616</v>
      </c>
      <c r="D8824" s="1" t="s">
        <v>6617</v>
      </c>
      <c r="E8824" t="s">
        <v>6618</v>
      </c>
      <c r="F8824">
        <v>59.050800000000002</v>
      </c>
      <c r="G8824">
        <v>6.1211000000000002</v>
      </c>
      <c r="H8824">
        <v>0</v>
      </c>
      <c r="I8824">
        <v>300</v>
      </c>
      <c r="J8824" t="str">
        <f>HYPERLINK("https://climate.onebuilding.org/WMO_Region_6_Europe/NOR_Norway/RO_Rogaland/NOR_RO_Liarvatn.014190_TMYx.2004-2018.zip")</f>
        <v>https://climate.onebuilding.org/WMO_Region_6_Europe/NOR_Norway/RO_Rogaland/NOR_RO_Liarvatn.014190_TMYx.2004-2018.zip</v>
      </c>
    </row>
    <row r="8825" spans="1:10" x14ac:dyDescent="0.25">
      <c r="A8825" t="s">
        <v>4974</v>
      </c>
      <c r="B8825" t="s">
        <v>6582</v>
      </c>
      <c r="C8825" t="s">
        <v>6616</v>
      </c>
      <c r="D8825" s="1" t="s">
        <v>6617</v>
      </c>
      <c r="E8825" t="s">
        <v>14</v>
      </c>
      <c r="F8825">
        <v>59.050800000000002</v>
      </c>
      <c r="G8825">
        <v>6.1211000000000002</v>
      </c>
      <c r="H8825">
        <v>0</v>
      </c>
      <c r="I8825">
        <v>300</v>
      </c>
      <c r="J8825" t="str">
        <f>HYPERLINK("https://climate.onebuilding.org/WMO_Region_6_Europe/NOR_Norway/RO_Rogaland/NOR_RO_Liarvatn.014190_TMYx.2007-2021.zip")</f>
        <v>https://climate.onebuilding.org/WMO_Region_6_Europe/NOR_Norway/RO_Rogaland/NOR_RO_Liarvatn.014190_TMYx.2007-2021.zip</v>
      </c>
    </row>
    <row r="8826" spans="1:10" x14ac:dyDescent="0.25">
      <c r="A8826" t="s">
        <v>4974</v>
      </c>
      <c r="B8826" t="s">
        <v>6582</v>
      </c>
      <c r="C8826" t="s">
        <v>6616</v>
      </c>
      <c r="D8826" s="1" t="s">
        <v>6617</v>
      </c>
      <c r="E8826" t="s">
        <v>14</v>
      </c>
      <c r="F8826">
        <v>59.050800000000002</v>
      </c>
      <c r="G8826">
        <v>6.1211000000000002</v>
      </c>
      <c r="H8826">
        <v>0</v>
      </c>
      <c r="I8826">
        <v>300</v>
      </c>
      <c r="J8826" t="str">
        <f>HYPERLINK("https://climate.onebuilding.org/WMO_Region_6_Europe/NOR_Norway/RO_Rogaland/NOR_RO_Liarvatn.014190_TMYx.2009-2023.zip")</f>
        <v>https://climate.onebuilding.org/WMO_Region_6_Europe/NOR_Norway/RO_Rogaland/NOR_RO_Liarvatn.014190_TMYx.2009-2023.zip</v>
      </c>
    </row>
    <row r="8827" spans="1:10" x14ac:dyDescent="0.25">
      <c r="A8827" t="s">
        <v>4974</v>
      </c>
      <c r="B8827" t="s">
        <v>6582</v>
      </c>
      <c r="C8827" t="s">
        <v>6616</v>
      </c>
      <c r="D8827" s="1" t="s">
        <v>6617</v>
      </c>
      <c r="E8827" t="s">
        <v>14</v>
      </c>
      <c r="F8827">
        <v>59.050800000000002</v>
      </c>
      <c r="G8827">
        <v>6.1211000000000002</v>
      </c>
      <c r="H8827">
        <v>0</v>
      </c>
      <c r="I8827">
        <v>300</v>
      </c>
      <c r="J8827" t="str">
        <f>HYPERLINK("https://climate.onebuilding.org/WMO_Region_6_Europe/NOR_Norway/RO_Rogaland/NOR_RO_Liarvatn.014190_TMYx.zip")</f>
        <v>https://climate.onebuilding.org/WMO_Region_6_Europe/NOR_Norway/RO_Rogaland/NOR_RO_Liarvatn.014190_TMYx.zip</v>
      </c>
    </row>
    <row r="8828" spans="1:10" x14ac:dyDescent="0.25">
      <c r="A8828" t="s">
        <v>4974</v>
      </c>
      <c r="B8828" t="s">
        <v>6582</v>
      </c>
      <c r="C8828" t="s">
        <v>6619</v>
      </c>
      <c r="D8828" s="1" t="s">
        <v>6620</v>
      </c>
      <c r="E8828" t="s">
        <v>6621</v>
      </c>
      <c r="F8828">
        <v>59.159700000000001</v>
      </c>
      <c r="G8828">
        <v>6.0364000000000004</v>
      </c>
      <c r="H8828">
        <v>0</v>
      </c>
      <c r="I8828">
        <v>25</v>
      </c>
      <c r="J8828" t="str">
        <f>HYPERLINK("https://climate.onebuilding.org/WMO_Region_6_Europe/NOR_Norway/RO_Rogaland/NOR_RO_Fister.Sigmundstad.014220_TMYx.2004-2018.zip")</f>
        <v>https://climate.onebuilding.org/WMO_Region_6_Europe/NOR_Norway/RO_Rogaland/NOR_RO_Fister.Sigmundstad.014220_TMYx.2004-2018.zip</v>
      </c>
    </row>
    <row r="8829" spans="1:10" x14ac:dyDescent="0.25">
      <c r="A8829" t="s">
        <v>4974</v>
      </c>
      <c r="B8829" t="s">
        <v>6582</v>
      </c>
      <c r="C8829" t="s">
        <v>6619</v>
      </c>
      <c r="D8829" s="1" t="s">
        <v>6620</v>
      </c>
      <c r="E8829" t="s">
        <v>14</v>
      </c>
      <c r="F8829">
        <v>59.159700000000001</v>
      </c>
      <c r="G8829">
        <v>6.0364000000000004</v>
      </c>
      <c r="H8829">
        <v>0</v>
      </c>
      <c r="I8829">
        <v>25</v>
      </c>
      <c r="J8829" t="str">
        <f>HYPERLINK("https://climate.onebuilding.org/WMO_Region_6_Europe/NOR_Norway/RO_Rogaland/NOR_RO_Fister.Sigmundstad.014220_TMYx.2007-2021.zip")</f>
        <v>https://climate.onebuilding.org/WMO_Region_6_Europe/NOR_Norway/RO_Rogaland/NOR_RO_Fister.Sigmundstad.014220_TMYx.2007-2021.zip</v>
      </c>
    </row>
    <row r="8830" spans="1:10" x14ac:dyDescent="0.25">
      <c r="A8830" t="s">
        <v>4974</v>
      </c>
      <c r="B8830" t="s">
        <v>6582</v>
      </c>
      <c r="C8830" t="s">
        <v>6619</v>
      </c>
      <c r="D8830" s="1" t="s">
        <v>6620</v>
      </c>
      <c r="E8830" t="s">
        <v>14</v>
      </c>
      <c r="F8830">
        <v>59.159700000000001</v>
      </c>
      <c r="G8830">
        <v>6.0364000000000004</v>
      </c>
      <c r="H8830">
        <v>0</v>
      </c>
      <c r="I8830">
        <v>25</v>
      </c>
      <c r="J8830" t="str">
        <f>HYPERLINK("https://climate.onebuilding.org/WMO_Region_6_Europe/NOR_Norway/RO_Rogaland/NOR_RO_Fister.Sigmundstad.014220_TMYx.2009-2023.zip")</f>
        <v>https://climate.onebuilding.org/WMO_Region_6_Europe/NOR_Norway/RO_Rogaland/NOR_RO_Fister.Sigmundstad.014220_TMYx.2009-2023.zip</v>
      </c>
    </row>
    <row r="8831" spans="1:10" x14ac:dyDescent="0.25">
      <c r="A8831" t="s">
        <v>4974</v>
      </c>
      <c r="B8831" t="s">
        <v>6582</v>
      </c>
      <c r="C8831" t="s">
        <v>6619</v>
      </c>
      <c r="D8831" s="1" t="s">
        <v>6620</v>
      </c>
      <c r="E8831" t="s">
        <v>14</v>
      </c>
      <c r="F8831">
        <v>59.159700000000001</v>
      </c>
      <c r="G8831">
        <v>6.0364000000000004</v>
      </c>
      <c r="H8831">
        <v>0</v>
      </c>
      <c r="I8831">
        <v>25</v>
      </c>
      <c r="J8831" t="str">
        <f>HYPERLINK("https://climate.onebuilding.org/WMO_Region_6_Europe/NOR_Norway/RO_Rogaland/NOR_RO_Fister.Sigmundstad.014220_TMYx.zip")</f>
        <v>https://climate.onebuilding.org/WMO_Region_6_Europe/NOR_Norway/RO_Rogaland/NOR_RO_Fister.Sigmundstad.014220_TMYx.zip</v>
      </c>
    </row>
    <row r="8832" spans="1:10" x14ac:dyDescent="0.25">
      <c r="A8832" t="s">
        <v>4974</v>
      </c>
      <c r="B8832" t="s">
        <v>6582</v>
      </c>
      <c r="C8832" t="s">
        <v>6622</v>
      </c>
      <c r="D8832" s="1" t="s">
        <v>6623</v>
      </c>
      <c r="E8832" t="s">
        <v>6624</v>
      </c>
      <c r="F8832">
        <v>59.648600000000002</v>
      </c>
      <c r="G8832">
        <v>6.3631000000000002</v>
      </c>
      <c r="H8832">
        <v>0</v>
      </c>
      <c r="I8832">
        <v>2.7</v>
      </c>
      <c r="J8832" t="str">
        <f>HYPERLINK("https://climate.onebuilding.org/WMO_Region_6_Europe/NOR_Norway/RO_Rogaland/NOR_RO_Sauda.014240_TMYx.2004-2018.zip")</f>
        <v>https://climate.onebuilding.org/WMO_Region_6_Europe/NOR_Norway/RO_Rogaland/NOR_RO_Sauda.014240_TMYx.2004-2018.zip</v>
      </c>
    </row>
    <row r="8833" spans="1:10" x14ac:dyDescent="0.25">
      <c r="A8833" t="s">
        <v>4974</v>
      </c>
      <c r="B8833" t="s">
        <v>6582</v>
      </c>
      <c r="C8833" t="s">
        <v>6622</v>
      </c>
      <c r="D8833" s="1" t="s">
        <v>6623</v>
      </c>
      <c r="E8833" t="s">
        <v>14</v>
      </c>
      <c r="F8833">
        <v>59.648600000000002</v>
      </c>
      <c r="G8833">
        <v>6.3631000000000002</v>
      </c>
      <c r="H8833">
        <v>0</v>
      </c>
      <c r="I8833">
        <v>2.7</v>
      </c>
      <c r="J8833" t="str">
        <f>HYPERLINK("https://climate.onebuilding.org/WMO_Region_6_Europe/NOR_Norway/RO_Rogaland/NOR_RO_Sauda.014240_TMYx.2007-2021.zip")</f>
        <v>https://climate.onebuilding.org/WMO_Region_6_Europe/NOR_Norway/RO_Rogaland/NOR_RO_Sauda.014240_TMYx.2007-2021.zip</v>
      </c>
    </row>
    <row r="8834" spans="1:10" x14ac:dyDescent="0.25">
      <c r="A8834" t="s">
        <v>4974</v>
      </c>
      <c r="B8834" t="s">
        <v>6582</v>
      </c>
      <c r="C8834" t="s">
        <v>6622</v>
      </c>
      <c r="D8834" s="1" t="s">
        <v>6623</v>
      </c>
      <c r="E8834" t="s">
        <v>14</v>
      </c>
      <c r="F8834">
        <v>59.648600000000002</v>
      </c>
      <c r="G8834">
        <v>6.3631000000000002</v>
      </c>
      <c r="H8834">
        <v>0</v>
      </c>
      <c r="I8834">
        <v>2.7</v>
      </c>
      <c r="J8834" t="str">
        <f>HYPERLINK("https://climate.onebuilding.org/WMO_Region_6_Europe/NOR_Norway/RO_Rogaland/NOR_RO_Sauda.014240_TMYx.2009-2023.zip")</f>
        <v>https://climate.onebuilding.org/WMO_Region_6_Europe/NOR_Norway/RO_Rogaland/NOR_RO_Sauda.014240_TMYx.2009-2023.zip</v>
      </c>
    </row>
    <row r="8835" spans="1:10" x14ac:dyDescent="0.25">
      <c r="A8835" t="s">
        <v>4974</v>
      </c>
      <c r="B8835" t="s">
        <v>6582</v>
      </c>
      <c r="C8835" t="s">
        <v>6622</v>
      </c>
      <c r="D8835" s="1" t="s">
        <v>6623</v>
      </c>
      <c r="E8835" t="s">
        <v>14</v>
      </c>
      <c r="F8835">
        <v>59.648600000000002</v>
      </c>
      <c r="G8835">
        <v>6.3631000000000002</v>
      </c>
      <c r="H8835">
        <v>0</v>
      </c>
      <c r="I8835">
        <v>2.7</v>
      </c>
      <c r="J8835" t="str">
        <f>HYPERLINK("https://climate.onebuilding.org/WMO_Region_6_Europe/NOR_Norway/RO_Rogaland/NOR_RO_Sauda.014240_TMYx.zip")</f>
        <v>https://climate.onebuilding.org/WMO_Region_6_Europe/NOR_Norway/RO_Rogaland/NOR_RO_Sauda.014240_TMYx.zip</v>
      </c>
    </row>
    <row r="8836" spans="1:10" x14ac:dyDescent="0.25">
      <c r="A8836" t="s">
        <v>4974</v>
      </c>
      <c r="B8836" t="s">
        <v>6582</v>
      </c>
      <c r="C8836" t="s">
        <v>6625</v>
      </c>
      <c r="D8836" s="1" t="s">
        <v>6626</v>
      </c>
      <c r="E8836" t="s">
        <v>6627</v>
      </c>
      <c r="F8836">
        <v>58.500599999999999</v>
      </c>
      <c r="G8836">
        <v>6.5006000000000004</v>
      </c>
      <c r="H8836">
        <v>0</v>
      </c>
      <c r="I8836">
        <v>66</v>
      </c>
      <c r="J8836" t="str">
        <f>HYPERLINK("https://climate.onebuilding.org/WMO_Region_6_Europe/NOR_Norway/RO_Rogaland/NOR_RO_Eik.Hove.014250_TMYx.2004-2018.zip")</f>
        <v>https://climate.onebuilding.org/WMO_Region_6_Europe/NOR_Norway/RO_Rogaland/NOR_RO_Eik.Hove.014250_TMYx.2004-2018.zip</v>
      </c>
    </row>
    <row r="8837" spans="1:10" x14ac:dyDescent="0.25">
      <c r="A8837" t="s">
        <v>4974</v>
      </c>
      <c r="B8837" t="s">
        <v>6582</v>
      </c>
      <c r="C8837" t="s">
        <v>6625</v>
      </c>
      <c r="D8837" s="1" t="s">
        <v>6626</v>
      </c>
      <c r="E8837" t="s">
        <v>14</v>
      </c>
      <c r="F8837">
        <v>58.508000000000003</v>
      </c>
      <c r="G8837">
        <v>6.5110000000000001</v>
      </c>
      <c r="H8837">
        <v>0</v>
      </c>
      <c r="I8837">
        <v>66</v>
      </c>
      <c r="J8837" t="str">
        <f>HYPERLINK("https://climate.onebuilding.org/WMO_Region_6_Europe/NOR_Norway/RO_Rogaland/NOR_RO_Eik.Hove.014250_TMYx.2007-2021.zip")</f>
        <v>https://climate.onebuilding.org/WMO_Region_6_Europe/NOR_Norway/RO_Rogaland/NOR_RO_Eik.Hove.014250_TMYx.2007-2021.zip</v>
      </c>
    </row>
    <row r="8838" spans="1:10" x14ac:dyDescent="0.25">
      <c r="A8838" t="s">
        <v>4974</v>
      </c>
      <c r="B8838" t="s">
        <v>6582</v>
      </c>
      <c r="C8838" t="s">
        <v>6625</v>
      </c>
      <c r="D8838" s="1" t="s">
        <v>6626</v>
      </c>
      <c r="E8838" t="s">
        <v>14</v>
      </c>
      <c r="F8838">
        <v>58.508000000000003</v>
      </c>
      <c r="G8838">
        <v>6.5110000000000001</v>
      </c>
      <c r="H8838">
        <v>0</v>
      </c>
      <c r="I8838">
        <v>66</v>
      </c>
      <c r="J8838" t="str">
        <f>HYPERLINK("https://climate.onebuilding.org/WMO_Region_6_Europe/NOR_Norway/RO_Rogaland/NOR_RO_Eik.Hove.014250_TMYx.2009-2023.zip")</f>
        <v>https://climate.onebuilding.org/WMO_Region_6_Europe/NOR_Norway/RO_Rogaland/NOR_RO_Eik.Hove.014250_TMYx.2009-2023.zip</v>
      </c>
    </row>
    <row r="8839" spans="1:10" x14ac:dyDescent="0.25">
      <c r="A8839" t="s">
        <v>4974</v>
      </c>
      <c r="B8839" t="s">
        <v>6582</v>
      </c>
      <c r="C8839" t="s">
        <v>6625</v>
      </c>
      <c r="D8839" s="1" t="s">
        <v>6626</v>
      </c>
      <c r="E8839" t="s">
        <v>14</v>
      </c>
      <c r="F8839">
        <v>58.508000000000003</v>
      </c>
      <c r="G8839">
        <v>6.5110000000000001</v>
      </c>
      <c r="H8839">
        <v>0</v>
      </c>
      <c r="I8839">
        <v>66</v>
      </c>
      <c r="J8839" t="str">
        <f>HYPERLINK("https://climate.onebuilding.org/WMO_Region_6_Europe/NOR_Norway/RO_Rogaland/NOR_RO_Eik.Hove.014250_TMYx.zip")</f>
        <v>https://climate.onebuilding.org/WMO_Region_6_Europe/NOR_Norway/RO_Rogaland/NOR_RO_Eik.Hove.014250_TMYx.zip</v>
      </c>
    </row>
    <row r="8840" spans="1:10" x14ac:dyDescent="0.25">
      <c r="A8840" t="s">
        <v>4974</v>
      </c>
      <c r="B8840" t="s">
        <v>6582</v>
      </c>
      <c r="C8840" t="s">
        <v>6628</v>
      </c>
      <c r="D8840" s="1" t="s">
        <v>6629</v>
      </c>
      <c r="E8840" t="s">
        <v>6630</v>
      </c>
      <c r="F8840">
        <v>58.435299999999998</v>
      </c>
      <c r="G8840">
        <v>5.8716999999999997</v>
      </c>
      <c r="H8840">
        <v>0</v>
      </c>
      <c r="I8840">
        <v>49</v>
      </c>
      <c r="J8840" t="str">
        <f>HYPERLINK("https://climate.onebuilding.org/WMO_Region_6_Europe/NOR_Norway/RO_Rogaland/NOR_RO_Eigeroy.Lighthouse.014260_TMYx.2004-2018.zip")</f>
        <v>https://climate.onebuilding.org/WMO_Region_6_Europe/NOR_Norway/RO_Rogaland/NOR_RO_Eigeroy.Lighthouse.014260_TMYx.2004-2018.zip</v>
      </c>
    </row>
    <row r="8841" spans="1:10" x14ac:dyDescent="0.25">
      <c r="A8841" t="s">
        <v>4974</v>
      </c>
      <c r="B8841" t="s">
        <v>6582</v>
      </c>
      <c r="C8841" t="s">
        <v>6628</v>
      </c>
      <c r="D8841" s="1" t="s">
        <v>6629</v>
      </c>
      <c r="E8841" t="s">
        <v>14</v>
      </c>
      <c r="F8841">
        <v>58.435299999999998</v>
      </c>
      <c r="G8841">
        <v>5.8716999999999997</v>
      </c>
      <c r="H8841">
        <v>0</v>
      </c>
      <c r="I8841">
        <v>49</v>
      </c>
      <c r="J8841" t="str">
        <f>HYPERLINK("https://climate.onebuilding.org/WMO_Region_6_Europe/NOR_Norway/RO_Rogaland/NOR_RO_Eigeroy.Lighthouse.014260_TMYx.2007-2021.zip")</f>
        <v>https://climate.onebuilding.org/WMO_Region_6_Europe/NOR_Norway/RO_Rogaland/NOR_RO_Eigeroy.Lighthouse.014260_TMYx.2007-2021.zip</v>
      </c>
    </row>
    <row r="8842" spans="1:10" x14ac:dyDescent="0.25">
      <c r="A8842" t="s">
        <v>4974</v>
      </c>
      <c r="B8842" t="s">
        <v>6582</v>
      </c>
      <c r="C8842" t="s">
        <v>6628</v>
      </c>
      <c r="D8842" s="1" t="s">
        <v>6629</v>
      </c>
      <c r="E8842" t="s">
        <v>14</v>
      </c>
      <c r="F8842">
        <v>58.435299999999998</v>
      </c>
      <c r="G8842">
        <v>5.8716999999999997</v>
      </c>
      <c r="H8842">
        <v>0</v>
      </c>
      <c r="I8842">
        <v>49</v>
      </c>
      <c r="J8842" t="str">
        <f>HYPERLINK("https://climate.onebuilding.org/WMO_Region_6_Europe/NOR_Norway/RO_Rogaland/NOR_RO_Eigeroy.Lighthouse.014260_TMYx.2009-2023.zip")</f>
        <v>https://climate.onebuilding.org/WMO_Region_6_Europe/NOR_Norway/RO_Rogaland/NOR_RO_Eigeroy.Lighthouse.014260_TMYx.2009-2023.zip</v>
      </c>
    </row>
    <row r="8843" spans="1:10" x14ac:dyDescent="0.25">
      <c r="A8843" t="s">
        <v>4974</v>
      </c>
      <c r="B8843" t="s">
        <v>6582</v>
      </c>
      <c r="C8843" t="s">
        <v>6628</v>
      </c>
      <c r="D8843" s="1" t="s">
        <v>6629</v>
      </c>
      <c r="E8843" t="s">
        <v>14</v>
      </c>
      <c r="F8843">
        <v>58.435299999999998</v>
      </c>
      <c r="G8843">
        <v>5.8716999999999997</v>
      </c>
      <c r="H8843">
        <v>0</v>
      </c>
      <c r="I8843">
        <v>49</v>
      </c>
      <c r="J8843" t="str">
        <f>HYPERLINK("https://climate.onebuilding.org/WMO_Region_6_Europe/NOR_Norway/RO_Rogaland/NOR_RO_Eigeroy.Lighthouse.014260_TMYx.zip")</f>
        <v>https://climate.onebuilding.org/WMO_Region_6_Europe/NOR_Norway/RO_Rogaland/NOR_RO_Eigeroy.Lighthouse.014260_TMYx.zip</v>
      </c>
    </row>
    <row r="8844" spans="1:10" x14ac:dyDescent="0.25">
      <c r="A8844" t="s">
        <v>4974</v>
      </c>
      <c r="B8844" t="s">
        <v>4901</v>
      </c>
      <c r="C8844" t="s">
        <v>6631</v>
      </c>
      <c r="D8844" s="1" t="s">
        <v>6632</v>
      </c>
      <c r="E8844" t="s">
        <v>6633</v>
      </c>
      <c r="F8844">
        <v>58.109699999999997</v>
      </c>
      <c r="G8844">
        <v>6.5681000000000003</v>
      </c>
      <c r="H8844">
        <v>0</v>
      </c>
      <c r="I8844">
        <v>13.5</v>
      </c>
      <c r="J8844" t="str">
        <f>HYPERLINK("https://climate.onebuilding.org/WMO_Region_6_Europe/NOR_Norway/VA_Vest-Agder/NOR_VA_Lista.Lighthouse.014270_TMYx.2004-2018.zip")</f>
        <v>https://climate.onebuilding.org/WMO_Region_6_Europe/NOR_Norway/VA_Vest-Agder/NOR_VA_Lista.Lighthouse.014270_TMYx.2004-2018.zip</v>
      </c>
    </row>
    <row r="8845" spans="1:10" x14ac:dyDescent="0.25">
      <c r="A8845" t="s">
        <v>4974</v>
      </c>
      <c r="B8845" t="s">
        <v>4901</v>
      </c>
      <c r="C8845" t="s">
        <v>6631</v>
      </c>
      <c r="D8845" s="1" t="s">
        <v>6632</v>
      </c>
      <c r="E8845" t="s">
        <v>14</v>
      </c>
      <c r="F8845">
        <v>58.109699999999997</v>
      </c>
      <c r="G8845">
        <v>6.5681000000000003</v>
      </c>
      <c r="H8845">
        <v>0</v>
      </c>
      <c r="I8845">
        <v>13.5</v>
      </c>
      <c r="J8845" t="str">
        <f>HYPERLINK("https://climate.onebuilding.org/WMO_Region_6_Europe/NOR_Norway/VA_Vest-Agder/NOR_VA_Lista.Lighthouse.014270_TMYx.2007-2021.zip")</f>
        <v>https://climate.onebuilding.org/WMO_Region_6_Europe/NOR_Norway/VA_Vest-Agder/NOR_VA_Lista.Lighthouse.014270_TMYx.2007-2021.zip</v>
      </c>
    </row>
    <row r="8846" spans="1:10" x14ac:dyDescent="0.25">
      <c r="A8846" t="s">
        <v>4974</v>
      </c>
      <c r="B8846" t="s">
        <v>4901</v>
      </c>
      <c r="C8846" t="s">
        <v>6631</v>
      </c>
      <c r="D8846" s="1" t="s">
        <v>6632</v>
      </c>
      <c r="E8846" t="s">
        <v>14</v>
      </c>
      <c r="F8846">
        <v>58.109699999999997</v>
      </c>
      <c r="G8846">
        <v>6.5681000000000003</v>
      </c>
      <c r="H8846">
        <v>0</v>
      </c>
      <c r="I8846">
        <v>13.5</v>
      </c>
      <c r="J8846" t="str">
        <f>HYPERLINK("https://climate.onebuilding.org/WMO_Region_6_Europe/NOR_Norway/VA_Vest-Agder/NOR_VA_Lista.Lighthouse.014270_TMYx.2009-2023.zip")</f>
        <v>https://climate.onebuilding.org/WMO_Region_6_Europe/NOR_Norway/VA_Vest-Agder/NOR_VA_Lista.Lighthouse.014270_TMYx.2009-2023.zip</v>
      </c>
    </row>
    <row r="8847" spans="1:10" x14ac:dyDescent="0.25">
      <c r="A8847" t="s">
        <v>4974</v>
      </c>
      <c r="B8847" t="s">
        <v>4901</v>
      </c>
      <c r="C8847" t="s">
        <v>6631</v>
      </c>
      <c r="D8847" s="1" t="s">
        <v>6632</v>
      </c>
      <c r="E8847" t="s">
        <v>14</v>
      </c>
      <c r="F8847">
        <v>58.109699999999997</v>
      </c>
      <c r="G8847">
        <v>6.5681000000000003</v>
      </c>
      <c r="H8847">
        <v>0</v>
      </c>
      <c r="I8847">
        <v>13.5</v>
      </c>
      <c r="J8847" t="str">
        <f>HYPERLINK("https://climate.onebuilding.org/WMO_Region_6_Europe/NOR_Norway/VA_Vest-Agder/NOR_VA_Lista.Lighthouse.014270_TMYx.zip")</f>
        <v>https://climate.onebuilding.org/WMO_Region_6_Europe/NOR_Norway/VA_Vest-Agder/NOR_VA_Lista.Lighthouse.014270_TMYx.zip</v>
      </c>
    </row>
    <row r="8848" spans="1:10" x14ac:dyDescent="0.25">
      <c r="A8848" t="s">
        <v>4974</v>
      </c>
      <c r="B8848" t="s">
        <v>4901</v>
      </c>
      <c r="C8848" t="s">
        <v>6634</v>
      </c>
      <c r="D8848" s="1" t="s">
        <v>6635</v>
      </c>
      <c r="E8848" t="s">
        <v>14</v>
      </c>
      <c r="F8848">
        <v>58.098999999999997</v>
      </c>
      <c r="G8848">
        <v>6.6260000000000003</v>
      </c>
      <c r="H8848">
        <v>0</v>
      </c>
      <c r="I8848">
        <v>8.8000000000000007</v>
      </c>
      <c r="J8848" t="str">
        <f>HYPERLINK("https://climate.onebuilding.org/WMO_Region_6_Europe/NOR_Norway/VA_Vest-Agder/NOR_VA_Lista-Farsund.AP.014280_TMYx.zip")</f>
        <v>https://climate.onebuilding.org/WMO_Region_6_Europe/NOR_Norway/VA_Vest-Agder/NOR_VA_Lista-Farsund.AP.014280_TMYx.zip</v>
      </c>
    </row>
    <row r="8849" spans="1:10" x14ac:dyDescent="0.25">
      <c r="A8849" t="s">
        <v>4974</v>
      </c>
      <c r="B8849" t="s">
        <v>4901</v>
      </c>
      <c r="C8849" t="s">
        <v>6636</v>
      </c>
      <c r="D8849" s="1" t="s">
        <v>6637</v>
      </c>
      <c r="E8849" t="s">
        <v>6638</v>
      </c>
      <c r="F8849">
        <v>58.0244</v>
      </c>
      <c r="G8849">
        <v>7.4516999999999998</v>
      </c>
      <c r="H8849">
        <v>0</v>
      </c>
      <c r="I8849">
        <v>138</v>
      </c>
      <c r="J8849" t="str">
        <f>HYPERLINK("https://climate.onebuilding.org/WMO_Region_6_Europe/NOR_Norway/VA_Vest-Agder/NOR_VA_Mandal.014300_TMYx.2004-2018.zip")</f>
        <v>https://climate.onebuilding.org/WMO_Region_6_Europe/NOR_Norway/VA_Vest-Agder/NOR_VA_Mandal.014300_TMYx.2004-2018.zip</v>
      </c>
    </row>
    <row r="8850" spans="1:10" x14ac:dyDescent="0.25">
      <c r="A8850" t="s">
        <v>4974</v>
      </c>
      <c r="B8850" t="s">
        <v>4901</v>
      </c>
      <c r="C8850" t="s">
        <v>6636</v>
      </c>
      <c r="D8850" s="1" t="s">
        <v>6637</v>
      </c>
      <c r="E8850" t="s">
        <v>14</v>
      </c>
      <c r="F8850">
        <v>58.0244</v>
      </c>
      <c r="G8850">
        <v>7.4516999999999998</v>
      </c>
      <c r="H8850">
        <v>0</v>
      </c>
      <c r="I8850">
        <v>138</v>
      </c>
      <c r="J8850" t="str">
        <f>HYPERLINK("https://climate.onebuilding.org/WMO_Region_6_Europe/NOR_Norway/VA_Vest-Agder/NOR_VA_Mandal.014300_TMYx.2007-2021.zip")</f>
        <v>https://climate.onebuilding.org/WMO_Region_6_Europe/NOR_Norway/VA_Vest-Agder/NOR_VA_Mandal.014300_TMYx.2007-2021.zip</v>
      </c>
    </row>
    <row r="8851" spans="1:10" x14ac:dyDescent="0.25">
      <c r="A8851" t="s">
        <v>4974</v>
      </c>
      <c r="B8851" t="s">
        <v>4901</v>
      </c>
      <c r="C8851" t="s">
        <v>6636</v>
      </c>
      <c r="D8851" s="1" t="s">
        <v>6637</v>
      </c>
      <c r="E8851" t="s">
        <v>14</v>
      </c>
      <c r="F8851">
        <v>58.0244</v>
      </c>
      <c r="G8851">
        <v>7.4516999999999998</v>
      </c>
      <c r="H8851">
        <v>0</v>
      </c>
      <c r="I8851">
        <v>138</v>
      </c>
      <c r="J8851" t="str">
        <f>HYPERLINK("https://climate.onebuilding.org/WMO_Region_6_Europe/NOR_Norway/VA_Vest-Agder/NOR_VA_Mandal.014300_TMYx.2009-2023.zip")</f>
        <v>https://climate.onebuilding.org/WMO_Region_6_Europe/NOR_Norway/VA_Vest-Agder/NOR_VA_Mandal.014300_TMYx.2009-2023.zip</v>
      </c>
    </row>
    <row r="8852" spans="1:10" x14ac:dyDescent="0.25">
      <c r="A8852" t="s">
        <v>4974</v>
      </c>
      <c r="B8852" t="s">
        <v>4901</v>
      </c>
      <c r="C8852" t="s">
        <v>6636</v>
      </c>
      <c r="D8852" s="1" t="s">
        <v>6637</v>
      </c>
      <c r="E8852" t="s">
        <v>14</v>
      </c>
      <c r="F8852">
        <v>58.0244</v>
      </c>
      <c r="G8852">
        <v>7.4516999999999998</v>
      </c>
      <c r="H8852">
        <v>0</v>
      </c>
      <c r="I8852">
        <v>138</v>
      </c>
      <c r="J8852" t="str">
        <f>HYPERLINK("https://climate.onebuilding.org/WMO_Region_6_Europe/NOR_Norway/VA_Vest-Agder/NOR_VA_Mandal.014300_TMYx.zip")</f>
        <v>https://climate.onebuilding.org/WMO_Region_6_Europe/NOR_Norway/VA_Vest-Agder/NOR_VA_Mandal.014300_TMYx.zip</v>
      </c>
    </row>
    <row r="8853" spans="1:10" x14ac:dyDescent="0.25">
      <c r="A8853" t="s">
        <v>4974</v>
      </c>
      <c r="B8853" t="s">
        <v>4901</v>
      </c>
      <c r="C8853" t="s">
        <v>6639</v>
      </c>
      <c r="D8853" s="1" t="s">
        <v>6640</v>
      </c>
      <c r="E8853" t="s">
        <v>6641</v>
      </c>
      <c r="F8853">
        <v>58.922800000000002</v>
      </c>
      <c r="G8853">
        <v>6.9093999999999998</v>
      </c>
      <c r="H8853">
        <v>0</v>
      </c>
      <c r="I8853">
        <v>555.4</v>
      </c>
      <c r="J8853" t="str">
        <f>HYPERLINK("https://climate.onebuilding.org/WMO_Region_6_Europe/NOR_Norway/VA_Vest-Agder/NOR_VA_Sirdal.Sinnes.014310_TMYx.2004-2018.zip")</f>
        <v>https://climate.onebuilding.org/WMO_Region_6_Europe/NOR_Norway/VA_Vest-Agder/NOR_VA_Sirdal.Sinnes.014310_TMYx.2004-2018.zip</v>
      </c>
    </row>
    <row r="8854" spans="1:10" x14ac:dyDescent="0.25">
      <c r="A8854" t="s">
        <v>4974</v>
      </c>
      <c r="B8854" t="s">
        <v>4901</v>
      </c>
      <c r="C8854" t="s">
        <v>6639</v>
      </c>
      <c r="D8854" s="1" t="s">
        <v>6640</v>
      </c>
      <c r="E8854" t="s">
        <v>14</v>
      </c>
      <c r="F8854">
        <v>58.922800000000002</v>
      </c>
      <c r="G8854">
        <v>6.9093999999999998</v>
      </c>
      <c r="H8854">
        <v>0</v>
      </c>
      <c r="I8854">
        <v>555.4</v>
      </c>
      <c r="J8854" t="str">
        <f>HYPERLINK("https://climate.onebuilding.org/WMO_Region_6_Europe/NOR_Norway/VA_Vest-Agder/NOR_VA_Sirdal.Sinnes.014310_TMYx.2007-2021.zip")</f>
        <v>https://climate.onebuilding.org/WMO_Region_6_Europe/NOR_Norway/VA_Vest-Agder/NOR_VA_Sirdal.Sinnes.014310_TMYx.2007-2021.zip</v>
      </c>
    </row>
    <row r="8855" spans="1:10" x14ac:dyDescent="0.25">
      <c r="A8855" t="s">
        <v>4974</v>
      </c>
      <c r="B8855" t="s">
        <v>4901</v>
      </c>
      <c r="C8855" t="s">
        <v>6639</v>
      </c>
      <c r="D8855" s="1" t="s">
        <v>6640</v>
      </c>
      <c r="E8855" t="s">
        <v>14</v>
      </c>
      <c r="F8855">
        <v>58.922800000000002</v>
      </c>
      <c r="G8855">
        <v>6.9093999999999998</v>
      </c>
      <c r="H8855">
        <v>0</v>
      </c>
      <c r="I8855">
        <v>555.4</v>
      </c>
      <c r="J8855" t="str">
        <f>HYPERLINK("https://climate.onebuilding.org/WMO_Region_6_Europe/NOR_Norway/VA_Vest-Agder/NOR_VA_Sirdal.Sinnes.014310_TMYx.2009-2023.zip")</f>
        <v>https://climate.onebuilding.org/WMO_Region_6_Europe/NOR_Norway/VA_Vest-Agder/NOR_VA_Sirdal.Sinnes.014310_TMYx.2009-2023.zip</v>
      </c>
    </row>
    <row r="8856" spans="1:10" x14ac:dyDescent="0.25">
      <c r="A8856" t="s">
        <v>4974</v>
      </c>
      <c r="B8856" t="s">
        <v>4901</v>
      </c>
      <c r="C8856" t="s">
        <v>6639</v>
      </c>
      <c r="D8856" s="1" t="s">
        <v>6640</v>
      </c>
      <c r="E8856" t="s">
        <v>14</v>
      </c>
      <c r="F8856">
        <v>58.922800000000002</v>
      </c>
      <c r="G8856">
        <v>6.9093999999999998</v>
      </c>
      <c r="H8856">
        <v>0</v>
      </c>
      <c r="I8856">
        <v>555.4</v>
      </c>
      <c r="J8856" t="str">
        <f>HYPERLINK("https://climate.onebuilding.org/WMO_Region_6_Europe/NOR_Norway/VA_Vest-Agder/NOR_VA_Sirdal.Sinnes.014310_TMYx.zip")</f>
        <v>https://climate.onebuilding.org/WMO_Region_6_Europe/NOR_Norway/VA_Vest-Agder/NOR_VA_Sirdal.Sinnes.014310_TMYx.zip</v>
      </c>
    </row>
    <row r="8857" spans="1:10" x14ac:dyDescent="0.25">
      <c r="A8857" t="s">
        <v>4974</v>
      </c>
      <c r="B8857" t="s">
        <v>4901</v>
      </c>
      <c r="C8857" t="s">
        <v>6642</v>
      </c>
      <c r="D8857" s="1" t="s">
        <v>6643</v>
      </c>
      <c r="E8857" t="s">
        <v>6644</v>
      </c>
      <c r="F8857">
        <v>58.883000000000003</v>
      </c>
      <c r="G8857">
        <v>6.85</v>
      </c>
      <c r="H8857">
        <v>0</v>
      </c>
      <c r="I8857">
        <v>500</v>
      </c>
      <c r="J8857" t="str">
        <f>HYPERLINK("https://climate.onebuilding.org/WMO_Region_6_Europe/NOR_Norway/VA_Vest-Agder/NOR_VA_Sirdal.Tjorhom.014320_TMYx.2004-2018.zip")</f>
        <v>https://climate.onebuilding.org/WMO_Region_6_Europe/NOR_Norway/VA_Vest-Agder/NOR_VA_Sirdal.Tjorhom.014320_TMYx.2004-2018.zip</v>
      </c>
    </row>
    <row r="8858" spans="1:10" x14ac:dyDescent="0.25">
      <c r="A8858" t="s">
        <v>4974</v>
      </c>
      <c r="B8858" t="s">
        <v>4901</v>
      </c>
      <c r="C8858" t="s">
        <v>6642</v>
      </c>
      <c r="D8858" s="1" t="s">
        <v>6643</v>
      </c>
      <c r="E8858" t="s">
        <v>14</v>
      </c>
      <c r="F8858">
        <v>58.883000000000003</v>
      </c>
      <c r="G8858">
        <v>6.85</v>
      </c>
      <c r="H8858">
        <v>0</v>
      </c>
      <c r="I8858">
        <v>500</v>
      </c>
      <c r="J8858" t="str">
        <f>HYPERLINK("https://climate.onebuilding.org/WMO_Region_6_Europe/NOR_Norway/VA_Vest-Agder/NOR_VA_Sirdal.Tjorhom.014320_TMYx.zip")</f>
        <v>https://climate.onebuilding.org/WMO_Region_6_Europe/NOR_Norway/VA_Vest-Agder/NOR_VA_Sirdal.Tjorhom.014320_TMYx.zip</v>
      </c>
    </row>
    <row r="8859" spans="1:10" x14ac:dyDescent="0.25">
      <c r="A8859" t="s">
        <v>4974</v>
      </c>
      <c r="B8859" t="s">
        <v>681</v>
      </c>
      <c r="C8859" t="s">
        <v>6645</v>
      </c>
      <c r="D8859" s="1" t="s">
        <v>6646</v>
      </c>
      <c r="E8859" t="s">
        <v>6647</v>
      </c>
      <c r="F8859">
        <v>59.832999999999998</v>
      </c>
      <c r="G8859">
        <v>6.9829999999999997</v>
      </c>
      <c r="H8859">
        <v>0</v>
      </c>
      <c r="I8859">
        <v>1081</v>
      </c>
      <c r="J8859" t="str">
        <f>HYPERLINK("https://climate.onebuilding.org/WMO_Region_6_Europe/NOR_Norway/HO_Hordaland/NOR_HO_Midtlaeger.014330_TMYx.2004-2018.zip")</f>
        <v>https://climate.onebuilding.org/WMO_Region_6_Europe/NOR_Norway/HO_Hordaland/NOR_HO_Midtlaeger.014330_TMYx.2004-2018.zip</v>
      </c>
    </row>
    <row r="8860" spans="1:10" x14ac:dyDescent="0.25">
      <c r="A8860" t="s">
        <v>4974</v>
      </c>
      <c r="B8860" t="s">
        <v>681</v>
      </c>
      <c r="C8860" t="s">
        <v>6645</v>
      </c>
      <c r="D8860" s="1" t="s">
        <v>6646</v>
      </c>
      <c r="E8860" t="s">
        <v>14</v>
      </c>
      <c r="F8860">
        <v>59.832999999999998</v>
      </c>
      <c r="G8860">
        <v>6.9829999999999997</v>
      </c>
      <c r="H8860">
        <v>0</v>
      </c>
      <c r="I8860">
        <v>1081</v>
      </c>
      <c r="J8860" t="str">
        <f>HYPERLINK("https://climate.onebuilding.org/WMO_Region_6_Europe/NOR_Norway/HO_Hordaland/NOR_HO_Midtlaeger.014330_TMYx.2007-2021.zip")</f>
        <v>https://climate.onebuilding.org/WMO_Region_6_Europe/NOR_Norway/HO_Hordaland/NOR_HO_Midtlaeger.014330_TMYx.2007-2021.zip</v>
      </c>
    </row>
    <row r="8861" spans="1:10" x14ac:dyDescent="0.25">
      <c r="A8861" t="s">
        <v>4974</v>
      </c>
      <c r="B8861" t="s">
        <v>681</v>
      </c>
      <c r="C8861" t="s">
        <v>6645</v>
      </c>
      <c r="D8861" s="1" t="s">
        <v>6646</v>
      </c>
      <c r="E8861" t="s">
        <v>14</v>
      </c>
      <c r="F8861">
        <v>59.832999999999998</v>
      </c>
      <c r="G8861">
        <v>6.9829999999999997</v>
      </c>
      <c r="H8861">
        <v>0</v>
      </c>
      <c r="I8861">
        <v>1081</v>
      </c>
      <c r="J8861" t="str">
        <f>HYPERLINK("https://climate.onebuilding.org/WMO_Region_6_Europe/NOR_Norway/HO_Hordaland/NOR_HO_Midtlaeger.014330_TMYx.2009-2023.zip")</f>
        <v>https://climate.onebuilding.org/WMO_Region_6_Europe/NOR_Norway/HO_Hordaland/NOR_HO_Midtlaeger.014330_TMYx.2009-2023.zip</v>
      </c>
    </row>
    <row r="8862" spans="1:10" x14ac:dyDescent="0.25">
      <c r="A8862" t="s">
        <v>4974</v>
      </c>
      <c r="B8862" t="s">
        <v>681</v>
      </c>
      <c r="C8862" t="s">
        <v>6645</v>
      </c>
      <c r="D8862" s="1" t="s">
        <v>6646</v>
      </c>
      <c r="E8862" t="s">
        <v>14</v>
      </c>
      <c r="F8862">
        <v>59.832999999999998</v>
      </c>
      <c r="G8862">
        <v>6.9829999999999997</v>
      </c>
      <c r="H8862">
        <v>0</v>
      </c>
      <c r="I8862">
        <v>1081</v>
      </c>
      <c r="J8862" t="str">
        <f>HYPERLINK("https://climate.onebuilding.org/WMO_Region_6_Europe/NOR_Norway/HO_Hordaland/NOR_HO_Midtlaeger.014330_TMYx.zip")</f>
        <v>https://climate.onebuilding.org/WMO_Region_6_Europe/NOR_Norway/HO_Hordaland/NOR_HO_Midtlaeger.014330_TMYx.zip</v>
      </c>
    </row>
    <row r="8863" spans="1:10" x14ac:dyDescent="0.25">
      <c r="A8863" t="s">
        <v>4974</v>
      </c>
      <c r="B8863" t="s">
        <v>5606</v>
      </c>
      <c r="C8863" t="s">
        <v>6648</v>
      </c>
      <c r="D8863" s="1" t="s">
        <v>6649</v>
      </c>
      <c r="E8863" t="s">
        <v>6650</v>
      </c>
      <c r="F8863">
        <v>59.766100000000002</v>
      </c>
      <c r="G8863">
        <v>7.3653000000000004</v>
      </c>
      <c r="H8863">
        <v>0</v>
      </c>
      <c r="I8863">
        <v>822</v>
      </c>
      <c r="J8863" t="str">
        <f>HYPERLINK("https://climate.onebuilding.org/WMO_Region_6_Europe/NOR_Norway/TE_Telemark/NOR_TE_Vagsli.014340_TMYx.2004-2018.zip")</f>
        <v>https://climate.onebuilding.org/WMO_Region_6_Europe/NOR_Norway/TE_Telemark/NOR_TE_Vagsli.014340_TMYx.2004-2018.zip</v>
      </c>
    </row>
    <row r="8864" spans="1:10" x14ac:dyDescent="0.25">
      <c r="A8864" t="s">
        <v>4974</v>
      </c>
      <c r="B8864" t="s">
        <v>5606</v>
      </c>
      <c r="C8864" t="s">
        <v>6648</v>
      </c>
      <c r="D8864" s="1" t="s">
        <v>6649</v>
      </c>
      <c r="E8864" t="s">
        <v>14</v>
      </c>
      <c r="F8864">
        <v>59.766100000000002</v>
      </c>
      <c r="G8864">
        <v>7.3653000000000004</v>
      </c>
      <c r="H8864">
        <v>0</v>
      </c>
      <c r="I8864">
        <v>822</v>
      </c>
      <c r="J8864" t="str">
        <f>HYPERLINK("https://climate.onebuilding.org/WMO_Region_6_Europe/NOR_Norway/TE_Telemark/NOR_TE_Vagsli.014340_TMYx.2007-2021.zip")</f>
        <v>https://climate.onebuilding.org/WMO_Region_6_Europe/NOR_Norway/TE_Telemark/NOR_TE_Vagsli.014340_TMYx.2007-2021.zip</v>
      </c>
    </row>
    <row r="8865" spans="1:10" x14ac:dyDescent="0.25">
      <c r="A8865" t="s">
        <v>4974</v>
      </c>
      <c r="B8865" t="s">
        <v>5606</v>
      </c>
      <c r="C8865" t="s">
        <v>6648</v>
      </c>
      <c r="D8865" s="1" t="s">
        <v>6649</v>
      </c>
      <c r="E8865" t="s">
        <v>14</v>
      </c>
      <c r="F8865">
        <v>59.766100000000002</v>
      </c>
      <c r="G8865">
        <v>7.3653000000000004</v>
      </c>
      <c r="H8865">
        <v>0</v>
      </c>
      <c r="I8865">
        <v>822</v>
      </c>
      <c r="J8865" t="str">
        <f>HYPERLINK("https://climate.onebuilding.org/WMO_Region_6_Europe/NOR_Norway/TE_Telemark/NOR_TE_Vagsli.014340_TMYx.2009-2023.zip")</f>
        <v>https://climate.onebuilding.org/WMO_Region_6_Europe/NOR_Norway/TE_Telemark/NOR_TE_Vagsli.014340_TMYx.2009-2023.zip</v>
      </c>
    </row>
    <row r="8866" spans="1:10" x14ac:dyDescent="0.25">
      <c r="A8866" t="s">
        <v>4974</v>
      </c>
      <c r="B8866" t="s">
        <v>5606</v>
      </c>
      <c r="C8866" t="s">
        <v>6648</v>
      </c>
      <c r="D8866" s="1" t="s">
        <v>6649</v>
      </c>
      <c r="E8866" t="s">
        <v>14</v>
      </c>
      <c r="F8866">
        <v>59.766100000000002</v>
      </c>
      <c r="G8866">
        <v>7.3653000000000004</v>
      </c>
      <c r="H8866">
        <v>0</v>
      </c>
      <c r="I8866">
        <v>822</v>
      </c>
      <c r="J8866" t="str">
        <f>HYPERLINK("https://climate.onebuilding.org/WMO_Region_6_Europe/NOR_Norway/TE_Telemark/NOR_TE_Vagsli.014340_TMYx.zip")</f>
        <v>https://climate.onebuilding.org/WMO_Region_6_Europe/NOR_Norway/TE_Telemark/NOR_TE_Vagsli.014340_TMYx.zip</v>
      </c>
    </row>
    <row r="8867" spans="1:10" x14ac:dyDescent="0.25">
      <c r="A8867" t="s">
        <v>4974</v>
      </c>
      <c r="B8867" t="s">
        <v>5606</v>
      </c>
      <c r="C8867" t="s">
        <v>6651</v>
      </c>
      <c r="D8867" s="1" t="s">
        <v>6652</v>
      </c>
      <c r="E8867" t="s">
        <v>14</v>
      </c>
      <c r="F8867">
        <v>59.811700000000002</v>
      </c>
      <c r="G8867">
        <v>7.2141999999999999</v>
      </c>
      <c r="H8867">
        <v>0</v>
      </c>
      <c r="I8867">
        <v>989.5</v>
      </c>
      <c r="J8867" t="str">
        <f>HYPERLINK("https://climate.onebuilding.org/WMO_Region_6_Europe/NOR_Norway/TE_Telemark/NOR_TE_Haukeliseter.Testfelt.014350_TMYx.2007-2021.zip")</f>
        <v>https://climate.onebuilding.org/WMO_Region_6_Europe/NOR_Norway/TE_Telemark/NOR_TE_Haukeliseter.Testfelt.014350_TMYx.2007-2021.zip</v>
      </c>
    </row>
    <row r="8868" spans="1:10" x14ac:dyDescent="0.25">
      <c r="A8868" t="s">
        <v>4974</v>
      </c>
      <c r="B8868" t="s">
        <v>5606</v>
      </c>
      <c r="C8868" t="s">
        <v>6651</v>
      </c>
      <c r="D8868" s="1" t="s">
        <v>6652</v>
      </c>
      <c r="E8868" t="s">
        <v>14</v>
      </c>
      <c r="F8868">
        <v>59.811700000000002</v>
      </c>
      <c r="G8868">
        <v>7.2141999999999999</v>
      </c>
      <c r="H8868">
        <v>0</v>
      </c>
      <c r="I8868">
        <v>989.5</v>
      </c>
      <c r="J8868" t="str">
        <f>HYPERLINK("https://climate.onebuilding.org/WMO_Region_6_Europe/NOR_Norway/TE_Telemark/NOR_TE_Haukeliseter.Testfelt.014350_TMYx.2009-2023.zip")</f>
        <v>https://climate.onebuilding.org/WMO_Region_6_Europe/NOR_Norway/TE_Telemark/NOR_TE_Haukeliseter.Testfelt.014350_TMYx.2009-2023.zip</v>
      </c>
    </row>
    <row r="8869" spans="1:10" x14ac:dyDescent="0.25">
      <c r="A8869" t="s">
        <v>4974</v>
      </c>
      <c r="B8869" t="s">
        <v>5606</v>
      </c>
      <c r="C8869" t="s">
        <v>6651</v>
      </c>
      <c r="D8869" s="1" t="s">
        <v>6652</v>
      </c>
      <c r="E8869" t="s">
        <v>14</v>
      </c>
      <c r="F8869">
        <v>59.811700000000002</v>
      </c>
      <c r="G8869">
        <v>7.2141999999999999</v>
      </c>
      <c r="H8869">
        <v>0</v>
      </c>
      <c r="I8869">
        <v>989.5</v>
      </c>
      <c r="J8869" t="str">
        <f>HYPERLINK("https://climate.onebuilding.org/WMO_Region_6_Europe/NOR_Norway/TE_Telemark/NOR_TE_Haukeliseter.Testfelt.014350_TMYx.zip")</f>
        <v>https://climate.onebuilding.org/WMO_Region_6_Europe/NOR_Norway/TE_Telemark/NOR_TE_Haukeliseter.Testfelt.014350_TMYx.zip</v>
      </c>
    </row>
    <row r="8870" spans="1:10" x14ac:dyDescent="0.25">
      <c r="A8870" t="s">
        <v>4974</v>
      </c>
      <c r="B8870" t="s">
        <v>4901</v>
      </c>
      <c r="C8870" t="s">
        <v>6653</v>
      </c>
      <c r="D8870" s="1" t="s">
        <v>6654</v>
      </c>
      <c r="E8870" t="s">
        <v>6655</v>
      </c>
      <c r="F8870">
        <v>57.982799999999997</v>
      </c>
      <c r="G8870">
        <v>7.0477999999999996</v>
      </c>
      <c r="H8870">
        <v>0</v>
      </c>
      <c r="I8870">
        <v>13</v>
      </c>
      <c r="J8870" t="str">
        <f>HYPERLINK("https://climate.onebuilding.org/WMO_Region_6_Europe/NOR_Norway/VA_Vest-Agder/NOR_VA_Lindesnes.Lighthouse.014360_TMYx.2004-2018.zip")</f>
        <v>https://climate.onebuilding.org/WMO_Region_6_Europe/NOR_Norway/VA_Vest-Agder/NOR_VA_Lindesnes.Lighthouse.014360_TMYx.2004-2018.zip</v>
      </c>
    </row>
    <row r="8871" spans="1:10" x14ac:dyDescent="0.25">
      <c r="A8871" t="s">
        <v>4974</v>
      </c>
      <c r="B8871" t="s">
        <v>4901</v>
      </c>
      <c r="C8871" t="s">
        <v>6653</v>
      </c>
      <c r="D8871" s="1" t="s">
        <v>6654</v>
      </c>
      <c r="E8871" t="s">
        <v>14</v>
      </c>
      <c r="F8871">
        <v>57.982799999999997</v>
      </c>
      <c r="G8871">
        <v>7.0477999999999996</v>
      </c>
      <c r="H8871">
        <v>0</v>
      </c>
      <c r="I8871">
        <v>13</v>
      </c>
      <c r="J8871" t="str">
        <f>HYPERLINK("https://climate.onebuilding.org/WMO_Region_6_Europe/NOR_Norway/VA_Vest-Agder/NOR_VA_Lindesnes.Lighthouse.014360_TMYx.2007-2021.zip")</f>
        <v>https://climate.onebuilding.org/WMO_Region_6_Europe/NOR_Norway/VA_Vest-Agder/NOR_VA_Lindesnes.Lighthouse.014360_TMYx.2007-2021.zip</v>
      </c>
    </row>
    <row r="8872" spans="1:10" x14ac:dyDescent="0.25">
      <c r="A8872" t="s">
        <v>4974</v>
      </c>
      <c r="B8872" t="s">
        <v>4901</v>
      </c>
      <c r="C8872" t="s">
        <v>6653</v>
      </c>
      <c r="D8872" s="1" t="s">
        <v>6654</v>
      </c>
      <c r="E8872" t="s">
        <v>14</v>
      </c>
      <c r="F8872">
        <v>57.982799999999997</v>
      </c>
      <c r="G8872">
        <v>7.0477999999999996</v>
      </c>
      <c r="H8872">
        <v>0</v>
      </c>
      <c r="I8872">
        <v>13</v>
      </c>
      <c r="J8872" t="str">
        <f>HYPERLINK("https://climate.onebuilding.org/WMO_Region_6_Europe/NOR_Norway/VA_Vest-Agder/NOR_VA_Lindesnes.Lighthouse.014360_TMYx.2009-2023.zip")</f>
        <v>https://climate.onebuilding.org/WMO_Region_6_Europe/NOR_Norway/VA_Vest-Agder/NOR_VA_Lindesnes.Lighthouse.014360_TMYx.2009-2023.zip</v>
      </c>
    </row>
    <row r="8873" spans="1:10" x14ac:dyDescent="0.25">
      <c r="A8873" t="s">
        <v>4974</v>
      </c>
      <c r="B8873" t="s">
        <v>4901</v>
      </c>
      <c r="C8873" t="s">
        <v>6653</v>
      </c>
      <c r="D8873" s="1" t="s">
        <v>6654</v>
      </c>
      <c r="E8873" t="s">
        <v>14</v>
      </c>
      <c r="F8873">
        <v>57.982799999999997</v>
      </c>
      <c r="G8873">
        <v>7.0477999999999996</v>
      </c>
      <c r="H8873">
        <v>0</v>
      </c>
      <c r="I8873">
        <v>13</v>
      </c>
      <c r="J8873" t="str">
        <f>HYPERLINK("https://climate.onebuilding.org/WMO_Region_6_Europe/NOR_Norway/VA_Vest-Agder/NOR_VA_Lindesnes.Lighthouse.014360_TMYx.zip")</f>
        <v>https://climate.onebuilding.org/WMO_Region_6_Europe/NOR_Norway/VA_Vest-Agder/NOR_VA_Lindesnes.Lighthouse.014360_TMYx.zip</v>
      </c>
    </row>
    <row r="8874" spans="1:10" x14ac:dyDescent="0.25">
      <c r="A8874" t="s">
        <v>4974</v>
      </c>
      <c r="B8874" t="s">
        <v>4901</v>
      </c>
      <c r="C8874" t="s">
        <v>6656</v>
      </c>
      <c r="D8874" s="1" t="s">
        <v>6657</v>
      </c>
      <c r="E8874" t="s">
        <v>6658</v>
      </c>
      <c r="F8874">
        <v>58.275799999999997</v>
      </c>
      <c r="G8874">
        <v>7.4419000000000004</v>
      </c>
      <c r="H8874">
        <v>0</v>
      </c>
      <c r="I8874">
        <v>260</v>
      </c>
      <c r="J8874" t="str">
        <f>HYPERLINK("https://climate.onebuilding.org/WMO_Region_6_Europe/NOR_Norway/VA_Vest-Agder/NOR_VA_Konsmo.Hoyland.014390_TMYx.2004-2018.zip")</f>
        <v>https://climate.onebuilding.org/WMO_Region_6_Europe/NOR_Norway/VA_Vest-Agder/NOR_VA_Konsmo.Hoyland.014390_TMYx.2004-2018.zip</v>
      </c>
    </row>
    <row r="8875" spans="1:10" x14ac:dyDescent="0.25">
      <c r="A8875" t="s">
        <v>4974</v>
      </c>
      <c r="B8875" t="s">
        <v>4901</v>
      </c>
      <c r="C8875" t="s">
        <v>6656</v>
      </c>
      <c r="D8875" s="1" t="s">
        <v>6657</v>
      </c>
      <c r="E8875" t="s">
        <v>14</v>
      </c>
      <c r="F8875">
        <v>58.275799999999997</v>
      </c>
      <c r="G8875">
        <v>7.4419000000000004</v>
      </c>
      <c r="H8875">
        <v>0</v>
      </c>
      <c r="I8875">
        <v>260</v>
      </c>
      <c r="J8875" t="str">
        <f>HYPERLINK("https://climate.onebuilding.org/WMO_Region_6_Europe/NOR_Norway/VA_Vest-Agder/NOR_VA_Konsmo.Hoyland.014390_TMYx.2007-2021.zip")</f>
        <v>https://climate.onebuilding.org/WMO_Region_6_Europe/NOR_Norway/VA_Vest-Agder/NOR_VA_Konsmo.Hoyland.014390_TMYx.2007-2021.zip</v>
      </c>
    </row>
    <row r="8876" spans="1:10" x14ac:dyDescent="0.25">
      <c r="A8876" t="s">
        <v>4974</v>
      </c>
      <c r="B8876" t="s">
        <v>4901</v>
      </c>
      <c r="C8876" t="s">
        <v>6656</v>
      </c>
      <c r="D8876" s="1" t="s">
        <v>6657</v>
      </c>
      <c r="E8876" t="s">
        <v>14</v>
      </c>
      <c r="F8876">
        <v>58.275799999999997</v>
      </c>
      <c r="G8876">
        <v>7.4419000000000004</v>
      </c>
      <c r="H8876">
        <v>0</v>
      </c>
      <c r="I8876">
        <v>260</v>
      </c>
      <c r="J8876" t="str">
        <f>HYPERLINK("https://climate.onebuilding.org/WMO_Region_6_Europe/NOR_Norway/VA_Vest-Agder/NOR_VA_Konsmo.Hoyland.014390_TMYx.2009-2023.zip")</f>
        <v>https://climate.onebuilding.org/WMO_Region_6_Europe/NOR_Norway/VA_Vest-Agder/NOR_VA_Konsmo.Hoyland.014390_TMYx.2009-2023.zip</v>
      </c>
    </row>
    <row r="8877" spans="1:10" x14ac:dyDescent="0.25">
      <c r="A8877" t="s">
        <v>4974</v>
      </c>
      <c r="B8877" t="s">
        <v>4901</v>
      </c>
      <c r="C8877" t="s">
        <v>6656</v>
      </c>
      <c r="D8877" s="1" t="s">
        <v>6657</v>
      </c>
      <c r="E8877" t="s">
        <v>14</v>
      </c>
      <c r="F8877">
        <v>58.275799999999997</v>
      </c>
      <c r="G8877">
        <v>7.4419000000000004</v>
      </c>
      <c r="H8877">
        <v>0</v>
      </c>
      <c r="I8877">
        <v>260</v>
      </c>
      <c r="J8877" t="str">
        <f>HYPERLINK("https://climate.onebuilding.org/WMO_Region_6_Europe/NOR_Norway/VA_Vest-Agder/NOR_VA_Konsmo.Hoyland.014390_TMYx.zip")</f>
        <v>https://climate.onebuilding.org/WMO_Region_6_Europe/NOR_Norway/VA_Vest-Agder/NOR_VA_Konsmo.Hoyland.014390_TMYx.zip</v>
      </c>
    </row>
    <row r="8878" spans="1:10" x14ac:dyDescent="0.25">
      <c r="A8878" t="s">
        <v>4974</v>
      </c>
      <c r="B8878" t="s">
        <v>6659</v>
      </c>
      <c r="C8878" t="s">
        <v>6660</v>
      </c>
      <c r="D8878" s="1" t="s">
        <v>6661</v>
      </c>
      <c r="E8878" t="s">
        <v>6662</v>
      </c>
      <c r="F8878">
        <v>59.342799999999997</v>
      </c>
      <c r="G8878">
        <v>6.8733000000000004</v>
      </c>
      <c r="H8878">
        <v>0</v>
      </c>
      <c r="I8878">
        <v>1104.5999999999999</v>
      </c>
      <c r="J8878" t="str">
        <f>HYPERLINK("https://climate.onebuilding.org/WMO_Region_6_Europe/NOR_Norway/AA_Aust-Agder/NOR_AA_Blasjo.014400_TMYx.2004-2018.zip")</f>
        <v>https://climate.onebuilding.org/WMO_Region_6_Europe/NOR_Norway/AA_Aust-Agder/NOR_AA_Blasjo.014400_TMYx.2004-2018.zip</v>
      </c>
    </row>
    <row r="8879" spans="1:10" x14ac:dyDescent="0.25">
      <c r="A8879" t="s">
        <v>4974</v>
      </c>
      <c r="B8879" t="s">
        <v>6659</v>
      </c>
      <c r="C8879" t="s">
        <v>6660</v>
      </c>
      <c r="D8879" s="1" t="s">
        <v>6661</v>
      </c>
      <c r="E8879" t="s">
        <v>14</v>
      </c>
      <c r="F8879">
        <v>59.342799999999997</v>
      </c>
      <c r="G8879">
        <v>6.8733000000000004</v>
      </c>
      <c r="H8879">
        <v>0</v>
      </c>
      <c r="I8879">
        <v>1104.5999999999999</v>
      </c>
      <c r="J8879" t="str">
        <f>HYPERLINK("https://climate.onebuilding.org/WMO_Region_6_Europe/NOR_Norway/AA_Aust-Agder/NOR_AA_Blasjo.014400_TMYx.2007-2021.zip")</f>
        <v>https://climate.onebuilding.org/WMO_Region_6_Europe/NOR_Norway/AA_Aust-Agder/NOR_AA_Blasjo.014400_TMYx.2007-2021.zip</v>
      </c>
    </row>
    <row r="8880" spans="1:10" x14ac:dyDescent="0.25">
      <c r="A8880" t="s">
        <v>4974</v>
      </c>
      <c r="B8880" t="s">
        <v>6659</v>
      </c>
      <c r="C8880" t="s">
        <v>6660</v>
      </c>
      <c r="D8880" s="1" t="s">
        <v>6661</v>
      </c>
      <c r="E8880" t="s">
        <v>14</v>
      </c>
      <c r="F8880">
        <v>59.342799999999997</v>
      </c>
      <c r="G8880">
        <v>6.8733000000000004</v>
      </c>
      <c r="H8880">
        <v>0</v>
      </c>
      <c r="I8880">
        <v>1104.5999999999999</v>
      </c>
      <c r="J8880" t="str">
        <f>HYPERLINK("https://climate.onebuilding.org/WMO_Region_6_Europe/NOR_Norway/AA_Aust-Agder/NOR_AA_Blasjo.014400_TMYx.2009-2023.zip")</f>
        <v>https://climate.onebuilding.org/WMO_Region_6_Europe/NOR_Norway/AA_Aust-Agder/NOR_AA_Blasjo.014400_TMYx.2009-2023.zip</v>
      </c>
    </row>
    <row r="8881" spans="1:10" x14ac:dyDescent="0.25">
      <c r="A8881" t="s">
        <v>4974</v>
      </c>
      <c r="B8881" t="s">
        <v>6659</v>
      </c>
      <c r="C8881" t="s">
        <v>6660</v>
      </c>
      <c r="D8881" s="1" t="s">
        <v>6661</v>
      </c>
      <c r="E8881" t="s">
        <v>14</v>
      </c>
      <c r="F8881">
        <v>59.342799999999997</v>
      </c>
      <c r="G8881">
        <v>6.8733000000000004</v>
      </c>
      <c r="H8881">
        <v>0</v>
      </c>
      <c r="I8881">
        <v>1104.5999999999999</v>
      </c>
      <c r="J8881" t="str">
        <f>HYPERLINK("https://climate.onebuilding.org/WMO_Region_6_Europe/NOR_Norway/AA_Aust-Agder/NOR_AA_Blasjo.014400_TMYx.zip")</f>
        <v>https://climate.onebuilding.org/WMO_Region_6_Europe/NOR_Norway/AA_Aust-Agder/NOR_AA_Blasjo.014400_TMYx.zip</v>
      </c>
    </row>
    <row r="8882" spans="1:10" x14ac:dyDescent="0.25">
      <c r="A8882" t="s">
        <v>4974</v>
      </c>
      <c r="B8882" t="s">
        <v>6659</v>
      </c>
      <c r="C8882" t="s">
        <v>6663</v>
      </c>
      <c r="D8882" s="1" t="s">
        <v>6664</v>
      </c>
      <c r="E8882" t="s">
        <v>6665</v>
      </c>
      <c r="F8882">
        <v>59.576700000000002</v>
      </c>
      <c r="G8882">
        <v>7.3897000000000004</v>
      </c>
      <c r="H8882">
        <v>0</v>
      </c>
      <c r="I8882">
        <v>836.2</v>
      </c>
      <c r="J8882" t="str">
        <f>HYPERLINK("https://climate.onebuilding.org/WMO_Region_6_Europe/NOR_Norway/AA_Aust-Agder/NOR_AA_Hovden.Lundane.014410_TMYx.2004-2018.zip")</f>
        <v>https://climate.onebuilding.org/WMO_Region_6_Europe/NOR_Norway/AA_Aust-Agder/NOR_AA_Hovden.Lundane.014410_TMYx.2004-2018.zip</v>
      </c>
    </row>
    <row r="8883" spans="1:10" x14ac:dyDescent="0.25">
      <c r="A8883" t="s">
        <v>4974</v>
      </c>
      <c r="B8883" t="s">
        <v>6659</v>
      </c>
      <c r="C8883" t="s">
        <v>6663</v>
      </c>
      <c r="D8883" s="1" t="s">
        <v>6664</v>
      </c>
      <c r="E8883" t="s">
        <v>14</v>
      </c>
      <c r="F8883">
        <v>59.576700000000002</v>
      </c>
      <c r="G8883">
        <v>7.3897000000000004</v>
      </c>
      <c r="H8883">
        <v>0</v>
      </c>
      <c r="I8883">
        <v>836.2</v>
      </c>
      <c r="J8883" t="str">
        <f>HYPERLINK("https://climate.onebuilding.org/WMO_Region_6_Europe/NOR_Norway/AA_Aust-Agder/NOR_AA_Hovden.Lundane.014410_TMYx.2007-2021.zip")</f>
        <v>https://climate.onebuilding.org/WMO_Region_6_Europe/NOR_Norway/AA_Aust-Agder/NOR_AA_Hovden.Lundane.014410_TMYx.2007-2021.zip</v>
      </c>
    </row>
    <row r="8884" spans="1:10" x14ac:dyDescent="0.25">
      <c r="A8884" t="s">
        <v>4974</v>
      </c>
      <c r="B8884" t="s">
        <v>6659</v>
      </c>
      <c r="C8884" t="s">
        <v>6663</v>
      </c>
      <c r="D8884" s="1" t="s">
        <v>6664</v>
      </c>
      <c r="E8884" t="s">
        <v>14</v>
      </c>
      <c r="F8884">
        <v>59.576700000000002</v>
      </c>
      <c r="G8884">
        <v>7.3897000000000004</v>
      </c>
      <c r="H8884">
        <v>0</v>
      </c>
      <c r="I8884">
        <v>836.2</v>
      </c>
      <c r="J8884" t="str">
        <f>HYPERLINK("https://climate.onebuilding.org/WMO_Region_6_Europe/NOR_Norway/AA_Aust-Agder/NOR_AA_Hovden.Lundane.014410_TMYx.2009-2023.zip")</f>
        <v>https://climate.onebuilding.org/WMO_Region_6_Europe/NOR_Norway/AA_Aust-Agder/NOR_AA_Hovden.Lundane.014410_TMYx.2009-2023.zip</v>
      </c>
    </row>
    <row r="8885" spans="1:10" x14ac:dyDescent="0.25">
      <c r="A8885" t="s">
        <v>4974</v>
      </c>
      <c r="B8885" t="s">
        <v>6659</v>
      </c>
      <c r="C8885" t="s">
        <v>6663</v>
      </c>
      <c r="D8885" s="1" t="s">
        <v>6664</v>
      </c>
      <c r="E8885" t="s">
        <v>14</v>
      </c>
      <c r="F8885">
        <v>59.576700000000002</v>
      </c>
      <c r="G8885">
        <v>7.3897000000000004</v>
      </c>
      <c r="H8885">
        <v>0</v>
      </c>
      <c r="I8885">
        <v>836.2</v>
      </c>
      <c r="J8885" t="str">
        <f>HYPERLINK("https://climate.onebuilding.org/WMO_Region_6_Europe/NOR_Norway/AA_Aust-Agder/NOR_AA_Hovden.Lundane.014410_TMYx.zip")</f>
        <v>https://climate.onebuilding.org/WMO_Region_6_Europe/NOR_Norway/AA_Aust-Agder/NOR_AA_Hovden.Lundane.014410_TMYx.zip</v>
      </c>
    </row>
    <row r="8886" spans="1:10" x14ac:dyDescent="0.25">
      <c r="A8886" t="s">
        <v>4974</v>
      </c>
      <c r="B8886" t="s">
        <v>6659</v>
      </c>
      <c r="C8886" t="s">
        <v>6666</v>
      </c>
      <c r="D8886" s="1" t="s">
        <v>6667</v>
      </c>
      <c r="E8886" t="s">
        <v>6668</v>
      </c>
      <c r="F8886">
        <v>58.6676</v>
      </c>
      <c r="G8886">
        <v>7.8015999999999996</v>
      </c>
      <c r="H8886">
        <v>1</v>
      </c>
      <c r="I8886">
        <v>211.3</v>
      </c>
      <c r="J8886" t="str">
        <f>HYPERLINK("https://climate.onebuilding.org/WMO_Region_6_Europe/NOR_Norway/AA_Aust-Agder/NOR_AA_Byglandsfjord.014420_TMYx.2004-2018.zip")</f>
        <v>https://climate.onebuilding.org/WMO_Region_6_Europe/NOR_Norway/AA_Aust-Agder/NOR_AA_Byglandsfjord.014420_TMYx.2004-2018.zip</v>
      </c>
    </row>
    <row r="8887" spans="1:10" x14ac:dyDescent="0.25">
      <c r="A8887" t="s">
        <v>4974</v>
      </c>
      <c r="B8887" t="s">
        <v>6659</v>
      </c>
      <c r="C8887" t="s">
        <v>6666</v>
      </c>
      <c r="D8887" s="1" t="s">
        <v>6667</v>
      </c>
      <c r="E8887" t="s">
        <v>14</v>
      </c>
      <c r="F8887">
        <v>58.6676</v>
      </c>
      <c r="G8887">
        <v>7.8015999999999996</v>
      </c>
      <c r="H8887">
        <v>1</v>
      </c>
      <c r="I8887">
        <v>211.3</v>
      </c>
      <c r="J8887" t="str">
        <f>HYPERLINK("https://climate.onebuilding.org/WMO_Region_6_Europe/NOR_Norway/AA_Aust-Agder/NOR_AA_Byglandsfjord.014420_TMYx.2007-2021.zip")</f>
        <v>https://climate.onebuilding.org/WMO_Region_6_Europe/NOR_Norway/AA_Aust-Agder/NOR_AA_Byglandsfjord.014420_TMYx.2007-2021.zip</v>
      </c>
    </row>
    <row r="8888" spans="1:10" x14ac:dyDescent="0.25">
      <c r="A8888" t="s">
        <v>4974</v>
      </c>
      <c r="B8888" t="s">
        <v>6659</v>
      </c>
      <c r="C8888" t="s">
        <v>6666</v>
      </c>
      <c r="D8888" s="1" t="s">
        <v>6667</v>
      </c>
      <c r="E8888" t="s">
        <v>14</v>
      </c>
      <c r="F8888">
        <v>58.6676</v>
      </c>
      <c r="G8888">
        <v>7.8015999999999996</v>
      </c>
      <c r="H8888">
        <v>1</v>
      </c>
      <c r="I8888">
        <v>211.3</v>
      </c>
      <c r="J8888" t="str">
        <f>HYPERLINK("https://climate.onebuilding.org/WMO_Region_6_Europe/NOR_Norway/AA_Aust-Agder/NOR_AA_Byglandsfjord.014420_TMYx.2009-2023.zip")</f>
        <v>https://climate.onebuilding.org/WMO_Region_6_Europe/NOR_Norway/AA_Aust-Agder/NOR_AA_Byglandsfjord.014420_TMYx.2009-2023.zip</v>
      </c>
    </row>
    <row r="8889" spans="1:10" x14ac:dyDescent="0.25">
      <c r="A8889" t="s">
        <v>4974</v>
      </c>
      <c r="B8889" t="s">
        <v>6659</v>
      </c>
      <c r="C8889" t="s">
        <v>6666</v>
      </c>
      <c r="D8889" s="1" t="s">
        <v>6667</v>
      </c>
      <c r="E8889" t="s">
        <v>14</v>
      </c>
      <c r="F8889">
        <v>58.6676</v>
      </c>
      <c r="G8889">
        <v>7.8015999999999996</v>
      </c>
      <c r="H8889">
        <v>1</v>
      </c>
      <c r="I8889">
        <v>211.3</v>
      </c>
      <c r="J8889" t="str">
        <f>HYPERLINK("https://climate.onebuilding.org/WMO_Region_6_Europe/NOR_Norway/AA_Aust-Agder/NOR_AA_Byglandsfjord.014420_TMYx.zip")</f>
        <v>https://climate.onebuilding.org/WMO_Region_6_Europe/NOR_Norway/AA_Aust-Agder/NOR_AA_Byglandsfjord.014420_TMYx.zip</v>
      </c>
    </row>
    <row r="8890" spans="1:10" x14ac:dyDescent="0.25">
      <c r="A8890" t="s">
        <v>4974</v>
      </c>
      <c r="B8890" t="s">
        <v>6659</v>
      </c>
      <c r="C8890" t="s">
        <v>6669</v>
      </c>
      <c r="D8890" s="1" t="s">
        <v>6670</v>
      </c>
      <c r="E8890" t="s">
        <v>6671</v>
      </c>
      <c r="F8890">
        <v>59.201700000000002</v>
      </c>
      <c r="G8890">
        <v>7.5327999999999999</v>
      </c>
      <c r="H8890">
        <v>1</v>
      </c>
      <c r="I8890">
        <v>302</v>
      </c>
      <c r="J8890" t="str">
        <f>HYPERLINK("https://climate.onebuilding.org/WMO_Region_6_Europe/NOR_Norway/AA_Aust-Agder/NOR_AA_Valle.014440_TMYx.2004-2018.zip")</f>
        <v>https://climate.onebuilding.org/WMO_Region_6_Europe/NOR_Norway/AA_Aust-Agder/NOR_AA_Valle.014440_TMYx.2004-2018.zip</v>
      </c>
    </row>
    <row r="8891" spans="1:10" x14ac:dyDescent="0.25">
      <c r="A8891" t="s">
        <v>4974</v>
      </c>
      <c r="B8891" t="s">
        <v>6659</v>
      </c>
      <c r="C8891" t="s">
        <v>6669</v>
      </c>
      <c r="D8891" s="1" t="s">
        <v>6670</v>
      </c>
      <c r="E8891" t="s">
        <v>14</v>
      </c>
      <c r="F8891">
        <v>59.201700000000002</v>
      </c>
      <c r="G8891">
        <v>7.5327999999999999</v>
      </c>
      <c r="H8891">
        <v>1</v>
      </c>
      <c r="I8891">
        <v>302</v>
      </c>
      <c r="J8891" t="str">
        <f>HYPERLINK("https://climate.onebuilding.org/WMO_Region_6_Europe/NOR_Norway/AA_Aust-Agder/NOR_AA_Valle.014440_TMYx.2007-2021.zip")</f>
        <v>https://climate.onebuilding.org/WMO_Region_6_Europe/NOR_Norway/AA_Aust-Agder/NOR_AA_Valle.014440_TMYx.2007-2021.zip</v>
      </c>
    </row>
    <row r="8892" spans="1:10" x14ac:dyDescent="0.25">
      <c r="A8892" t="s">
        <v>4974</v>
      </c>
      <c r="B8892" t="s">
        <v>6659</v>
      </c>
      <c r="C8892" t="s">
        <v>6669</v>
      </c>
      <c r="D8892" s="1" t="s">
        <v>6670</v>
      </c>
      <c r="E8892" t="s">
        <v>14</v>
      </c>
      <c r="F8892">
        <v>59.201700000000002</v>
      </c>
      <c r="G8892">
        <v>7.5327999999999999</v>
      </c>
      <c r="H8892">
        <v>1</v>
      </c>
      <c r="I8892">
        <v>302</v>
      </c>
      <c r="J8892" t="str">
        <f>HYPERLINK("https://climate.onebuilding.org/WMO_Region_6_Europe/NOR_Norway/AA_Aust-Agder/NOR_AA_Valle.014440_TMYx.2009-2023.zip")</f>
        <v>https://climate.onebuilding.org/WMO_Region_6_Europe/NOR_Norway/AA_Aust-Agder/NOR_AA_Valle.014440_TMYx.2009-2023.zip</v>
      </c>
    </row>
    <row r="8893" spans="1:10" x14ac:dyDescent="0.25">
      <c r="A8893" t="s">
        <v>4974</v>
      </c>
      <c r="B8893" t="s">
        <v>6659</v>
      </c>
      <c r="C8893" t="s">
        <v>6669</v>
      </c>
      <c r="D8893" s="1" t="s">
        <v>6670</v>
      </c>
      <c r="E8893" t="s">
        <v>14</v>
      </c>
      <c r="F8893">
        <v>59.201700000000002</v>
      </c>
      <c r="G8893">
        <v>7.5327999999999999</v>
      </c>
      <c r="H8893">
        <v>1</v>
      </c>
      <c r="I8893">
        <v>302</v>
      </c>
      <c r="J8893" t="str">
        <f>HYPERLINK("https://climate.onebuilding.org/WMO_Region_6_Europe/NOR_Norway/AA_Aust-Agder/NOR_AA_Valle.014440_TMYx.zip")</f>
        <v>https://climate.onebuilding.org/WMO_Region_6_Europe/NOR_Norway/AA_Aust-Agder/NOR_AA_Valle.014440_TMYx.zip</v>
      </c>
    </row>
    <row r="8894" spans="1:10" x14ac:dyDescent="0.25">
      <c r="A8894" t="s">
        <v>4974</v>
      </c>
      <c r="B8894" t="s">
        <v>5606</v>
      </c>
      <c r="C8894" t="s">
        <v>6672</v>
      </c>
      <c r="D8894" s="1" t="s">
        <v>6673</v>
      </c>
      <c r="E8894" t="s">
        <v>14</v>
      </c>
      <c r="F8894">
        <v>59.567</v>
      </c>
      <c r="G8894">
        <v>8.1999999999999993</v>
      </c>
      <c r="H8894">
        <v>1</v>
      </c>
      <c r="I8894">
        <v>714</v>
      </c>
      <c r="J8894" t="str">
        <f>HYPERLINK("https://climate.onebuilding.org/WMO_Region_6_Europe/NOR_Norway/TE_Telemark/NOR_TE_Oyfjell.Trovatn.014460_TMYx.zip")</f>
        <v>https://climate.onebuilding.org/WMO_Region_6_Europe/NOR_Norway/TE_Telemark/NOR_TE_Oyfjell.Trovatn.014460_TMYx.zip</v>
      </c>
    </row>
    <row r="8895" spans="1:10" x14ac:dyDescent="0.25">
      <c r="A8895" t="s">
        <v>4974</v>
      </c>
      <c r="B8895" t="s">
        <v>5606</v>
      </c>
      <c r="C8895" t="s">
        <v>6674</v>
      </c>
      <c r="D8895" s="1" t="s">
        <v>6675</v>
      </c>
      <c r="E8895" t="s">
        <v>6676</v>
      </c>
      <c r="F8895">
        <v>59.496899999999997</v>
      </c>
      <c r="G8895">
        <v>8.1991999999999994</v>
      </c>
      <c r="H8895">
        <v>1</v>
      </c>
      <c r="I8895">
        <v>561.9</v>
      </c>
      <c r="J8895" t="str">
        <f>HYPERLINK("https://climate.onebuilding.org/WMO_Region_6_Europe/NOR_Norway/TE_Telemark/NOR_TE_Hoydalsmo.014470_TMYx.2004-2018.zip")</f>
        <v>https://climate.onebuilding.org/WMO_Region_6_Europe/NOR_Norway/TE_Telemark/NOR_TE_Hoydalsmo.014470_TMYx.2004-2018.zip</v>
      </c>
    </row>
    <row r="8896" spans="1:10" x14ac:dyDescent="0.25">
      <c r="A8896" t="s">
        <v>4974</v>
      </c>
      <c r="B8896" t="s">
        <v>5606</v>
      </c>
      <c r="C8896" t="s">
        <v>6674</v>
      </c>
      <c r="D8896" s="1" t="s">
        <v>6675</v>
      </c>
      <c r="E8896" t="s">
        <v>14</v>
      </c>
      <c r="F8896">
        <v>59.496899999999997</v>
      </c>
      <c r="G8896">
        <v>8.1991999999999994</v>
      </c>
      <c r="H8896">
        <v>1</v>
      </c>
      <c r="I8896">
        <v>561.9</v>
      </c>
      <c r="J8896" t="str">
        <f>HYPERLINK("https://climate.onebuilding.org/WMO_Region_6_Europe/NOR_Norway/TE_Telemark/NOR_TE_Hoydalsmo.014470_TMYx.2007-2021.zip")</f>
        <v>https://climate.onebuilding.org/WMO_Region_6_Europe/NOR_Norway/TE_Telemark/NOR_TE_Hoydalsmo.014470_TMYx.2007-2021.zip</v>
      </c>
    </row>
    <row r="8897" spans="1:10" x14ac:dyDescent="0.25">
      <c r="A8897" t="s">
        <v>4974</v>
      </c>
      <c r="B8897" t="s">
        <v>5606</v>
      </c>
      <c r="C8897" t="s">
        <v>6674</v>
      </c>
      <c r="D8897" s="1" t="s">
        <v>6675</v>
      </c>
      <c r="E8897" t="s">
        <v>14</v>
      </c>
      <c r="F8897">
        <v>59.496899999999997</v>
      </c>
      <c r="G8897">
        <v>8.1991999999999994</v>
      </c>
      <c r="H8897">
        <v>1</v>
      </c>
      <c r="I8897">
        <v>561.9</v>
      </c>
      <c r="J8897" t="str">
        <f>HYPERLINK("https://climate.onebuilding.org/WMO_Region_6_Europe/NOR_Norway/TE_Telemark/NOR_TE_Hoydalsmo.014470_TMYx.2009-2023.zip")</f>
        <v>https://climate.onebuilding.org/WMO_Region_6_Europe/NOR_Norway/TE_Telemark/NOR_TE_Hoydalsmo.014470_TMYx.2009-2023.zip</v>
      </c>
    </row>
    <row r="8898" spans="1:10" x14ac:dyDescent="0.25">
      <c r="A8898" t="s">
        <v>4974</v>
      </c>
      <c r="B8898" t="s">
        <v>5606</v>
      </c>
      <c r="C8898" t="s">
        <v>6674</v>
      </c>
      <c r="D8898" s="1" t="s">
        <v>6675</v>
      </c>
      <c r="E8898" t="s">
        <v>14</v>
      </c>
      <c r="F8898">
        <v>59.496899999999997</v>
      </c>
      <c r="G8898">
        <v>8.1991999999999994</v>
      </c>
      <c r="H8898">
        <v>1</v>
      </c>
      <c r="I8898">
        <v>561.9</v>
      </c>
      <c r="J8898" t="str">
        <f>HYPERLINK("https://climate.onebuilding.org/WMO_Region_6_Europe/NOR_Norway/TE_Telemark/NOR_TE_Hoydalsmo.014470_TMYx.zip")</f>
        <v>https://climate.onebuilding.org/WMO_Region_6_Europe/NOR_Norway/TE_Telemark/NOR_TE_Hoydalsmo.014470_TMYx.zip</v>
      </c>
    </row>
    <row r="8899" spans="1:10" x14ac:dyDescent="0.25">
      <c r="A8899" t="s">
        <v>4974</v>
      </c>
      <c r="B8899" t="s">
        <v>4901</v>
      </c>
      <c r="C8899" t="s">
        <v>6677</v>
      </c>
      <c r="D8899" s="1" t="s">
        <v>6678</v>
      </c>
      <c r="E8899" t="s">
        <v>6679</v>
      </c>
      <c r="F8899">
        <v>58.073099999999997</v>
      </c>
      <c r="G8899">
        <v>8.0531000000000006</v>
      </c>
      <c r="H8899">
        <v>1</v>
      </c>
      <c r="I8899">
        <v>8</v>
      </c>
      <c r="J8899" t="str">
        <f>HYPERLINK("https://climate.onebuilding.org/WMO_Region_6_Europe/NOR_Norway/VA_Vest-Agder/NOR_VA_Oksoy.Lighthouse.014480_TMYx.2004-2018.zip")</f>
        <v>https://climate.onebuilding.org/WMO_Region_6_Europe/NOR_Norway/VA_Vest-Agder/NOR_VA_Oksoy.Lighthouse.014480_TMYx.2004-2018.zip</v>
      </c>
    </row>
    <row r="8900" spans="1:10" x14ac:dyDescent="0.25">
      <c r="A8900" t="s">
        <v>4974</v>
      </c>
      <c r="B8900" t="s">
        <v>4901</v>
      </c>
      <c r="C8900" t="s">
        <v>6677</v>
      </c>
      <c r="D8900" s="1" t="s">
        <v>6678</v>
      </c>
      <c r="E8900" t="s">
        <v>14</v>
      </c>
      <c r="F8900">
        <v>58.073099999999997</v>
      </c>
      <c r="G8900">
        <v>8.0531000000000006</v>
      </c>
      <c r="H8900">
        <v>1</v>
      </c>
      <c r="I8900">
        <v>8</v>
      </c>
      <c r="J8900" t="str">
        <f>HYPERLINK("https://climate.onebuilding.org/WMO_Region_6_Europe/NOR_Norway/VA_Vest-Agder/NOR_VA_Oksoy.Lighthouse.014480_TMYx.2007-2021.zip")</f>
        <v>https://climate.onebuilding.org/WMO_Region_6_Europe/NOR_Norway/VA_Vest-Agder/NOR_VA_Oksoy.Lighthouse.014480_TMYx.2007-2021.zip</v>
      </c>
    </row>
    <row r="8901" spans="1:10" x14ac:dyDescent="0.25">
      <c r="A8901" t="s">
        <v>4974</v>
      </c>
      <c r="B8901" t="s">
        <v>4901</v>
      </c>
      <c r="C8901" t="s">
        <v>6677</v>
      </c>
      <c r="D8901" s="1" t="s">
        <v>6678</v>
      </c>
      <c r="E8901" t="s">
        <v>14</v>
      </c>
      <c r="F8901">
        <v>58.073099999999997</v>
      </c>
      <c r="G8901">
        <v>8.0531000000000006</v>
      </c>
      <c r="H8901">
        <v>1</v>
      </c>
      <c r="I8901">
        <v>8</v>
      </c>
      <c r="J8901" t="str">
        <f>HYPERLINK("https://climate.onebuilding.org/WMO_Region_6_Europe/NOR_Norway/VA_Vest-Agder/NOR_VA_Oksoy.Lighthouse.014480_TMYx.2009-2023.zip")</f>
        <v>https://climate.onebuilding.org/WMO_Region_6_Europe/NOR_Norway/VA_Vest-Agder/NOR_VA_Oksoy.Lighthouse.014480_TMYx.2009-2023.zip</v>
      </c>
    </row>
    <row r="8902" spans="1:10" x14ac:dyDescent="0.25">
      <c r="A8902" t="s">
        <v>4974</v>
      </c>
      <c r="B8902" t="s">
        <v>4901</v>
      </c>
      <c r="C8902" t="s">
        <v>6677</v>
      </c>
      <c r="D8902" s="1" t="s">
        <v>6678</v>
      </c>
      <c r="E8902" t="s">
        <v>14</v>
      </c>
      <c r="F8902">
        <v>58.073099999999997</v>
      </c>
      <c r="G8902">
        <v>8.0531000000000006</v>
      </c>
      <c r="H8902">
        <v>1</v>
      </c>
      <c r="I8902">
        <v>8</v>
      </c>
      <c r="J8902" t="str">
        <f>HYPERLINK("https://climate.onebuilding.org/WMO_Region_6_Europe/NOR_Norway/VA_Vest-Agder/NOR_VA_Oksoy.Lighthouse.014480_TMYx.zip")</f>
        <v>https://climate.onebuilding.org/WMO_Region_6_Europe/NOR_Norway/VA_Vest-Agder/NOR_VA_Oksoy.Lighthouse.014480_TMYx.zip</v>
      </c>
    </row>
    <row r="8903" spans="1:10" x14ac:dyDescent="0.25">
      <c r="A8903" t="s">
        <v>4974</v>
      </c>
      <c r="B8903" t="s">
        <v>6659</v>
      </c>
      <c r="C8903" t="s">
        <v>6680</v>
      </c>
      <c r="D8903" s="1" t="s">
        <v>6681</v>
      </c>
      <c r="E8903" t="s">
        <v>6682</v>
      </c>
      <c r="F8903">
        <v>58.87</v>
      </c>
      <c r="G8903">
        <v>9.0264000000000006</v>
      </c>
      <c r="H8903">
        <v>1</v>
      </c>
      <c r="I8903">
        <v>32</v>
      </c>
      <c r="J8903" t="str">
        <f>HYPERLINK("https://climate.onebuilding.org/WMO_Region_6_Europe/NOR_Norway/AA_Aust-Agder/NOR_AA_Gjerstad.014490_TMYx.2004-2018.zip")</f>
        <v>https://climate.onebuilding.org/WMO_Region_6_Europe/NOR_Norway/AA_Aust-Agder/NOR_AA_Gjerstad.014490_TMYx.2004-2018.zip</v>
      </c>
    </row>
    <row r="8904" spans="1:10" x14ac:dyDescent="0.25">
      <c r="A8904" t="s">
        <v>4974</v>
      </c>
      <c r="B8904" t="s">
        <v>6659</v>
      </c>
      <c r="C8904" t="s">
        <v>6680</v>
      </c>
      <c r="D8904" s="1" t="s">
        <v>6681</v>
      </c>
      <c r="E8904" t="s">
        <v>14</v>
      </c>
      <c r="F8904">
        <v>58.87</v>
      </c>
      <c r="G8904">
        <v>9.0264000000000006</v>
      </c>
      <c r="H8904">
        <v>1</v>
      </c>
      <c r="I8904">
        <v>32</v>
      </c>
      <c r="J8904" t="str">
        <f>HYPERLINK("https://climate.onebuilding.org/WMO_Region_6_Europe/NOR_Norway/AA_Aust-Agder/NOR_AA_Gjerstad.014490_TMYx.2007-2021.zip")</f>
        <v>https://climate.onebuilding.org/WMO_Region_6_Europe/NOR_Norway/AA_Aust-Agder/NOR_AA_Gjerstad.014490_TMYx.2007-2021.zip</v>
      </c>
    </row>
    <row r="8905" spans="1:10" x14ac:dyDescent="0.25">
      <c r="A8905" t="s">
        <v>4974</v>
      </c>
      <c r="B8905" t="s">
        <v>6659</v>
      </c>
      <c r="C8905" t="s">
        <v>6680</v>
      </c>
      <c r="D8905" s="1" t="s">
        <v>6681</v>
      </c>
      <c r="E8905" t="s">
        <v>14</v>
      </c>
      <c r="F8905">
        <v>58.87</v>
      </c>
      <c r="G8905">
        <v>9.0264000000000006</v>
      </c>
      <c r="H8905">
        <v>1</v>
      </c>
      <c r="I8905">
        <v>32</v>
      </c>
      <c r="J8905" t="str">
        <f>HYPERLINK("https://climate.onebuilding.org/WMO_Region_6_Europe/NOR_Norway/AA_Aust-Agder/NOR_AA_Gjerstad.014490_TMYx.2009-2023.zip")</f>
        <v>https://climate.onebuilding.org/WMO_Region_6_Europe/NOR_Norway/AA_Aust-Agder/NOR_AA_Gjerstad.014490_TMYx.2009-2023.zip</v>
      </c>
    </row>
    <row r="8906" spans="1:10" x14ac:dyDescent="0.25">
      <c r="A8906" t="s">
        <v>4974</v>
      </c>
      <c r="B8906" t="s">
        <v>6659</v>
      </c>
      <c r="C8906" t="s">
        <v>6680</v>
      </c>
      <c r="D8906" s="1" t="s">
        <v>6681</v>
      </c>
      <c r="E8906" t="s">
        <v>14</v>
      </c>
      <c r="F8906">
        <v>58.87</v>
      </c>
      <c r="G8906">
        <v>9.0264000000000006</v>
      </c>
      <c r="H8906">
        <v>1</v>
      </c>
      <c r="I8906">
        <v>32</v>
      </c>
      <c r="J8906" t="str">
        <f>HYPERLINK("https://climate.onebuilding.org/WMO_Region_6_Europe/NOR_Norway/AA_Aust-Agder/NOR_AA_Gjerstad.014490_TMYx.zip")</f>
        <v>https://climate.onebuilding.org/WMO_Region_6_Europe/NOR_Norway/AA_Aust-Agder/NOR_AA_Gjerstad.014490_TMYx.zip</v>
      </c>
    </row>
    <row r="8907" spans="1:10" x14ac:dyDescent="0.25">
      <c r="A8907" t="s">
        <v>4974</v>
      </c>
      <c r="B8907" t="s">
        <v>5606</v>
      </c>
      <c r="C8907" t="s">
        <v>6683</v>
      </c>
      <c r="D8907" s="1" t="s">
        <v>6684</v>
      </c>
      <c r="E8907" t="s">
        <v>6685</v>
      </c>
      <c r="F8907">
        <v>59.839399999999998</v>
      </c>
      <c r="G8907">
        <v>8.1791999999999998</v>
      </c>
      <c r="H8907">
        <v>1</v>
      </c>
      <c r="I8907">
        <v>977</v>
      </c>
      <c r="J8907" t="str">
        <f>HYPERLINK("https://climate.onebuilding.org/WMO_Region_6_Europe/NOR_Norway/TE_Telemark/NOR_TE_Mosstrand.014500_TMYx.2004-2018.zip")</f>
        <v>https://climate.onebuilding.org/WMO_Region_6_Europe/NOR_Norway/TE_Telemark/NOR_TE_Mosstrand.014500_TMYx.2004-2018.zip</v>
      </c>
    </row>
    <row r="8908" spans="1:10" x14ac:dyDescent="0.25">
      <c r="A8908" t="s">
        <v>4974</v>
      </c>
      <c r="B8908" t="s">
        <v>5606</v>
      </c>
      <c r="C8908" t="s">
        <v>6683</v>
      </c>
      <c r="D8908" s="1" t="s">
        <v>6684</v>
      </c>
      <c r="E8908" t="s">
        <v>14</v>
      </c>
      <c r="F8908">
        <v>59.839399999999998</v>
      </c>
      <c r="G8908">
        <v>8.1791999999999998</v>
      </c>
      <c r="H8908">
        <v>1</v>
      </c>
      <c r="I8908">
        <v>977</v>
      </c>
      <c r="J8908" t="str">
        <f>HYPERLINK("https://climate.onebuilding.org/WMO_Region_6_Europe/NOR_Norway/TE_Telemark/NOR_TE_Mosstrand.014500_TMYx.2007-2021.zip")</f>
        <v>https://climate.onebuilding.org/WMO_Region_6_Europe/NOR_Norway/TE_Telemark/NOR_TE_Mosstrand.014500_TMYx.2007-2021.zip</v>
      </c>
    </row>
    <row r="8909" spans="1:10" x14ac:dyDescent="0.25">
      <c r="A8909" t="s">
        <v>4974</v>
      </c>
      <c r="B8909" t="s">
        <v>5606</v>
      </c>
      <c r="C8909" t="s">
        <v>6683</v>
      </c>
      <c r="D8909" s="1" t="s">
        <v>6684</v>
      </c>
      <c r="E8909" t="s">
        <v>14</v>
      </c>
      <c r="F8909">
        <v>59.839399999999998</v>
      </c>
      <c r="G8909">
        <v>8.1791999999999998</v>
      </c>
      <c r="H8909">
        <v>1</v>
      </c>
      <c r="I8909">
        <v>977</v>
      </c>
      <c r="J8909" t="str">
        <f>HYPERLINK("https://climate.onebuilding.org/WMO_Region_6_Europe/NOR_Norway/TE_Telemark/NOR_TE_Mosstrand.014500_TMYx.2009-2023.zip")</f>
        <v>https://climate.onebuilding.org/WMO_Region_6_Europe/NOR_Norway/TE_Telemark/NOR_TE_Mosstrand.014500_TMYx.2009-2023.zip</v>
      </c>
    </row>
    <row r="8910" spans="1:10" x14ac:dyDescent="0.25">
      <c r="A8910" t="s">
        <v>4974</v>
      </c>
      <c r="B8910" t="s">
        <v>5606</v>
      </c>
      <c r="C8910" t="s">
        <v>6683</v>
      </c>
      <c r="D8910" s="1" t="s">
        <v>6684</v>
      </c>
      <c r="E8910" t="s">
        <v>14</v>
      </c>
      <c r="F8910">
        <v>59.839399999999998</v>
      </c>
      <c r="G8910">
        <v>8.1791999999999998</v>
      </c>
      <c r="H8910">
        <v>1</v>
      </c>
      <c r="I8910">
        <v>977</v>
      </c>
      <c r="J8910" t="str">
        <f>HYPERLINK("https://climate.onebuilding.org/WMO_Region_6_Europe/NOR_Norway/TE_Telemark/NOR_TE_Mosstrand.014500_TMYx.zip")</f>
        <v>https://climate.onebuilding.org/WMO_Region_6_Europe/NOR_Norway/TE_Telemark/NOR_TE_Mosstrand.014500_TMYx.zip</v>
      </c>
    </row>
    <row r="8911" spans="1:10" x14ac:dyDescent="0.25">
      <c r="A8911" t="s">
        <v>4974</v>
      </c>
      <c r="B8911" t="s">
        <v>4901</v>
      </c>
      <c r="C8911" t="s">
        <v>6686</v>
      </c>
      <c r="D8911" s="1" t="s">
        <v>6687</v>
      </c>
      <c r="E8911" t="s">
        <v>6688</v>
      </c>
      <c r="F8911">
        <v>58.2</v>
      </c>
      <c r="G8911">
        <v>8.0767000000000007</v>
      </c>
      <c r="H8911">
        <v>1</v>
      </c>
      <c r="I8911">
        <v>17.399999999999999</v>
      </c>
      <c r="J8911" t="str">
        <f>HYPERLINK("https://climate.onebuilding.org/WMO_Region_6_Europe/NOR_Norway/VA_Vest-Agder/NOR_VA_Kristiansand.AP-Kjevik.014520_TMYx.2004-2018.zip")</f>
        <v>https://climate.onebuilding.org/WMO_Region_6_Europe/NOR_Norway/VA_Vest-Agder/NOR_VA_Kristiansand.AP-Kjevik.014520_TMYx.2004-2018.zip</v>
      </c>
    </row>
    <row r="8912" spans="1:10" x14ac:dyDescent="0.25">
      <c r="A8912" t="s">
        <v>4974</v>
      </c>
      <c r="B8912" t="s">
        <v>4901</v>
      </c>
      <c r="C8912" t="s">
        <v>6686</v>
      </c>
      <c r="D8912" s="1" t="s">
        <v>6687</v>
      </c>
      <c r="E8912" t="s">
        <v>14</v>
      </c>
      <c r="F8912">
        <v>58.2</v>
      </c>
      <c r="G8912">
        <v>8.0767000000000007</v>
      </c>
      <c r="H8912">
        <v>1</v>
      </c>
      <c r="I8912">
        <v>17.399999999999999</v>
      </c>
      <c r="J8912" t="str">
        <f>HYPERLINK("https://climate.onebuilding.org/WMO_Region_6_Europe/NOR_Norway/VA_Vest-Agder/NOR_VA_Kristiansand.AP-Kjevik.014520_TMYx.2007-2021.zip")</f>
        <v>https://climate.onebuilding.org/WMO_Region_6_Europe/NOR_Norway/VA_Vest-Agder/NOR_VA_Kristiansand.AP-Kjevik.014520_TMYx.2007-2021.zip</v>
      </c>
    </row>
    <row r="8913" spans="1:10" x14ac:dyDescent="0.25">
      <c r="A8913" t="s">
        <v>4974</v>
      </c>
      <c r="B8913" t="s">
        <v>4901</v>
      </c>
      <c r="C8913" t="s">
        <v>6686</v>
      </c>
      <c r="D8913" s="1" t="s">
        <v>6687</v>
      </c>
      <c r="E8913" t="s">
        <v>14</v>
      </c>
      <c r="F8913">
        <v>58.2</v>
      </c>
      <c r="G8913">
        <v>8.0767000000000007</v>
      </c>
      <c r="H8913">
        <v>1</v>
      </c>
      <c r="I8913">
        <v>17.399999999999999</v>
      </c>
      <c r="J8913" t="str">
        <f>HYPERLINK("https://climate.onebuilding.org/WMO_Region_6_Europe/NOR_Norway/VA_Vest-Agder/NOR_VA_Kristiansand.AP-Kjevik.014520_TMYx.2009-2023.zip")</f>
        <v>https://climate.onebuilding.org/WMO_Region_6_Europe/NOR_Norway/VA_Vest-Agder/NOR_VA_Kristiansand.AP-Kjevik.014520_TMYx.2009-2023.zip</v>
      </c>
    </row>
    <row r="8914" spans="1:10" x14ac:dyDescent="0.25">
      <c r="A8914" t="s">
        <v>4974</v>
      </c>
      <c r="B8914" t="s">
        <v>4901</v>
      </c>
      <c r="C8914" t="s">
        <v>6686</v>
      </c>
      <c r="D8914" s="1" t="s">
        <v>6687</v>
      </c>
      <c r="E8914" t="s">
        <v>14</v>
      </c>
      <c r="F8914">
        <v>58.2</v>
      </c>
      <c r="G8914">
        <v>8.0767000000000007</v>
      </c>
      <c r="H8914">
        <v>1</v>
      </c>
      <c r="I8914">
        <v>17.399999999999999</v>
      </c>
      <c r="J8914" t="str">
        <f>HYPERLINK("https://climate.onebuilding.org/WMO_Region_6_Europe/NOR_Norway/VA_Vest-Agder/NOR_VA_Kristiansand.AP-Kjevik.014520_TMYx.zip")</f>
        <v>https://climate.onebuilding.org/WMO_Region_6_Europe/NOR_Norway/VA_Vest-Agder/NOR_VA_Kristiansand.AP-Kjevik.014520_TMYx.zip</v>
      </c>
    </row>
    <row r="8915" spans="1:10" x14ac:dyDescent="0.25">
      <c r="A8915" t="s">
        <v>4974</v>
      </c>
      <c r="B8915" t="s">
        <v>6659</v>
      </c>
      <c r="C8915" t="s">
        <v>6689</v>
      </c>
      <c r="D8915" s="1" t="s">
        <v>6690</v>
      </c>
      <c r="E8915" t="s">
        <v>6691</v>
      </c>
      <c r="F8915">
        <v>58.6006</v>
      </c>
      <c r="G8915">
        <v>8.4161000000000001</v>
      </c>
      <c r="H8915">
        <v>1</v>
      </c>
      <c r="I8915">
        <v>162</v>
      </c>
      <c r="J8915" t="str">
        <f>HYPERLINK("https://climate.onebuilding.org/WMO_Region_6_Europe/NOR_Norway/AA_Aust-Agder/NOR_AA_Hynnekleiv.014530_TMYx.2004-2018.zip")</f>
        <v>https://climate.onebuilding.org/WMO_Region_6_Europe/NOR_Norway/AA_Aust-Agder/NOR_AA_Hynnekleiv.014530_TMYx.2004-2018.zip</v>
      </c>
    </row>
    <row r="8916" spans="1:10" x14ac:dyDescent="0.25">
      <c r="A8916" t="s">
        <v>4974</v>
      </c>
      <c r="B8916" t="s">
        <v>6659</v>
      </c>
      <c r="C8916" t="s">
        <v>6689</v>
      </c>
      <c r="D8916" s="1" t="s">
        <v>6690</v>
      </c>
      <c r="E8916" t="s">
        <v>14</v>
      </c>
      <c r="F8916">
        <v>58.6006</v>
      </c>
      <c r="G8916">
        <v>8.4161000000000001</v>
      </c>
      <c r="H8916">
        <v>1</v>
      </c>
      <c r="I8916">
        <v>162</v>
      </c>
      <c r="J8916" t="str">
        <f>HYPERLINK("https://climate.onebuilding.org/WMO_Region_6_Europe/NOR_Norway/AA_Aust-Agder/NOR_AA_Hynnekleiv.014530_TMYx.2007-2021.zip")</f>
        <v>https://climate.onebuilding.org/WMO_Region_6_Europe/NOR_Norway/AA_Aust-Agder/NOR_AA_Hynnekleiv.014530_TMYx.2007-2021.zip</v>
      </c>
    </row>
    <row r="8917" spans="1:10" x14ac:dyDescent="0.25">
      <c r="A8917" t="s">
        <v>4974</v>
      </c>
      <c r="B8917" t="s">
        <v>6659</v>
      </c>
      <c r="C8917" t="s">
        <v>6689</v>
      </c>
      <c r="D8917" s="1" t="s">
        <v>6690</v>
      </c>
      <c r="E8917" t="s">
        <v>14</v>
      </c>
      <c r="F8917">
        <v>58.6006</v>
      </c>
      <c r="G8917">
        <v>8.4161000000000001</v>
      </c>
      <c r="H8917">
        <v>1</v>
      </c>
      <c r="I8917">
        <v>162</v>
      </c>
      <c r="J8917" t="str">
        <f>HYPERLINK("https://climate.onebuilding.org/WMO_Region_6_Europe/NOR_Norway/AA_Aust-Agder/NOR_AA_Hynnekleiv.014530_TMYx.2009-2023.zip")</f>
        <v>https://climate.onebuilding.org/WMO_Region_6_Europe/NOR_Norway/AA_Aust-Agder/NOR_AA_Hynnekleiv.014530_TMYx.2009-2023.zip</v>
      </c>
    </row>
    <row r="8918" spans="1:10" x14ac:dyDescent="0.25">
      <c r="A8918" t="s">
        <v>4974</v>
      </c>
      <c r="B8918" t="s">
        <v>6659</v>
      </c>
      <c r="C8918" t="s">
        <v>6689</v>
      </c>
      <c r="D8918" s="1" t="s">
        <v>6690</v>
      </c>
      <c r="E8918" t="s">
        <v>14</v>
      </c>
      <c r="F8918">
        <v>58.6006</v>
      </c>
      <c r="G8918">
        <v>8.4161000000000001</v>
      </c>
      <c r="H8918">
        <v>1</v>
      </c>
      <c r="I8918">
        <v>162</v>
      </c>
      <c r="J8918" t="str">
        <f>HYPERLINK("https://climate.onebuilding.org/WMO_Region_6_Europe/NOR_Norway/AA_Aust-Agder/NOR_AA_Hynnekleiv.014530_TMYx.zip")</f>
        <v>https://climate.onebuilding.org/WMO_Region_6_Europe/NOR_Norway/AA_Aust-Agder/NOR_AA_Hynnekleiv.014530_TMYx.zip</v>
      </c>
    </row>
    <row r="8919" spans="1:10" x14ac:dyDescent="0.25">
      <c r="A8919" t="s">
        <v>4974</v>
      </c>
      <c r="B8919" t="s">
        <v>5606</v>
      </c>
      <c r="C8919" t="s">
        <v>6692</v>
      </c>
      <c r="D8919" s="1" t="s">
        <v>6693</v>
      </c>
      <c r="E8919" t="s">
        <v>6694</v>
      </c>
      <c r="F8919">
        <v>59.026899999999998</v>
      </c>
      <c r="G8919">
        <v>8.5206</v>
      </c>
      <c r="H8919">
        <v>1</v>
      </c>
      <c r="I8919">
        <v>254.9</v>
      </c>
      <c r="J8919" t="str">
        <f>HYPERLINK("https://climate.onebuilding.org/WMO_Region_6_Europe/NOR_Norway/TE_Telemark/NOR_TE_Tveitsund.014550_TMYx.2004-2018.zip")</f>
        <v>https://climate.onebuilding.org/WMO_Region_6_Europe/NOR_Norway/TE_Telemark/NOR_TE_Tveitsund.014550_TMYx.2004-2018.zip</v>
      </c>
    </row>
    <row r="8920" spans="1:10" x14ac:dyDescent="0.25">
      <c r="A8920" t="s">
        <v>4974</v>
      </c>
      <c r="B8920" t="s">
        <v>5606</v>
      </c>
      <c r="C8920" t="s">
        <v>6692</v>
      </c>
      <c r="D8920" s="1" t="s">
        <v>6693</v>
      </c>
      <c r="E8920" t="s">
        <v>14</v>
      </c>
      <c r="F8920">
        <v>59.026899999999998</v>
      </c>
      <c r="G8920">
        <v>8.5206</v>
      </c>
      <c r="H8920">
        <v>1</v>
      </c>
      <c r="I8920">
        <v>254.9</v>
      </c>
      <c r="J8920" t="str">
        <f>HYPERLINK("https://climate.onebuilding.org/WMO_Region_6_Europe/NOR_Norway/TE_Telemark/NOR_TE_Tveitsund.014550_TMYx.2007-2021.zip")</f>
        <v>https://climate.onebuilding.org/WMO_Region_6_Europe/NOR_Norway/TE_Telemark/NOR_TE_Tveitsund.014550_TMYx.2007-2021.zip</v>
      </c>
    </row>
    <row r="8921" spans="1:10" x14ac:dyDescent="0.25">
      <c r="A8921" t="s">
        <v>4974</v>
      </c>
      <c r="B8921" t="s">
        <v>5606</v>
      </c>
      <c r="C8921" t="s">
        <v>6692</v>
      </c>
      <c r="D8921" s="1" t="s">
        <v>6693</v>
      </c>
      <c r="E8921" t="s">
        <v>14</v>
      </c>
      <c r="F8921">
        <v>59.026899999999998</v>
      </c>
      <c r="G8921">
        <v>8.5206</v>
      </c>
      <c r="H8921">
        <v>1</v>
      </c>
      <c r="I8921">
        <v>254.9</v>
      </c>
      <c r="J8921" t="str">
        <f>HYPERLINK("https://climate.onebuilding.org/WMO_Region_6_Europe/NOR_Norway/TE_Telemark/NOR_TE_Tveitsund.014550_TMYx.2009-2023.zip")</f>
        <v>https://climate.onebuilding.org/WMO_Region_6_Europe/NOR_Norway/TE_Telemark/NOR_TE_Tveitsund.014550_TMYx.2009-2023.zip</v>
      </c>
    </row>
    <row r="8922" spans="1:10" x14ac:dyDescent="0.25">
      <c r="A8922" t="s">
        <v>4974</v>
      </c>
      <c r="B8922" t="s">
        <v>5606</v>
      </c>
      <c r="C8922" t="s">
        <v>6692</v>
      </c>
      <c r="D8922" s="1" t="s">
        <v>6693</v>
      </c>
      <c r="E8922" t="s">
        <v>14</v>
      </c>
      <c r="F8922">
        <v>59.026899999999998</v>
      </c>
      <c r="G8922">
        <v>8.5206</v>
      </c>
      <c r="H8922">
        <v>1</v>
      </c>
      <c r="I8922">
        <v>254.9</v>
      </c>
      <c r="J8922" t="str">
        <f>HYPERLINK("https://climate.onebuilding.org/WMO_Region_6_Europe/NOR_Norway/TE_Telemark/NOR_TE_Tveitsund.014550_TMYx.zip")</f>
        <v>https://climate.onebuilding.org/WMO_Region_6_Europe/NOR_Norway/TE_Telemark/NOR_TE_Tveitsund.014550_TMYx.zip</v>
      </c>
    </row>
    <row r="8923" spans="1:10" x14ac:dyDescent="0.25">
      <c r="A8923" t="s">
        <v>4974</v>
      </c>
      <c r="B8923" t="s">
        <v>6659</v>
      </c>
      <c r="C8923" t="s">
        <v>6695</v>
      </c>
      <c r="D8923" s="1" t="s">
        <v>6696</v>
      </c>
      <c r="E8923" t="s">
        <v>6697</v>
      </c>
      <c r="F8923">
        <v>58.658099999999997</v>
      </c>
      <c r="G8923">
        <v>8.6311</v>
      </c>
      <c r="H8923">
        <v>1</v>
      </c>
      <c r="I8923">
        <v>142</v>
      </c>
      <c r="J8923" t="str">
        <f>HYPERLINK("https://climate.onebuilding.org/WMO_Region_6_Europe/NOR_Norway/AA_Aust-Agder/NOR_AA_Nelaug.014590_TMYx.2004-2018.zip")</f>
        <v>https://climate.onebuilding.org/WMO_Region_6_Europe/NOR_Norway/AA_Aust-Agder/NOR_AA_Nelaug.014590_TMYx.2004-2018.zip</v>
      </c>
    </row>
    <row r="8924" spans="1:10" x14ac:dyDescent="0.25">
      <c r="A8924" t="s">
        <v>4974</v>
      </c>
      <c r="B8924" t="s">
        <v>6659</v>
      </c>
      <c r="C8924" t="s">
        <v>6695</v>
      </c>
      <c r="D8924" s="1" t="s">
        <v>6696</v>
      </c>
      <c r="E8924" t="s">
        <v>14</v>
      </c>
      <c r="F8924">
        <v>58.658099999999997</v>
      </c>
      <c r="G8924">
        <v>8.6311</v>
      </c>
      <c r="H8924">
        <v>1</v>
      </c>
      <c r="I8924">
        <v>142</v>
      </c>
      <c r="J8924" t="str">
        <f>HYPERLINK("https://climate.onebuilding.org/WMO_Region_6_Europe/NOR_Norway/AA_Aust-Agder/NOR_AA_Nelaug.014590_TMYx.2007-2021.zip")</f>
        <v>https://climate.onebuilding.org/WMO_Region_6_Europe/NOR_Norway/AA_Aust-Agder/NOR_AA_Nelaug.014590_TMYx.2007-2021.zip</v>
      </c>
    </row>
    <row r="8925" spans="1:10" x14ac:dyDescent="0.25">
      <c r="A8925" t="s">
        <v>4974</v>
      </c>
      <c r="B8925" t="s">
        <v>6659</v>
      </c>
      <c r="C8925" t="s">
        <v>6695</v>
      </c>
      <c r="D8925" s="1" t="s">
        <v>6696</v>
      </c>
      <c r="E8925" t="s">
        <v>14</v>
      </c>
      <c r="F8925">
        <v>58.658099999999997</v>
      </c>
      <c r="G8925">
        <v>8.6311</v>
      </c>
      <c r="H8925">
        <v>1</v>
      </c>
      <c r="I8925">
        <v>142</v>
      </c>
      <c r="J8925" t="str">
        <f>HYPERLINK("https://climate.onebuilding.org/WMO_Region_6_Europe/NOR_Norway/AA_Aust-Agder/NOR_AA_Nelaug.014590_TMYx.2009-2023.zip")</f>
        <v>https://climate.onebuilding.org/WMO_Region_6_Europe/NOR_Norway/AA_Aust-Agder/NOR_AA_Nelaug.014590_TMYx.2009-2023.zip</v>
      </c>
    </row>
    <row r="8926" spans="1:10" x14ac:dyDescent="0.25">
      <c r="A8926" t="s">
        <v>4974</v>
      </c>
      <c r="B8926" t="s">
        <v>6659</v>
      </c>
      <c r="C8926" t="s">
        <v>6695</v>
      </c>
      <c r="D8926" s="1" t="s">
        <v>6696</v>
      </c>
      <c r="E8926" t="s">
        <v>14</v>
      </c>
      <c r="F8926">
        <v>58.658099999999997</v>
      </c>
      <c r="G8926">
        <v>8.6311</v>
      </c>
      <c r="H8926">
        <v>1</v>
      </c>
      <c r="I8926">
        <v>142</v>
      </c>
      <c r="J8926" t="str">
        <f>HYPERLINK("https://climate.onebuilding.org/WMO_Region_6_Europe/NOR_Norway/AA_Aust-Agder/NOR_AA_Nelaug.014590_TMYx.zip")</f>
        <v>https://climate.onebuilding.org/WMO_Region_6_Europe/NOR_Norway/AA_Aust-Agder/NOR_AA_Nelaug.014590_TMYx.zip</v>
      </c>
    </row>
    <row r="8927" spans="1:10" x14ac:dyDescent="0.25">
      <c r="A8927" t="s">
        <v>4974</v>
      </c>
      <c r="B8927" t="s">
        <v>5130</v>
      </c>
      <c r="C8927" t="s">
        <v>6698</v>
      </c>
      <c r="D8927" s="1" t="s">
        <v>6699</v>
      </c>
      <c r="E8927" t="s">
        <v>6700</v>
      </c>
      <c r="F8927">
        <v>59.435299999999998</v>
      </c>
      <c r="G8927">
        <v>10.578099999999999</v>
      </c>
      <c r="H8927">
        <v>1</v>
      </c>
      <c r="I8927">
        <v>14</v>
      </c>
      <c r="J8927" t="str">
        <f>HYPERLINK("https://climate.onebuilding.org/WMO_Region_6_Europe/NOR_Norway/VF_Vestfold/NOR_VF_Gullholmen.014600_TMYx.2004-2018.zip")</f>
        <v>https://climate.onebuilding.org/WMO_Region_6_Europe/NOR_Norway/VF_Vestfold/NOR_VF_Gullholmen.014600_TMYx.2004-2018.zip</v>
      </c>
    </row>
    <row r="8928" spans="1:10" x14ac:dyDescent="0.25">
      <c r="A8928" t="s">
        <v>4974</v>
      </c>
      <c r="B8928" t="s">
        <v>5130</v>
      </c>
      <c r="C8928" t="s">
        <v>6698</v>
      </c>
      <c r="D8928" s="1" t="s">
        <v>6699</v>
      </c>
      <c r="E8928" t="s">
        <v>14</v>
      </c>
      <c r="F8928">
        <v>59.435299999999998</v>
      </c>
      <c r="G8928">
        <v>10.578099999999999</v>
      </c>
      <c r="H8928">
        <v>1</v>
      </c>
      <c r="I8928">
        <v>14</v>
      </c>
      <c r="J8928" t="str">
        <f>HYPERLINK("https://climate.onebuilding.org/WMO_Region_6_Europe/NOR_Norway/VF_Vestfold/NOR_VF_Gullholmen.014600_TMYx.2007-2021.zip")</f>
        <v>https://climate.onebuilding.org/WMO_Region_6_Europe/NOR_Norway/VF_Vestfold/NOR_VF_Gullholmen.014600_TMYx.2007-2021.zip</v>
      </c>
    </row>
    <row r="8929" spans="1:10" x14ac:dyDescent="0.25">
      <c r="A8929" t="s">
        <v>4974</v>
      </c>
      <c r="B8929" t="s">
        <v>5130</v>
      </c>
      <c r="C8929" t="s">
        <v>6698</v>
      </c>
      <c r="D8929" s="1" t="s">
        <v>6699</v>
      </c>
      <c r="E8929" t="s">
        <v>14</v>
      </c>
      <c r="F8929">
        <v>59.435299999999998</v>
      </c>
      <c r="G8929">
        <v>10.578099999999999</v>
      </c>
      <c r="H8929">
        <v>1</v>
      </c>
      <c r="I8929">
        <v>14</v>
      </c>
      <c r="J8929" t="str">
        <f>HYPERLINK("https://climate.onebuilding.org/WMO_Region_6_Europe/NOR_Norway/VF_Vestfold/NOR_VF_Gullholmen.014600_TMYx.2009-2023.zip")</f>
        <v>https://climate.onebuilding.org/WMO_Region_6_Europe/NOR_Norway/VF_Vestfold/NOR_VF_Gullholmen.014600_TMYx.2009-2023.zip</v>
      </c>
    </row>
    <row r="8930" spans="1:10" x14ac:dyDescent="0.25">
      <c r="A8930" t="s">
        <v>4974</v>
      </c>
      <c r="B8930" t="s">
        <v>5130</v>
      </c>
      <c r="C8930" t="s">
        <v>6698</v>
      </c>
      <c r="D8930" s="1" t="s">
        <v>6699</v>
      </c>
      <c r="E8930" t="s">
        <v>14</v>
      </c>
      <c r="F8930">
        <v>59.435299999999998</v>
      </c>
      <c r="G8930">
        <v>10.578099999999999</v>
      </c>
      <c r="H8930">
        <v>1</v>
      </c>
      <c r="I8930">
        <v>14</v>
      </c>
      <c r="J8930" t="str">
        <f>HYPERLINK("https://climate.onebuilding.org/WMO_Region_6_Europe/NOR_Norway/VF_Vestfold/NOR_VF_Gullholmen.014600_TMYx.zip")</f>
        <v>https://climate.onebuilding.org/WMO_Region_6_Europe/NOR_Norway/VF_Vestfold/NOR_VF_Gullholmen.014600_TMYx.zip</v>
      </c>
    </row>
    <row r="8931" spans="1:10" x14ac:dyDescent="0.25">
      <c r="A8931" t="s">
        <v>4974</v>
      </c>
      <c r="B8931" t="s">
        <v>5606</v>
      </c>
      <c r="C8931" t="s">
        <v>6701</v>
      </c>
      <c r="D8931" s="1" t="s">
        <v>6702</v>
      </c>
      <c r="E8931" t="s">
        <v>14</v>
      </c>
      <c r="F8931">
        <v>59.854100000000003</v>
      </c>
      <c r="G8931">
        <v>8.6502999999999997</v>
      </c>
      <c r="H8931">
        <v>1</v>
      </c>
      <c r="I8931">
        <v>1883</v>
      </c>
      <c r="J8931" t="str">
        <f>HYPERLINK("https://climate.onebuilding.org/WMO_Region_6_Europe/NOR_Norway/TE_Telemark/NOR_TE_Gaustatoppen.Mtn.014611_TMYx.2007-2021.zip")</f>
        <v>https://climate.onebuilding.org/WMO_Region_6_Europe/NOR_Norway/TE_Telemark/NOR_TE_Gaustatoppen.Mtn.014611_TMYx.2007-2021.zip</v>
      </c>
    </row>
    <row r="8932" spans="1:10" x14ac:dyDescent="0.25">
      <c r="A8932" t="s">
        <v>4974</v>
      </c>
      <c r="B8932" t="s">
        <v>5606</v>
      </c>
      <c r="C8932" t="s">
        <v>6701</v>
      </c>
      <c r="D8932" s="1" t="s">
        <v>6702</v>
      </c>
      <c r="E8932" t="s">
        <v>14</v>
      </c>
      <c r="F8932">
        <v>59.854100000000003</v>
      </c>
      <c r="G8932">
        <v>8.6502999999999997</v>
      </c>
      <c r="H8932">
        <v>1</v>
      </c>
      <c r="I8932">
        <v>1883</v>
      </c>
      <c r="J8932" t="str">
        <f>HYPERLINK("https://climate.onebuilding.org/WMO_Region_6_Europe/NOR_Norway/TE_Telemark/NOR_TE_Gaustatoppen.Mtn.014611_TMYx.2009-2023.zip")</f>
        <v>https://climate.onebuilding.org/WMO_Region_6_Europe/NOR_Norway/TE_Telemark/NOR_TE_Gaustatoppen.Mtn.014611_TMYx.2009-2023.zip</v>
      </c>
    </row>
    <row r="8933" spans="1:10" x14ac:dyDescent="0.25">
      <c r="A8933" t="s">
        <v>4974</v>
      </c>
      <c r="B8933" t="s">
        <v>5606</v>
      </c>
      <c r="C8933" t="s">
        <v>6701</v>
      </c>
      <c r="D8933" s="1" t="s">
        <v>6702</v>
      </c>
      <c r="E8933" t="s">
        <v>14</v>
      </c>
      <c r="F8933">
        <v>59.854100000000003</v>
      </c>
      <c r="G8933">
        <v>8.6502999999999997</v>
      </c>
      <c r="H8933">
        <v>1</v>
      </c>
      <c r="I8933">
        <v>1883</v>
      </c>
      <c r="J8933" t="str">
        <f>HYPERLINK("https://climate.onebuilding.org/WMO_Region_6_Europe/NOR_Norway/TE_Telemark/NOR_TE_Gaustatoppen.Mtn.014611_TMYx.zip")</f>
        <v>https://climate.onebuilding.org/WMO_Region_6_Europe/NOR_Norway/TE_Telemark/NOR_TE_Gaustatoppen.Mtn.014611_TMYx.zip</v>
      </c>
    </row>
    <row r="8934" spans="1:10" x14ac:dyDescent="0.25">
      <c r="A8934" t="s">
        <v>4974</v>
      </c>
      <c r="B8934" t="s">
        <v>5606</v>
      </c>
      <c r="C8934" t="s">
        <v>6703</v>
      </c>
      <c r="D8934" s="1" t="s">
        <v>6704</v>
      </c>
      <c r="E8934" t="s">
        <v>6705</v>
      </c>
      <c r="F8934">
        <v>59.087200000000003</v>
      </c>
      <c r="G8934">
        <v>9.66</v>
      </c>
      <c r="H8934">
        <v>1</v>
      </c>
      <c r="I8934">
        <v>90</v>
      </c>
      <c r="J8934" t="str">
        <f>HYPERLINK("https://climate.onebuilding.org/WMO_Region_6_Europe/NOR_Norway/TE_Telemark/NOR_TE_Porsgrunn.014620_TMYx.2004-2018.zip")</f>
        <v>https://climate.onebuilding.org/WMO_Region_6_Europe/NOR_Norway/TE_Telemark/NOR_TE_Porsgrunn.014620_TMYx.2004-2018.zip</v>
      </c>
    </row>
    <row r="8935" spans="1:10" x14ac:dyDescent="0.25">
      <c r="A8935" t="s">
        <v>4974</v>
      </c>
      <c r="B8935" t="s">
        <v>5606</v>
      </c>
      <c r="C8935" t="s">
        <v>6703</v>
      </c>
      <c r="D8935" s="1" t="s">
        <v>6704</v>
      </c>
      <c r="E8935" t="s">
        <v>14</v>
      </c>
      <c r="F8935">
        <v>59.087200000000003</v>
      </c>
      <c r="G8935">
        <v>9.66</v>
      </c>
      <c r="H8935">
        <v>1</v>
      </c>
      <c r="I8935">
        <v>90</v>
      </c>
      <c r="J8935" t="str">
        <f>HYPERLINK("https://climate.onebuilding.org/WMO_Region_6_Europe/NOR_Norway/TE_Telemark/NOR_TE_Porsgrunn.014620_TMYx.2007-2021.zip")</f>
        <v>https://climate.onebuilding.org/WMO_Region_6_Europe/NOR_Norway/TE_Telemark/NOR_TE_Porsgrunn.014620_TMYx.2007-2021.zip</v>
      </c>
    </row>
    <row r="8936" spans="1:10" x14ac:dyDescent="0.25">
      <c r="A8936" t="s">
        <v>4974</v>
      </c>
      <c r="B8936" t="s">
        <v>5606</v>
      </c>
      <c r="C8936" t="s">
        <v>6703</v>
      </c>
      <c r="D8936" s="1" t="s">
        <v>6704</v>
      </c>
      <c r="E8936" t="s">
        <v>14</v>
      </c>
      <c r="F8936">
        <v>59.087200000000003</v>
      </c>
      <c r="G8936">
        <v>9.66</v>
      </c>
      <c r="H8936">
        <v>1</v>
      </c>
      <c r="I8936">
        <v>90</v>
      </c>
      <c r="J8936" t="str">
        <f>HYPERLINK("https://climate.onebuilding.org/WMO_Region_6_Europe/NOR_Norway/TE_Telemark/NOR_TE_Porsgrunn.014620_TMYx.2009-2023.zip")</f>
        <v>https://climate.onebuilding.org/WMO_Region_6_Europe/NOR_Norway/TE_Telemark/NOR_TE_Porsgrunn.014620_TMYx.2009-2023.zip</v>
      </c>
    </row>
    <row r="8937" spans="1:10" x14ac:dyDescent="0.25">
      <c r="A8937" t="s">
        <v>4974</v>
      </c>
      <c r="B8937" t="s">
        <v>5606</v>
      </c>
      <c r="C8937" t="s">
        <v>6703</v>
      </c>
      <c r="D8937" s="1" t="s">
        <v>6704</v>
      </c>
      <c r="E8937" t="s">
        <v>14</v>
      </c>
      <c r="F8937">
        <v>59.087200000000003</v>
      </c>
      <c r="G8937">
        <v>9.66</v>
      </c>
      <c r="H8937">
        <v>1</v>
      </c>
      <c r="I8937">
        <v>90</v>
      </c>
      <c r="J8937" t="str">
        <f>HYPERLINK("https://climate.onebuilding.org/WMO_Region_6_Europe/NOR_Norway/TE_Telemark/NOR_TE_Porsgrunn.014620_TMYx.zip")</f>
        <v>https://climate.onebuilding.org/WMO_Region_6_Europe/NOR_Norway/TE_Telemark/NOR_TE_Porsgrunn.014620_TMYx.zip</v>
      </c>
    </row>
    <row r="8938" spans="1:10" x14ac:dyDescent="0.25">
      <c r="A8938" t="s">
        <v>4974</v>
      </c>
      <c r="B8938" t="s">
        <v>2425</v>
      </c>
      <c r="C8938" t="s">
        <v>6706</v>
      </c>
      <c r="D8938" s="1" t="s">
        <v>6707</v>
      </c>
      <c r="E8938" t="s">
        <v>6708</v>
      </c>
      <c r="F8938">
        <v>59.660600000000002</v>
      </c>
      <c r="G8938">
        <v>10.7819</v>
      </c>
      <c r="H8938">
        <v>1</v>
      </c>
      <c r="I8938">
        <v>89</v>
      </c>
      <c r="J8938" t="str">
        <f>HYPERLINK("https://climate.onebuilding.org/WMO_Region_6_Europe/NOR_Norway/OS_Oslo/NOR_OS_As.014630_TMYx.2004-2018.zip")</f>
        <v>https://climate.onebuilding.org/WMO_Region_6_Europe/NOR_Norway/OS_Oslo/NOR_OS_As.014630_TMYx.2004-2018.zip</v>
      </c>
    </row>
    <row r="8939" spans="1:10" x14ac:dyDescent="0.25">
      <c r="A8939" t="s">
        <v>4974</v>
      </c>
      <c r="B8939" t="s">
        <v>2425</v>
      </c>
      <c r="C8939" t="s">
        <v>6706</v>
      </c>
      <c r="D8939" s="1" t="s">
        <v>6707</v>
      </c>
      <c r="E8939" t="s">
        <v>14</v>
      </c>
      <c r="F8939">
        <v>59.660600000000002</v>
      </c>
      <c r="G8939">
        <v>10.7819</v>
      </c>
      <c r="H8939">
        <v>1</v>
      </c>
      <c r="I8939">
        <v>89</v>
      </c>
      <c r="J8939" t="str">
        <f>HYPERLINK("https://climate.onebuilding.org/WMO_Region_6_Europe/NOR_Norway/OS_Oslo/NOR_OS_As.014630_TMYx.2007-2021.zip")</f>
        <v>https://climate.onebuilding.org/WMO_Region_6_Europe/NOR_Norway/OS_Oslo/NOR_OS_As.014630_TMYx.2007-2021.zip</v>
      </c>
    </row>
    <row r="8940" spans="1:10" x14ac:dyDescent="0.25">
      <c r="A8940" t="s">
        <v>4974</v>
      </c>
      <c r="B8940" t="s">
        <v>2425</v>
      </c>
      <c r="C8940" t="s">
        <v>6706</v>
      </c>
      <c r="D8940" s="1" t="s">
        <v>6707</v>
      </c>
      <c r="E8940" t="s">
        <v>14</v>
      </c>
      <c r="F8940">
        <v>59.660600000000002</v>
      </c>
      <c r="G8940">
        <v>10.7819</v>
      </c>
      <c r="H8940">
        <v>1</v>
      </c>
      <c r="I8940">
        <v>89</v>
      </c>
      <c r="J8940" t="str">
        <f>HYPERLINK("https://climate.onebuilding.org/WMO_Region_6_Europe/NOR_Norway/OS_Oslo/NOR_OS_As.014630_TMYx.2009-2023.zip")</f>
        <v>https://climate.onebuilding.org/WMO_Region_6_Europe/NOR_Norway/OS_Oslo/NOR_OS_As.014630_TMYx.2009-2023.zip</v>
      </c>
    </row>
    <row r="8941" spans="1:10" x14ac:dyDescent="0.25">
      <c r="A8941" t="s">
        <v>4974</v>
      </c>
      <c r="B8941" t="s">
        <v>2425</v>
      </c>
      <c r="C8941" t="s">
        <v>6706</v>
      </c>
      <c r="D8941" s="1" t="s">
        <v>6707</v>
      </c>
      <c r="E8941" t="s">
        <v>14</v>
      </c>
      <c r="F8941">
        <v>59.660600000000002</v>
      </c>
      <c r="G8941">
        <v>10.7819</v>
      </c>
      <c r="H8941">
        <v>1</v>
      </c>
      <c r="I8941">
        <v>89</v>
      </c>
      <c r="J8941" t="str">
        <f>HYPERLINK("https://climate.onebuilding.org/WMO_Region_6_Europe/NOR_Norway/OS_Oslo/NOR_OS_As.014630_TMYx.zip")</f>
        <v>https://climate.onebuilding.org/WMO_Region_6_Europe/NOR_Norway/OS_Oslo/NOR_OS_As.014630_TMYx.zip</v>
      </c>
    </row>
    <row r="8942" spans="1:10" x14ac:dyDescent="0.25">
      <c r="A8942" t="s">
        <v>4974</v>
      </c>
      <c r="B8942" t="s">
        <v>6659</v>
      </c>
      <c r="C8942" t="s">
        <v>6709</v>
      </c>
      <c r="D8942" s="1" t="s">
        <v>6710</v>
      </c>
      <c r="E8942" t="s">
        <v>6711</v>
      </c>
      <c r="F8942">
        <v>58.34</v>
      </c>
      <c r="G8942">
        <v>8.5225000000000009</v>
      </c>
      <c r="H8942">
        <v>1</v>
      </c>
      <c r="I8942">
        <v>6</v>
      </c>
      <c r="J8942" t="str">
        <f>HYPERLINK("https://climate.onebuilding.org/WMO_Region_6_Europe/NOR_Norway/AA_Aust-Agder/NOR_AA_Landvik.014640_TMYx.2004-2018.zip")</f>
        <v>https://climate.onebuilding.org/WMO_Region_6_Europe/NOR_Norway/AA_Aust-Agder/NOR_AA_Landvik.014640_TMYx.2004-2018.zip</v>
      </c>
    </row>
    <row r="8943" spans="1:10" x14ac:dyDescent="0.25">
      <c r="A8943" t="s">
        <v>4974</v>
      </c>
      <c r="B8943" t="s">
        <v>6659</v>
      </c>
      <c r="C8943" t="s">
        <v>6709</v>
      </c>
      <c r="D8943" s="1" t="s">
        <v>6710</v>
      </c>
      <c r="E8943" t="s">
        <v>14</v>
      </c>
      <c r="F8943">
        <v>58.34</v>
      </c>
      <c r="G8943">
        <v>8.5225000000000009</v>
      </c>
      <c r="H8943">
        <v>1</v>
      </c>
      <c r="I8943">
        <v>6</v>
      </c>
      <c r="J8943" t="str">
        <f>HYPERLINK("https://climate.onebuilding.org/WMO_Region_6_Europe/NOR_Norway/AA_Aust-Agder/NOR_AA_Landvik.014640_TMYx.2007-2021.zip")</f>
        <v>https://climate.onebuilding.org/WMO_Region_6_Europe/NOR_Norway/AA_Aust-Agder/NOR_AA_Landvik.014640_TMYx.2007-2021.zip</v>
      </c>
    </row>
    <row r="8944" spans="1:10" x14ac:dyDescent="0.25">
      <c r="A8944" t="s">
        <v>4974</v>
      </c>
      <c r="B8944" t="s">
        <v>6659</v>
      </c>
      <c r="C8944" t="s">
        <v>6709</v>
      </c>
      <c r="D8944" s="1" t="s">
        <v>6710</v>
      </c>
      <c r="E8944" t="s">
        <v>14</v>
      </c>
      <c r="F8944">
        <v>58.34</v>
      </c>
      <c r="G8944">
        <v>8.5225000000000009</v>
      </c>
      <c r="H8944">
        <v>1</v>
      </c>
      <c r="I8944">
        <v>6</v>
      </c>
      <c r="J8944" t="str">
        <f>HYPERLINK("https://climate.onebuilding.org/WMO_Region_6_Europe/NOR_Norway/AA_Aust-Agder/NOR_AA_Landvik.014640_TMYx.2009-2023.zip")</f>
        <v>https://climate.onebuilding.org/WMO_Region_6_Europe/NOR_Norway/AA_Aust-Agder/NOR_AA_Landvik.014640_TMYx.2009-2023.zip</v>
      </c>
    </row>
    <row r="8945" spans="1:10" x14ac:dyDescent="0.25">
      <c r="A8945" t="s">
        <v>4974</v>
      </c>
      <c r="B8945" t="s">
        <v>6659</v>
      </c>
      <c r="C8945" t="s">
        <v>6709</v>
      </c>
      <c r="D8945" s="1" t="s">
        <v>6710</v>
      </c>
      <c r="E8945" t="s">
        <v>14</v>
      </c>
      <c r="F8945">
        <v>58.34</v>
      </c>
      <c r="G8945">
        <v>8.5225000000000009</v>
      </c>
      <c r="H8945">
        <v>1</v>
      </c>
      <c r="I8945">
        <v>6</v>
      </c>
      <c r="J8945" t="str">
        <f>HYPERLINK("https://climate.onebuilding.org/WMO_Region_6_Europe/NOR_Norway/AA_Aust-Agder/NOR_AA_Landvik.014640_TMYx.zip")</f>
        <v>https://climate.onebuilding.org/WMO_Region_6_Europe/NOR_Norway/AA_Aust-Agder/NOR_AA_Landvik.014640_TMYx.zip</v>
      </c>
    </row>
    <row r="8946" spans="1:10" x14ac:dyDescent="0.25">
      <c r="A8946" t="s">
        <v>4974</v>
      </c>
      <c r="B8946" t="s">
        <v>6659</v>
      </c>
      <c r="C8946" t="s">
        <v>6712</v>
      </c>
      <c r="D8946" s="1" t="s">
        <v>6713</v>
      </c>
      <c r="E8946" t="s">
        <v>6714</v>
      </c>
      <c r="F8946">
        <v>58.398600000000002</v>
      </c>
      <c r="G8946">
        <v>8.7891999999999992</v>
      </c>
      <c r="H8946">
        <v>1</v>
      </c>
      <c r="I8946">
        <v>15</v>
      </c>
      <c r="J8946" t="str">
        <f>HYPERLINK("https://climate.onebuilding.org/WMO_Region_6_Europe/NOR_Norway/AA_Aust-Agder/NOR_AA_Torungen.Lighthouse.014650_TMYx.2004-2018.zip")</f>
        <v>https://climate.onebuilding.org/WMO_Region_6_Europe/NOR_Norway/AA_Aust-Agder/NOR_AA_Torungen.Lighthouse.014650_TMYx.2004-2018.zip</v>
      </c>
    </row>
    <row r="8947" spans="1:10" x14ac:dyDescent="0.25">
      <c r="A8947" t="s">
        <v>4974</v>
      </c>
      <c r="B8947" t="s">
        <v>6659</v>
      </c>
      <c r="C8947" t="s">
        <v>6712</v>
      </c>
      <c r="D8947" s="1" t="s">
        <v>6713</v>
      </c>
      <c r="E8947" t="s">
        <v>14</v>
      </c>
      <c r="F8947">
        <v>58.398600000000002</v>
      </c>
      <c r="G8947">
        <v>8.7891999999999992</v>
      </c>
      <c r="H8947">
        <v>1</v>
      </c>
      <c r="I8947">
        <v>15</v>
      </c>
      <c r="J8947" t="str">
        <f>HYPERLINK("https://climate.onebuilding.org/WMO_Region_6_Europe/NOR_Norway/AA_Aust-Agder/NOR_AA_Torungen.Lighthouse.014650_TMYx.2007-2021.zip")</f>
        <v>https://climate.onebuilding.org/WMO_Region_6_Europe/NOR_Norway/AA_Aust-Agder/NOR_AA_Torungen.Lighthouse.014650_TMYx.2007-2021.zip</v>
      </c>
    </row>
    <row r="8948" spans="1:10" x14ac:dyDescent="0.25">
      <c r="A8948" t="s">
        <v>4974</v>
      </c>
      <c r="B8948" t="s">
        <v>6659</v>
      </c>
      <c r="C8948" t="s">
        <v>6712</v>
      </c>
      <c r="D8948" s="1" t="s">
        <v>6713</v>
      </c>
      <c r="E8948" t="s">
        <v>14</v>
      </c>
      <c r="F8948">
        <v>58.398600000000002</v>
      </c>
      <c r="G8948">
        <v>8.7891999999999992</v>
      </c>
      <c r="H8948">
        <v>1</v>
      </c>
      <c r="I8948">
        <v>15</v>
      </c>
      <c r="J8948" t="str">
        <f>HYPERLINK("https://climate.onebuilding.org/WMO_Region_6_Europe/NOR_Norway/AA_Aust-Agder/NOR_AA_Torungen.Lighthouse.014650_TMYx.2009-2023.zip")</f>
        <v>https://climate.onebuilding.org/WMO_Region_6_Europe/NOR_Norway/AA_Aust-Agder/NOR_AA_Torungen.Lighthouse.014650_TMYx.2009-2023.zip</v>
      </c>
    </row>
    <row r="8949" spans="1:10" x14ac:dyDescent="0.25">
      <c r="A8949" t="s">
        <v>4974</v>
      </c>
      <c r="B8949" t="s">
        <v>6659</v>
      </c>
      <c r="C8949" t="s">
        <v>6712</v>
      </c>
      <c r="D8949" s="1" t="s">
        <v>6713</v>
      </c>
      <c r="E8949" t="s">
        <v>14</v>
      </c>
      <c r="F8949">
        <v>58.398600000000002</v>
      </c>
      <c r="G8949">
        <v>8.7891999999999992</v>
      </c>
      <c r="H8949">
        <v>1</v>
      </c>
      <c r="I8949">
        <v>15</v>
      </c>
      <c r="J8949" t="str">
        <f>HYPERLINK("https://climate.onebuilding.org/WMO_Region_6_Europe/NOR_Norway/AA_Aust-Agder/NOR_AA_Torungen.Lighthouse.014650_TMYx.zip")</f>
        <v>https://climate.onebuilding.org/WMO_Region_6_Europe/NOR_Norway/AA_Aust-Agder/NOR_AA_Torungen.Lighthouse.014650_TMYx.zip</v>
      </c>
    </row>
    <row r="8950" spans="1:10" x14ac:dyDescent="0.25">
      <c r="A8950" t="s">
        <v>4974</v>
      </c>
      <c r="B8950" t="s">
        <v>6117</v>
      </c>
      <c r="C8950" t="s">
        <v>6715</v>
      </c>
      <c r="D8950" s="1" t="s">
        <v>6716</v>
      </c>
      <c r="E8950" t="s">
        <v>6717</v>
      </c>
      <c r="F8950">
        <v>59.970799999999997</v>
      </c>
      <c r="G8950">
        <v>11.0383</v>
      </c>
      <c r="H8950">
        <v>1</v>
      </c>
      <c r="I8950">
        <v>107.9</v>
      </c>
      <c r="J8950" t="str">
        <f>HYPERLINK("https://climate.onebuilding.org/WMO_Region_6_Europe/NOR_Norway/AK_Akershus/NOR_AK_Kjeller.AP.014660_TMYx.2004-2018.zip")</f>
        <v>https://climate.onebuilding.org/WMO_Region_6_Europe/NOR_Norway/AK_Akershus/NOR_AK_Kjeller.AP.014660_TMYx.2004-2018.zip</v>
      </c>
    </row>
    <row r="8951" spans="1:10" x14ac:dyDescent="0.25">
      <c r="A8951" t="s">
        <v>4974</v>
      </c>
      <c r="B8951" t="s">
        <v>6117</v>
      </c>
      <c r="C8951" t="s">
        <v>6715</v>
      </c>
      <c r="D8951" s="1" t="s">
        <v>6716</v>
      </c>
      <c r="E8951" t="s">
        <v>14</v>
      </c>
      <c r="F8951">
        <v>59.970799999999997</v>
      </c>
      <c r="G8951">
        <v>11.0383</v>
      </c>
      <c r="H8951">
        <v>1</v>
      </c>
      <c r="I8951">
        <v>107.9</v>
      </c>
      <c r="J8951" t="str">
        <f>HYPERLINK("https://climate.onebuilding.org/WMO_Region_6_Europe/NOR_Norway/AK_Akershus/NOR_AK_Kjeller.AP.014660_TMYx.2007-2021.zip")</f>
        <v>https://climate.onebuilding.org/WMO_Region_6_Europe/NOR_Norway/AK_Akershus/NOR_AK_Kjeller.AP.014660_TMYx.2007-2021.zip</v>
      </c>
    </row>
    <row r="8952" spans="1:10" x14ac:dyDescent="0.25">
      <c r="A8952" t="s">
        <v>4974</v>
      </c>
      <c r="B8952" t="s">
        <v>6117</v>
      </c>
      <c r="C8952" t="s">
        <v>6715</v>
      </c>
      <c r="D8952" s="1" t="s">
        <v>6716</v>
      </c>
      <c r="E8952" t="s">
        <v>14</v>
      </c>
      <c r="F8952">
        <v>59.970799999999997</v>
      </c>
      <c r="G8952">
        <v>11.0383</v>
      </c>
      <c r="H8952">
        <v>1</v>
      </c>
      <c r="I8952">
        <v>107.9</v>
      </c>
      <c r="J8952" t="str">
        <f>HYPERLINK("https://climate.onebuilding.org/WMO_Region_6_Europe/NOR_Norway/AK_Akershus/NOR_AK_Kjeller.AP.014660_TMYx.2009-2023.zip")</f>
        <v>https://climate.onebuilding.org/WMO_Region_6_Europe/NOR_Norway/AK_Akershus/NOR_AK_Kjeller.AP.014660_TMYx.2009-2023.zip</v>
      </c>
    </row>
    <row r="8953" spans="1:10" x14ac:dyDescent="0.25">
      <c r="A8953" t="s">
        <v>4974</v>
      </c>
      <c r="B8953" t="s">
        <v>6117</v>
      </c>
      <c r="C8953" t="s">
        <v>6715</v>
      </c>
      <c r="D8953" s="1" t="s">
        <v>6716</v>
      </c>
      <c r="E8953" t="s">
        <v>14</v>
      </c>
      <c r="F8953">
        <v>59.970799999999997</v>
      </c>
      <c r="G8953">
        <v>11.0383</v>
      </c>
      <c r="H8953">
        <v>1</v>
      </c>
      <c r="I8953">
        <v>107.9</v>
      </c>
      <c r="J8953" t="str">
        <f>HYPERLINK("https://climate.onebuilding.org/WMO_Region_6_Europe/NOR_Norway/AK_Akershus/NOR_AK_Kjeller.AP.014660_TMYx.zip")</f>
        <v>https://climate.onebuilding.org/WMO_Region_6_Europe/NOR_Norway/AK_Akershus/NOR_AK_Kjeller.AP.014660_TMYx.zip</v>
      </c>
    </row>
    <row r="8954" spans="1:10" x14ac:dyDescent="0.25">
      <c r="A8954" t="s">
        <v>4974</v>
      </c>
      <c r="B8954" t="s">
        <v>6659</v>
      </c>
      <c r="C8954" t="s">
        <v>6718</v>
      </c>
      <c r="D8954" s="1" t="s">
        <v>6719</v>
      </c>
      <c r="E8954" t="s">
        <v>6720</v>
      </c>
      <c r="F8954">
        <v>58.636699999999998</v>
      </c>
      <c r="G8954">
        <v>9.1491000000000007</v>
      </c>
      <c r="H8954">
        <v>1</v>
      </c>
      <c r="I8954">
        <v>4.5</v>
      </c>
      <c r="J8954" t="str">
        <f>HYPERLINK("https://climate.onebuilding.org/WMO_Region_6_Europe/NOR_Norway/AA_Aust-Agder/NOR_AA_Lyngor.Lighthouse.014670_TMYx.2004-2018.zip")</f>
        <v>https://climate.onebuilding.org/WMO_Region_6_Europe/NOR_Norway/AA_Aust-Agder/NOR_AA_Lyngor.Lighthouse.014670_TMYx.2004-2018.zip</v>
      </c>
    </row>
    <row r="8955" spans="1:10" x14ac:dyDescent="0.25">
      <c r="A8955" t="s">
        <v>4974</v>
      </c>
      <c r="B8955" t="s">
        <v>6659</v>
      </c>
      <c r="C8955" t="s">
        <v>6718</v>
      </c>
      <c r="D8955" s="1" t="s">
        <v>6719</v>
      </c>
      <c r="E8955" t="s">
        <v>14</v>
      </c>
      <c r="F8955">
        <v>58.636699999999998</v>
      </c>
      <c r="G8955">
        <v>9.1491000000000007</v>
      </c>
      <c r="H8955">
        <v>1</v>
      </c>
      <c r="I8955">
        <v>4.5</v>
      </c>
      <c r="J8955" t="str">
        <f>HYPERLINK("https://climate.onebuilding.org/WMO_Region_6_Europe/NOR_Norway/AA_Aust-Agder/NOR_AA_Lyngor.Lighthouse.014670_TMYx.2007-2021.zip")</f>
        <v>https://climate.onebuilding.org/WMO_Region_6_Europe/NOR_Norway/AA_Aust-Agder/NOR_AA_Lyngor.Lighthouse.014670_TMYx.2007-2021.zip</v>
      </c>
    </row>
    <row r="8956" spans="1:10" x14ac:dyDescent="0.25">
      <c r="A8956" t="s">
        <v>4974</v>
      </c>
      <c r="B8956" t="s">
        <v>6659</v>
      </c>
      <c r="C8956" t="s">
        <v>6718</v>
      </c>
      <c r="D8956" s="1" t="s">
        <v>6719</v>
      </c>
      <c r="E8956" t="s">
        <v>14</v>
      </c>
      <c r="F8956">
        <v>58.636699999999998</v>
      </c>
      <c r="G8956">
        <v>9.1491000000000007</v>
      </c>
      <c r="H8956">
        <v>1</v>
      </c>
      <c r="I8956">
        <v>4.5</v>
      </c>
      <c r="J8956" t="str">
        <f>HYPERLINK("https://climate.onebuilding.org/WMO_Region_6_Europe/NOR_Norway/AA_Aust-Agder/NOR_AA_Lyngor.Lighthouse.014670_TMYx.2009-2023.zip")</f>
        <v>https://climate.onebuilding.org/WMO_Region_6_Europe/NOR_Norway/AA_Aust-Agder/NOR_AA_Lyngor.Lighthouse.014670_TMYx.2009-2023.zip</v>
      </c>
    </row>
    <row r="8957" spans="1:10" x14ac:dyDescent="0.25">
      <c r="A8957" t="s">
        <v>4974</v>
      </c>
      <c r="B8957" t="s">
        <v>6659</v>
      </c>
      <c r="C8957" t="s">
        <v>6718</v>
      </c>
      <c r="D8957" s="1" t="s">
        <v>6719</v>
      </c>
      <c r="E8957" t="s">
        <v>14</v>
      </c>
      <c r="F8957">
        <v>58.636699999999998</v>
      </c>
      <c r="G8957">
        <v>9.1491000000000007</v>
      </c>
      <c r="H8957">
        <v>1</v>
      </c>
      <c r="I8957">
        <v>4.5</v>
      </c>
      <c r="J8957" t="str">
        <f>HYPERLINK("https://climate.onebuilding.org/WMO_Region_6_Europe/NOR_Norway/AA_Aust-Agder/NOR_AA_Lyngor.Lighthouse.014670_TMYx.zip")</f>
        <v>https://climate.onebuilding.org/WMO_Region_6_Europe/NOR_Norway/AA_Aust-Agder/NOR_AA_Lyngor.Lighthouse.014670_TMYx.zip</v>
      </c>
    </row>
    <row r="8958" spans="1:10" x14ac:dyDescent="0.25">
      <c r="A8958" t="s">
        <v>4974</v>
      </c>
      <c r="B8958" t="s">
        <v>1451</v>
      </c>
      <c r="C8958" t="s">
        <v>6721</v>
      </c>
      <c r="D8958" s="1" t="s">
        <v>6722</v>
      </c>
      <c r="E8958" t="s">
        <v>6723</v>
      </c>
      <c r="F8958">
        <v>60.190300000000001</v>
      </c>
      <c r="G8958">
        <v>12.0067</v>
      </c>
      <c r="H8958">
        <v>1</v>
      </c>
      <c r="I8958">
        <v>148</v>
      </c>
      <c r="J8958" t="str">
        <f>HYPERLINK("https://climate.onebuilding.org/WMO_Region_6_Europe/NOR_Norway/HE_Hedmark/NOR_HE_Kongsvinger.014680_TMYx.2004-2018.zip")</f>
        <v>https://climate.onebuilding.org/WMO_Region_6_Europe/NOR_Norway/HE_Hedmark/NOR_HE_Kongsvinger.014680_TMYx.2004-2018.zip</v>
      </c>
    </row>
    <row r="8959" spans="1:10" x14ac:dyDescent="0.25">
      <c r="A8959" t="s">
        <v>4974</v>
      </c>
      <c r="B8959" t="s">
        <v>1451</v>
      </c>
      <c r="C8959" t="s">
        <v>6721</v>
      </c>
      <c r="D8959" s="1" t="s">
        <v>6722</v>
      </c>
      <c r="E8959" t="s">
        <v>14</v>
      </c>
      <c r="F8959">
        <v>60.190300000000001</v>
      </c>
      <c r="G8959">
        <v>12.0067</v>
      </c>
      <c r="H8959">
        <v>1</v>
      </c>
      <c r="I8959">
        <v>148</v>
      </c>
      <c r="J8959" t="str">
        <f>HYPERLINK("https://climate.onebuilding.org/WMO_Region_6_Europe/NOR_Norway/HE_Hedmark/NOR_HE_Kongsvinger.014680_TMYx.2007-2021.zip")</f>
        <v>https://climate.onebuilding.org/WMO_Region_6_Europe/NOR_Norway/HE_Hedmark/NOR_HE_Kongsvinger.014680_TMYx.2007-2021.zip</v>
      </c>
    </row>
    <row r="8960" spans="1:10" x14ac:dyDescent="0.25">
      <c r="A8960" t="s">
        <v>4974</v>
      </c>
      <c r="B8960" t="s">
        <v>1451</v>
      </c>
      <c r="C8960" t="s">
        <v>6721</v>
      </c>
      <c r="D8960" s="1" t="s">
        <v>6722</v>
      </c>
      <c r="E8960" t="s">
        <v>14</v>
      </c>
      <c r="F8960">
        <v>60.190300000000001</v>
      </c>
      <c r="G8960">
        <v>12.0067</v>
      </c>
      <c r="H8960">
        <v>1</v>
      </c>
      <c r="I8960">
        <v>148</v>
      </c>
      <c r="J8960" t="str">
        <f>HYPERLINK("https://climate.onebuilding.org/WMO_Region_6_Europe/NOR_Norway/HE_Hedmark/NOR_HE_Kongsvinger.014680_TMYx.2009-2023.zip")</f>
        <v>https://climate.onebuilding.org/WMO_Region_6_Europe/NOR_Norway/HE_Hedmark/NOR_HE_Kongsvinger.014680_TMYx.2009-2023.zip</v>
      </c>
    </row>
    <row r="8961" spans="1:10" x14ac:dyDescent="0.25">
      <c r="A8961" t="s">
        <v>4974</v>
      </c>
      <c r="B8961" t="s">
        <v>1451</v>
      </c>
      <c r="C8961" t="s">
        <v>6721</v>
      </c>
      <c r="D8961" s="1" t="s">
        <v>6722</v>
      </c>
      <c r="E8961" t="s">
        <v>14</v>
      </c>
      <c r="F8961">
        <v>60.190300000000001</v>
      </c>
      <c r="G8961">
        <v>12.0067</v>
      </c>
      <c r="H8961">
        <v>1</v>
      </c>
      <c r="I8961">
        <v>148</v>
      </c>
      <c r="J8961" t="str">
        <f>HYPERLINK("https://climate.onebuilding.org/WMO_Region_6_Europe/NOR_Norway/HE_Hedmark/NOR_HE_Kongsvinger.014680_TMYx.zip")</f>
        <v>https://climate.onebuilding.org/WMO_Region_6_Europe/NOR_Norway/HE_Hedmark/NOR_HE_Kongsvinger.014680_TMYx.zip</v>
      </c>
    </row>
    <row r="8962" spans="1:10" x14ac:dyDescent="0.25">
      <c r="A8962" t="s">
        <v>4974</v>
      </c>
      <c r="B8962" t="s">
        <v>233</v>
      </c>
      <c r="C8962" t="s">
        <v>6724</v>
      </c>
      <c r="D8962" s="1" t="s">
        <v>6725</v>
      </c>
      <c r="E8962" t="s">
        <v>6726</v>
      </c>
      <c r="F8962">
        <v>60.166400000000003</v>
      </c>
      <c r="G8962">
        <v>10.2478</v>
      </c>
      <c r="H8962">
        <v>1</v>
      </c>
      <c r="I8962">
        <v>141.69999999999999</v>
      </c>
      <c r="J8962" t="str">
        <f>HYPERLINK("https://climate.onebuilding.org/WMO_Region_6_Europe/NOR_Norway/BU_Buskerud/NOR_BU_Honefoss.Hoyby.014690_TMYx.2004-2018.zip")</f>
        <v>https://climate.onebuilding.org/WMO_Region_6_Europe/NOR_Norway/BU_Buskerud/NOR_BU_Honefoss.Hoyby.014690_TMYx.2004-2018.zip</v>
      </c>
    </row>
    <row r="8963" spans="1:10" x14ac:dyDescent="0.25">
      <c r="A8963" t="s">
        <v>4974</v>
      </c>
      <c r="B8963" t="s">
        <v>233</v>
      </c>
      <c r="C8963" t="s">
        <v>6724</v>
      </c>
      <c r="D8963" s="1" t="s">
        <v>6725</v>
      </c>
      <c r="E8963" t="s">
        <v>14</v>
      </c>
      <c r="F8963">
        <v>60.166400000000003</v>
      </c>
      <c r="G8963">
        <v>10.2478</v>
      </c>
      <c r="H8963">
        <v>1</v>
      </c>
      <c r="I8963">
        <v>141.69999999999999</v>
      </c>
      <c r="J8963" t="str">
        <f>HYPERLINK("https://climate.onebuilding.org/WMO_Region_6_Europe/NOR_Norway/BU_Buskerud/NOR_BU_Honefoss.Hoyby.014690_TMYx.2007-2021.zip")</f>
        <v>https://climate.onebuilding.org/WMO_Region_6_Europe/NOR_Norway/BU_Buskerud/NOR_BU_Honefoss.Hoyby.014690_TMYx.2007-2021.zip</v>
      </c>
    </row>
    <row r="8964" spans="1:10" x14ac:dyDescent="0.25">
      <c r="A8964" t="s">
        <v>4974</v>
      </c>
      <c r="B8964" t="s">
        <v>233</v>
      </c>
      <c r="C8964" t="s">
        <v>6724</v>
      </c>
      <c r="D8964" s="1" t="s">
        <v>6725</v>
      </c>
      <c r="E8964" t="s">
        <v>14</v>
      </c>
      <c r="F8964">
        <v>60.166400000000003</v>
      </c>
      <c r="G8964">
        <v>10.2478</v>
      </c>
      <c r="H8964">
        <v>1</v>
      </c>
      <c r="I8964">
        <v>141.69999999999999</v>
      </c>
      <c r="J8964" t="str">
        <f>HYPERLINK("https://climate.onebuilding.org/WMO_Region_6_Europe/NOR_Norway/BU_Buskerud/NOR_BU_Honefoss.Hoyby.014690_TMYx.2009-2023.zip")</f>
        <v>https://climate.onebuilding.org/WMO_Region_6_Europe/NOR_Norway/BU_Buskerud/NOR_BU_Honefoss.Hoyby.014690_TMYx.2009-2023.zip</v>
      </c>
    </row>
    <row r="8965" spans="1:10" x14ac:dyDescent="0.25">
      <c r="A8965" t="s">
        <v>4974</v>
      </c>
      <c r="B8965" t="s">
        <v>233</v>
      </c>
      <c r="C8965" t="s">
        <v>6724</v>
      </c>
      <c r="D8965" s="1" t="s">
        <v>6725</v>
      </c>
      <c r="E8965" t="s">
        <v>14</v>
      </c>
      <c r="F8965">
        <v>60.166400000000003</v>
      </c>
      <c r="G8965">
        <v>10.2478</v>
      </c>
      <c r="H8965">
        <v>1</v>
      </c>
      <c r="I8965">
        <v>141.69999999999999</v>
      </c>
      <c r="J8965" t="str">
        <f>HYPERLINK("https://climate.onebuilding.org/WMO_Region_6_Europe/NOR_Norway/BU_Buskerud/NOR_BU_Honefoss.Hoyby.014690_TMYx.zip")</f>
        <v>https://climate.onebuilding.org/WMO_Region_6_Europe/NOR_Norway/BU_Buskerud/NOR_BU_Honefoss.Hoyby.014690_TMYx.zip</v>
      </c>
    </row>
    <row r="8966" spans="1:10" x14ac:dyDescent="0.25">
      <c r="A8966" t="s">
        <v>4974</v>
      </c>
      <c r="B8966" t="s">
        <v>5606</v>
      </c>
      <c r="C8966" t="s">
        <v>6727</v>
      </c>
      <c r="D8966" s="1" t="s">
        <v>6728</v>
      </c>
      <c r="E8966" t="s">
        <v>6729</v>
      </c>
      <c r="F8966">
        <v>59.383000000000003</v>
      </c>
      <c r="G8966">
        <v>9.2011000000000003</v>
      </c>
      <c r="H8966">
        <v>1</v>
      </c>
      <c r="I8966">
        <v>93</v>
      </c>
      <c r="J8966" t="str">
        <f>HYPERLINK("https://climate.onebuilding.org/WMO_Region_6_Europe/NOR_Norway/TE_Telemark/NOR_TE_Gvarv.014700_TMYx.2004-2018.zip")</f>
        <v>https://climate.onebuilding.org/WMO_Region_6_Europe/NOR_Norway/TE_Telemark/NOR_TE_Gvarv.014700_TMYx.2004-2018.zip</v>
      </c>
    </row>
    <row r="8967" spans="1:10" x14ac:dyDescent="0.25">
      <c r="A8967" t="s">
        <v>4974</v>
      </c>
      <c r="B8967" t="s">
        <v>5606</v>
      </c>
      <c r="C8967" t="s">
        <v>6727</v>
      </c>
      <c r="D8967" s="1" t="s">
        <v>6728</v>
      </c>
      <c r="E8967" t="s">
        <v>14</v>
      </c>
      <c r="F8967">
        <v>59.383000000000003</v>
      </c>
      <c r="G8967">
        <v>9.2011000000000003</v>
      </c>
      <c r="H8967">
        <v>1</v>
      </c>
      <c r="I8967">
        <v>93</v>
      </c>
      <c r="J8967" t="str">
        <f>HYPERLINK("https://climate.onebuilding.org/WMO_Region_6_Europe/NOR_Norway/TE_Telemark/NOR_TE_Gvarv.014700_TMYx.2007-2021.zip")</f>
        <v>https://climate.onebuilding.org/WMO_Region_6_Europe/NOR_Norway/TE_Telemark/NOR_TE_Gvarv.014700_TMYx.2007-2021.zip</v>
      </c>
    </row>
    <row r="8968" spans="1:10" x14ac:dyDescent="0.25">
      <c r="A8968" t="s">
        <v>4974</v>
      </c>
      <c r="B8968" t="s">
        <v>5606</v>
      </c>
      <c r="C8968" t="s">
        <v>6727</v>
      </c>
      <c r="D8968" s="1" t="s">
        <v>6728</v>
      </c>
      <c r="E8968" t="s">
        <v>14</v>
      </c>
      <c r="F8968">
        <v>59.383000000000003</v>
      </c>
      <c r="G8968">
        <v>9.2011000000000003</v>
      </c>
      <c r="H8968">
        <v>1</v>
      </c>
      <c r="I8968">
        <v>93</v>
      </c>
      <c r="J8968" t="str">
        <f>HYPERLINK("https://climate.onebuilding.org/WMO_Region_6_Europe/NOR_Norway/TE_Telemark/NOR_TE_Gvarv.014700_TMYx.2009-2023.zip")</f>
        <v>https://climate.onebuilding.org/WMO_Region_6_Europe/NOR_Norway/TE_Telemark/NOR_TE_Gvarv.014700_TMYx.2009-2023.zip</v>
      </c>
    </row>
    <row r="8969" spans="1:10" x14ac:dyDescent="0.25">
      <c r="A8969" t="s">
        <v>4974</v>
      </c>
      <c r="B8969" t="s">
        <v>5606</v>
      </c>
      <c r="C8969" t="s">
        <v>6727</v>
      </c>
      <c r="D8969" s="1" t="s">
        <v>6728</v>
      </c>
      <c r="E8969" t="s">
        <v>14</v>
      </c>
      <c r="F8969">
        <v>59.383000000000003</v>
      </c>
      <c r="G8969">
        <v>9.2011000000000003</v>
      </c>
      <c r="H8969">
        <v>1</v>
      </c>
      <c r="I8969">
        <v>93</v>
      </c>
      <c r="J8969" t="str">
        <f>HYPERLINK("https://climate.onebuilding.org/WMO_Region_6_Europe/NOR_Norway/TE_Telemark/NOR_TE_Gvarv.014700_TMYx.zip")</f>
        <v>https://climate.onebuilding.org/WMO_Region_6_Europe/NOR_Norway/TE_Telemark/NOR_TE_Gvarv.014700_TMYx.zip</v>
      </c>
    </row>
    <row r="8970" spans="1:10" x14ac:dyDescent="0.25">
      <c r="A8970" t="s">
        <v>4974</v>
      </c>
      <c r="B8970" t="s">
        <v>5606</v>
      </c>
      <c r="C8970" t="s">
        <v>6730</v>
      </c>
      <c r="D8970" s="1" t="s">
        <v>6731</v>
      </c>
      <c r="E8970" t="s">
        <v>6732</v>
      </c>
      <c r="F8970">
        <v>59.566000000000003</v>
      </c>
      <c r="G8970">
        <v>9.2119999999999997</v>
      </c>
      <c r="H8970">
        <v>1</v>
      </c>
      <c r="I8970">
        <v>19.2</v>
      </c>
      <c r="J8970" t="str">
        <f>HYPERLINK("https://climate.onebuilding.org/WMO_Region_6_Europe/NOR_Norway/TE_Telemark/NOR_TE_Notodden.AP.014703_TMYx.2004-2018.zip")</f>
        <v>https://climate.onebuilding.org/WMO_Region_6_Europe/NOR_Norway/TE_Telemark/NOR_TE_Notodden.AP.014703_TMYx.2004-2018.zip</v>
      </c>
    </row>
    <row r="8971" spans="1:10" x14ac:dyDescent="0.25">
      <c r="A8971" t="s">
        <v>4974</v>
      </c>
      <c r="B8971" t="s">
        <v>5606</v>
      </c>
      <c r="C8971" t="s">
        <v>6730</v>
      </c>
      <c r="D8971" s="1" t="s">
        <v>6731</v>
      </c>
      <c r="E8971" t="s">
        <v>14</v>
      </c>
      <c r="F8971">
        <v>59.566000000000003</v>
      </c>
      <c r="G8971">
        <v>9.2119999999999997</v>
      </c>
      <c r="H8971">
        <v>1</v>
      </c>
      <c r="I8971">
        <v>19.2</v>
      </c>
      <c r="J8971" t="str">
        <f>HYPERLINK("https://climate.onebuilding.org/WMO_Region_6_Europe/NOR_Norway/TE_Telemark/NOR_TE_Notodden.AP.014703_TMYx.2007-2021.zip")</f>
        <v>https://climate.onebuilding.org/WMO_Region_6_Europe/NOR_Norway/TE_Telemark/NOR_TE_Notodden.AP.014703_TMYx.2007-2021.zip</v>
      </c>
    </row>
    <row r="8972" spans="1:10" x14ac:dyDescent="0.25">
      <c r="A8972" t="s">
        <v>4974</v>
      </c>
      <c r="B8972" t="s">
        <v>5606</v>
      </c>
      <c r="C8972" t="s">
        <v>6730</v>
      </c>
      <c r="D8972" s="1" t="s">
        <v>6731</v>
      </c>
      <c r="E8972" t="s">
        <v>14</v>
      </c>
      <c r="F8972">
        <v>59.566000000000003</v>
      </c>
      <c r="G8972">
        <v>9.2119999999999997</v>
      </c>
      <c r="H8972">
        <v>1</v>
      </c>
      <c r="I8972">
        <v>19.2</v>
      </c>
      <c r="J8972" t="str">
        <f>HYPERLINK("https://climate.onebuilding.org/WMO_Region_6_Europe/NOR_Norway/TE_Telemark/NOR_TE_Notodden.AP.014703_TMYx.2009-2023.zip")</f>
        <v>https://climate.onebuilding.org/WMO_Region_6_Europe/NOR_Norway/TE_Telemark/NOR_TE_Notodden.AP.014703_TMYx.2009-2023.zip</v>
      </c>
    </row>
    <row r="8973" spans="1:10" x14ac:dyDescent="0.25">
      <c r="A8973" t="s">
        <v>4974</v>
      </c>
      <c r="B8973" t="s">
        <v>5606</v>
      </c>
      <c r="C8973" t="s">
        <v>6730</v>
      </c>
      <c r="D8973" s="1" t="s">
        <v>6731</v>
      </c>
      <c r="E8973" t="s">
        <v>14</v>
      </c>
      <c r="F8973">
        <v>59.566000000000003</v>
      </c>
      <c r="G8973">
        <v>9.2119999999999997</v>
      </c>
      <c r="H8973">
        <v>1</v>
      </c>
      <c r="I8973">
        <v>19.2</v>
      </c>
      <c r="J8973" t="str">
        <f>HYPERLINK("https://climate.onebuilding.org/WMO_Region_6_Europe/NOR_Norway/TE_Telemark/NOR_TE_Notodden.AP.014703_TMYx.zip")</f>
        <v>https://climate.onebuilding.org/WMO_Region_6_Europe/NOR_Norway/TE_Telemark/NOR_TE_Notodden.AP.014703_TMYx.zip</v>
      </c>
    </row>
    <row r="8974" spans="1:10" x14ac:dyDescent="0.25">
      <c r="A8974" t="s">
        <v>4974</v>
      </c>
      <c r="B8974" t="s">
        <v>233</v>
      </c>
      <c r="C8974" t="s">
        <v>6733</v>
      </c>
      <c r="D8974" s="1" t="s">
        <v>6734</v>
      </c>
      <c r="E8974" t="s">
        <v>6735</v>
      </c>
      <c r="F8974">
        <v>60.043300000000002</v>
      </c>
      <c r="G8974">
        <v>9.1466999999999992</v>
      </c>
      <c r="H8974">
        <v>1</v>
      </c>
      <c r="I8974">
        <v>275</v>
      </c>
      <c r="J8974" t="str">
        <f>HYPERLINK("https://climate.onebuilding.org/WMO_Region_6_Europe/NOR_Norway/BU_Buskerud/NOR_BU_Veggli.014710_TMYx.2004-2018.zip")</f>
        <v>https://climate.onebuilding.org/WMO_Region_6_Europe/NOR_Norway/BU_Buskerud/NOR_BU_Veggli.014710_TMYx.2004-2018.zip</v>
      </c>
    </row>
    <row r="8975" spans="1:10" x14ac:dyDescent="0.25">
      <c r="A8975" t="s">
        <v>4974</v>
      </c>
      <c r="B8975" t="s">
        <v>233</v>
      </c>
      <c r="C8975" t="s">
        <v>6733</v>
      </c>
      <c r="D8975" s="1" t="s">
        <v>6734</v>
      </c>
      <c r="E8975" t="s">
        <v>14</v>
      </c>
      <c r="F8975">
        <v>60.043300000000002</v>
      </c>
      <c r="G8975">
        <v>9.1466999999999992</v>
      </c>
      <c r="H8975">
        <v>1</v>
      </c>
      <c r="I8975">
        <v>275</v>
      </c>
      <c r="J8975" t="str">
        <f>HYPERLINK("https://climate.onebuilding.org/WMO_Region_6_Europe/NOR_Norway/BU_Buskerud/NOR_BU_Veggli.014710_TMYx.2007-2021.zip")</f>
        <v>https://climate.onebuilding.org/WMO_Region_6_Europe/NOR_Norway/BU_Buskerud/NOR_BU_Veggli.014710_TMYx.2007-2021.zip</v>
      </c>
    </row>
    <row r="8976" spans="1:10" x14ac:dyDescent="0.25">
      <c r="A8976" t="s">
        <v>4974</v>
      </c>
      <c r="B8976" t="s">
        <v>233</v>
      </c>
      <c r="C8976" t="s">
        <v>6733</v>
      </c>
      <c r="D8976" s="1" t="s">
        <v>6734</v>
      </c>
      <c r="E8976" t="s">
        <v>14</v>
      </c>
      <c r="F8976">
        <v>60.043300000000002</v>
      </c>
      <c r="G8976">
        <v>9.1466999999999992</v>
      </c>
      <c r="H8976">
        <v>1</v>
      </c>
      <c r="I8976">
        <v>275</v>
      </c>
      <c r="J8976" t="str">
        <f>HYPERLINK("https://climate.onebuilding.org/WMO_Region_6_Europe/NOR_Norway/BU_Buskerud/NOR_BU_Veggli.014710_TMYx.2009-2023.zip")</f>
        <v>https://climate.onebuilding.org/WMO_Region_6_Europe/NOR_Norway/BU_Buskerud/NOR_BU_Veggli.014710_TMYx.2009-2023.zip</v>
      </c>
    </row>
    <row r="8977" spans="1:10" x14ac:dyDescent="0.25">
      <c r="A8977" t="s">
        <v>4974</v>
      </c>
      <c r="B8977" t="s">
        <v>233</v>
      </c>
      <c r="C8977" t="s">
        <v>6733</v>
      </c>
      <c r="D8977" s="1" t="s">
        <v>6734</v>
      </c>
      <c r="E8977" t="s">
        <v>14</v>
      </c>
      <c r="F8977">
        <v>60.043300000000002</v>
      </c>
      <c r="G8977">
        <v>9.1466999999999992</v>
      </c>
      <c r="H8977">
        <v>1</v>
      </c>
      <c r="I8977">
        <v>275</v>
      </c>
      <c r="J8977" t="str">
        <f>HYPERLINK("https://climate.onebuilding.org/WMO_Region_6_Europe/NOR_Norway/BU_Buskerud/NOR_BU_Veggli.014710_TMYx.zip")</f>
        <v>https://climate.onebuilding.org/WMO_Region_6_Europe/NOR_Norway/BU_Buskerud/NOR_BU_Veggli.014710_TMYx.zip</v>
      </c>
    </row>
    <row r="8978" spans="1:10" x14ac:dyDescent="0.25">
      <c r="A8978" t="s">
        <v>4974</v>
      </c>
      <c r="B8978" t="s">
        <v>233</v>
      </c>
      <c r="C8978" t="s">
        <v>6736</v>
      </c>
      <c r="D8978" s="1" t="s">
        <v>6737</v>
      </c>
      <c r="E8978" t="s">
        <v>6738</v>
      </c>
      <c r="F8978">
        <v>59.624400000000001</v>
      </c>
      <c r="G8978">
        <v>9.6374999999999993</v>
      </c>
      <c r="H8978">
        <v>1</v>
      </c>
      <c r="I8978">
        <v>172.7</v>
      </c>
      <c r="J8978" t="str">
        <f>HYPERLINK("https://climate.onebuilding.org/WMO_Region_6_Europe/NOR_Norway/BU_Buskerud/NOR_BU_Kongsberg-Brannstasjon.014730_TMYx.2004-2018.zip")</f>
        <v>https://climate.onebuilding.org/WMO_Region_6_Europe/NOR_Norway/BU_Buskerud/NOR_BU_Kongsberg-Brannstasjon.014730_TMYx.2004-2018.zip</v>
      </c>
    </row>
    <row r="8979" spans="1:10" x14ac:dyDescent="0.25">
      <c r="A8979" t="s">
        <v>4974</v>
      </c>
      <c r="B8979" t="s">
        <v>233</v>
      </c>
      <c r="C8979" t="s">
        <v>6736</v>
      </c>
      <c r="D8979" s="1" t="s">
        <v>6737</v>
      </c>
      <c r="E8979" t="s">
        <v>14</v>
      </c>
      <c r="F8979">
        <v>59.624400000000001</v>
      </c>
      <c r="G8979">
        <v>9.6374999999999993</v>
      </c>
      <c r="H8979">
        <v>1</v>
      </c>
      <c r="I8979">
        <v>172.7</v>
      </c>
      <c r="J8979" t="str">
        <f>HYPERLINK("https://climate.onebuilding.org/WMO_Region_6_Europe/NOR_Norway/BU_Buskerud/NOR_BU_Kongsberg-Brannstasjon.014730_TMYx.2007-2021.zip")</f>
        <v>https://climate.onebuilding.org/WMO_Region_6_Europe/NOR_Norway/BU_Buskerud/NOR_BU_Kongsberg-Brannstasjon.014730_TMYx.2007-2021.zip</v>
      </c>
    </row>
    <row r="8980" spans="1:10" x14ac:dyDescent="0.25">
      <c r="A8980" t="s">
        <v>4974</v>
      </c>
      <c r="B8980" t="s">
        <v>233</v>
      </c>
      <c r="C8980" t="s">
        <v>6736</v>
      </c>
      <c r="D8980" s="1" t="s">
        <v>6737</v>
      </c>
      <c r="E8980" t="s">
        <v>14</v>
      </c>
      <c r="F8980">
        <v>59.624400000000001</v>
      </c>
      <c r="G8980">
        <v>9.6374999999999993</v>
      </c>
      <c r="H8980">
        <v>1</v>
      </c>
      <c r="I8980">
        <v>172.7</v>
      </c>
      <c r="J8980" t="str">
        <f>HYPERLINK("https://climate.onebuilding.org/WMO_Region_6_Europe/NOR_Norway/BU_Buskerud/NOR_BU_Kongsberg-Brannstasjon.014730_TMYx.2009-2023.zip")</f>
        <v>https://climate.onebuilding.org/WMO_Region_6_Europe/NOR_Norway/BU_Buskerud/NOR_BU_Kongsberg-Brannstasjon.014730_TMYx.2009-2023.zip</v>
      </c>
    </row>
    <row r="8981" spans="1:10" x14ac:dyDescent="0.25">
      <c r="A8981" t="s">
        <v>4974</v>
      </c>
      <c r="B8981" t="s">
        <v>233</v>
      </c>
      <c r="C8981" t="s">
        <v>6736</v>
      </c>
      <c r="D8981" s="1" t="s">
        <v>6737</v>
      </c>
      <c r="E8981" t="s">
        <v>14</v>
      </c>
      <c r="F8981">
        <v>59.624400000000001</v>
      </c>
      <c r="G8981">
        <v>9.6374999999999993</v>
      </c>
      <c r="H8981">
        <v>1</v>
      </c>
      <c r="I8981">
        <v>172.7</v>
      </c>
      <c r="J8981" t="str">
        <f>HYPERLINK("https://climate.onebuilding.org/WMO_Region_6_Europe/NOR_Norway/BU_Buskerud/NOR_BU_Kongsberg-Brannstasjon.014730_TMYx.zip")</f>
        <v>https://climate.onebuilding.org/WMO_Region_6_Europe/NOR_Norway/BU_Buskerud/NOR_BU_Kongsberg-Brannstasjon.014730_TMYx.zip</v>
      </c>
    </row>
    <row r="8982" spans="1:10" x14ac:dyDescent="0.25">
      <c r="A8982" t="s">
        <v>4974</v>
      </c>
      <c r="B8982" t="s">
        <v>233</v>
      </c>
      <c r="C8982" t="s">
        <v>6739</v>
      </c>
      <c r="D8982" s="1" t="s">
        <v>6740</v>
      </c>
      <c r="E8982" t="s">
        <v>14</v>
      </c>
      <c r="F8982">
        <v>59.913400000000003</v>
      </c>
      <c r="G8982">
        <v>9.5279000000000007</v>
      </c>
      <c r="H8982">
        <v>1</v>
      </c>
      <c r="I8982">
        <v>358</v>
      </c>
      <c r="J8982" t="str">
        <f>HYPERLINK("https://climate.onebuilding.org/WMO_Region_6_Europe/NOR_Norway/BU_Buskerud/NOR_BU_Lyngdal.i.Numedal.014740_TMYx.zip")</f>
        <v>https://climate.onebuilding.org/WMO_Region_6_Europe/NOR_Norway/BU_Buskerud/NOR_BU_Lyngdal.i.Numedal.014740_TMYx.zip</v>
      </c>
    </row>
    <row r="8983" spans="1:10" x14ac:dyDescent="0.25">
      <c r="A8983" t="s">
        <v>4974</v>
      </c>
      <c r="B8983" t="s">
        <v>5606</v>
      </c>
      <c r="C8983" t="s">
        <v>6741</v>
      </c>
      <c r="D8983" s="1" t="s">
        <v>6742</v>
      </c>
      <c r="E8983" t="s">
        <v>14</v>
      </c>
      <c r="F8983">
        <v>59.183</v>
      </c>
      <c r="G8983">
        <v>9.5670000000000002</v>
      </c>
      <c r="H8983">
        <v>1</v>
      </c>
      <c r="I8983">
        <v>141</v>
      </c>
      <c r="J8983" t="str">
        <f>HYPERLINK("https://climate.onebuilding.org/WMO_Region_6_Europe/NOR_Norway/TE_Telemark/NOR_TE_Skien.AP.014750_TMYx.2007-2021.zip")</f>
        <v>https://climate.onebuilding.org/WMO_Region_6_Europe/NOR_Norway/TE_Telemark/NOR_TE_Skien.AP.014750_TMYx.2007-2021.zip</v>
      </c>
    </row>
    <row r="8984" spans="1:10" x14ac:dyDescent="0.25">
      <c r="A8984" t="s">
        <v>4974</v>
      </c>
      <c r="B8984" t="s">
        <v>5606</v>
      </c>
      <c r="C8984" t="s">
        <v>6741</v>
      </c>
      <c r="D8984" s="1" t="s">
        <v>6742</v>
      </c>
      <c r="E8984" t="s">
        <v>14</v>
      </c>
      <c r="F8984">
        <v>59.183</v>
      </c>
      <c r="G8984">
        <v>9.5670000000000002</v>
      </c>
      <c r="H8984">
        <v>1</v>
      </c>
      <c r="I8984">
        <v>141</v>
      </c>
      <c r="J8984" t="str">
        <f>HYPERLINK("https://climate.onebuilding.org/WMO_Region_6_Europe/NOR_Norway/TE_Telemark/NOR_TE_Skien.AP.014750_TMYx.2009-2023.zip")</f>
        <v>https://climate.onebuilding.org/WMO_Region_6_Europe/NOR_Norway/TE_Telemark/NOR_TE_Skien.AP.014750_TMYx.2009-2023.zip</v>
      </c>
    </row>
    <row r="8985" spans="1:10" x14ac:dyDescent="0.25">
      <c r="A8985" t="s">
        <v>4974</v>
      </c>
      <c r="B8985" t="s">
        <v>5606</v>
      </c>
      <c r="C8985" t="s">
        <v>6741</v>
      </c>
      <c r="D8985" s="1" t="s">
        <v>6742</v>
      </c>
      <c r="E8985" t="s">
        <v>14</v>
      </c>
      <c r="F8985">
        <v>59.183</v>
      </c>
      <c r="G8985">
        <v>9.5670000000000002</v>
      </c>
      <c r="H8985">
        <v>1</v>
      </c>
      <c r="I8985">
        <v>141</v>
      </c>
      <c r="J8985" t="str">
        <f>HYPERLINK("https://climate.onebuilding.org/WMO_Region_6_Europe/NOR_Norway/TE_Telemark/NOR_TE_Skien.AP.014750_TMYx.zip")</f>
        <v>https://climate.onebuilding.org/WMO_Region_6_Europe/NOR_Norway/TE_Telemark/NOR_TE_Skien.AP.014750_TMYx.zip</v>
      </c>
    </row>
    <row r="8986" spans="1:10" x14ac:dyDescent="0.25">
      <c r="A8986" t="s">
        <v>4974</v>
      </c>
      <c r="B8986" t="s">
        <v>5606</v>
      </c>
      <c r="C8986" t="s">
        <v>6743</v>
      </c>
      <c r="D8986" s="1" t="s">
        <v>6744</v>
      </c>
      <c r="E8986" t="s">
        <v>6745</v>
      </c>
      <c r="F8986">
        <v>58.856900000000003</v>
      </c>
      <c r="G8986">
        <v>9.5761000000000003</v>
      </c>
      <c r="H8986">
        <v>1</v>
      </c>
      <c r="I8986">
        <v>5</v>
      </c>
      <c r="J8986" t="str">
        <f>HYPERLINK("https://climate.onebuilding.org/WMO_Region_6_Europe/NOR_Norway/TE_Telemark/NOR_TE_Jomfruland.Lighthouse.014760_TMYx.2004-2018.zip")</f>
        <v>https://climate.onebuilding.org/WMO_Region_6_Europe/NOR_Norway/TE_Telemark/NOR_TE_Jomfruland.Lighthouse.014760_TMYx.2004-2018.zip</v>
      </c>
    </row>
    <row r="8987" spans="1:10" x14ac:dyDescent="0.25">
      <c r="A8987" t="s">
        <v>4974</v>
      </c>
      <c r="B8987" t="s">
        <v>5606</v>
      </c>
      <c r="C8987" t="s">
        <v>6743</v>
      </c>
      <c r="D8987" s="1" t="s">
        <v>6744</v>
      </c>
      <c r="E8987" t="s">
        <v>14</v>
      </c>
      <c r="F8987">
        <v>58.856900000000003</v>
      </c>
      <c r="G8987">
        <v>9.5761000000000003</v>
      </c>
      <c r="H8987">
        <v>1</v>
      </c>
      <c r="I8987">
        <v>5</v>
      </c>
      <c r="J8987" t="str">
        <f>HYPERLINK("https://climate.onebuilding.org/WMO_Region_6_Europe/NOR_Norway/TE_Telemark/NOR_TE_Jomfruland.Lighthouse.014760_TMYx.2007-2021.zip")</f>
        <v>https://climate.onebuilding.org/WMO_Region_6_Europe/NOR_Norway/TE_Telemark/NOR_TE_Jomfruland.Lighthouse.014760_TMYx.2007-2021.zip</v>
      </c>
    </row>
    <row r="8988" spans="1:10" x14ac:dyDescent="0.25">
      <c r="A8988" t="s">
        <v>4974</v>
      </c>
      <c r="B8988" t="s">
        <v>5606</v>
      </c>
      <c r="C8988" t="s">
        <v>6743</v>
      </c>
      <c r="D8988" s="1" t="s">
        <v>6744</v>
      </c>
      <c r="E8988" t="s">
        <v>14</v>
      </c>
      <c r="F8988">
        <v>58.856900000000003</v>
      </c>
      <c r="G8988">
        <v>9.5761000000000003</v>
      </c>
      <c r="H8988">
        <v>1</v>
      </c>
      <c r="I8988">
        <v>5</v>
      </c>
      <c r="J8988" t="str">
        <f>HYPERLINK("https://climate.onebuilding.org/WMO_Region_6_Europe/NOR_Norway/TE_Telemark/NOR_TE_Jomfruland.Lighthouse.014760_TMYx.2009-2023.zip")</f>
        <v>https://climate.onebuilding.org/WMO_Region_6_Europe/NOR_Norway/TE_Telemark/NOR_TE_Jomfruland.Lighthouse.014760_TMYx.2009-2023.zip</v>
      </c>
    </row>
    <row r="8989" spans="1:10" x14ac:dyDescent="0.25">
      <c r="A8989" t="s">
        <v>4974</v>
      </c>
      <c r="B8989" t="s">
        <v>5606</v>
      </c>
      <c r="C8989" t="s">
        <v>6743</v>
      </c>
      <c r="D8989" s="1" t="s">
        <v>6744</v>
      </c>
      <c r="E8989" t="s">
        <v>14</v>
      </c>
      <c r="F8989">
        <v>58.856900000000003</v>
      </c>
      <c r="G8989">
        <v>9.5761000000000003</v>
      </c>
      <c r="H8989">
        <v>1</v>
      </c>
      <c r="I8989">
        <v>5</v>
      </c>
      <c r="J8989" t="str">
        <f>HYPERLINK("https://climate.onebuilding.org/WMO_Region_6_Europe/NOR_Norway/TE_Telemark/NOR_TE_Jomfruland.Lighthouse.014760_TMYx.zip")</f>
        <v>https://climate.onebuilding.org/WMO_Region_6_Europe/NOR_Norway/TE_Telemark/NOR_TE_Jomfruland.Lighthouse.014760_TMYx.zip</v>
      </c>
    </row>
    <row r="8990" spans="1:10" x14ac:dyDescent="0.25">
      <c r="A8990" t="s">
        <v>4974</v>
      </c>
      <c r="B8990" t="s">
        <v>233</v>
      </c>
      <c r="C8990" t="s">
        <v>6746</v>
      </c>
      <c r="D8990" s="1" t="s">
        <v>6747</v>
      </c>
      <c r="E8990" t="s">
        <v>6748</v>
      </c>
      <c r="F8990">
        <v>59.712800000000001</v>
      </c>
      <c r="G8990">
        <v>10.145799999999999</v>
      </c>
      <c r="H8990">
        <v>1</v>
      </c>
      <c r="I8990">
        <v>193</v>
      </c>
      <c r="J8990" t="str">
        <f>HYPERLINK("https://climate.onebuilding.org/WMO_Region_6_Europe/NOR_Norway/BU_Buskerud/NOR_BU_Konnerud.014770_TMYx.2004-2018.zip")</f>
        <v>https://climate.onebuilding.org/WMO_Region_6_Europe/NOR_Norway/BU_Buskerud/NOR_BU_Konnerud.014770_TMYx.2004-2018.zip</v>
      </c>
    </row>
    <row r="8991" spans="1:10" x14ac:dyDescent="0.25">
      <c r="A8991" t="s">
        <v>4974</v>
      </c>
      <c r="B8991" t="s">
        <v>233</v>
      </c>
      <c r="C8991" t="s">
        <v>6746</v>
      </c>
      <c r="D8991" s="1" t="s">
        <v>6747</v>
      </c>
      <c r="E8991" t="s">
        <v>14</v>
      </c>
      <c r="F8991">
        <v>59.712800000000001</v>
      </c>
      <c r="G8991">
        <v>10.145799999999999</v>
      </c>
      <c r="H8991">
        <v>1</v>
      </c>
      <c r="I8991">
        <v>193</v>
      </c>
      <c r="J8991" t="str">
        <f>HYPERLINK("https://climate.onebuilding.org/WMO_Region_6_Europe/NOR_Norway/BU_Buskerud/NOR_BU_Konnerud.014770_TMYx.2007-2021.zip")</f>
        <v>https://climate.onebuilding.org/WMO_Region_6_Europe/NOR_Norway/BU_Buskerud/NOR_BU_Konnerud.014770_TMYx.2007-2021.zip</v>
      </c>
    </row>
    <row r="8992" spans="1:10" x14ac:dyDescent="0.25">
      <c r="A8992" t="s">
        <v>4974</v>
      </c>
      <c r="B8992" t="s">
        <v>233</v>
      </c>
      <c r="C8992" t="s">
        <v>6746</v>
      </c>
      <c r="D8992" s="1" t="s">
        <v>6747</v>
      </c>
      <c r="E8992" t="s">
        <v>14</v>
      </c>
      <c r="F8992">
        <v>59.712800000000001</v>
      </c>
      <c r="G8992">
        <v>10.145799999999999</v>
      </c>
      <c r="H8992">
        <v>1</v>
      </c>
      <c r="I8992">
        <v>193</v>
      </c>
      <c r="J8992" t="str">
        <f>HYPERLINK("https://climate.onebuilding.org/WMO_Region_6_Europe/NOR_Norway/BU_Buskerud/NOR_BU_Konnerud.014770_TMYx.2009-2023.zip")</f>
        <v>https://climate.onebuilding.org/WMO_Region_6_Europe/NOR_Norway/BU_Buskerud/NOR_BU_Konnerud.014770_TMYx.2009-2023.zip</v>
      </c>
    </row>
    <row r="8993" spans="1:10" x14ac:dyDescent="0.25">
      <c r="A8993" t="s">
        <v>4974</v>
      </c>
      <c r="B8993" t="s">
        <v>233</v>
      </c>
      <c r="C8993" t="s">
        <v>6746</v>
      </c>
      <c r="D8993" s="1" t="s">
        <v>6747</v>
      </c>
      <c r="E8993" t="s">
        <v>14</v>
      </c>
      <c r="F8993">
        <v>59.712800000000001</v>
      </c>
      <c r="G8993">
        <v>10.145799999999999</v>
      </c>
      <c r="H8993">
        <v>1</v>
      </c>
      <c r="I8993">
        <v>193</v>
      </c>
      <c r="J8993" t="str">
        <f>HYPERLINK("https://climate.onebuilding.org/WMO_Region_6_Europe/NOR_Norway/BU_Buskerud/NOR_BU_Konnerud.014770_TMYx.zip")</f>
        <v>https://climate.onebuilding.org/WMO_Region_6_Europe/NOR_Norway/BU_Buskerud/NOR_BU_Konnerud.014770_TMYx.zip</v>
      </c>
    </row>
    <row r="8994" spans="1:10" x14ac:dyDescent="0.25">
      <c r="A8994" t="s">
        <v>4974</v>
      </c>
      <c r="B8994" t="s">
        <v>5130</v>
      </c>
      <c r="C8994" t="s">
        <v>6749</v>
      </c>
      <c r="D8994" s="1" t="s">
        <v>6750</v>
      </c>
      <c r="E8994" t="s">
        <v>6751</v>
      </c>
      <c r="F8994">
        <v>58.968600000000002</v>
      </c>
      <c r="G8994">
        <v>10.1478</v>
      </c>
      <c r="H8994">
        <v>1</v>
      </c>
      <c r="I8994">
        <v>15</v>
      </c>
      <c r="J8994" t="str">
        <f>HYPERLINK("https://climate.onebuilding.org/WMO_Region_6_Europe/NOR_Norway/VF_Vestfold/NOR_VF_Svenner.Lighthouse.014780_TMYx.2004-2018.zip")</f>
        <v>https://climate.onebuilding.org/WMO_Region_6_Europe/NOR_Norway/VF_Vestfold/NOR_VF_Svenner.Lighthouse.014780_TMYx.2004-2018.zip</v>
      </c>
    </row>
    <row r="8995" spans="1:10" x14ac:dyDescent="0.25">
      <c r="A8995" t="s">
        <v>4974</v>
      </c>
      <c r="B8995" t="s">
        <v>5130</v>
      </c>
      <c r="C8995" t="s">
        <v>6749</v>
      </c>
      <c r="D8995" s="1" t="s">
        <v>6750</v>
      </c>
      <c r="E8995" t="s">
        <v>14</v>
      </c>
      <c r="F8995">
        <v>58.968600000000002</v>
      </c>
      <c r="G8995">
        <v>10.1478</v>
      </c>
      <c r="H8995">
        <v>1</v>
      </c>
      <c r="I8995">
        <v>15</v>
      </c>
      <c r="J8995" t="str">
        <f>HYPERLINK("https://climate.onebuilding.org/WMO_Region_6_Europe/NOR_Norway/VF_Vestfold/NOR_VF_Svenner.Lighthouse.014780_TMYx.2007-2021.zip")</f>
        <v>https://climate.onebuilding.org/WMO_Region_6_Europe/NOR_Norway/VF_Vestfold/NOR_VF_Svenner.Lighthouse.014780_TMYx.2007-2021.zip</v>
      </c>
    </row>
    <row r="8996" spans="1:10" x14ac:dyDescent="0.25">
      <c r="A8996" t="s">
        <v>4974</v>
      </c>
      <c r="B8996" t="s">
        <v>5130</v>
      </c>
      <c r="C8996" t="s">
        <v>6749</v>
      </c>
      <c r="D8996" s="1" t="s">
        <v>6750</v>
      </c>
      <c r="E8996" t="s">
        <v>14</v>
      </c>
      <c r="F8996">
        <v>58.968600000000002</v>
      </c>
      <c r="G8996">
        <v>10.1478</v>
      </c>
      <c r="H8996">
        <v>1</v>
      </c>
      <c r="I8996">
        <v>15</v>
      </c>
      <c r="J8996" t="str">
        <f>HYPERLINK("https://climate.onebuilding.org/WMO_Region_6_Europe/NOR_Norway/VF_Vestfold/NOR_VF_Svenner.Lighthouse.014780_TMYx.2009-2023.zip")</f>
        <v>https://climate.onebuilding.org/WMO_Region_6_Europe/NOR_Norway/VF_Vestfold/NOR_VF_Svenner.Lighthouse.014780_TMYx.2009-2023.zip</v>
      </c>
    </row>
    <row r="8997" spans="1:10" x14ac:dyDescent="0.25">
      <c r="A8997" t="s">
        <v>4974</v>
      </c>
      <c r="B8997" t="s">
        <v>5130</v>
      </c>
      <c r="C8997" t="s">
        <v>6749</v>
      </c>
      <c r="D8997" s="1" t="s">
        <v>6750</v>
      </c>
      <c r="E8997" t="s">
        <v>14</v>
      </c>
      <c r="F8997">
        <v>58.968600000000002</v>
      </c>
      <c r="G8997">
        <v>10.1478</v>
      </c>
      <c r="H8997">
        <v>1</v>
      </c>
      <c r="I8997">
        <v>15</v>
      </c>
      <c r="J8997" t="str">
        <f>HYPERLINK("https://climate.onebuilding.org/WMO_Region_6_Europe/NOR_Norway/VF_Vestfold/NOR_VF_Svenner.Lighthouse.014780_TMYx.zip")</f>
        <v>https://climate.onebuilding.org/WMO_Region_6_Europe/NOR_Norway/VF_Vestfold/NOR_VF_Svenner.Lighthouse.014780_TMYx.zip</v>
      </c>
    </row>
    <row r="8998" spans="1:10" x14ac:dyDescent="0.25">
      <c r="A8998" t="s">
        <v>4974</v>
      </c>
      <c r="B8998" t="s">
        <v>233</v>
      </c>
      <c r="C8998" t="s">
        <v>6752</v>
      </c>
      <c r="D8998" s="1" t="s">
        <v>6753</v>
      </c>
      <c r="E8998" t="s">
        <v>6754</v>
      </c>
      <c r="F8998">
        <v>59.753599999999999</v>
      </c>
      <c r="G8998">
        <v>10.1236</v>
      </c>
      <c r="H8998">
        <v>1</v>
      </c>
      <c r="I8998">
        <v>8</v>
      </c>
      <c r="J8998" t="str">
        <f>HYPERLINK("https://climate.onebuilding.org/WMO_Region_6_Europe/NOR_Norway/BU_Buskerud/NOR_BU_Drammen-Berskog.014800_TMYx.2004-2018.zip")</f>
        <v>https://climate.onebuilding.org/WMO_Region_6_Europe/NOR_Norway/BU_Buskerud/NOR_BU_Drammen-Berskog.014800_TMYx.2004-2018.zip</v>
      </c>
    </row>
    <row r="8999" spans="1:10" x14ac:dyDescent="0.25">
      <c r="A8999" t="s">
        <v>4974</v>
      </c>
      <c r="B8999" t="s">
        <v>233</v>
      </c>
      <c r="C8999" t="s">
        <v>6752</v>
      </c>
      <c r="D8999" s="1" t="s">
        <v>6753</v>
      </c>
      <c r="E8999" t="s">
        <v>14</v>
      </c>
      <c r="F8999">
        <v>59.753599999999999</v>
      </c>
      <c r="G8999">
        <v>10.1236</v>
      </c>
      <c r="H8999">
        <v>1</v>
      </c>
      <c r="I8999">
        <v>8</v>
      </c>
      <c r="J8999" t="str">
        <f>HYPERLINK("https://climate.onebuilding.org/WMO_Region_6_Europe/NOR_Norway/BU_Buskerud/NOR_BU_Drammen-Berskog.014800_TMYx.2007-2021.zip")</f>
        <v>https://climate.onebuilding.org/WMO_Region_6_Europe/NOR_Norway/BU_Buskerud/NOR_BU_Drammen-Berskog.014800_TMYx.2007-2021.zip</v>
      </c>
    </row>
    <row r="9000" spans="1:10" x14ac:dyDescent="0.25">
      <c r="A9000" t="s">
        <v>4974</v>
      </c>
      <c r="B9000" t="s">
        <v>233</v>
      </c>
      <c r="C9000" t="s">
        <v>6752</v>
      </c>
      <c r="D9000" s="1" t="s">
        <v>6753</v>
      </c>
      <c r="E9000" t="s">
        <v>14</v>
      </c>
      <c r="F9000">
        <v>59.753599999999999</v>
      </c>
      <c r="G9000">
        <v>10.1236</v>
      </c>
      <c r="H9000">
        <v>1</v>
      </c>
      <c r="I9000">
        <v>8</v>
      </c>
      <c r="J9000" t="str">
        <f>HYPERLINK("https://climate.onebuilding.org/WMO_Region_6_Europe/NOR_Norway/BU_Buskerud/NOR_BU_Drammen-Berskog.014800_TMYx.2009-2023.zip")</f>
        <v>https://climate.onebuilding.org/WMO_Region_6_Europe/NOR_Norway/BU_Buskerud/NOR_BU_Drammen-Berskog.014800_TMYx.2009-2023.zip</v>
      </c>
    </row>
    <row r="9001" spans="1:10" x14ac:dyDescent="0.25">
      <c r="A9001" t="s">
        <v>4974</v>
      </c>
      <c r="B9001" t="s">
        <v>233</v>
      </c>
      <c r="C9001" t="s">
        <v>6752</v>
      </c>
      <c r="D9001" s="1" t="s">
        <v>6753</v>
      </c>
      <c r="E9001" t="s">
        <v>14</v>
      </c>
      <c r="F9001">
        <v>59.753599999999999</v>
      </c>
      <c r="G9001">
        <v>10.1236</v>
      </c>
      <c r="H9001">
        <v>1</v>
      </c>
      <c r="I9001">
        <v>8</v>
      </c>
      <c r="J9001" t="str">
        <f>HYPERLINK("https://climate.onebuilding.org/WMO_Region_6_Europe/NOR_Norway/BU_Buskerud/NOR_BU_Drammen-Berskog.014800_TMYx.zip")</f>
        <v>https://climate.onebuilding.org/WMO_Region_6_Europe/NOR_Norway/BU_Buskerud/NOR_BU_Drammen-Berskog.014800_TMYx.zip</v>
      </c>
    </row>
    <row r="9002" spans="1:10" x14ac:dyDescent="0.25">
      <c r="A9002" t="s">
        <v>4974</v>
      </c>
      <c r="B9002" t="s">
        <v>5130</v>
      </c>
      <c r="C9002" t="s">
        <v>6755</v>
      </c>
      <c r="D9002" s="1" t="s">
        <v>6756</v>
      </c>
      <c r="E9002" t="s">
        <v>6757</v>
      </c>
      <c r="F9002">
        <v>59.229700000000001</v>
      </c>
      <c r="G9002">
        <v>10.348100000000001</v>
      </c>
      <c r="H9002">
        <v>1</v>
      </c>
      <c r="I9002">
        <v>26</v>
      </c>
      <c r="J9002" t="str">
        <f>HYPERLINK("https://climate.onebuilding.org/WMO_Region_6_Europe/NOR_Norway/VF_Vestfold/NOR_VF_Melsom.014810_TMYx.2004-2018.zip")</f>
        <v>https://climate.onebuilding.org/WMO_Region_6_Europe/NOR_Norway/VF_Vestfold/NOR_VF_Melsom.014810_TMYx.2004-2018.zip</v>
      </c>
    </row>
    <row r="9003" spans="1:10" x14ac:dyDescent="0.25">
      <c r="A9003" t="s">
        <v>4974</v>
      </c>
      <c r="B9003" t="s">
        <v>5130</v>
      </c>
      <c r="C9003" t="s">
        <v>6755</v>
      </c>
      <c r="D9003" s="1" t="s">
        <v>6756</v>
      </c>
      <c r="E9003" t="s">
        <v>14</v>
      </c>
      <c r="F9003">
        <v>59.229700000000001</v>
      </c>
      <c r="G9003">
        <v>10.348100000000001</v>
      </c>
      <c r="H9003">
        <v>1</v>
      </c>
      <c r="I9003">
        <v>26</v>
      </c>
      <c r="J9003" t="str">
        <f>HYPERLINK("https://climate.onebuilding.org/WMO_Region_6_Europe/NOR_Norway/VF_Vestfold/NOR_VF_Melsom.014810_TMYx.2007-2021.zip")</f>
        <v>https://climate.onebuilding.org/WMO_Region_6_Europe/NOR_Norway/VF_Vestfold/NOR_VF_Melsom.014810_TMYx.2007-2021.zip</v>
      </c>
    </row>
    <row r="9004" spans="1:10" x14ac:dyDescent="0.25">
      <c r="A9004" t="s">
        <v>4974</v>
      </c>
      <c r="B9004" t="s">
        <v>5130</v>
      </c>
      <c r="C9004" t="s">
        <v>6755</v>
      </c>
      <c r="D9004" s="1" t="s">
        <v>6756</v>
      </c>
      <c r="E9004" t="s">
        <v>14</v>
      </c>
      <c r="F9004">
        <v>59.229700000000001</v>
      </c>
      <c r="G9004">
        <v>10.348100000000001</v>
      </c>
      <c r="H9004">
        <v>1</v>
      </c>
      <c r="I9004">
        <v>26</v>
      </c>
      <c r="J9004" t="str">
        <f>HYPERLINK("https://climate.onebuilding.org/WMO_Region_6_Europe/NOR_Norway/VF_Vestfold/NOR_VF_Melsom.014810_TMYx.2009-2023.zip")</f>
        <v>https://climate.onebuilding.org/WMO_Region_6_Europe/NOR_Norway/VF_Vestfold/NOR_VF_Melsom.014810_TMYx.2009-2023.zip</v>
      </c>
    </row>
    <row r="9005" spans="1:10" x14ac:dyDescent="0.25">
      <c r="A9005" t="s">
        <v>4974</v>
      </c>
      <c r="B9005" t="s">
        <v>5130</v>
      </c>
      <c r="C9005" t="s">
        <v>6755</v>
      </c>
      <c r="D9005" s="1" t="s">
        <v>6756</v>
      </c>
      <c r="E9005" t="s">
        <v>14</v>
      </c>
      <c r="F9005">
        <v>59.229700000000001</v>
      </c>
      <c r="G9005">
        <v>10.348100000000001</v>
      </c>
      <c r="H9005">
        <v>1</v>
      </c>
      <c r="I9005">
        <v>26</v>
      </c>
      <c r="J9005" t="str">
        <f>HYPERLINK("https://climate.onebuilding.org/WMO_Region_6_Europe/NOR_Norway/VF_Vestfold/NOR_VF_Melsom.014810_TMYx.zip")</f>
        <v>https://climate.onebuilding.org/WMO_Region_6_Europe/NOR_Norway/VF_Vestfold/NOR_VF_Melsom.014810_TMYx.zip</v>
      </c>
    </row>
    <row r="9006" spans="1:10" x14ac:dyDescent="0.25">
      <c r="A9006" t="s">
        <v>4974</v>
      </c>
      <c r="B9006" t="s">
        <v>5130</v>
      </c>
      <c r="C9006" t="s">
        <v>6758</v>
      </c>
      <c r="D9006" s="1" t="s">
        <v>6759</v>
      </c>
      <c r="E9006" t="s">
        <v>6760</v>
      </c>
      <c r="F9006">
        <v>59.026899999999998</v>
      </c>
      <c r="G9006">
        <v>10.5242</v>
      </c>
      <c r="H9006">
        <v>1</v>
      </c>
      <c r="I9006">
        <v>7.7</v>
      </c>
      <c r="J9006" t="str">
        <f>HYPERLINK("https://climate.onebuilding.org/WMO_Region_6_Europe/NOR_Norway/VF_Vestfold/NOR_VF_Faerder.Lighthouse.014820_TMYx.2004-2018.zip")</f>
        <v>https://climate.onebuilding.org/WMO_Region_6_Europe/NOR_Norway/VF_Vestfold/NOR_VF_Faerder.Lighthouse.014820_TMYx.2004-2018.zip</v>
      </c>
    </row>
    <row r="9007" spans="1:10" x14ac:dyDescent="0.25">
      <c r="A9007" t="s">
        <v>4974</v>
      </c>
      <c r="B9007" t="s">
        <v>5130</v>
      </c>
      <c r="C9007" t="s">
        <v>6758</v>
      </c>
      <c r="D9007" s="1" t="s">
        <v>6759</v>
      </c>
      <c r="E9007" t="s">
        <v>14</v>
      </c>
      <c r="F9007">
        <v>59.026899999999998</v>
      </c>
      <c r="G9007">
        <v>10.5242</v>
      </c>
      <c r="H9007">
        <v>1</v>
      </c>
      <c r="I9007">
        <v>7.7</v>
      </c>
      <c r="J9007" t="str">
        <f>HYPERLINK("https://climate.onebuilding.org/WMO_Region_6_Europe/NOR_Norway/VF_Vestfold/NOR_VF_Faerder.Lighthouse.014820_TMYx.2007-2021.zip")</f>
        <v>https://climate.onebuilding.org/WMO_Region_6_Europe/NOR_Norway/VF_Vestfold/NOR_VF_Faerder.Lighthouse.014820_TMYx.2007-2021.zip</v>
      </c>
    </row>
    <row r="9008" spans="1:10" x14ac:dyDescent="0.25">
      <c r="A9008" t="s">
        <v>4974</v>
      </c>
      <c r="B9008" t="s">
        <v>5130</v>
      </c>
      <c r="C9008" t="s">
        <v>6758</v>
      </c>
      <c r="D9008" s="1" t="s">
        <v>6759</v>
      </c>
      <c r="E9008" t="s">
        <v>14</v>
      </c>
      <c r="F9008">
        <v>59.026899999999998</v>
      </c>
      <c r="G9008">
        <v>10.5242</v>
      </c>
      <c r="H9008">
        <v>1</v>
      </c>
      <c r="I9008">
        <v>7.7</v>
      </c>
      <c r="J9008" t="str">
        <f>HYPERLINK("https://climate.onebuilding.org/WMO_Region_6_Europe/NOR_Norway/VF_Vestfold/NOR_VF_Faerder.Lighthouse.014820_TMYx.2009-2023.zip")</f>
        <v>https://climate.onebuilding.org/WMO_Region_6_Europe/NOR_Norway/VF_Vestfold/NOR_VF_Faerder.Lighthouse.014820_TMYx.2009-2023.zip</v>
      </c>
    </row>
    <row r="9009" spans="1:10" x14ac:dyDescent="0.25">
      <c r="A9009" t="s">
        <v>4974</v>
      </c>
      <c r="B9009" t="s">
        <v>5130</v>
      </c>
      <c r="C9009" t="s">
        <v>6758</v>
      </c>
      <c r="D9009" s="1" t="s">
        <v>6759</v>
      </c>
      <c r="E9009" t="s">
        <v>14</v>
      </c>
      <c r="F9009">
        <v>59.026899999999998</v>
      </c>
      <c r="G9009">
        <v>10.5242</v>
      </c>
      <c r="H9009">
        <v>1</v>
      </c>
      <c r="I9009">
        <v>7.7</v>
      </c>
      <c r="J9009" t="str">
        <f>HYPERLINK("https://climate.onebuilding.org/WMO_Region_6_Europe/NOR_Norway/VF_Vestfold/NOR_VF_Faerder.Lighthouse.014820_TMYx.zip")</f>
        <v>https://climate.onebuilding.org/WMO_Region_6_Europe/NOR_Norway/VF_Vestfold/NOR_VF_Faerder.Lighthouse.014820_TMYx.zip</v>
      </c>
    </row>
    <row r="9010" spans="1:10" x14ac:dyDescent="0.25">
      <c r="A9010" t="s">
        <v>4974</v>
      </c>
      <c r="B9010" t="s">
        <v>5130</v>
      </c>
      <c r="C9010" t="s">
        <v>6761</v>
      </c>
      <c r="D9010" s="1" t="s">
        <v>6762</v>
      </c>
      <c r="E9010" t="s">
        <v>6763</v>
      </c>
      <c r="F9010">
        <v>59.184399999999997</v>
      </c>
      <c r="G9010">
        <v>10.2553</v>
      </c>
      <c r="H9010">
        <v>1</v>
      </c>
      <c r="I9010">
        <v>87.2</v>
      </c>
      <c r="J9010" t="str">
        <f>HYPERLINK("https://climate.onebuilding.org/WMO_Region_6_Europe/NOR_Norway/VF_Vestfold/NOR_VF_Sandefjord.AP-Torp.014830_TMYx.2004-2018.zip")</f>
        <v>https://climate.onebuilding.org/WMO_Region_6_Europe/NOR_Norway/VF_Vestfold/NOR_VF_Sandefjord.AP-Torp.014830_TMYx.2004-2018.zip</v>
      </c>
    </row>
    <row r="9011" spans="1:10" x14ac:dyDescent="0.25">
      <c r="A9011" t="s">
        <v>4974</v>
      </c>
      <c r="B9011" t="s">
        <v>5130</v>
      </c>
      <c r="C9011" t="s">
        <v>6761</v>
      </c>
      <c r="D9011" s="1" t="s">
        <v>6762</v>
      </c>
      <c r="E9011" t="s">
        <v>14</v>
      </c>
      <c r="F9011">
        <v>59.184399999999997</v>
      </c>
      <c r="G9011">
        <v>10.2553</v>
      </c>
      <c r="H9011">
        <v>1</v>
      </c>
      <c r="I9011">
        <v>87.2</v>
      </c>
      <c r="J9011" t="str">
        <f>HYPERLINK("https://climate.onebuilding.org/WMO_Region_6_Europe/NOR_Norway/VF_Vestfold/NOR_VF_Sandefjord.AP-Torp.014830_TMYx.2007-2021.zip")</f>
        <v>https://climate.onebuilding.org/WMO_Region_6_Europe/NOR_Norway/VF_Vestfold/NOR_VF_Sandefjord.AP-Torp.014830_TMYx.2007-2021.zip</v>
      </c>
    </row>
    <row r="9012" spans="1:10" x14ac:dyDescent="0.25">
      <c r="A9012" t="s">
        <v>4974</v>
      </c>
      <c r="B9012" t="s">
        <v>5130</v>
      </c>
      <c r="C9012" t="s">
        <v>6761</v>
      </c>
      <c r="D9012" s="1" t="s">
        <v>6762</v>
      </c>
      <c r="E9012" t="s">
        <v>14</v>
      </c>
      <c r="F9012">
        <v>59.184399999999997</v>
      </c>
      <c r="G9012">
        <v>10.2553</v>
      </c>
      <c r="H9012">
        <v>1</v>
      </c>
      <c r="I9012">
        <v>87.2</v>
      </c>
      <c r="J9012" t="str">
        <f>HYPERLINK("https://climate.onebuilding.org/WMO_Region_6_Europe/NOR_Norway/VF_Vestfold/NOR_VF_Sandefjord.AP-Torp.014830_TMYx.2009-2023.zip")</f>
        <v>https://climate.onebuilding.org/WMO_Region_6_Europe/NOR_Norway/VF_Vestfold/NOR_VF_Sandefjord.AP-Torp.014830_TMYx.2009-2023.zip</v>
      </c>
    </row>
    <row r="9013" spans="1:10" x14ac:dyDescent="0.25">
      <c r="A9013" t="s">
        <v>4974</v>
      </c>
      <c r="B9013" t="s">
        <v>5130</v>
      </c>
      <c r="C9013" t="s">
        <v>6761</v>
      </c>
      <c r="D9013" s="1" t="s">
        <v>6762</v>
      </c>
      <c r="E9013" t="s">
        <v>14</v>
      </c>
      <c r="F9013">
        <v>59.184399999999997</v>
      </c>
      <c r="G9013">
        <v>10.2553</v>
      </c>
      <c r="H9013">
        <v>1</v>
      </c>
      <c r="I9013">
        <v>87.2</v>
      </c>
      <c r="J9013" t="str">
        <f>HYPERLINK("https://climate.onebuilding.org/WMO_Region_6_Europe/NOR_Norway/VF_Vestfold/NOR_VF_Sandefjord.AP-Torp.014830_TMYx.zip")</f>
        <v>https://climate.onebuilding.org/WMO_Region_6_Europe/NOR_Norway/VF_Vestfold/NOR_VF_Sandefjord.AP-Torp.014830_TMYx.zip</v>
      </c>
    </row>
    <row r="9014" spans="1:10" x14ac:dyDescent="0.25">
      <c r="A9014" t="s">
        <v>4974</v>
      </c>
      <c r="B9014" t="s">
        <v>6117</v>
      </c>
      <c r="C9014" t="s">
        <v>6764</v>
      </c>
      <c r="D9014" s="1" t="s">
        <v>6765</v>
      </c>
      <c r="E9014" t="s">
        <v>6766</v>
      </c>
      <c r="F9014">
        <v>59.911900000000003</v>
      </c>
      <c r="G9014">
        <v>11.58</v>
      </c>
      <c r="H9014">
        <v>1</v>
      </c>
      <c r="I9014">
        <v>127.8</v>
      </c>
      <c r="J9014" t="str">
        <f>HYPERLINK("https://climate.onebuilding.org/WMO_Region_6_Europe/NOR_Norway/AK_Akershus/NOR_AK_Aurskog.014840_TMYx.2004-2018.zip")</f>
        <v>https://climate.onebuilding.org/WMO_Region_6_Europe/NOR_Norway/AK_Akershus/NOR_AK_Aurskog.014840_TMYx.2004-2018.zip</v>
      </c>
    </row>
    <row r="9015" spans="1:10" x14ac:dyDescent="0.25">
      <c r="A9015" t="s">
        <v>4974</v>
      </c>
      <c r="B9015" t="s">
        <v>6117</v>
      </c>
      <c r="C9015" t="s">
        <v>6764</v>
      </c>
      <c r="D9015" s="1" t="s">
        <v>6765</v>
      </c>
      <c r="E9015" t="s">
        <v>14</v>
      </c>
      <c r="F9015">
        <v>59.911900000000003</v>
      </c>
      <c r="G9015">
        <v>11.58</v>
      </c>
      <c r="H9015">
        <v>1</v>
      </c>
      <c r="I9015">
        <v>127.8</v>
      </c>
      <c r="J9015" t="str">
        <f>HYPERLINK("https://climate.onebuilding.org/WMO_Region_6_Europe/NOR_Norway/AK_Akershus/NOR_AK_Aurskog.014840_TMYx.2007-2021.zip")</f>
        <v>https://climate.onebuilding.org/WMO_Region_6_Europe/NOR_Norway/AK_Akershus/NOR_AK_Aurskog.014840_TMYx.2007-2021.zip</v>
      </c>
    </row>
    <row r="9016" spans="1:10" x14ac:dyDescent="0.25">
      <c r="A9016" t="s">
        <v>4974</v>
      </c>
      <c r="B9016" t="s">
        <v>6117</v>
      </c>
      <c r="C9016" t="s">
        <v>6764</v>
      </c>
      <c r="D9016" s="1" t="s">
        <v>6765</v>
      </c>
      <c r="E9016" t="s">
        <v>14</v>
      </c>
      <c r="F9016">
        <v>59.911900000000003</v>
      </c>
      <c r="G9016">
        <v>11.58</v>
      </c>
      <c r="H9016">
        <v>1</v>
      </c>
      <c r="I9016">
        <v>127.8</v>
      </c>
      <c r="J9016" t="str">
        <f>HYPERLINK("https://climate.onebuilding.org/WMO_Region_6_Europe/NOR_Norway/AK_Akershus/NOR_AK_Aurskog.014840_TMYx.2009-2023.zip")</f>
        <v>https://climate.onebuilding.org/WMO_Region_6_Europe/NOR_Norway/AK_Akershus/NOR_AK_Aurskog.014840_TMYx.2009-2023.zip</v>
      </c>
    </row>
    <row r="9017" spans="1:10" x14ac:dyDescent="0.25">
      <c r="A9017" t="s">
        <v>4974</v>
      </c>
      <c r="B9017" t="s">
        <v>6117</v>
      </c>
      <c r="C9017" t="s">
        <v>6764</v>
      </c>
      <c r="D9017" s="1" t="s">
        <v>6765</v>
      </c>
      <c r="E9017" t="s">
        <v>14</v>
      </c>
      <c r="F9017">
        <v>59.911900000000003</v>
      </c>
      <c r="G9017">
        <v>11.58</v>
      </c>
      <c r="H9017">
        <v>1</v>
      </c>
      <c r="I9017">
        <v>127.8</v>
      </c>
      <c r="J9017" t="str">
        <f>HYPERLINK("https://climate.onebuilding.org/WMO_Region_6_Europe/NOR_Norway/AK_Akershus/NOR_AK_Aurskog.014840_TMYx.zip")</f>
        <v>https://climate.onebuilding.org/WMO_Region_6_Europe/NOR_Norway/AK_Akershus/NOR_AK_Aurskog.014840_TMYx.zip</v>
      </c>
    </row>
    <row r="9018" spans="1:10" x14ac:dyDescent="0.25">
      <c r="A9018" t="s">
        <v>4974</v>
      </c>
      <c r="B9018" t="s">
        <v>5130</v>
      </c>
      <c r="C9018" t="s">
        <v>6767</v>
      </c>
      <c r="D9018" s="1" t="s">
        <v>6768</v>
      </c>
      <c r="E9018" t="s">
        <v>6769</v>
      </c>
      <c r="F9018">
        <v>59.317</v>
      </c>
      <c r="G9018">
        <v>10.45</v>
      </c>
      <c r="H9018">
        <v>1</v>
      </c>
      <c r="I9018">
        <v>15</v>
      </c>
      <c r="J9018" t="str">
        <f>HYPERLINK("https://climate.onebuilding.org/WMO_Region_6_Europe/NOR_Norway/VF_Vestfold/NOR_VF_Oseberg.014843_TMYx.2004-2018.zip")</f>
        <v>https://climate.onebuilding.org/WMO_Region_6_Europe/NOR_Norway/VF_Vestfold/NOR_VF_Oseberg.014843_TMYx.2004-2018.zip</v>
      </c>
    </row>
    <row r="9019" spans="1:10" x14ac:dyDescent="0.25">
      <c r="A9019" t="s">
        <v>4974</v>
      </c>
      <c r="B9019" t="s">
        <v>5130</v>
      </c>
      <c r="C9019" t="s">
        <v>6767</v>
      </c>
      <c r="D9019" s="1" t="s">
        <v>6768</v>
      </c>
      <c r="E9019" t="s">
        <v>14</v>
      </c>
      <c r="F9019">
        <v>59.317</v>
      </c>
      <c r="G9019">
        <v>10.45</v>
      </c>
      <c r="H9019">
        <v>1</v>
      </c>
      <c r="I9019">
        <v>15</v>
      </c>
      <c r="J9019" t="str">
        <f>HYPERLINK("https://climate.onebuilding.org/WMO_Region_6_Europe/NOR_Norway/VF_Vestfold/NOR_VF_Oseberg.014843_TMYx.2007-2021.zip")</f>
        <v>https://climate.onebuilding.org/WMO_Region_6_Europe/NOR_Norway/VF_Vestfold/NOR_VF_Oseberg.014843_TMYx.2007-2021.zip</v>
      </c>
    </row>
    <row r="9020" spans="1:10" x14ac:dyDescent="0.25">
      <c r="A9020" t="s">
        <v>4974</v>
      </c>
      <c r="B9020" t="s">
        <v>5130</v>
      </c>
      <c r="C9020" t="s">
        <v>6767</v>
      </c>
      <c r="D9020" s="1" t="s">
        <v>6768</v>
      </c>
      <c r="E9020" t="s">
        <v>14</v>
      </c>
      <c r="F9020">
        <v>59.317</v>
      </c>
      <c r="G9020">
        <v>10.45</v>
      </c>
      <c r="H9020">
        <v>1</v>
      </c>
      <c r="I9020">
        <v>15</v>
      </c>
      <c r="J9020" t="str">
        <f>HYPERLINK("https://climate.onebuilding.org/WMO_Region_6_Europe/NOR_Norway/VF_Vestfold/NOR_VF_Oseberg.014843_TMYx.2009-2023.zip")</f>
        <v>https://climate.onebuilding.org/WMO_Region_6_Europe/NOR_Norway/VF_Vestfold/NOR_VF_Oseberg.014843_TMYx.2009-2023.zip</v>
      </c>
    </row>
    <row r="9021" spans="1:10" x14ac:dyDescent="0.25">
      <c r="A9021" t="s">
        <v>4974</v>
      </c>
      <c r="B9021" t="s">
        <v>5130</v>
      </c>
      <c r="C9021" t="s">
        <v>6767</v>
      </c>
      <c r="D9021" s="1" t="s">
        <v>6768</v>
      </c>
      <c r="E9021" t="s">
        <v>14</v>
      </c>
      <c r="F9021">
        <v>59.317</v>
      </c>
      <c r="G9021">
        <v>10.45</v>
      </c>
      <c r="H9021">
        <v>1</v>
      </c>
      <c r="I9021">
        <v>15</v>
      </c>
      <c r="J9021" t="str">
        <f>HYPERLINK("https://climate.onebuilding.org/WMO_Region_6_Europe/NOR_Norway/VF_Vestfold/NOR_VF_Oseberg.014843_TMYx.zip")</f>
        <v>https://climate.onebuilding.org/WMO_Region_6_Europe/NOR_Norway/VF_Vestfold/NOR_VF_Oseberg.014843_TMYx.zip</v>
      </c>
    </row>
    <row r="9022" spans="1:10" x14ac:dyDescent="0.25">
      <c r="A9022" t="s">
        <v>4974</v>
      </c>
      <c r="B9022" t="s">
        <v>5130</v>
      </c>
      <c r="C9022" t="s">
        <v>6770</v>
      </c>
      <c r="D9022" s="1" t="s">
        <v>6771</v>
      </c>
      <c r="E9022" t="s">
        <v>6772</v>
      </c>
      <c r="F9022">
        <v>59.619399999999999</v>
      </c>
      <c r="G9022">
        <v>10.215</v>
      </c>
      <c r="H9022">
        <v>1</v>
      </c>
      <c r="I9022">
        <v>60</v>
      </c>
      <c r="J9022" t="str">
        <f>HYPERLINK("https://climate.onebuilding.org/WMO_Region_6_Europe/NOR_Norway/VF_Vestfold/NOR_VF_Sande-Galleberg.014850_TMYx.2004-2018.zip")</f>
        <v>https://climate.onebuilding.org/WMO_Region_6_Europe/NOR_Norway/VF_Vestfold/NOR_VF_Sande-Galleberg.014850_TMYx.2004-2018.zip</v>
      </c>
    </row>
    <row r="9023" spans="1:10" x14ac:dyDescent="0.25">
      <c r="A9023" t="s">
        <v>4974</v>
      </c>
      <c r="B9023" t="s">
        <v>5130</v>
      </c>
      <c r="C9023" t="s">
        <v>6770</v>
      </c>
      <c r="D9023" s="1" t="s">
        <v>6771</v>
      </c>
      <c r="E9023" t="s">
        <v>14</v>
      </c>
      <c r="F9023">
        <v>59.619399999999999</v>
      </c>
      <c r="G9023">
        <v>10.215</v>
      </c>
      <c r="H9023">
        <v>1</v>
      </c>
      <c r="I9023">
        <v>60</v>
      </c>
      <c r="J9023" t="str">
        <f>HYPERLINK("https://climate.onebuilding.org/WMO_Region_6_Europe/NOR_Norway/VF_Vestfold/NOR_VF_Sande-Galleberg.014850_TMYx.2007-2021.zip")</f>
        <v>https://climate.onebuilding.org/WMO_Region_6_Europe/NOR_Norway/VF_Vestfold/NOR_VF_Sande-Galleberg.014850_TMYx.2007-2021.zip</v>
      </c>
    </row>
    <row r="9024" spans="1:10" x14ac:dyDescent="0.25">
      <c r="A9024" t="s">
        <v>4974</v>
      </c>
      <c r="B9024" t="s">
        <v>5130</v>
      </c>
      <c r="C9024" t="s">
        <v>6770</v>
      </c>
      <c r="D9024" s="1" t="s">
        <v>6771</v>
      </c>
      <c r="E9024" t="s">
        <v>14</v>
      </c>
      <c r="F9024">
        <v>59.619399999999999</v>
      </c>
      <c r="G9024">
        <v>10.215</v>
      </c>
      <c r="H9024">
        <v>1</v>
      </c>
      <c r="I9024">
        <v>60</v>
      </c>
      <c r="J9024" t="str">
        <f>HYPERLINK("https://climate.onebuilding.org/WMO_Region_6_Europe/NOR_Norway/VF_Vestfold/NOR_VF_Sande-Galleberg.014850_TMYx.2009-2023.zip")</f>
        <v>https://climate.onebuilding.org/WMO_Region_6_Europe/NOR_Norway/VF_Vestfold/NOR_VF_Sande-Galleberg.014850_TMYx.2009-2023.zip</v>
      </c>
    </row>
    <row r="9025" spans="1:10" x14ac:dyDescent="0.25">
      <c r="A9025" t="s">
        <v>4974</v>
      </c>
      <c r="B9025" t="s">
        <v>5130</v>
      </c>
      <c r="C9025" t="s">
        <v>6770</v>
      </c>
      <c r="D9025" s="1" t="s">
        <v>6771</v>
      </c>
      <c r="E9025" t="s">
        <v>14</v>
      </c>
      <c r="F9025">
        <v>59.619399999999999</v>
      </c>
      <c r="G9025">
        <v>10.215</v>
      </c>
      <c r="H9025">
        <v>1</v>
      </c>
      <c r="I9025">
        <v>60</v>
      </c>
      <c r="J9025" t="str">
        <f>HYPERLINK("https://climate.onebuilding.org/WMO_Region_6_Europe/NOR_Norway/VF_Vestfold/NOR_VF_Sande-Galleberg.014850_TMYx.zip")</f>
        <v>https://climate.onebuilding.org/WMO_Region_6_Europe/NOR_Norway/VF_Vestfold/NOR_VF_Sande-Galleberg.014850_TMYx.zip</v>
      </c>
    </row>
    <row r="9026" spans="1:10" x14ac:dyDescent="0.25">
      <c r="A9026" t="s">
        <v>4974</v>
      </c>
      <c r="B9026" t="s">
        <v>6117</v>
      </c>
      <c r="C9026" t="s">
        <v>6773</v>
      </c>
      <c r="D9026" s="1" t="s">
        <v>6774</v>
      </c>
      <c r="E9026" t="s">
        <v>6775</v>
      </c>
      <c r="F9026">
        <v>59.855800000000002</v>
      </c>
      <c r="G9026">
        <v>10.4344</v>
      </c>
      <c r="H9026">
        <v>1</v>
      </c>
      <c r="I9026">
        <v>163</v>
      </c>
      <c r="J9026" t="str">
        <f>HYPERLINK("https://climate.onebuilding.org/WMO_Region_6_Europe/NOR_Norway/AK_Akershus/NOR_AK_Asker.014860_TMYx.2004-2018.zip")</f>
        <v>https://climate.onebuilding.org/WMO_Region_6_Europe/NOR_Norway/AK_Akershus/NOR_AK_Asker.014860_TMYx.2004-2018.zip</v>
      </c>
    </row>
    <row r="9027" spans="1:10" x14ac:dyDescent="0.25">
      <c r="A9027" t="s">
        <v>4974</v>
      </c>
      <c r="B9027" t="s">
        <v>6117</v>
      </c>
      <c r="C9027" t="s">
        <v>6773</v>
      </c>
      <c r="D9027" s="1" t="s">
        <v>6774</v>
      </c>
      <c r="E9027" t="s">
        <v>14</v>
      </c>
      <c r="F9027">
        <v>59.855800000000002</v>
      </c>
      <c r="G9027">
        <v>10.4344</v>
      </c>
      <c r="H9027">
        <v>1</v>
      </c>
      <c r="I9027">
        <v>163</v>
      </c>
      <c r="J9027" t="str">
        <f>HYPERLINK("https://climate.onebuilding.org/WMO_Region_6_Europe/NOR_Norway/AK_Akershus/NOR_AK_Asker.014860_TMYx.2007-2021.zip")</f>
        <v>https://climate.onebuilding.org/WMO_Region_6_Europe/NOR_Norway/AK_Akershus/NOR_AK_Asker.014860_TMYx.2007-2021.zip</v>
      </c>
    </row>
    <row r="9028" spans="1:10" x14ac:dyDescent="0.25">
      <c r="A9028" t="s">
        <v>4974</v>
      </c>
      <c r="B9028" t="s">
        <v>6117</v>
      </c>
      <c r="C9028" t="s">
        <v>6773</v>
      </c>
      <c r="D9028" s="1" t="s">
        <v>6774</v>
      </c>
      <c r="E9028" t="s">
        <v>14</v>
      </c>
      <c r="F9028">
        <v>59.855800000000002</v>
      </c>
      <c r="G9028">
        <v>10.4344</v>
      </c>
      <c r="H9028">
        <v>1</v>
      </c>
      <c r="I9028">
        <v>163</v>
      </c>
      <c r="J9028" t="str">
        <f>HYPERLINK("https://climate.onebuilding.org/WMO_Region_6_Europe/NOR_Norway/AK_Akershus/NOR_AK_Asker.014860_TMYx.2009-2023.zip")</f>
        <v>https://climate.onebuilding.org/WMO_Region_6_Europe/NOR_Norway/AK_Akershus/NOR_AK_Asker.014860_TMYx.2009-2023.zip</v>
      </c>
    </row>
    <row r="9029" spans="1:10" x14ac:dyDescent="0.25">
      <c r="A9029" t="s">
        <v>4974</v>
      </c>
      <c r="B9029" t="s">
        <v>6117</v>
      </c>
      <c r="C9029" t="s">
        <v>6773</v>
      </c>
      <c r="D9029" s="1" t="s">
        <v>6774</v>
      </c>
      <c r="E9029" t="s">
        <v>14</v>
      </c>
      <c r="F9029">
        <v>59.855800000000002</v>
      </c>
      <c r="G9029">
        <v>10.4344</v>
      </c>
      <c r="H9029">
        <v>1</v>
      </c>
      <c r="I9029">
        <v>163</v>
      </c>
      <c r="J9029" t="str">
        <f>HYPERLINK("https://climate.onebuilding.org/WMO_Region_6_Europe/NOR_Norway/AK_Akershus/NOR_AK_Asker.014860_TMYx.zip")</f>
        <v>https://climate.onebuilding.org/WMO_Region_6_Europe/NOR_Norway/AK_Akershus/NOR_AK_Asker.014860_TMYx.zip</v>
      </c>
    </row>
    <row r="9030" spans="1:10" x14ac:dyDescent="0.25">
      <c r="A9030" t="s">
        <v>4974</v>
      </c>
      <c r="B9030" t="s">
        <v>2425</v>
      </c>
      <c r="C9030" t="s">
        <v>6776</v>
      </c>
      <c r="D9030" s="1" t="s">
        <v>6777</v>
      </c>
      <c r="E9030" t="s">
        <v>6778</v>
      </c>
      <c r="F9030">
        <v>59.933</v>
      </c>
      <c r="G9030">
        <v>10.833</v>
      </c>
      <c r="H9030">
        <v>1</v>
      </c>
      <c r="I9030">
        <v>90</v>
      </c>
      <c r="J9030" t="str">
        <f>HYPERLINK("https://climate.onebuilding.org/WMO_Region_6_Europe/NOR_Norway/OS_Oslo/NOR_OS_Alna.014870_TMYx.2004-2018.zip")</f>
        <v>https://climate.onebuilding.org/WMO_Region_6_Europe/NOR_Norway/OS_Oslo/NOR_OS_Alna.014870_TMYx.2004-2018.zip</v>
      </c>
    </row>
    <row r="9031" spans="1:10" x14ac:dyDescent="0.25">
      <c r="A9031" t="s">
        <v>4974</v>
      </c>
      <c r="B9031" t="s">
        <v>2425</v>
      </c>
      <c r="C9031" t="s">
        <v>6776</v>
      </c>
      <c r="D9031" s="1" t="s">
        <v>6777</v>
      </c>
      <c r="E9031" t="s">
        <v>14</v>
      </c>
      <c r="F9031">
        <v>59.933</v>
      </c>
      <c r="G9031">
        <v>10.833</v>
      </c>
      <c r="H9031">
        <v>1</v>
      </c>
      <c r="I9031">
        <v>90</v>
      </c>
      <c r="J9031" t="str">
        <f>HYPERLINK("https://climate.onebuilding.org/WMO_Region_6_Europe/NOR_Norway/OS_Oslo/NOR_OS_Alna.014870_TMYx.2007-2021.zip")</f>
        <v>https://climate.onebuilding.org/WMO_Region_6_Europe/NOR_Norway/OS_Oslo/NOR_OS_Alna.014870_TMYx.2007-2021.zip</v>
      </c>
    </row>
    <row r="9032" spans="1:10" x14ac:dyDescent="0.25">
      <c r="A9032" t="s">
        <v>4974</v>
      </c>
      <c r="B9032" t="s">
        <v>2425</v>
      </c>
      <c r="C9032" t="s">
        <v>6776</v>
      </c>
      <c r="D9032" s="1" t="s">
        <v>6777</v>
      </c>
      <c r="E9032" t="s">
        <v>14</v>
      </c>
      <c r="F9032">
        <v>59.933</v>
      </c>
      <c r="G9032">
        <v>10.833</v>
      </c>
      <c r="H9032">
        <v>1</v>
      </c>
      <c r="I9032">
        <v>90</v>
      </c>
      <c r="J9032" t="str">
        <f>HYPERLINK("https://climate.onebuilding.org/WMO_Region_6_Europe/NOR_Norway/OS_Oslo/NOR_OS_Alna.014870_TMYx.2009-2023.zip")</f>
        <v>https://climate.onebuilding.org/WMO_Region_6_Europe/NOR_Norway/OS_Oslo/NOR_OS_Alna.014870_TMYx.2009-2023.zip</v>
      </c>
    </row>
    <row r="9033" spans="1:10" x14ac:dyDescent="0.25">
      <c r="A9033" t="s">
        <v>4974</v>
      </c>
      <c r="B9033" t="s">
        <v>2425</v>
      </c>
      <c r="C9033" t="s">
        <v>6776</v>
      </c>
      <c r="D9033" s="1" t="s">
        <v>6777</v>
      </c>
      <c r="E9033" t="s">
        <v>14</v>
      </c>
      <c r="F9033">
        <v>59.933</v>
      </c>
      <c r="G9033">
        <v>10.833</v>
      </c>
      <c r="H9033">
        <v>1</v>
      </c>
      <c r="I9033">
        <v>90</v>
      </c>
      <c r="J9033" t="str">
        <f>HYPERLINK("https://climate.onebuilding.org/WMO_Region_6_Europe/NOR_Norway/OS_Oslo/NOR_OS_Alna.014870_TMYx.zip")</f>
        <v>https://climate.onebuilding.org/WMO_Region_6_Europe/NOR_Norway/OS_Oslo/NOR_OS_Alna.014870_TMYx.zip</v>
      </c>
    </row>
    <row r="9034" spans="1:10" x14ac:dyDescent="0.25">
      <c r="A9034" t="s">
        <v>4974</v>
      </c>
      <c r="B9034" t="s">
        <v>6117</v>
      </c>
      <c r="C9034" t="s">
        <v>6779</v>
      </c>
      <c r="D9034" s="1" t="s">
        <v>6780</v>
      </c>
      <c r="E9034" t="s">
        <v>6781</v>
      </c>
      <c r="F9034">
        <v>60.117199999999997</v>
      </c>
      <c r="G9034">
        <v>10.828900000000001</v>
      </c>
      <c r="H9034">
        <v>1</v>
      </c>
      <c r="I9034">
        <v>170</v>
      </c>
      <c r="J9034" t="str">
        <f>HYPERLINK("https://climate.onebuilding.org/WMO_Region_6_Europe/NOR_Norway/AK_Akershus/NOR_AK_Hakadal.014880_TMYx.2004-2018.zip")</f>
        <v>https://climate.onebuilding.org/WMO_Region_6_Europe/NOR_Norway/AK_Akershus/NOR_AK_Hakadal.014880_TMYx.2004-2018.zip</v>
      </c>
    </row>
    <row r="9035" spans="1:10" x14ac:dyDescent="0.25">
      <c r="A9035" t="s">
        <v>4974</v>
      </c>
      <c r="B9035" t="s">
        <v>6117</v>
      </c>
      <c r="C9035" t="s">
        <v>6779</v>
      </c>
      <c r="D9035" s="1" t="s">
        <v>6780</v>
      </c>
      <c r="E9035" t="s">
        <v>14</v>
      </c>
      <c r="F9035">
        <v>60.117199999999997</v>
      </c>
      <c r="G9035">
        <v>10.828900000000001</v>
      </c>
      <c r="H9035">
        <v>1</v>
      </c>
      <c r="I9035">
        <v>170</v>
      </c>
      <c r="J9035" t="str">
        <f>HYPERLINK("https://climate.onebuilding.org/WMO_Region_6_Europe/NOR_Norway/AK_Akershus/NOR_AK_Hakadal.014880_TMYx.2007-2021.zip")</f>
        <v>https://climate.onebuilding.org/WMO_Region_6_Europe/NOR_Norway/AK_Akershus/NOR_AK_Hakadal.014880_TMYx.2007-2021.zip</v>
      </c>
    </row>
    <row r="9036" spans="1:10" x14ac:dyDescent="0.25">
      <c r="A9036" t="s">
        <v>4974</v>
      </c>
      <c r="B9036" t="s">
        <v>6117</v>
      </c>
      <c r="C9036" t="s">
        <v>6779</v>
      </c>
      <c r="D9036" s="1" t="s">
        <v>6780</v>
      </c>
      <c r="E9036" t="s">
        <v>14</v>
      </c>
      <c r="F9036">
        <v>60.117199999999997</v>
      </c>
      <c r="G9036">
        <v>10.828900000000001</v>
      </c>
      <c r="H9036">
        <v>1</v>
      </c>
      <c r="I9036">
        <v>170</v>
      </c>
      <c r="J9036" t="str">
        <f>HYPERLINK("https://climate.onebuilding.org/WMO_Region_6_Europe/NOR_Norway/AK_Akershus/NOR_AK_Hakadal.014880_TMYx.2009-2023.zip")</f>
        <v>https://climate.onebuilding.org/WMO_Region_6_Europe/NOR_Norway/AK_Akershus/NOR_AK_Hakadal.014880_TMYx.2009-2023.zip</v>
      </c>
    </row>
    <row r="9037" spans="1:10" x14ac:dyDescent="0.25">
      <c r="A9037" t="s">
        <v>4974</v>
      </c>
      <c r="B9037" t="s">
        <v>6117</v>
      </c>
      <c r="C9037" t="s">
        <v>6779</v>
      </c>
      <c r="D9037" s="1" t="s">
        <v>6780</v>
      </c>
      <c r="E9037" t="s">
        <v>14</v>
      </c>
      <c r="F9037">
        <v>60.117199999999997</v>
      </c>
      <c r="G9037">
        <v>10.828900000000001</v>
      </c>
      <c r="H9037">
        <v>1</v>
      </c>
      <c r="I9037">
        <v>170</v>
      </c>
      <c r="J9037" t="str">
        <f>HYPERLINK("https://climate.onebuilding.org/WMO_Region_6_Europe/NOR_Norway/AK_Akershus/NOR_AK_Hakadal.014880_TMYx.zip")</f>
        <v>https://climate.onebuilding.org/WMO_Region_6_Europe/NOR_Norway/AK_Akershus/NOR_AK_Hakadal.014880_TMYx.zip</v>
      </c>
    </row>
    <row r="9038" spans="1:10" x14ac:dyDescent="0.25">
      <c r="A9038" t="s">
        <v>4974</v>
      </c>
      <c r="B9038" t="s">
        <v>2425</v>
      </c>
      <c r="C9038" t="s">
        <v>6782</v>
      </c>
      <c r="D9038" s="1" t="s">
        <v>6783</v>
      </c>
      <c r="E9038" t="s">
        <v>6784</v>
      </c>
      <c r="F9038">
        <v>59.9</v>
      </c>
      <c r="G9038">
        <v>10.617000000000001</v>
      </c>
      <c r="H9038">
        <v>1</v>
      </c>
      <c r="I9038">
        <v>17</v>
      </c>
      <c r="J9038" t="str">
        <f>HYPERLINK("https://climate.onebuilding.org/WMO_Region_6_Europe/NOR_Norway/OS_Oslo/NOR_OS_Oslo-Fornebu.AP.014881_TMYx.2004-2018.zip")</f>
        <v>https://climate.onebuilding.org/WMO_Region_6_Europe/NOR_Norway/OS_Oslo/NOR_OS_Oslo-Fornebu.AP.014881_TMYx.2004-2018.zip</v>
      </c>
    </row>
    <row r="9039" spans="1:10" x14ac:dyDescent="0.25">
      <c r="A9039" t="s">
        <v>4974</v>
      </c>
      <c r="B9039" t="s">
        <v>2425</v>
      </c>
      <c r="C9039" t="s">
        <v>6782</v>
      </c>
      <c r="D9039" s="1" t="s">
        <v>6783</v>
      </c>
      <c r="E9039" t="s">
        <v>14</v>
      </c>
      <c r="F9039">
        <v>59.9</v>
      </c>
      <c r="G9039">
        <v>10.617000000000001</v>
      </c>
      <c r="H9039">
        <v>1</v>
      </c>
      <c r="I9039">
        <v>17</v>
      </c>
      <c r="J9039" t="str">
        <f>HYPERLINK("https://climate.onebuilding.org/WMO_Region_6_Europe/NOR_Norway/OS_Oslo/NOR_OS_Oslo-Fornebu.AP.014881_TMYx.2007-2021.zip")</f>
        <v>https://climate.onebuilding.org/WMO_Region_6_Europe/NOR_Norway/OS_Oslo/NOR_OS_Oslo-Fornebu.AP.014881_TMYx.2007-2021.zip</v>
      </c>
    </row>
    <row r="9040" spans="1:10" x14ac:dyDescent="0.25">
      <c r="A9040" t="s">
        <v>4974</v>
      </c>
      <c r="B9040" t="s">
        <v>2425</v>
      </c>
      <c r="C9040" t="s">
        <v>6782</v>
      </c>
      <c r="D9040" s="1" t="s">
        <v>6783</v>
      </c>
      <c r="E9040" t="s">
        <v>14</v>
      </c>
      <c r="F9040">
        <v>59.9</v>
      </c>
      <c r="G9040">
        <v>10.617000000000001</v>
      </c>
      <c r="H9040">
        <v>1</v>
      </c>
      <c r="I9040">
        <v>17</v>
      </c>
      <c r="J9040" t="str">
        <f>HYPERLINK("https://climate.onebuilding.org/WMO_Region_6_Europe/NOR_Norway/OS_Oslo/NOR_OS_Oslo-Fornebu.AP.014881_TMYx.2009-2023.zip")</f>
        <v>https://climate.onebuilding.org/WMO_Region_6_Europe/NOR_Norway/OS_Oslo/NOR_OS_Oslo-Fornebu.AP.014881_TMYx.2009-2023.zip</v>
      </c>
    </row>
    <row r="9041" spans="1:10" x14ac:dyDescent="0.25">
      <c r="A9041" t="s">
        <v>4974</v>
      </c>
      <c r="B9041" t="s">
        <v>2425</v>
      </c>
      <c r="C9041" t="s">
        <v>6782</v>
      </c>
      <c r="D9041" s="1" t="s">
        <v>6783</v>
      </c>
      <c r="E9041" t="s">
        <v>14</v>
      </c>
      <c r="F9041">
        <v>59.9</v>
      </c>
      <c r="G9041">
        <v>10.617000000000001</v>
      </c>
      <c r="H9041">
        <v>1</v>
      </c>
      <c r="I9041">
        <v>17</v>
      </c>
      <c r="J9041" t="str">
        <f>HYPERLINK("https://climate.onebuilding.org/WMO_Region_6_Europe/NOR_Norway/OS_Oslo/NOR_OS_Oslo-Fornebu.AP.014881_TMYx.zip")</f>
        <v>https://climate.onebuilding.org/WMO_Region_6_Europe/NOR_Norway/OS_Oslo/NOR_OS_Oslo-Fornebu.AP.014881_TMYx.zip</v>
      </c>
    </row>
    <row r="9042" spans="1:10" x14ac:dyDescent="0.25">
      <c r="A9042" t="s">
        <v>4974</v>
      </c>
      <c r="B9042" t="s">
        <v>2425</v>
      </c>
      <c r="C9042" t="s">
        <v>6785</v>
      </c>
      <c r="D9042" s="1" t="s">
        <v>6786</v>
      </c>
      <c r="E9042" t="s">
        <v>6787</v>
      </c>
      <c r="F9042">
        <v>60.051400000000001</v>
      </c>
      <c r="G9042">
        <v>10.687799999999999</v>
      </c>
      <c r="H9042">
        <v>1</v>
      </c>
      <c r="I9042">
        <v>360</v>
      </c>
      <c r="J9042" t="str">
        <f>HYPERLINK("https://climate.onebuilding.org/WMO_Region_6_Europe/NOR_Norway/OS_Oslo/NOR_OS_Bjornholt.014890_TMYx.2004-2018.zip")</f>
        <v>https://climate.onebuilding.org/WMO_Region_6_Europe/NOR_Norway/OS_Oslo/NOR_OS_Bjornholt.014890_TMYx.2004-2018.zip</v>
      </c>
    </row>
    <row r="9043" spans="1:10" x14ac:dyDescent="0.25">
      <c r="A9043" t="s">
        <v>4974</v>
      </c>
      <c r="B9043" t="s">
        <v>2425</v>
      </c>
      <c r="C9043" t="s">
        <v>6785</v>
      </c>
      <c r="D9043" s="1" t="s">
        <v>6786</v>
      </c>
      <c r="E9043" t="s">
        <v>14</v>
      </c>
      <c r="F9043">
        <v>60.051400000000001</v>
      </c>
      <c r="G9043">
        <v>10.687799999999999</v>
      </c>
      <c r="H9043">
        <v>1</v>
      </c>
      <c r="I9043">
        <v>360</v>
      </c>
      <c r="J9043" t="str">
        <f>HYPERLINK("https://climate.onebuilding.org/WMO_Region_6_Europe/NOR_Norway/OS_Oslo/NOR_OS_Bjornholt.014890_TMYx.2007-2021.zip")</f>
        <v>https://climate.onebuilding.org/WMO_Region_6_Europe/NOR_Norway/OS_Oslo/NOR_OS_Bjornholt.014890_TMYx.2007-2021.zip</v>
      </c>
    </row>
    <row r="9044" spans="1:10" x14ac:dyDescent="0.25">
      <c r="A9044" t="s">
        <v>4974</v>
      </c>
      <c r="B9044" t="s">
        <v>2425</v>
      </c>
      <c r="C9044" t="s">
        <v>6785</v>
      </c>
      <c r="D9044" s="1" t="s">
        <v>6786</v>
      </c>
      <c r="E9044" t="s">
        <v>14</v>
      </c>
      <c r="F9044">
        <v>60.051400000000001</v>
      </c>
      <c r="G9044">
        <v>10.687799999999999</v>
      </c>
      <c r="H9044">
        <v>1</v>
      </c>
      <c r="I9044">
        <v>360</v>
      </c>
      <c r="J9044" t="str">
        <f>HYPERLINK("https://climate.onebuilding.org/WMO_Region_6_Europe/NOR_Norway/OS_Oslo/NOR_OS_Bjornholt.014890_TMYx.2009-2023.zip")</f>
        <v>https://climate.onebuilding.org/WMO_Region_6_Europe/NOR_Norway/OS_Oslo/NOR_OS_Bjornholt.014890_TMYx.2009-2023.zip</v>
      </c>
    </row>
    <row r="9045" spans="1:10" x14ac:dyDescent="0.25">
      <c r="A9045" t="s">
        <v>4974</v>
      </c>
      <c r="B9045" t="s">
        <v>2425</v>
      </c>
      <c r="C9045" t="s">
        <v>6785</v>
      </c>
      <c r="D9045" s="1" t="s">
        <v>6786</v>
      </c>
      <c r="E9045" t="s">
        <v>14</v>
      </c>
      <c r="F9045">
        <v>60.051400000000001</v>
      </c>
      <c r="G9045">
        <v>10.687799999999999</v>
      </c>
      <c r="H9045">
        <v>1</v>
      </c>
      <c r="I9045">
        <v>360</v>
      </c>
      <c r="J9045" t="str">
        <f>HYPERLINK("https://climate.onebuilding.org/WMO_Region_6_Europe/NOR_Norway/OS_Oslo/NOR_OS_Bjornholt.014890_TMYx.zip")</f>
        <v>https://climate.onebuilding.org/WMO_Region_6_Europe/NOR_Norway/OS_Oslo/NOR_OS_Bjornholt.014890_TMYx.zip</v>
      </c>
    </row>
    <row r="9046" spans="1:10" x14ac:dyDescent="0.25">
      <c r="A9046" t="s">
        <v>4974</v>
      </c>
      <c r="B9046" t="s">
        <v>2425</v>
      </c>
      <c r="C9046" t="s">
        <v>6788</v>
      </c>
      <c r="D9046" s="1" t="s">
        <v>6789</v>
      </c>
      <c r="E9046" t="s">
        <v>6790</v>
      </c>
      <c r="F9046">
        <v>59.984400000000001</v>
      </c>
      <c r="G9046">
        <v>10.6692</v>
      </c>
      <c r="H9046">
        <v>1</v>
      </c>
      <c r="I9046">
        <v>528</v>
      </c>
      <c r="J9046" t="str">
        <f>HYPERLINK("https://climate.onebuilding.org/WMO_Region_6_Europe/NOR_Norway/OS_Oslo/NOR_OS_Tryvannshogda.014900_TMYx.2004-2018.zip")</f>
        <v>https://climate.onebuilding.org/WMO_Region_6_Europe/NOR_Norway/OS_Oslo/NOR_OS_Tryvannshogda.014900_TMYx.2004-2018.zip</v>
      </c>
    </row>
    <row r="9047" spans="1:10" x14ac:dyDescent="0.25">
      <c r="A9047" t="s">
        <v>4974</v>
      </c>
      <c r="B9047" t="s">
        <v>2425</v>
      </c>
      <c r="C9047" t="s">
        <v>6788</v>
      </c>
      <c r="D9047" s="1" t="s">
        <v>6789</v>
      </c>
      <c r="E9047" t="s">
        <v>14</v>
      </c>
      <c r="F9047">
        <v>59.984400000000001</v>
      </c>
      <c r="G9047">
        <v>10.6692</v>
      </c>
      <c r="H9047">
        <v>1</v>
      </c>
      <c r="I9047">
        <v>528</v>
      </c>
      <c r="J9047" t="str">
        <f>HYPERLINK("https://climate.onebuilding.org/WMO_Region_6_Europe/NOR_Norway/OS_Oslo/NOR_OS_Tryvannshogda.014900_TMYx.2007-2021.zip")</f>
        <v>https://climate.onebuilding.org/WMO_Region_6_Europe/NOR_Norway/OS_Oslo/NOR_OS_Tryvannshogda.014900_TMYx.2007-2021.zip</v>
      </c>
    </row>
    <row r="9048" spans="1:10" x14ac:dyDescent="0.25">
      <c r="A9048" t="s">
        <v>4974</v>
      </c>
      <c r="B9048" t="s">
        <v>2425</v>
      </c>
      <c r="C9048" t="s">
        <v>6788</v>
      </c>
      <c r="D9048" s="1" t="s">
        <v>6789</v>
      </c>
      <c r="E9048" t="s">
        <v>14</v>
      </c>
      <c r="F9048">
        <v>59.984400000000001</v>
      </c>
      <c r="G9048">
        <v>10.6692</v>
      </c>
      <c r="H9048">
        <v>1</v>
      </c>
      <c r="I9048">
        <v>528</v>
      </c>
      <c r="J9048" t="str">
        <f>HYPERLINK("https://climate.onebuilding.org/WMO_Region_6_Europe/NOR_Norway/OS_Oslo/NOR_OS_Tryvannshogda.014900_TMYx.2009-2023.zip")</f>
        <v>https://climate.onebuilding.org/WMO_Region_6_Europe/NOR_Norway/OS_Oslo/NOR_OS_Tryvannshogda.014900_TMYx.2009-2023.zip</v>
      </c>
    </row>
    <row r="9049" spans="1:10" x14ac:dyDescent="0.25">
      <c r="A9049" t="s">
        <v>4974</v>
      </c>
      <c r="B9049" t="s">
        <v>2425</v>
      </c>
      <c r="C9049" t="s">
        <v>6788</v>
      </c>
      <c r="D9049" s="1" t="s">
        <v>6789</v>
      </c>
      <c r="E9049" t="s">
        <v>14</v>
      </c>
      <c r="F9049">
        <v>59.984400000000001</v>
      </c>
      <c r="G9049">
        <v>10.6692</v>
      </c>
      <c r="H9049">
        <v>1</v>
      </c>
      <c r="I9049">
        <v>528</v>
      </c>
      <c r="J9049" t="str">
        <f>HYPERLINK("https://climate.onebuilding.org/WMO_Region_6_Europe/NOR_Norway/OS_Oslo/NOR_OS_Tryvannshogda.014900_TMYx.zip")</f>
        <v>https://climate.onebuilding.org/WMO_Region_6_Europe/NOR_Norway/OS_Oslo/NOR_OS_Tryvannshogda.014900_TMYx.zip</v>
      </c>
    </row>
    <row r="9050" spans="1:10" x14ac:dyDescent="0.25">
      <c r="A9050" t="s">
        <v>4974</v>
      </c>
      <c r="B9050" t="s">
        <v>2425</v>
      </c>
      <c r="C9050" t="s">
        <v>6791</v>
      </c>
      <c r="D9050" s="1" t="s">
        <v>6792</v>
      </c>
      <c r="E9050" t="s">
        <v>6793</v>
      </c>
      <c r="F9050">
        <v>59.9422</v>
      </c>
      <c r="G9050">
        <v>10.72</v>
      </c>
      <c r="H9050">
        <v>1</v>
      </c>
      <c r="I9050">
        <v>96.6</v>
      </c>
      <c r="J9050" t="str">
        <f>HYPERLINK("https://climate.onebuilding.org/WMO_Region_6_Europe/NOR_Norway/OS_Oslo/NOR_OS_Oslo.Blindern.014920_TMYx.2004-2018.zip")</f>
        <v>https://climate.onebuilding.org/WMO_Region_6_Europe/NOR_Norway/OS_Oslo/NOR_OS_Oslo.Blindern.014920_TMYx.2004-2018.zip</v>
      </c>
    </row>
    <row r="9051" spans="1:10" x14ac:dyDescent="0.25">
      <c r="A9051" t="s">
        <v>4974</v>
      </c>
      <c r="B9051" t="s">
        <v>2425</v>
      </c>
      <c r="C9051" t="s">
        <v>6791</v>
      </c>
      <c r="D9051" s="1" t="s">
        <v>6792</v>
      </c>
      <c r="E9051" t="s">
        <v>14</v>
      </c>
      <c r="F9051">
        <v>59.9422</v>
      </c>
      <c r="G9051">
        <v>10.72</v>
      </c>
      <c r="H9051">
        <v>1</v>
      </c>
      <c r="I9051">
        <v>96.6</v>
      </c>
      <c r="J9051" t="str">
        <f>HYPERLINK("https://climate.onebuilding.org/WMO_Region_6_Europe/NOR_Norway/OS_Oslo/NOR_OS_Oslo.Blindern.014920_TMYx.2007-2021.zip")</f>
        <v>https://climate.onebuilding.org/WMO_Region_6_Europe/NOR_Norway/OS_Oslo/NOR_OS_Oslo.Blindern.014920_TMYx.2007-2021.zip</v>
      </c>
    </row>
    <row r="9052" spans="1:10" x14ac:dyDescent="0.25">
      <c r="A9052" t="s">
        <v>4974</v>
      </c>
      <c r="B9052" t="s">
        <v>2425</v>
      </c>
      <c r="C9052" t="s">
        <v>6791</v>
      </c>
      <c r="D9052" s="1" t="s">
        <v>6792</v>
      </c>
      <c r="E9052" t="s">
        <v>14</v>
      </c>
      <c r="F9052">
        <v>59.9422</v>
      </c>
      <c r="G9052">
        <v>10.72</v>
      </c>
      <c r="H9052">
        <v>1</v>
      </c>
      <c r="I9052">
        <v>96.6</v>
      </c>
      <c r="J9052" t="str">
        <f>HYPERLINK("https://climate.onebuilding.org/WMO_Region_6_Europe/NOR_Norway/OS_Oslo/NOR_OS_Oslo.Blindern.014920_TMYx.2009-2023.zip")</f>
        <v>https://climate.onebuilding.org/WMO_Region_6_Europe/NOR_Norway/OS_Oslo/NOR_OS_Oslo.Blindern.014920_TMYx.2009-2023.zip</v>
      </c>
    </row>
    <row r="9053" spans="1:10" x14ac:dyDescent="0.25">
      <c r="A9053" t="s">
        <v>4974</v>
      </c>
      <c r="B9053" t="s">
        <v>2425</v>
      </c>
      <c r="C9053" t="s">
        <v>6791</v>
      </c>
      <c r="D9053" s="1" t="s">
        <v>6792</v>
      </c>
      <c r="E9053" t="s">
        <v>14</v>
      </c>
      <c r="F9053">
        <v>59.9422</v>
      </c>
      <c r="G9053">
        <v>10.72</v>
      </c>
      <c r="H9053">
        <v>1</v>
      </c>
      <c r="I9053">
        <v>96.6</v>
      </c>
      <c r="J9053" t="str">
        <f>HYPERLINK("https://climate.onebuilding.org/WMO_Region_6_Europe/NOR_Norway/OS_Oslo/NOR_OS_Oslo.Blindern.014920_TMYx.zip")</f>
        <v>https://climate.onebuilding.org/WMO_Region_6_Europe/NOR_Norway/OS_Oslo/NOR_OS_Oslo.Blindern.014920_TMYx.zip</v>
      </c>
    </row>
    <row r="9054" spans="1:10" x14ac:dyDescent="0.25">
      <c r="A9054" t="s">
        <v>4974</v>
      </c>
      <c r="B9054" t="s">
        <v>6794</v>
      </c>
      <c r="C9054" t="s">
        <v>6795</v>
      </c>
      <c r="D9054" s="1" t="s">
        <v>6796</v>
      </c>
      <c r="E9054" t="s">
        <v>6797</v>
      </c>
      <c r="F9054">
        <v>59.285600000000002</v>
      </c>
      <c r="G9054">
        <v>11.114699999999999</v>
      </c>
      <c r="H9054">
        <v>1</v>
      </c>
      <c r="I9054">
        <v>57</v>
      </c>
      <c r="J9054" t="str">
        <f>HYPERLINK("https://climate.onebuilding.org/WMO_Region_6_Europe/NOR_Norway/OF_Ostfold/NOR_OF_Sarpsborg.014930_TMYx.2004-2018.zip")</f>
        <v>https://climate.onebuilding.org/WMO_Region_6_Europe/NOR_Norway/OF_Ostfold/NOR_OF_Sarpsborg.014930_TMYx.2004-2018.zip</v>
      </c>
    </row>
    <row r="9055" spans="1:10" x14ac:dyDescent="0.25">
      <c r="A9055" t="s">
        <v>4974</v>
      </c>
      <c r="B9055" t="s">
        <v>6794</v>
      </c>
      <c r="C9055" t="s">
        <v>6795</v>
      </c>
      <c r="D9055" s="1" t="s">
        <v>6796</v>
      </c>
      <c r="E9055" t="s">
        <v>14</v>
      </c>
      <c r="F9055">
        <v>59.285600000000002</v>
      </c>
      <c r="G9055">
        <v>11.114699999999999</v>
      </c>
      <c r="H9055">
        <v>1</v>
      </c>
      <c r="I9055">
        <v>57</v>
      </c>
      <c r="J9055" t="str">
        <f>HYPERLINK("https://climate.onebuilding.org/WMO_Region_6_Europe/NOR_Norway/OF_Ostfold/NOR_OF_Sarpsborg.014930_TMYx.2007-2021.zip")</f>
        <v>https://climate.onebuilding.org/WMO_Region_6_Europe/NOR_Norway/OF_Ostfold/NOR_OF_Sarpsborg.014930_TMYx.2007-2021.zip</v>
      </c>
    </row>
    <row r="9056" spans="1:10" x14ac:dyDescent="0.25">
      <c r="A9056" t="s">
        <v>4974</v>
      </c>
      <c r="B9056" t="s">
        <v>6794</v>
      </c>
      <c r="C9056" t="s">
        <v>6795</v>
      </c>
      <c r="D9056" s="1" t="s">
        <v>6796</v>
      </c>
      <c r="E9056" t="s">
        <v>14</v>
      </c>
      <c r="F9056">
        <v>59.285600000000002</v>
      </c>
      <c r="G9056">
        <v>11.114699999999999</v>
      </c>
      <c r="H9056">
        <v>1</v>
      </c>
      <c r="I9056">
        <v>57</v>
      </c>
      <c r="J9056" t="str">
        <f>HYPERLINK("https://climate.onebuilding.org/WMO_Region_6_Europe/NOR_Norway/OF_Ostfold/NOR_OF_Sarpsborg.014930_TMYx.2009-2023.zip")</f>
        <v>https://climate.onebuilding.org/WMO_Region_6_Europe/NOR_Norway/OF_Ostfold/NOR_OF_Sarpsborg.014930_TMYx.2009-2023.zip</v>
      </c>
    </row>
    <row r="9057" spans="1:10" x14ac:dyDescent="0.25">
      <c r="A9057" t="s">
        <v>4974</v>
      </c>
      <c r="B9057" t="s">
        <v>6794</v>
      </c>
      <c r="C9057" t="s">
        <v>6795</v>
      </c>
      <c r="D9057" s="1" t="s">
        <v>6796</v>
      </c>
      <c r="E9057" t="s">
        <v>14</v>
      </c>
      <c r="F9057">
        <v>59.285600000000002</v>
      </c>
      <c r="G9057">
        <v>11.114699999999999</v>
      </c>
      <c r="H9057">
        <v>1</v>
      </c>
      <c r="I9057">
        <v>57</v>
      </c>
      <c r="J9057" t="str">
        <f>HYPERLINK("https://climate.onebuilding.org/WMO_Region_6_Europe/NOR_Norway/OF_Ostfold/NOR_OF_Sarpsborg.014930_TMYx.zip")</f>
        <v>https://climate.onebuilding.org/WMO_Region_6_Europe/NOR_Norway/OF_Ostfold/NOR_OF_Sarpsborg.014930_TMYx.zip</v>
      </c>
    </row>
    <row r="9058" spans="1:10" x14ac:dyDescent="0.25">
      <c r="A9058" t="s">
        <v>4974</v>
      </c>
      <c r="B9058" t="s">
        <v>6794</v>
      </c>
      <c r="C9058" t="s">
        <v>6798</v>
      </c>
      <c r="D9058" s="1" t="s">
        <v>6799</v>
      </c>
      <c r="E9058" t="s">
        <v>6800</v>
      </c>
      <c r="F9058">
        <v>59.382800000000003</v>
      </c>
      <c r="G9058">
        <v>10.7881</v>
      </c>
      <c r="H9058">
        <v>1</v>
      </c>
      <c r="I9058">
        <v>53</v>
      </c>
      <c r="J9058" t="str">
        <f>HYPERLINK("https://climate.onebuilding.org/WMO_Region_6_Europe/NOR_Norway/OF_Ostfold/NOR_OF_Moss.AP-Rygge.014940_TMYx.2004-2018.zip")</f>
        <v>https://climate.onebuilding.org/WMO_Region_6_Europe/NOR_Norway/OF_Ostfold/NOR_OF_Moss.AP-Rygge.014940_TMYx.2004-2018.zip</v>
      </c>
    </row>
    <row r="9059" spans="1:10" x14ac:dyDescent="0.25">
      <c r="A9059" t="s">
        <v>4974</v>
      </c>
      <c r="B9059" t="s">
        <v>6794</v>
      </c>
      <c r="C9059" t="s">
        <v>6798</v>
      </c>
      <c r="D9059" s="1" t="s">
        <v>6799</v>
      </c>
      <c r="E9059" t="s">
        <v>14</v>
      </c>
      <c r="F9059">
        <v>59.382800000000003</v>
      </c>
      <c r="G9059">
        <v>10.7881</v>
      </c>
      <c r="H9059">
        <v>1</v>
      </c>
      <c r="I9059">
        <v>53</v>
      </c>
      <c r="J9059" t="str">
        <f>HYPERLINK("https://climate.onebuilding.org/WMO_Region_6_Europe/NOR_Norway/OF_Ostfold/NOR_OF_Moss.AP-Rygge.014940_TMYx.2007-2021.zip")</f>
        <v>https://climate.onebuilding.org/WMO_Region_6_Europe/NOR_Norway/OF_Ostfold/NOR_OF_Moss.AP-Rygge.014940_TMYx.2007-2021.zip</v>
      </c>
    </row>
    <row r="9060" spans="1:10" x14ac:dyDescent="0.25">
      <c r="A9060" t="s">
        <v>4974</v>
      </c>
      <c r="B9060" t="s">
        <v>6794</v>
      </c>
      <c r="C9060" t="s">
        <v>6798</v>
      </c>
      <c r="D9060" s="1" t="s">
        <v>6799</v>
      </c>
      <c r="E9060" t="s">
        <v>14</v>
      </c>
      <c r="F9060">
        <v>59.382800000000003</v>
      </c>
      <c r="G9060">
        <v>10.7881</v>
      </c>
      <c r="H9060">
        <v>1</v>
      </c>
      <c r="I9060">
        <v>53</v>
      </c>
      <c r="J9060" t="str">
        <f>HYPERLINK("https://climate.onebuilding.org/WMO_Region_6_Europe/NOR_Norway/OF_Ostfold/NOR_OF_Moss.AP-Rygge.014940_TMYx.2009-2023.zip")</f>
        <v>https://climate.onebuilding.org/WMO_Region_6_Europe/NOR_Norway/OF_Ostfold/NOR_OF_Moss.AP-Rygge.014940_TMYx.2009-2023.zip</v>
      </c>
    </row>
    <row r="9061" spans="1:10" x14ac:dyDescent="0.25">
      <c r="A9061" t="s">
        <v>4974</v>
      </c>
      <c r="B9061" t="s">
        <v>6794</v>
      </c>
      <c r="C9061" t="s">
        <v>6798</v>
      </c>
      <c r="D9061" s="1" t="s">
        <v>6799</v>
      </c>
      <c r="E9061" t="s">
        <v>14</v>
      </c>
      <c r="F9061">
        <v>59.382800000000003</v>
      </c>
      <c r="G9061">
        <v>10.7881</v>
      </c>
      <c r="H9061">
        <v>1</v>
      </c>
      <c r="I9061">
        <v>53</v>
      </c>
      <c r="J9061" t="str">
        <f>HYPERLINK("https://climate.onebuilding.org/WMO_Region_6_Europe/NOR_Norway/OF_Ostfold/NOR_OF_Moss.AP-Rygge.014940_TMYx.zip")</f>
        <v>https://climate.onebuilding.org/WMO_Region_6_Europe/NOR_Norway/OF_Ostfold/NOR_OF_Moss.AP-Rygge.014940_TMYx.zip</v>
      </c>
    </row>
    <row r="9062" spans="1:10" x14ac:dyDescent="0.25">
      <c r="A9062" t="s">
        <v>4974</v>
      </c>
      <c r="B9062" t="s">
        <v>6794</v>
      </c>
      <c r="C9062" t="s">
        <v>6801</v>
      </c>
      <c r="D9062" s="1" t="s">
        <v>6802</v>
      </c>
      <c r="E9062" t="s">
        <v>6803</v>
      </c>
      <c r="F9062">
        <v>59.1511</v>
      </c>
      <c r="G9062">
        <v>10.8286</v>
      </c>
      <c r="H9062">
        <v>1</v>
      </c>
      <c r="I9062">
        <v>10</v>
      </c>
      <c r="J9062" t="str">
        <f>HYPERLINK("https://climate.onebuilding.org/WMO_Region_6_Europe/NOR_Norway/OF_Ostfold/NOR_OF_Stromtangen.Lighthouse.014950_TMYx.2004-2018.zip")</f>
        <v>https://climate.onebuilding.org/WMO_Region_6_Europe/NOR_Norway/OF_Ostfold/NOR_OF_Stromtangen.Lighthouse.014950_TMYx.2004-2018.zip</v>
      </c>
    </row>
    <row r="9063" spans="1:10" x14ac:dyDescent="0.25">
      <c r="A9063" t="s">
        <v>4974</v>
      </c>
      <c r="B9063" t="s">
        <v>6794</v>
      </c>
      <c r="C9063" t="s">
        <v>6801</v>
      </c>
      <c r="D9063" s="1" t="s">
        <v>6802</v>
      </c>
      <c r="E9063" t="s">
        <v>14</v>
      </c>
      <c r="F9063">
        <v>59.1511</v>
      </c>
      <c r="G9063">
        <v>10.8286</v>
      </c>
      <c r="H9063">
        <v>1</v>
      </c>
      <c r="I9063">
        <v>10</v>
      </c>
      <c r="J9063" t="str">
        <f>HYPERLINK("https://climate.onebuilding.org/WMO_Region_6_Europe/NOR_Norway/OF_Ostfold/NOR_OF_Stromtangen.Lighthouse.014950_TMYx.2007-2021.zip")</f>
        <v>https://climate.onebuilding.org/WMO_Region_6_Europe/NOR_Norway/OF_Ostfold/NOR_OF_Stromtangen.Lighthouse.014950_TMYx.2007-2021.zip</v>
      </c>
    </row>
    <row r="9064" spans="1:10" x14ac:dyDescent="0.25">
      <c r="A9064" t="s">
        <v>4974</v>
      </c>
      <c r="B9064" t="s">
        <v>6794</v>
      </c>
      <c r="C9064" t="s">
        <v>6801</v>
      </c>
      <c r="D9064" s="1" t="s">
        <v>6802</v>
      </c>
      <c r="E9064" t="s">
        <v>14</v>
      </c>
      <c r="F9064">
        <v>59.1511</v>
      </c>
      <c r="G9064">
        <v>10.8286</v>
      </c>
      <c r="H9064">
        <v>1</v>
      </c>
      <c r="I9064">
        <v>10</v>
      </c>
      <c r="J9064" t="str">
        <f>HYPERLINK("https://climate.onebuilding.org/WMO_Region_6_Europe/NOR_Norway/OF_Ostfold/NOR_OF_Stromtangen.Lighthouse.014950_TMYx.2009-2023.zip")</f>
        <v>https://climate.onebuilding.org/WMO_Region_6_Europe/NOR_Norway/OF_Ostfold/NOR_OF_Stromtangen.Lighthouse.014950_TMYx.2009-2023.zip</v>
      </c>
    </row>
    <row r="9065" spans="1:10" x14ac:dyDescent="0.25">
      <c r="A9065" t="s">
        <v>4974</v>
      </c>
      <c r="B9065" t="s">
        <v>6794</v>
      </c>
      <c r="C9065" t="s">
        <v>6801</v>
      </c>
      <c r="D9065" s="1" t="s">
        <v>6802</v>
      </c>
      <c r="E9065" t="s">
        <v>14</v>
      </c>
      <c r="F9065">
        <v>59.1511</v>
      </c>
      <c r="G9065">
        <v>10.8286</v>
      </c>
      <c r="H9065">
        <v>1</v>
      </c>
      <c r="I9065">
        <v>10</v>
      </c>
      <c r="J9065" t="str">
        <f>HYPERLINK("https://climate.onebuilding.org/WMO_Region_6_Europe/NOR_Norway/OF_Ostfold/NOR_OF_Stromtangen.Lighthouse.014950_TMYx.zip")</f>
        <v>https://climate.onebuilding.org/WMO_Region_6_Europe/NOR_Norway/OF_Ostfold/NOR_OF_Stromtangen.Lighthouse.014950_TMYx.zip</v>
      </c>
    </row>
    <row r="9066" spans="1:10" x14ac:dyDescent="0.25">
      <c r="A9066" t="s">
        <v>4974</v>
      </c>
      <c r="B9066" t="s">
        <v>6117</v>
      </c>
      <c r="C9066" t="s">
        <v>6804</v>
      </c>
      <c r="D9066" s="1" t="s">
        <v>6805</v>
      </c>
      <c r="E9066" t="s">
        <v>14</v>
      </c>
      <c r="F9066">
        <v>59.817</v>
      </c>
      <c r="G9066">
        <v>11.483000000000001</v>
      </c>
      <c r="H9066">
        <v>1</v>
      </c>
      <c r="I9066">
        <v>154</v>
      </c>
      <c r="J9066" t="str">
        <f>HYPERLINK("https://climate.onebuilding.org/WMO_Region_6_Europe/NOR_Norway/AK_Akershus/NOR_AK_Holand.Fosser.014960_TMYx.zip")</f>
        <v>https://climate.onebuilding.org/WMO_Region_6_Europe/NOR_Norway/AK_Akershus/NOR_AK_Holand.Fosser.014960_TMYx.zip</v>
      </c>
    </row>
    <row r="9067" spans="1:10" x14ac:dyDescent="0.25">
      <c r="A9067" t="s">
        <v>4974</v>
      </c>
      <c r="B9067" t="s">
        <v>6794</v>
      </c>
      <c r="C9067" t="s">
        <v>6806</v>
      </c>
      <c r="D9067" s="1" t="s">
        <v>6807</v>
      </c>
      <c r="E9067" t="s">
        <v>6808</v>
      </c>
      <c r="F9067">
        <v>58.993600000000001</v>
      </c>
      <c r="G9067">
        <v>11.535299999999999</v>
      </c>
      <c r="H9067">
        <v>1</v>
      </c>
      <c r="I9067">
        <v>157</v>
      </c>
      <c r="J9067" t="str">
        <f>HYPERLINK("https://climate.onebuilding.org/WMO_Region_6_Europe/NOR_Norway/OF_Ostfold/NOR_OF_Prestebakke.014970_TMYx.2004-2018.zip")</f>
        <v>https://climate.onebuilding.org/WMO_Region_6_Europe/NOR_Norway/OF_Ostfold/NOR_OF_Prestebakke.014970_TMYx.2004-2018.zip</v>
      </c>
    </row>
    <row r="9068" spans="1:10" x14ac:dyDescent="0.25">
      <c r="A9068" t="s">
        <v>4974</v>
      </c>
      <c r="B9068" t="s">
        <v>6794</v>
      </c>
      <c r="C9068" t="s">
        <v>6806</v>
      </c>
      <c r="D9068" s="1" t="s">
        <v>6807</v>
      </c>
      <c r="E9068" t="s">
        <v>14</v>
      </c>
      <c r="F9068">
        <v>58.993600000000001</v>
      </c>
      <c r="G9068">
        <v>11.535299999999999</v>
      </c>
      <c r="H9068">
        <v>1</v>
      </c>
      <c r="I9068">
        <v>157</v>
      </c>
      <c r="J9068" t="str">
        <f>HYPERLINK("https://climate.onebuilding.org/WMO_Region_6_Europe/NOR_Norway/OF_Ostfold/NOR_OF_Prestebakke.014970_TMYx.zip")</f>
        <v>https://climate.onebuilding.org/WMO_Region_6_Europe/NOR_Norway/OF_Ostfold/NOR_OF_Prestebakke.014970_TMYx.zip</v>
      </c>
    </row>
    <row r="9069" spans="1:10" x14ac:dyDescent="0.25">
      <c r="A9069" t="s">
        <v>4974</v>
      </c>
      <c r="B9069" t="s">
        <v>6117</v>
      </c>
      <c r="C9069" t="s">
        <v>6809</v>
      </c>
      <c r="D9069" s="1" t="s">
        <v>6810</v>
      </c>
      <c r="E9069" t="s">
        <v>14</v>
      </c>
      <c r="F9069">
        <v>59.968699999999998</v>
      </c>
      <c r="G9069">
        <v>12.220700000000001</v>
      </c>
      <c r="H9069">
        <v>1</v>
      </c>
      <c r="I9069">
        <v>153</v>
      </c>
      <c r="J9069" t="str">
        <f>HYPERLINK("https://climate.onebuilding.org/WMO_Region_6_Europe/NOR_Norway/AK_Akershus/NOR_AK_Magnor.014980_TMYx.zip")</f>
        <v>https://climate.onebuilding.org/WMO_Region_6_Europe/NOR_Norway/AK_Akershus/NOR_AK_Magnor.014980_TMYx.zip</v>
      </c>
    </row>
    <row r="9070" spans="1:10" x14ac:dyDescent="0.25">
      <c r="A9070" t="s">
        <v>6811</v>
      </c>
      <c r="B9070" t="s">
        <v>6812</v>
      </c>
      <c r="C9070" t="s">
        <v>6813</v>
      </c>
      <c r="D9070">
        <v>121000</v>
      </c>
      <c r="E9070" t="s">
        <v>6814</v>
      </c>
      <c r="F9070">
        <v>54.183</v>
      </c>
      <c r="G9070">
        <v>15.583</v>
      </c>
      <c r="H9070">
        <v>1</v>
      </c>
      <c r="I9070">
        <v>5</v>
      </c>
      <c r="J9070" t="str">
        <f>HYPERLINK("https://climate.onebuilding.org/WMO_Region_6_Europe/POL_Poland/ZP_Zachodniopomorskie/POL_ZP_Kolobrzeg.121000_TMYx.2004-2018.zip")</f>
        <v>https://climate.onebuilding.org/WMO_Region_6_Europe/POL_Poland/ZP_Zachodniopomorskie/POL_ZP_Kolobrzeg.121000_TMYx.2004-2018.zip</v>
      </c>
    </row>
    <row r="9071" spans="1:10" x14ac:dyDescent="0.25">
      <c r="A9071" t="s">
        <v>6811</v>
      </c>
      <c r="B9071" t="s">
        <v>6812</v>
      </c>
      <c r="C9071" t="s">
        <v>6813</v>
      </c>
      <c r="D9071">
        <v>121000</v>
      </c>
      <c r="E9071" t="s">
        <v>14</v>
      </c>
      <c r="F9071">
        <v>54.183</v>
      </c>
      <c r="G9071">
        <v>15.583</v>
      </c>
      <c r="H9071">
        <v>1</v>
      </c>
      <c r="I9071">
        <v>5</v>
      </c>
      <c r="J9071" t="str">
        <f>HYPERLINK("https://climate.onebuilding.org/WMO_Region_6_Europe/POL_Poland/ZP_Zachodniopomorskie/POL_ZP_Kolobrzeg.121000_TMYx.2007-2021.zip")</f>
        <v>https://climate.onebuilding.org/WMO_Region_6_Europe/POL_Poland/ZP_Zachodniopomorskie/POL_ZP_Kolobrzeg.121000_TMYx.2007-2021.zip</v>
      </c>
    </row>
    <row r="9072" spans="1:10" x14ac:dyDescent="0.25">
      <c r="A9072" t="s">
        <v>6811</v>
      </c>
      <c r="B9072" t="s">
        <v>6812</v>
      </c>
      <c r="C9072" t="s">
        <v>6813</v>
      </c>
      <c r="D9072">
        <v>121000</v>
      </c>
      <c r="E9072" t="s">
        <v>14</v>
      </c>
      <c r="F9072">
        <v>54.183</v>
      </c>
      <c r="G9072">
        <v>15.583</v>
      </c>
      <c r="H9072">
        <v>1</v>
      </c>
      <c r="I9072">
        <v>5</v>
      </c>
      <c r="J9072" t="str">
        <f>HYPERLINK("https://climate.onebuilding.org/WMO_Region_6_Europe/POL_Poland/ZP_Zachodniopomorskie/POL_ZP_Kolobrzeg.121000_TMYx.2009-2023.zip")</f>
        <v>https://climate.onebuilding.org/WMO_Region_6_Europe/POL_Poland/ZP_Zachodniopomorskie/POL_ZP_Kolobrzeg.121000_TMYx.2009-2023.zip</v>
      </c>
    </row>
    <row r="9073" spans="1:10" x14ac:dyDescent="0.25">
      <c r="A9073" t="s">
        <v>6811</v>
      </c>
      <c r="B9073" t="s">
        <v>6812</v>
      </c>
      <c r="C9073" t="s">
        <v>6813</v>
      </c>
      <c r="D9073">
        <v>121000</v>
      </c>
      <c r="E9073" t="s">
        <v>14</v>
      </c>
      <c r="F9073">
        <v>54.183</v>
      </c>
      <c r="G9073">
        <v>15.583</v>
      </c>
      <c r="H9073">
        <v>1</v>
      </c>
      <c r="I9073">
        <v>5</v>
      </c>
      <c r="J9073" t="str">
        <f>HYPERLINK("https://climate.onebuilding.org/WMO_Region_6_Europe/POL_Poland/ZP_Zachodniopomorskie/POL_ZP_Kolobrzeg.121000_TMYx.zip")</f>
        <v>https://climate.onebuilding.org/WMO_Region_6_Europe/POL_Poland/ZP_Zachodniopomorskie/POL_ZP_Kolobrzeg.121000_TMYx.zip</v>
      </c>
    </row>
    <row r="9074" spans="1:10" x14ac:dyDescent="0.25">
      <c r="A9074" t="s">
        <v>6811</v>
      </c>
      <c r="B9074" t="s">
        <v>6812</v>
      </c>
      <c r="C9074" t="s">
        <v>6815</v>
      </c>
      <c r="D9074">
        <v>121030</v>
      </c>
      <c r="E9074" t="s">
        <v>14</v>
      </c>
      <c r="F9074">
        <v>54.017000000000003</v>
      </c>
      <c r="G9074">
        <v>14.733000000000001</v>
      </c>
      <c r="H9074">
        <v>1</v>
      </c>
      <c r="I9074">
        <v>4</v>
      </c>
      <c r="J9074" t="str">
        <f>HYPERLINK("https://climate.onebuilding.org/WMO_Region_6_Europe/POL_Poland/ZP_Zachodniopomorskie/POL_ZP_Dziwnow.121030_TMYx.zip")</f>
        <v>https://climate.onebuilding.org/WMO_Region_6_Europe/POL_Poland/ZP_Zachodniopomorskie/POL_ZP_Dziwnow.121030_TMYx.zip</v>
      </c>
    </row>
    <row r="9075" spans="1:10" x14ac:dyDescent="0.25">
      <c r="A9075" t="s">
        <v>6811</v>
      </c>
      <c r="B9075" t="s">
        <v>6812</v>
      </c>
      <c r="C9075" t="s">
        <v>6816</v>
      </c>
      <c r="D9075">
        <v>121050</v>
      </c>
      <c r="E9075" t="s">
        <v>6817</v>
      </c>
      <c r="F9075">
        <v>54.2</v>
      </c>
      <c r="G9075">
        <v>16.149999999999999</v>
      </c>
      <c r="H9075">
        <v>1</v>
      </c>
      <c r="I9075">
        <v>34</v>
      </c>
      <c r="J9075" t="str">
        <f>HYPERLINK("https://climate.onebuilding.org/WMO_Region_6_Europe/POL_Poland/ZP_Zachodniopomorskie/POL_ZP_Koszalin.121050_TMYx.2004-2018.zip")</f>
        <v>https://climate.onebuilding.org/WMO_Region_6_Europe/POL_Poland/ZP_Zachodniopomorskie/POL_ZP_Koszalin.121050_TMYx.2004-2018.zip</v>
      </c>
    </row>
    <row r="9076" spans="1:10" x14ac:dyDescent="0.25">
      <c r="A9076" t="s">
        <v>6811</v>
      </c>
      <c r="B9076" t="s">
        <v>6812</v>
      </c>
      <c r="C9076" t="s">
        <v>6816</v>
      </c>
      <c r="D9076">
        <v>121050</v>
      </c>
      <c r="E9076" t="s">
        <v>14</v>
      </c>
      <c r="F9076">
        <v>54.2</v>
      </c>
      <c r="G9076">
        <v>16.149999999999999</v>
      </c>
      <c r="H9076">
        <v>1</v>
      </c>
      <c r="I9076">
        <v>34</v>
      </c>
      <c r="J9076" t="str">
        <f>HYPERLINK("https://climate.onebuilding.org/WMO_Region_6_Europe/POL_Poland/ZP_Zachodniopomorskie/POL_ZP_Koszalin.121050_TMYx.2007-2021.zip")</f>
        <v>https://climate.onebuilding.org/WMO_Region_6_Europe/POL_Poland/ZP_Zachodniopomorskie/POL_ZP_Koszalin.121050_TMYx.2007-2021.zip</v>
      </c>
    </row>
    <row r="9077" spans="1:10" x14ac:dyDescent="0.25">
      <c r="A9077" t="s">
        <v>6811</v>
      </c>
      <c r="B9077" t="s">
        <v>6812</v>
      </c>
      <c r="C9077" t="s">
        <v>6816</v>
      </c>
      <c r="D9077">
        <v>121050</v>
      </c>
      <c r="E9077" t="s">
        <v>14</v>
      </c>
      <c r="F9077">
        <v>54.2</v>
      </c>
      <c r="G9077">
        <v>16.149999999999999</v>
      </c>
      <c r="H9077">
        <v>1</v>
      </c>
      <c r="I9077">
        <v>34</v>
      </c>
      <c r="J9077" t="str">
        <f>HYPERLINK("https://climate.onebuilding.org/WMO_Region_6_Europe/POL_Poland/ZP_Zachodniopomorskie/POL_ZP_Koszalin.121050_TMYx.2009-2023.zip")</f>
        <v>https://climate.onebuilding.org/WMO_Region_6_Europe/POL_Poland/ZP_Zachodniopomorskie/POL_ZP_Koszalin.121050_TMYx.2009-2023.zip</v>
      </c>
    </row>
    <row r="9078" spans="1:10" x14ac:dyDescent="0.25">
      <c r="A9078" t="s">
        <v>6811</v>
      </c>
      <c r="B9078" t="s">
        <v>6812</v>
      </c>
      <c r="C9078" t="s">
        <v>6816</v>
      </c>
      <c r="D9078">
        <v>121050</v>
      </c>
      <c r="E9078" t="s">
        <v>14</v>
      </c>
      <c r="F9078">
        <v>54.2</v>
      </c>
      <c r="G9078">
        <v>16.149999999999999</v>
      </c>
      <c r="H9078">
        <v>1</v>
      </c>
      <c r="I9078">
        <v>34</v>
      </c>
      <c r="J9078" t="str">
        <f>HYPERLINK("https://climate.onebuilding.org/WMO_Region_6_Europe/POL_Poland/ZP_Zachodniopomorskie/POL_ZP_Koszalin.121050_TMYx.zip")</f>
        <v>https://climate.onebuilding.org/WMO_Region_6_Europe/POL_Poland/ZP_Zachodniopomorskie/POL_ZP_Koszalin.121050_TMYx.zip</v>
      </c>
    </row>
    <row r="9079" spans="1:10" x14ac:dyDescent="0.25">
      <c r="A9079" t="s">
        <v>6811</v>
      </c>
      <c r="B9079" t="s">
        <v>646</v>
      </c>
      <c r="C9079" t="s">
        <v>6818</v>
      </c>
      <c r="D9079">
        <v>121051</v>
      </c>
      <c r="E9079" t="s">
        <v>6819</v>
      </c>
      <c r="F9079">
        <v>52.268000000000001</v>
      </c>
      <c r="G9079">
        <v>20.911000000000001</v>
      </c>
      <c r="H9079">
        <v>1</v>
      </c>
      <c r="I9079">
        <v>107.3</v>
      </c>
      <c r="J9079" t="str">
        <f>HYPERLINK("https://climate.onebuilding.org/WMO_Region_6_Europe/POL_Poland/MA_Malopolskie/POL_MA_Babice.121051_TMYx.2004-2018.zip")</f>
        <v>https://climate.onebuilding.org/WMO_Region_6_Europe/POL_Poland/MA_Malopolskie/POL_MA_Babice.121051_TMYx.2004-2018.zip</v>
      </c>
    </row>
    <row r="9080" spans="1:10" x14ac:dyDescent="0.25">
      <c r="A9080" t="s">
        <v>6811</v>
      </c>
      <c r="B9080" t="s">
        <v>646</v>
      </c>
      <c r="C9080" t="s">
        <v>6818</v>
      </c>
      <c r="D9080">
        <v>121051</v>
      </c>
      <c r="E9080" t="s">
        <v>14</v>
      </c>
      <c r="F9080">
        <v>52.268000000000001</v>
      </c>
      <c r="G9080">
        <v>20.911000000000001</v>
      </c>
      <c r="H9080">
        <v>1</v>
      </c>
      <c r="I9080">
        <v>107.3</v>
      </c>
      <c r="J9080" t="str">
        <f>HYPERLINK("https://climate.onebuilding.org/WMO_Region_6_Europe/POL_Poland/MA_Malopolskie/POL_MA_Babice.121051_TMYx.2007-2021.zip")</f>
        <v>https://climate.onebuilding.org/WMO_Region_6_Europe/POL_Poland/MA_Malopolskie/POL_MA_Babice.121051_TMYx.2007-2021.zip</v>
      </c>
    </row>
    <row r="9081" spans="1:10" x14ac:dyDescent="0.25">
      <c r="A9081" t="s">
        <v>6811</v>
      </c>
      <c r="B9081" t="s">
        <v>646</v>
      </c>
      <c r="C9081" t="s">
        <v>6818</v>
      </c>
      <c r="D9081">
        <v>121051</v>
      </c>
      <c r="E9081" t="s">
        <v>14</v>
      </c>
      <c r="F9081">
        <v>52.268000000000001</v>
      </c>
      <c r="G9081">
        <v>20.911000000000001</v>
      </c>
      <c r="H9081">
        <v>1</v>
      </c>
      <c r="I9081">
        <v>107.3</v>
      </c>
      <c r="J9081" t="str">
        <f>HYPERLINK("https://climate.onebuilding.org/WMO_Region_6_Europe/POL_Poland/MA_Malopolskie/POL_MA_Babice.121051_TMYx.2009-2023.zip")</f>
        <v>https://climate.onebuilding.org/WMO_Region_6_Europe/POL_Poland/MA_Malopolskie/POL_MA_Babice.121051_TMYx.2009-2023.zip</v>
      </c>
    </row>
    <row r="9082" spans="1:10" x14ac:dyDescent="0.25">
      <c r="A9082" t="s">
        <v>6811</v>
      </c>
      <c r="B9082" t="s">
        <v>646</v>
      </c>
      <c r="C9082" t="s">
        <v>6818</v>
      </c>
      <c r="D9082">
        <v>121051</v>
      </c>
      <c r="E9082" t="s">
        <v>14</v>
      </c>
      <c r="F9082">
        <v>52.268000000000001</v>
      </c>
      <c r="G9082">
        <v>20.911000000000001</v>
      </c>
      <c r="H9082">
        <v>1</v>
      </c>
      <c r="I9082">
        <v>107.3</v>
      </c>
      <c r="J9082" t="str">
        <f>HYPERLINK("https://climate.onebuilding.org/WMO_Region_6_Europe/POL_Poland/MA_Malopolskie/POL_MA_Babice.121051_TMYx.zip")</f>
        <v>https://climate.onebuilding.org/WMO_Region_6_Europe/POL_Poland/MA_Malopolskie/POL_MA_Babice.121051_TMYx.zip</v>
      </c>
    </row>
    <row r="9083" spans="1:10" x14ac:dyDescent="0.25">
      <c r="A9083" t="s">
        <v>6811</v>
      </c>
      <c r="B9083" t="s">
        <v>6820</v>
      </c>
      <c r="C9083" t="s">
        <v>6821</v>
      </c>
      <c r="D9083">
        <v>121052</v>
      </c>
      <c r="E9083" t="s">
        <v>6822</v>
      </c>
      <c r="F9083">
        <v>52.817</v>
      </c>
      <c r="G9083">
        <v>18.332999999999998</v>
      </c>
      <c r="H9083">
        <v>1</v>
      </c>
      <c r="I9083">
        <v>83</v>
      </c>
      <c r="J9083" t="str">
        <f>HYPERLINK("https://climate.onebuilding.org/WMO_Region_6_Europe/POL_Poland/KP_Kujawsko-Pomorskie/POL_KP_Inowroclaw.121052_TMYx.2004-2018.zip")</f>
        <v>https://climate.onebuilding.org/WMO_Region_6_Europe/POL_Poland/KP_Kujawsko-Pomorskie/POL_KP_Inowroclaw.121052_TMYx.2004-2018.zip</v>
      </c>
    </row>
    <row r="9084" spans="1:10" x14ac:dyDescent="0.25">
      <c r="A9084" t="s">
        <v>6811</v>
      </c>
      <c r="B9084" t="s">
        <v>6820</v>
      </c>
      <c r="C9084" t="s">
        <v>6821</v>
      </c>
      <c r="D9084">
        <v>121052</v>
      </c>
      <c r="E9084" t="s">
        <v>14</v>
      </c>
      <c r="F9084">
        <v>52.807000000000002</v>
      </c>
      <c r="G9084">
        <v>18.277000000000001</v>
      </c>
      <c r="H9084">
        <v>1</v>
      </c>
      <c r="I9084">
        <v>83</v>
      </c>
      <c r="J9084" t="str">
        <f>HYPERLINK("https://climate.onebuilding.org/WMO_Region_6_Europe/POL_Poland/KP_Kujawsko-Pomorskie/POL_KP_Inowroclaw.121052_TMYx.2007-2021.zip")</f>
        <v>https://climate.onebuilding.org/WMO_Region_6_Europe/POL_Poland/KP_Kujawsko-Pomorskie/POL_KP_Inowroclaw.121052_TMYx.2007-2021.zip</v>
      </c>
    </row>
    <row r="9085" spans="1:10" x14ac:dyDescent="0.25">
      <c r="A9085" t="s">
        <v>6811</v>
      </c>
      <c r="B9085" t="s">
        <v>6820</v>
      </c>
      <c r="C9085" t="s">
        <v>6821</v>
      </c>
      <c r="D9085">
        <v>121052</v>
      </c>
      <c r="E9085" t="s">
        <v>14</v>
      </c>
      <c r="F9085">
        <v>52.807000000000002</v>
      </c>
      <c r="G9085">
        <v>18.277000000000001</v>
      </c>
      <c r="H9085">
        <v>1</v>
      </c>
      <c r="I9085">
        <v>83</v>
      </c>
      <c r="J9085" t="str">
        <f>HYPERLINK("https://climate.onebuilding.org/WMO_Region_6_Europe/POL_Poland/KP_Kujawsko-Pomorskie/POL_KP_Inowroclaw.121052_TMYx.2009-2023.zip")</f>
        <v>https://climate.onebuilding.org/WMO_Region_6_Europe/POL_Poland/KP_Kujawsko-Pomorskie/POL_KP_Inowroclaw.121052_TMYx.2009-2023.zip</v>
      </c>
    </row>
    <row r="9086" spans="1:10" x14ac:dyDescent="0.25">
      <c r="A9086" t="s">
        <v>6811</v>
      </c>
      <c r="B9086" t="s">
        <v>6820</v>
      </c>
      <c r="C9086" t="s">
        <v>6821</v>
      </c>
      <c r="D9086">
        <v>121052</v>
      </c>
      <c r="E9086" t="s">
        <v>14</v>
      </c>
      <c r="F9086">
        <v>52.807000000000002</v>
      </c>
      <c r="G9086">
        <v>18.277000000000001</v>
      </c>
      <c r="H9086">
        <v>1</v>
      </c>
      <c r="I9086">
        <v>83</v>
      </c>
      <c r="J9086" t="str">
        <f>HYPERLINK("https://climate.onebuilding.org/WMO_Region_6_Europe/POL_Poland/KP_Kujawsko-Pomorskie/POL_KP_Inowroclaw.121052_TMYx.zip")</f>
        <v>https://climate.onebuilding.org/WMO_Region_6_Europe/POL_Poland/KP_Kujawsko-Pomorskie/POL_KP_Inowroclaw.121052_TMYx.zip</v>
      </c>
    </row>
    <row r="9087" spans="1:10" x14ac:dyDescent="0.25">
      <c r="A9087" t="s">
        <v>6811</v>
      </c>
      <c r="B9087" t="s">
        <v>6823</v>
      </c>
      <c r="C9087" t="s">
        <v>6824</v>
      </c>
      <c r="D9087">
        <v>121053</v>
      </c>
      <c r="E9087" t="s">
        <v>6825</v>
      </c>
      <c r="F9087">
        <v>52</v>
      </c>
      <c r="G9087">
        <v>19.149999999999999</v>
      </c>
      <c r="H9087">
        <v>1</v>
      </c>
      <c r="I9087">
        <v>150</v>
      </c>
      <c r="J9087" t="str">
        <f>HYPERLINK("https://climate.onebuilding.org/WMO_Region_6_Europe/POL_Poland/LD_Lodzkie/POL_LD_Leczyca.121053_TMYx.2004-2018.zip")</f>
        <v>https://climate.onebuilding.org/WMO_Region_6_Europe/POL_Poland/LD_Lodzkie/POL_LD_Leczyca.121053_TMYx.2004-2018.zip</v>
      </c>
    </row>
    <row r="9088" spans="1:10" x14ac:dyDescent="0.25">
      <c r="A9088" t="s">
        <v>6811</v>
      </c>
      <c r="B9088" t="s">
        <v>6823</v>
      </c>
      <c r="C9088" t="s">
        <v>6824</v>
      </c>
      <c r="D9088">
        <v>121053</v>
      </c>
      <c r="E9088" t="s">
        <v>14</v>
      </c>
      <c r="F9088">
        <v>52</v>
      </c>
      <c r="G9088">
        <v>19.149999999999999</v>
      </c>
      <c r="H9088">
        <v>1</v>
      </c>
      <c r="I9088">
        <v>150</v>
      </c>
      <c r="J9088" t="str">
        <f>HYPERLINK("https://climate.onebuilding.org/WMO_Region_6_Europe/POL_Poland/LD_Lodzkie/POL_LD_Leczyca.121053_TMYx.2007-2021.zip")</f>
        <v>https://climate.onebuilding.org/WMO_Region_6_Europe/POL_Poland/LD_Lodzkie/POL_LD_Leczyca.121053_TMYx.2007-2021.zip</v>
      </c>
    </row>
    <row r="9089" spans="1:10" x14ac:dyDescent="0.25">
      <c r="A9089" t="s">
        <v>6811</v>
      </c>
      <c r="B9089" t="s">
        <v>6823</v>
      </c>
      <c r="C9089" t="s">
        <v>6824</v>
      </c>
      <c r="D9089">
        <v>121053</v>
      </c>
      <c r="E9089" t="s">
        <v>14</v>
      </c>
      <c r="F9089">
        <v>52</v>
      </c>
      <c r="G9089">
        <v>19.149999999999999</v>
      </c>
      <c r="H9089">
        <v>1</v>
      </c>
      <c r="I9089">
        <v>150</v>
      </c>
      <c r="J9089" t="str">
        <f>HYPERLINK("https://climate.onebuilding.org/WMO_Region_6_Europe/POL_Poland/LD_Lodzkie/POL_LD_Leczyca.121053_TMYx.2009-2023.zip")</f>
        <v>https://climate.onebuilding.org/WMO_Region_6_Europe/POL_Poland/LD_Lodzkie/POL_LD_Leczyca.121053_TMYx.2009-2023.zip</v>
      </c>
    </row>
    <row r="9090" spans="1:10" x14ac:dyDescent="0.25">
      <c r="A9090" t="s">
        <v>6811</v>
      </c>
      <c r="B9090" t="s">
        <v>6823</v>
      </c>
      <c r="C9090" t="s">
        <v>6824</v>
      </c>
      <c r="D9090">
        <v>121053</v>
      </c>
      <c r="E9090" t="s">
        <v>14</v>
      </c>
      <c r="F9090">
        <v>52</v>
      </c>
      <c r="G9090">
        <v>19.149999999999999</v>
      </c>
      <c r="H9090">
        <v>1</v>
      </c>
      <c r="I9090">
        <v>150</v>
      </c>
      <c r="J9090" t="str">
        <f>HYPERLINK("https://climate.onebuilding.org/WMO_Region_6_Europe/POL_Poland/LD_Lodzkie/POL_LD_Leczyca.121053_TMYx.zip")</f>
        <v>https://climate.onebuilding.org/WMO_Region_6_Europe/POL_Poland/LD_Lodzkie/POL_LD_Leczyca.121053_TMYx.zip</v>
      </c>
    </row>
    <row r="9091" spans="1:10" x14ac:dyDescent="0.25">
      <c r="A9091" t="s">
        <v>6811</v>
      </c>
      <c r="B9091" t="s">
        <v>6823</v>
      </c>
      <c r="C9091" t="s">
        <v>6826</v>
      </c>
      <c r="D9091">
        <v>121054</v>
      </c>
      <c r="E9091" t="s">
        <v>6827</v>
      </c>
      <c r="F9091">
        <v>51.533000000000001</v>
      </c>
      <c r="G9091">
        <v>20.016999999999999</v>
      </c>
      <c r="H9091">
        <v>1</v>
      </c>
      <c r="I9091">
        <v>190</v>
      </c>
      <c r="J9091" t="str">
        <f>HYPERLINK("https://climate.onebuilding.org/WMO_Region_6_Europe/POL_Poland/LD_Lodzkie/POL_LD_Tomaszow.Mazowiecki.121054_TMYx.2004-2018.zip")</f>
        <v>https://climate.onebuilding.org/WMO_Region_6_Europe/POL_Poland/LD_Lodzkie/POL_LD_Tomaszow.Mazowiecki.121054_TMYx.2004-2018.zip</v>
      </c>
    </row>
    <row r="9092" spans="1:10" x14ac:dyDescent="0.25">
      <c r="A9092" t="s">
        <v>6811</v>
      </c>
      <c r="B9092" t="s">
        <v>6823</v>
      </c>
      <c r="C9092" t="s">
        <v>6826</v>
      </c>
      <c r="D9092">
        <v>121054</v>
      </c>
      <c r="E9092" t="s">
        <v>14</v>
      </c>
      <c r="F9092">
        <v>51.533000000000001</v>
      </c>
      <c r="G9092">
        <v>20.016999999999999</v>
      </c>
      <c r="H9092">
        <v>1</v>
      </c>
      <c r="I9092">
        <v>190</v>
      </c>
      <c r="J9092" t="str">
        <f>HYPERLINK("https://climate.onebuilding.org/WMO_Region_6_Europe/POL_Poland/LD_Lodzkie/POL_LD_Tomaszow.Mazowiecki.121054_TMYx.2007-2021.zip")</f>
        <v>https://climate.onebuilding.org/WMO_Region_6_Europe/POL_Poland/LD_Lodzkie/POL_LD_Tomaszow.Mazowiecki.121054_TMYx.2007-2021.zip</v>
      </c>
    </row>
    <row r="9093" spans="1:10" x14ac:dyDescent="0.25">
      <c r="A9093" t="s">
        <v>6811</v>
      </c>
      <c r="B9093" t="s">
        <v>6823</v>
      </c>
      <c r="C9093" t="s">
        <v>6826</v>
      </c>
      <c r="D9093">
        <v>121054</v>
      </c>
      <c r="E9093" t="s">
        <v>14</v>
      </c>
      <c r="F9093">
        <v>51.533000000000001</v>
      </c>
      <c r="G9093">
        <v>20.016999999999999</v>
      </c>
      <c r="H9093">
        <v>1</v>
      </c>
      <c r="I9093">
        <v>190</v>
      </c>
      <c r="J9093" t="str">
        <f>HYPERLINK("https://climate.onebuilding.org/WMO_Region_6_Europe/POL_Poland/LD_Lodzkie/POL_LD_Tomaszow.Mazowiecki.121054_TMYx.2009-2023.zip")</f>
        <v>https://climate.onebuilding.org/WMO_Region_6_Europe/POL_Poland/LD_Lodzkie/POL_LD_Tomaszow.Mazowiecki.121054_TMYx.2009-2023.zip</v>
      </c>
    </row>
    <row r="9094" spans="1:10" x14ac:dyDescent="0.25">
      <c r="A9094" t="s">
        <v>6811</v>
      </c>
      <c r="B9094" t="s">
        <v>6823</v>
      </c>
      <c r="C9094" t="s">
        <v>6826</v>
      </c>
      <c r="D9094">
        <v>121054</v>
      </c>
      <c r="E9094" t="s">
        <v>14</v>
      </c>
      <c r="F9094">
        <v>51.533000000000001</v>
      </c>
      <c r="G9094">
        <v>20.016999999999999</v>
      </c>
      <c r="H9094">
        <v>1</v>
      </c>
      <c r="I9094">
        <v>190</v>
      </c>
      <c r="J9094" t="str">
        <f>HYPERLINK("https://climate.onebuilding.org/WMO_Region_6_Europe/POL_Poland/LD_Lodzkie/POL_LD_Tomaszow.Mazowiecki.121054_TMYx.zip")</f>
        <v>https://climate.onebuilding.org/WMO_Region_6_Europe/POL_Poland/LD_Lodzkie/POL_LD_Tomaszow.Mazowiecki.121054_TMYx.zip</v>
      </c>
    </row>
    <row r="9095" spans="1:10" x14ac:dyDescent="0.25">
      <c r="A9095" t="s">
        <v>6811</v>
      </c>
      <c r="B9095" t="s">
        <v>6828</v>
      </c>
      <c r="C9095" t="s">
        <v>6829</v>
      </c>
      <c r="D9095">
        <v>121056</v>
      </c>
      <c r="E9095" t="s">
        <v>6830</v>
      </c>
      <c r="F9095">
        <v>52.451000000000001</v>
      </c>
      <c r="G9095">
        <v>20.652000000000001</v>
      </c>
      <c r="H9095">
        <v>1</v>
      </c>
      <c r="I9095">
        <v>103.9</v>
      </c>
      <c r="J9095" t="str">
        <f>HYPERLINK("https://climate.onebuilding.org/WMO_Region_6_Europe/POL_Poland/MZ_Mazowieckie/POL_MZ_Modlin.AP.121056_TMYx.2004-2018.zip")</f>
        <v>https://climate.onebuilding.org/WMO_Region_6_Europe/POL_Poland/MZ_Mazowieckie/POL_MZ_Modlin.AP.121056_TMYx.2004-2018.zip</v>
      </c>
    </row>
    <row r="9096" spans="1:10" x14ac:dyDescent="0.25">
      <c r="A9096" t="s">
        <v>6811</v>
      </c>
      <c r="B9096" t="s">
        <v>6828</v>
      </c>
      <c r="C9096" t="s">
        <v>6829</v>
      </c>
      <c r="D9096">
        <v>121056</v>
      </c>
      <c r="E9096" t="s">
        <v>14</v>
      </c>
      <c r="F9096">
        <v>52.451000000000001</v>
      </c>
      <c r="G9096">
        <v>20.652000000000001</v>
      </c>
      <c r="H9096">
        <v>1</v>
      </c>
      <c r="I9096">
        <v>103.9</v>
      </c>
      <c r="J9096" t="str">
        <f>HYPERLINK("https://climate.onebuilding.org/WMO_Region_6_Europe/POL_Poland/MZ_Mazowieckie/POL_MZ_Modlin.AP.121056_TMYx.2007-2021.zip")</f>
        <v>https://climate.onebuilding.org/WMO_Region_6_Europe/POL_Poland/MZ_Mazowieckie/POL_MZ_Modlin.AP.121056_TMYx.2007-2021.zip</v>
      </c>
    </row>
    <row r="9097" spans="1:10" x14ac:dyDescent="0.25">
      <c r="A9097" t="s">
        <v>6811</v>
      </c>
      <c r="B9097" t="s">
        <v>6828</v>
      </c>
      <c r="C9097" t="s">
        <v>6829</v>
      </c>
      <c r="D9097">
        <v>121056</v>
      </c>
      <c r="E9097" t="s">
        <v>14</v>
      </c>
      <c r="F9097">
        <v>52.451000000000001</v>
      </c>
      <c r="G9097">
        <v>20.652000000000001</v>
      </c>
      <c r="H9097">
        <v>1</v>
      </c>
      <c r="I9097">
        <v>103.9</v>
      </c>
      <c r="J9097" t="str">
        <f>HYPERLINK("https://climate.onebuilding.org/WMO_Region_6_Europe/POL_Poland/MZ_Mazowieckie/POL_MZ_Modlin.AP.121056_TMYx.2009-2023.zip")</f>
        <v>https://climate.onebuilding.org/WMO_Region_6_Europe/POL_Poland/MZ_Mazowieckie/POL_MZ_Modlin.AP.121056_TMYx.2009-2023.zip</v>
      </c>
    </row>
    <row r="9098" spans="1:10" x14ac:dyDescent="0.25">
      <c r="A9098" t="s">
        <v>6811</v>
      </c>
      <c r="B9098" t="s">
        <v>6828</v>
      </c>
      <c r="C9098" t="s">
        <v>6829</v>
      </c>
      <c r="D9098">
        <v>121056</v>
      </c>
      <c r="E9098" t="s">
        <v>14</v>
      </c>
      <c r="F9098">
        <v>52.451000000000001</v>
      </c>
      <c r="G9098">
        <v>20.652000000000001</v>
      </c>
      <c r="H9098">
        <v>1</v>
      </c>
      <c r="I9098">
        <v>103.9</v>
      </c>
      <c r="J9098" t="str">
        <f>HYPERLINK("https://climate.onebuilding.org/WMO_Region_6_Europe/POL_Poland/MZ_Mazowieckie/POL_MZ_Modlin.AP.121056_TMYx.zip")</f>
        <v>https://climate.onebuilding.org/WMO_Region_6_Europe/POL_Poland/MZ_Mazowieckie/POL_MZ_Modlin.AP.121056_TMYx.zip</v>
      </c>
    </row>
    <row r="9099" spans="1:10" x14ac:dyDescent="0.25">
      <c r="A9099" t="s">
        <v>6811</v>
      </c>
      <c r="B9099" t="s">
        <v>6812</v>
      </c>
      <c r="C9099" t="s">
        <v>6831</v>
      </c>
      <c r="D9099">
        <v>121140</v>
      </c>
      <c r="E9099" t="s">
        <v>14</v>
      </c>
      <c r="F9099">
        <v>54.1</v>
      </c>
      <c r="G9099">
        <v>15.067</v>
      </c>
      <c r="H9099">
        <v>1</v>
      </c>
      <c r="I9099">
        <v>10</v>
      </c>
      <c r="J9099" t="str">
        <f>HYPERLINK("https://climate.onebuilding.org/WMO_Region_6_Europe/POL_Poland/ZP_Zachodniopomorskie/POL_ZP_Niechorze.121140_TMYx.zip")</f>
        <v>https://climate.onebuilding.org/WMO_Region_6_Europe/POL_Poland/ZP_Zachodniopomorskie/POL_ZP_Niechorze.121140_TMYx.zip</v>
      </c>
    </row>
    <row r="9100" spans="1:10" x14ac:dyDescent="0.25">
      <c r="A9100" t="s">
        <v>6811</v>
      </c>
      <c r="B9100" t="s">
        <v>1221</v>
      </c>
      <c r="C9100" t="s">
        <v>6832</v>
      </c>
      <c r="D9100">
        <v>121150</v>
      </c>
      <c r="E9100" t="s">
        <v>6833</v>
      </c>
      <c r="F9100">
        <v>54.582999999999998</v>
      </c>
      <c r="G9100">
        <v>16.867000000000001</v>
      </c>
      <c r="H9100">
        <v>1</v>
      </c>
      <c r="I9100">
        <v>11</v>
      </c>
      <c r="J9100" t="str">
        <f>HYPERLINK("https://climate.onebuilding.org/WMO_Region_6_Europe/POL_Poland/PM_Pomorskie/POL_PM_Ustka.121150_TMYx.2004-2018.zip")</f>
        <v>https://climate.onebuilding.org/WMO_Region_6_Europe/POL_Poland/PM_Pomorskie/POL_PM_Ustka.121150_TMYx.2004-2018.zip</v>
      </c>
    </row>
    <row r="9101" spans="1:10" x14ac:dyDescent="0.25">
      <c r="A9101" t="s">
        <v>6811</v>
      </c>
      <c r="B9101" t="s">
        <v>1221</v>
      </c>
      <c r="C9101" t="s">
        <v>6832</v>
      </c>
      <c r="D9101">
        <v>121150</v>
      </c>
      <c r="E9101" t="s">
        <v>14</v>
      </c>
      <c r="F9101">
        <v>54.588299999999997</v>
      </c>
      <c r="G9101">
        <v>16.854199999999999</v>
      </c>
      <c r="H9101">
        <v>1</v>
      </c>
      <c r="I9101">
        <v>11</v>
      </c>
      <c r="J9101" t="str">
        <f>HYPERLINK("https://climate.onebuilding.org/WMO_Region_6_Europe/POL_Poland/PM_Pomorskie/POL_PM_Ustka.121150_TMYx.2007-2021.zip")</f>
        <v>https://climate.onebuilding.org/WMO_Region_6_Europe/POL_Poland/PM_Pomorskie/POL_PM_Ustka.121150_TMYx.2007-2021.zip</v>
      </c>
    </row>
    <row r="9102" spans="1:10" x14ac:dyDescent="0.25">
      <c r="A9102" t="s">
        <v>6811</v>
      </c>
      <c r="B9102" t="s">
        <v>1221</v>
      </c>
      <c r="C9102" t="s">
        <v>6832</v>
      </c>
      <c r="D9102">
        <v>121150</v>
      </c>
      <c r="E9102" t="s">
        <v>14</v>
      </c>
      <c r="F9102">
        <v>54.588299999999997</v>
      </c>
      <c r="G9102">
        <v>16.854199999999999</v>
      </c>
      <c r="H9102">
        <v>1</v>
      </c>
      <c r="I9102">
        <v>11</v>
      </c>
      <c r="J9102" t="str">
        <f>HYPERLINK("https://climate.onebuilding.org/WMO_Region_6_Europe/POL_Poland/PM_Pomorskie/POL_PM_Ustka.121150_TMYx.2009-2023.zip")</f>
        <v>https://climate.onebuilding.org/WMO_Region_6_Europe/POL_Poland/PM_Pomorskie/POL_PM_Ustka.121150_TMYx.2009-2023.zip</v>
      </c>
    </row>
    <row r="9103" spans="1:10" x14ac:dyDescent="0.25">
      <c r="A9103" t="s">
        <v>6811</v>
      </c>
      <c r="B9103" t="s">
        <v>1221</v>
      </c>
      <c r="C9103" t="s">
        <v>6832</v>
      </c>
      <c r="D9103">
        <v>121150</v>
      </c>
      <c r="E9103" t="s">
        <v>14</v>
      </c>
      <c r="F9103">
        <v>54.588299999999997</v>
      </c>
      <c r="G9103">
        <v>16.854199999999999</v>
      </c>
      <c r="H9103">
        <v>1</v>
      </c>
      <c r="I9103">
        <v>11</v>
      </c>
      <c r="J9103" t="str">
        <f>HYPERLINK("https://climate.onebuilding.org/WMO_Region_6_Europe/POL_Poland/PM_Pomorskie/POL_PM_Ustka.121150_TMYx.zip")</f>
        <v>https://climate.onebuilding.org/WMO_Region_6_Europe/POL_Poland/PM_Pomorskie/POL_PM_Ustka.121150_TMYx.zip</v>
      </c>
    </row>
    <row r="9104" spans="1:10" x14ac:dyDescent="0.25">
      <c r="A9104" t="s">
        <v>6811</v>
      </c>
      <c r="B9104" t="s">
        <v>6812</v>
      </c>
      <c r="C9104" t="s">
        <v>6834</v>
      </c>
      <c r="D9104">
        <v>121160</v>
      </c>
      <c r="E9104" t="s">
        <v>14</v>
      </c>
      <c r="F9104">
        <v>54.15</v>
      </c>
      <c r="G9104">
        <v>15.3</v>
      </c>
      <c r="H9104">
        <v>1</v>
      </c>
      <c r="I9104">
        <v>8</v>
      </c>
      <c r="J9104" t="str">
        <f>HYPERLINK("https://climate.onebuilding.org/WMO_Region_6_Europe/POL_Poland/ZP_Zachodniopomorskie/POL_ZP_Mrzezyno.121160_TMYx.zip")</f>
        <v>https://climate.onebuilding.org/WMO_Region_6_Europe/POL_Poland/ZP_Zachodniopomorskie/POL_ZP_Mrzezyno.121160_TMYx.zip</v>
      </c>
    </row>
    <row r="9105" spans="1:10" x14ac:dyDescent="0.25">
      <c r="A9105" t="s">
        <v>6811</v>
      </c>
      <c r="B9105" t="s">
        <v>11</v>
      </c>
      <c r="C9105" t="s">
        <v>6835</v>
      </c>
      <c r="D9105">
        <v>121195</v>
      </c>
      <c r="E9105" t="s">
        <v>14</v>
      </c>
      <c r="F9105">
        <v>51.232999999999997</v>
      </c>
      <c r="G9105">
        <v>22.683</v>
      </c>
      <c r="H9105">
        <v>2</v>
      </c>
      <c r="I9105">
        <v>203</v>
      </c>
      <c r="J9105" t="str">
        <f>HYPERLINK("https://climate.onebuilding.org/WMO_Region_6_Europe/POL_Poland/LU_Lubelskie/POL_LU_Lublin.AP.121195_TMYx.2007-2021.zip")</f>
        <v>https://climate.onebuilding.org/WMO_Region_6_Europe/POL_Poland/LU_Lubelskie/POL_LU_Lublin.AP.121195_TMYx.2007-2021.zip</v>
      </c>
    </row>
    <row r="9106" spans="1:10" x14ac:dyDescent="0.25">
      <c r="A9106" t="s">
        <v>6811</v>
      </c>
      <c r="B9106" t="s">
        <v>11</v>
      </c>
      <c r="C9106" t="s">
        <v>6835</v>
      </c>
      <c r="D9106">
        <v>121195</v>
      </c>
      <c r="E9106" t="s">
        <v>14</v>
      </c>
      <c r="F9106">
        <v>51.232999999999997</v>
      </c>
      <c r="G9106">
        <v>22.683</v>
      </c>
      <c r="H9106">
        <v>2</v>
      </c>
      <c r="I9106">
        <v>203</v>
      </c>
      <c r="J9106" t="str">
        <f>HYPERLINK("https://climate.onebuilding.org/WMO_Region_6_Europe/POL_Poland/LU_Lubelskie/POL_LU_Lublin.AP.121195_TMYx.2009-2023.zip")</f>
        <v>https://climate.onebuilding.org/WMO_Region_6_Europe/POL_Poland/LU_Lubelskie/POL_LU_Lublin.AP.121195_TMYx.2009-2023.zip</v>
      </c>
    </row>
    <row r="9107" spans="1:10" x14ac:dyDescent="0.25">
      <c r="A9107" t="s">
        <v>6811</v>
      </c>
      <c r="B9107" t="s">
        <v>11</v>
      </c>
      <c r="C9107" t="s">
        <v>6835</v>
      </c>
      <c r="D9107">
        <v>121195</v>
      </c>
      <c r="E9107" t="s">
        <v>14</v>
      </c>
      <c r="F9107">
        <v>51.232999999999997</v>
      </c>
      <c r="G9107">
        <v>22.683</v>
      </c>
      <c r="H9107">
        <v>2</v>
      </c>
      <c r="I9107">
        <v>203</v>
      </c>
      <c r="J9107" t="str">
        <f>HYPERLINK("https://climate.onebuilding.org/WMO_Region_6_Europe/POL_Poland/LU_Lubelskie/POL_LU_Lublin.AP.121195_TMYx.zip")</f>
        <v>https://climate.onebuilding.org/WMO_Region_6_Europe/POL_Poland/LU_Lubelskie/POL_LU_Lublin.AP.121195_TMYx.zip</v>
      </c>
    </row>
    <row r="9108" spans="1:10" x14ac:dyDescent="0.25">
      <c r="A9108" t="s">
        <v>6811</v>
      </c>
      <c r="B9108" t="s">
        <v>1221</v>
      </c>
      <c r="C9108" t="s">
        <v>6836</v>
      </c>
      <c r="D9108">
        <v>121200</v>
      </c>
      <c r="E9108" t="s">
        <v>6837</v>
      </c>
      <c r="F9108">
        <v>54.75</v>
      </c>
      <c r="G9108">
        <v>17.533000000000001</v>
      </c>
      <c r="H9108">
        <v>1</v>
      </c>
      <c r="I9108">
        <v>6</v>
      </c>
      <c r="J9108" t="str">
        <f>HYPERLINK("https://climate.onebuilding.org/WMO_Region_6_Europe/POL_Poland/PM_Pomorskie/POL_PM_Leba.121200_TMYx.2004-2018.zip")</f>
        <v>https://climate.onebuilding.org/WMO_Region_6_Europe/POL_Poland/PM_Pomorskie/POL_PM_Leba.121200_TMYx.2004-2018.zip</v>
      </c>
    </row>
    <row r="9109" spans="1:10" x14ac:dyDescent="0.25">
      <c r="A9109" t="s">
        <v>6811</v>
      </c>
      <c r="B9109" t="s">
        <v>1221</v>
      </c>
      <c r="C9109" t="s">
        <v>6836</v>
      </c>
      <c r="D9109">
        <v>121200</v>
      </c>
      <c r="E9109" t="s">
        <v>14</v>
      </c>
      <c r="F9109">
        <v>54.753599999999999</v>
      </c>
      <c r="G9109">
        <v>17.534700000000001</v>
      </c>
      <c r="H9109">
        <v>1</v>
      </c>
      <c r="I9109">
        <v>6</v>
      </c>
      <c r="J9109" t="str">
        <f>HYPERLINK("https://climate.onebuilding.org/WMO_Region_6_Europe/POL_Poland/PM_Pomorskie/POL_PM_Leba.121200_TMYx.2007-2021.zip")</f>
        <v>https://climate.onebuilding.org/WMO_Region_6_Europe/POL_Poland/PM_Pomorskie/POL_PM_Leba.121200_TMYx.2007-2021.zip</v>
      </c>
    </row>
    <row r="9110" spans="1:10" x14ac:dyDescent="0.25">
      <c r="A9110" t="s">
        <v>6811</v>
      </c>
      <c r="B9110" t="s">
        <v>1221</v>
      </c>
      <c r="C9110" t="s">
        <v>6836</v>
      </c>
      <c r="D9110">
        <v>121200</v>
      </c>
      <c r="E9110" t="s">
        <v>14</v>
      </c>
      <c r="F9110">
        <v>54.753599999999999</v>
      </c>
      <c r="G9110">
        <v>17.534700000000001</v>
      </c>
      <c r="H9110">
        <v>1</v>
      </c>
      <c r="I9110">
        <v>6</v>
      </c>
      <c r="J9110" t="str">
        <f>HYPERLINK("https://climate.onebuilding.org/WMO_Region_6_Europe/POL_Poland/PM_Pomorskie/POL_PM_Leba.121200_TMYx.2009-2023.zip")</f>
        <v>https://climate.onebuilding.org/WMO_Region_6_Europe/POL_Poland/PM_Pomorskie/POL_PM_Leba.121200_TMYx.2009-2023.zip</v>
      </c>
    </row>
    <row r="9111" spans="1:10" x14ac:dyDescent="0.25">
      <c r="A9111" t="s">
        <v>6811</v>
      </c>
      <c r="B9111" t="s">
        <v>1221</v>
      </c>
      <c r="C9111" t="s">
        <v>6836</v>
      </c>
      <c r="D9111">
        <v>121200</v>
      </c>
      <c r="E9111" t="s">
        <v>14</v>
      </c>
      <c r="F9111">
        <v>54.753599999999999</v>
      </c>
      <c r="G9111">
        <v>17.534700000000001</v>
      </c>
      <c r="H9111">
        <v>1</v>
      </c>
      <c r="I9111">
        <v>6</v>
      </c>
      <c r="J9111" t="str">
        <f>HYPERLINK("https://climate.onebuilding.org/WMO_Region_6_Europe/POL_Poland/PM_Pomorskie/POL_PM_Leba.121200_TMYx.zip")</f>
        <v>https://climate.onebuilding.org/WMO_Region_6_Europe/POL_Poland/PM_Pomorskie/POL_PM_Leba.121200_TMYx.zip</v>
      </c>
    </row>
    <row r="9112" spans="1:10" x14ac:dyDescent="0.25">
      <c r="A9112" t="s">
        <v>6811</v>
      </c>
      <c r="B9112" t="s">
        <v>6812</v>
      </c>
      <c r="C9112" t="s">
        <v>6838</v>
      </c>
      <c r="D9112">
        <v>121220</v>
      </c>
      <c r="E9112" t="s">
        <v>14</v>
      </c>
      <c r="F9112">
        <v>54.55</v>
      </c>
      <c r="G9112">
        <v>16.62</v>
      </c>
      <c r="H9112">
        <v>1</v>
      </c>
      <c r="I9112">
        <v>3</v>
      </c>
      <c r="J9112" t="str">
        <f>HYPERLINK("https://climate.onebuilding.org/WMO_Region_6_Europe/POL_Poland/ZP_Zachodniopomorskie/POL_ZP_Wicko.Morskie.AF.121220_TMYx.2007-2021.zip")</f>
        <v>https://climate.onebuilding.org/WMO_Region_6_Europe/POL_Poland/ZP_Zachodniopomorskie/POL_ZP_Wicko.Morskie.AF.121220_TMYx.2007-2021.zip</v>
      </c>
    </row>
    <row r="9113" spans="1:10" x14ac:dyDescent="0.25">
      <c r="A9113" t="s">
        <v>6811</v>
      </c>
      <c r="B9113" t="s">
        <v>6812</v>
      </c>
      <c r="C9113" t="s">
        <v>6838</v>
      </c>
      <c r="D9113">
        <v>121220</v>
      </c>
      <c r="E9113" t="s">
        <v>14</v>
      </c>
      <c r="F9113">
        <v>54.55</v>
      </c>
      <c r="G9113">
        <v>16.62</v>
      </c>
      <c r="H9113">
        <v>1</v>
      </c>
      <c r="I9113">
        <v>3</v>
      </c>
      <c r="J9113" t="str">
        <f>HYPERLINK("https://climate.onebuilding.org/WMO_Region_6_Europe/POL_Poland/ZP_Zachodniopomorskie/POL_ZP_Wicko.Morskie.AF.121220_TMYx.2009-2023.zip")</f>
        <v>https://climate.onebuilding.org/WMO_Region_6_Europe/POL_Poland/ZP_Zachodniopomorskie/POL_ZP_Wicko.Morskie.AF.121220_TMYx.2009-2023.zip</v>
      </c>
    </row>
    <row r="9114" spans="1:10" x14ac:dyDescent="0.25">
      <c r="A9114" t="s">
        <v>6811</v>
      </c>
      <c r="B9114" t="s">
        <v>6812</v>
      </c>
      <c r="C9114" t="s">
        <v>6838</v>
      </c>
      <c r="D9114">
        <v>121220</v>
      </c>
      <c r="E9114" t="s">
        <v>14</v>
      </c>
      <c r="F9114">
        <v>54.55</v>
      </c>
      <c r="G9114">
        <v>16.62</v>
      </c>
      <c r="H9114">
        <v>1</v>
      </c>
      <c r="I9114">
        <v>3</v>
      </c>
      <c r="J9114" t="str">
        <f>HYPERLINK("https://climate.onebuilding.org/WMO_Region_6_Europe/POL_Poland/ZP_Zachodniopomorskie/POL_ZP_Wicko.Morskie.AF.121220_TMYx.zip")</f>
        <v>https://climate.onebuilding.org/WMO_Region_6_Europe/POL_Poland/ZP_Zachodniopomorskie/POL_ZP_Wicko.Morskie.AF.121220_TMYx.zip</v>
      </c>
    </row>
    <row r="9115" spans="1:10" x14ac:dyDescent="0.25">
      <c r="A9115" t="s">
        <v>6811</v>
      </c>
      <c r="B9115" t="s">
        <v>6812</v>
      </c>
      <c r="C9115" t="s">
        <v>6839</v>
      </c>
      <c r="D9115">
        <v>121240</v>
      </c>
      <c r="E9115" t="s">
        <v>6840</v>
      </c>
      <c r="F9115">
        <v>54.4</v>
      </c>
      <c r="G9115">
        <v>16.350000000000001</v>
      </c>
      <c r="H9115">
        <v>1</v>
      </c>
      <c r="I9115">
        <v>5</v>
      </c>
      <c r="J9115" t="str">
        <f>HYPERLINK("https://climate.onebuilding.org/WMO_Region_6_Europe/POL_Poland/ZP_Zachodniopomorskie/POL_ZP_Darlowo.AP.121240_TMYx.2004-2018.zip")</f>
        <v>https://climate.onebuilding.org/WMO_Region_6_Europe/POL_Poland/ZP_Zachodniopomorskie/POL_ZP_Darlowo.AP.121240_TMYx.2004-2018.zip</v>
      </c>
    </row>
    <row r="9116" spans="1:10" x14ac:dyDescent="0.25">
      <c r="A9116" t="s">
        <v>6811</v>
      </c>
      <c r="B9116" t="s">
        <v>6812</v>
      </c>
      <c r="C9116" t="s">
        <v>6839</v>
      </c>
      <c r="D9116">
        <v>121240</v>
      </c>
      <c r="E9116" t="s">
        <v>14</v>
      </c>
      <c r="F9116">
        <v>54.4054</v>
      </c>
      <c r="G9116">
        <v>16.351600000000001</v>
      </c>
      <c r="H9116">
        <v>1</v>
      </c>
      <c r="I9116">
        <v>5</v>
      </c>
      <c r="J9116" t="str">
        <f>HYPERLINK("https://climate.onebuilding.org/WMO_Region_6_Europe/POL_Poland/ZP_Zachodniopomorskie/POL_ZP_Darlowo.AP.121240_TMYx.2007-2021.zip")</f>
        <v>https://climate.onebuilding.org/WMO_Region_6_Europe/POL_Poland/ZP_Zachodniopomorskie/POL_ZP_Darlowo.AP.121240_TMYx.2007-2021.zip</v>
      </c>
    </row>
    <row r="9117" spans="1:10" x14ac:dyDescent="0.25">
      <c r="A9117" t="s">
        <v>6811</v>
      </c>
      <c r="B9117" t="s">
        <v>6812</v>
      </c>
      <c r="C9117" t="s">
        <v>6839</v>
      </c>
      <c r="D9117">
        <v>121240</v>
      </c>
      <c r="E9117" t="s">
        <v>14</v>
      </c>
      <c r="F9117">
        <v>54.4054</v>
      </c>
      <c r="G9117">
        <v>16.351600000000001</v>
      </c>
      <c r="H9117">
        <v>1</v>
      </c>
      <c r="I9117">
        <v>5</v>
      </c>
      <c r="J9117" t="str">
        <f>HYPERLINK("https://climate.onebuilding.org/WMO_Region_6_Europe/POL_Poland/ZP_Zachodniopomorskie/POL_ZP_Darlowo.AP.121240_TMYx.2009-2023.zip")</f>
        <v>https://climate.onebuilding.org/WMO_Region_6_Europe/POL_Poland/ZP_Zachodniopomorskie/POL_ZP_Darlowo.AP.121240_TMYx.2009-2023.zip</v>
      </c>
    </row>
    <row r="9118" spans="1:10" x14ac:dyDescent="0.25">
      <c r="A9118" t="s">
        <v>6811</v>
      </c>
      <c r="B9118" t="s">
        <v>6812</v>
      </c>
      <c r="C9118" t="s">
        <v>6839</v>
      </c>
      <c r="D9118">
        <v>121240</v>
      </c>
      <c r="E9118" t="s">
        <v>14</v>
      </c>
      <c r="F9118">
        <v>54.4054</v>
      </c>
      <c r="G9118">
        <v>16.351600000000001</v>
      </c>
      <c r="H9118">
        <v>1</v>
      </c>
      <c r="I9118">
        <v>5</v>
      </c>
      <c r="J9118" t="str">
        <f>HYPERLINK("https://climate.onebuilding.org/WMO_Region_6_Europe/POL_Poland/ZP_Zachodniopomorskie/POL_ZP_Darlowo.AP.121240_TMYx.zip")</f>
        <v>https://climate.onebuilding.org/WMO_Region_6_Europe/POL_Poland/ZP_Zachodniopomorskie/POL_ZP_Darlowo.AP.121240_TMYx.zip</v>
      </c>
    </row>
    <row r="9119" spans="1:10" x14ac:dyDescent="0.25">
      <c r="A9119" t="s">
        <v>6811</v>
      </c>
      <c r="B9119" t="s">
        <v>1221</v>
      </c>
      <c r="C9119" t="s">
        <v>6841</v>
      </c>
      <c r="D9119">
        <v>121250</v>
      </c>
      <c r="E9119" t="s">
        <v>6842</v>
      </c>
      <c r="F9119">
        <v>54.55</v>
      </c>
      <c r="G9119">
        <v>17.75</v>
      </c>
      <c r="H9119">
        <v>1</v>
      </c>
      <c r="I9119">
        <v>41</v>
      </c>
      <c r="J9119" t="str">
        <f>HYPERLINK("https://climate.onebuilding.org/WMO_Region_6_Europe/POL_Poland/PM_Pomorskie/POL_PM_Lebork.121250_TMYx.2004-2018.zip")</f>
        <v>https://climate.onebuilding.org/WMO_Region_6_Europe/POL_Poland/PM_Pomorskie/POL_PM_Lebork.121250_TMYx.2004-2018.zip</v>
      </c>
    </row>
    <row r="9120" spans="1:10" x14ac:dyDescent="0.25">
      <c r="A9120" t="s">
        <v>6811</v>
      </c>
      <c r="B9120" t="s">
        <v>1221</v>
      </c>
      <c r="C9120" t="s">
        <v>6841</v>
      </c>
      <c r="D9120">
        <v>121250</v>
      </c>
      <c r="E9120" t="s">
        <v>14</v>
      </c>
      <c r="F9120">
        <v>54.553100000000001</v>
      </c>
      <c r="G9120">
        <v>17.756900000000002</v>
      </c>
      <c r="H9120">
        <v>1</v>
      </c>
      <c r="I9120">
        <v>41</v>
      </c>
      <c r="J9120" t="str">
        <f>HYPERLINK("https://climate.onebuilding.org/WMO_Region_6_Europe/POL_Poland/PM_Pomorskie/POL_PM_Lebork.121250_TMYx.2007-2021.zip")</f>
        <v>https://climate.onebuilding.org/WMO_Region_6_Europe/POL_Poland/PM_Pomorskie/POL_PM_Lebork.121250_TMYx.2007-2021.zip</v>
      </c>
    </row>
    <row r="9121" spans="1:10" x14ac:dyDescent="0.25">
      <c r="A9121" t="s">
        <v>6811</v>
      </c>
      <c r="B9121" t="s">
        <v>1221</v>
      </c>
      <c r="C9121" t="s">
        <v>6841</v>
      </c>
      <c r="D9121">
        <v>121250</v>
      </c>
      <c r="E9121" t="s">
        <v>14</v>
      </c>
      <c r="F9121">
        <v>54.553100000000001</v>
      </c>
      <c r="G9121">
        <v>17.756900000000002</v>
      </c>
      <c r="H9121">
        <v>1</v>
      </c>
      <c r="I9121">
        <v>41</v>
      </c>
      <c r="J9121" t="str">
        <f>HYPERLINK("https://climate.onebuilding.org/WMO_Region_6_Europe/POL_Poland/PM_Pomorskie/POL_PM_Lebork.121250_TMYx.2009-2023.zip")</f>
        <v>https://climate.onebuilding.org/WMO_Region_6_Europe/POL_Poland/PM_Pomorskie/POL_PM_Lebork.121250_TMYx.2009-2023.zip</v>
      </c>
    </row>
    <row r="9122" spans="1:10" x14ac:dyDescent="0.25">
      <c r="A9122" t="s">
        <v>6811</v>
      </c>
      <c r="B9122" t="s">
        <v>1221</v>
      </c>
      <c r="C9122" t="s">
        <v>6841</v>
      </c>
      <c r="D9122">
        <v>121250</v>
      </c>
      <c r="E9122" t="s">
        <v>14</v>
      </c>
      <c r="F9122">
        <v>54.553100000000001</v>
      </c>
      <c r="G9122">
        <v>17.756900000000002</v>
      </c>
      <c r="H9122">
        <v>1</v>
      </c>
      <c r="I9122">
        <v>41</v>
      </c>
      <c r="J9122" t="str">
        <f>HYPERLINK("https://climate.onebuilding.org/WMO_Region_6_Europe/POL_Poland/PM_Pomorskie/POL_PM_Lebork.121250_TMYx.zip")</f>
        <v>https://climate.onebuilding.org/WMO_Region_6_Europe/POL_Poland/PM_Pomorskie/POL_PM_Lebork.121250_TMYx.zip</v>
      </c>
    </row>
    <row r="9123" spans="1:10" x14ac:dyDescent="0.25">
      <c r="A9123" t="s">
        <v>6811</v>
      </c>
      <c r="B9123" t="s">
        <v>6812</v>
      </c>
      <c r="C9123" t="s">
        <v>6843</v>
      </c>
      <c r="D9123">
        <v>121280</v>
      </c>
      <c r="E9123" t="s">
        <v>14</v>
      </c>
      <c r="F9123">
        <v>54.05</v>
      </c>
      <c r="G9123">
        <v>16.266999999999999</v>
      </c>
      <c r="H9123">
        <v>1</v>
      </c>
      <c r="I9123">
        <v>72</v>
      </c>
      <c r="J9123" t="str">
        <f>HYPERLINK("https://climate.onebuilding.org/WMO_Region_6_Europe/POL_Poland/ZP_Zachodniopomorskie/POL_ZP_Koszalin-Zegrze.Pomorskie.AP.121280_TMYx.zip")</f>
        <v>https://climate.onebuilding.org/WMO_Region_6_Europe/POL_Poland/ZP_Zachodniopomorskie/POL_ZP_Koszalin-Zegrze.Pomorskie.AP.121280_TMYx.zip</v>
      </c>
    </row>
    <row r="9124" spans="1:10" x14ac:dyDescent="0.25">
      <c r="A9124" t="s">
        <v>6811</v>
      </c>
      <c r="B9124" t="s">
        <v>1221</v>
      </c>
      <c r="C9124" t="s">
        <v>6844</v>
      </c>
      <c r="D9124">
        <v>121350</v>
      </c>
      <c r="E9124" t="s">
        <v>6845</v>
      </c>
      <c r="F9124">
        <v>54.6</v>
      </c>
      <c r="G9124">
        <v>18.817</v>
      </c>
      <c r="H9124">
        <v>1</v>
      </c>
      <c r="I9124">
        <v>3</v>
      </c>
      <c r="J9124" t="str">
        <f>HYPERLINK("https://climate.onebuilding.org/WMO_Region_6_Europe/POL_Poland/PM_Pomorskie/POL_PM_Hel.121350_TMYx.2004-2018.zip")</f>
        <v>https://climate.onebuilding.org/WMO_Region_6_Europe/POL_Poland/PM_Pomorskie/POL_PM_Hel.121350_TMYx.2004-2018.zip</v>
      </c>
    </row>
    <row r="9125" spans="1:10" x14ac:dyDescent="0.25">
      <c r="A9125" t="s">
        <v>6811</v>
      </c>
      <c r="B9125" t="s">
        <v>1221</v>
      </c>
      <c r="C9125" t="s">
        <v>6844</v>
      </c>
      <c r="D9125">
        <v>121350</v>
      </c>
      <c r="E9125" t="s">
        <v>14</v>
      </c>
      <c r="F9125">
        <v>54.6</v>
      </c>
      <c r="G9125">
        <v>18.817</v>
      </c>
      <c r="H9125">
        <v>1</v>
      </c>
      <c r="I9125">
        <v>3</v>
      </c>
      <c r="J9125" t="str">
        <f>HYPERLINK("https://climate.onebuilding.org/WMO_Region_6_Europe/POL_Poland/PM_Pomorskie/POL_PM_Hel.121350_TMYx.2007-2021.zip")</f>
        <v>https://climate.onebuilding.org/WMO_Region_6_Europe/POL_Poland/PM_Pomorskie/POL_PM_Hel.121350_TMYx.2007-2021.zip</v>
      </c>
    </row>
    <row r="9126" spans="1:10" x14ac:dyDescent="0.25">
      <c r="A9126" t="s">
        <v>6811</v>
      </c>
      <c r="B9126" t="s">
        <v>1221</v>
      </c>
      <c r="C9126" t="s">
        <v>6844</v>
      </c>
      <c r="D9126">
        <v>121350</v>
      </c>
      <c r="E9126" t="s">
        <v>14</v>
      </c>
      <c r="F9126">
        <v>54.6</v>
      </c>
      <c r="G9126">
        <v>18.817</v>
      </c>
      <c r="H9126">
        <v>1</v>
      </c>
      <c r="I9126">
        <v>3</v>
      </c>
      <c r="J9126" t="str">
        <f>HYPERLINK("https://climate.onebuilding.org/WMO_Region_6_Europe/POL_Poland/PM_Pomorskie/POL_PM_Hel.121350_TMYx.2009-2023.zip")</f>
        <v>https://climate.onebuilding.org/WMO_Region_6_Europe/POL_Poland/PM_Pomorskie/POL_PM_Hel.121350_TMYx.2009-2023.zip</v>
      </c>
    </row>
    <row r="9127" spans="1:10" x14ac:dyDescent="0.25">
      <c r="A9127" t="s">
        <v>6811</v>
      </c>
      <c r="B9127" t="s">
        <v>1221</v>
      </c>
      <c r="C9127" t="s">
        <v>6844</v>
      </c>
      <c r="D9127">
        <v>121350</v>
      </c>
      <c r="E9127" t="s">
        <v>14</v>
      </c>
      <c r="F9127">
        <v>54.6</v>
      </c>
      <c r="G9127">
        <v>18.817</v>
      </c>
      <c r="H9127">
        <v>1</v>
      </c>
      <c r="I9127">
        <v>3</v>
      </c>
      <c r="J9127" t="str">
        <f>HYPERLINK("https://climate.onebuilding.org/WMO_Region_6_Europe/POL_Poland/PM_Pomorskie/POL_PM_Hel.121350_TMYx.zip")</f>
        <v>https://climate.onebuilding.org/WMO_Region_6_Europe/POL_Poland/PM_Pomorskie/POL_PM_Hel.121350_TMYx.zip</v>
      </c>
    </row>
    <row r="9128" spans="1:10" x14ac:dyDescent="0.25">
      <c r="A9128" t="s">
        <v>6811</v>
      </c>
      <c r="B9128" t="s">
        <v>1221</v>
      </c>
      <c r="C9128" t="s">
        <v>6846</v>
      </c>
      <c r="D9128">
        <v>121360</v>
      </c>
      <c r="E9128" t="s">
        <v>6847</v>
      </c>
      <c r="F9128">
        <v>54.417000000000002</v>
      </c>
      <c r="G9128">
        <v>17.766999999999999</v>
      </c>
      <c r="H9128">
        <v>1</v>
      </c>
      <c r="I9128">
        <v>22</v>
      </c>
      <c r="J9128" t="str">
        <f>HYPERLINK("https://climate.onebuilding.org/WMO_Region_6_Europe/POL_Poland/PM_Pomorskie/POL_PM_Cewice-Lebunia.AP.121360_TMYx.2004-2018.zip")</f>
        <v>https://climate.onebuilding.org/WMO_Region_6_Europe/POL_Poland/PM_Pomorskie/POL_PM_Cewice-Lebunia.AP.121360_TMYx.2004-2018.zip</v>
      </c>
    </row>
    <row r="9129" spans="1:10" x14ac:dyDescent="0.25">
      <c r="A9129" t="s">
        <v>6811</v>
      </c>
      <c r="B9129" t="s">
        <v>1221</v>
      </c>
      <c r="C9129" t="s">
        <v>6846</v>
      </c>
      <c r="D9129">
        <v>121360</v>
      </c>
      <c r="E9129" t="s">
        <v>14</v>
      </c>
      <c r="F9129">
        <v>54.417000000000002</v>
      </c>
      <c r="G9129">
        <v>17.766999999999999</v>
      </c>
      <c r="H9129">
        <v>1</v>
      </c>
      <c r="I9129">
        <v>151</v>
      </c>
      <c r="J9129" t="str">
        <f>HYPERLINK("https://climate.onebuilding.org/WMO_Region_6_Europe/POL_Poland/PM_Pomorskie/POL_PM_Cewice-Lebunia.AP.121360_TMYx.2007-2021.zip")</f>
        <v>https://climate.onebuilding.org/WMO_Region_6_Europe/POL_Poland/PM_Pomorskie/POL_PM_Cewice-Lebunia.AP.121360_TMYx.2007-2021.zip</v>
      </c>
    </row>
    <row r="9130" spans="1:10" x14ac:dyDescent="0.25">
      <c r="A9130" t="s">
        <v>6811</v>
      </c>
      <c r="B9130" t="s">
        <v>1221</v>
      </c>
      <c r="C9130" t="s">
        <v>6846</v>
      </c>
      <c r="D9130">
        <v>121360</v>
      </c>
      <c r="E9130" t="s">
        <v>14</v>
      </c>
      <c r="F9130">
        <v>54.417000000000002</v>
      </c>
      <c r="G9130">
        <v>17.766999999999999</v>
      </c>
      <c r="H9130">
        <v>1</v>
      </c>
      <c r="I9130">
        <v>151</v>
      </c>
      <c r="J9130" t="str">
        <f>HYPERLINK("https://climate.onebuilding.org/WMO_Region_6_Europe/POL_Poland/PM_Pomorskie/POL_PM_Cewice-Lebunia.AP.121360_TMYx.2009-2023.zip")</f>
        <v>https://climate.onebuilding.org/WMO_Region_6_Europe/POL_Poland/PM_Pomorskie/POL_PM_Cewice-Lebunia.AP.121360_TMYx.2009-2023.zip</v>
      </c>
    </row>
    <row r="9131" spans="1:10" x14ac:dyDescent="0.25">
      <c r="A9131" t="s">
        <v>6811</v>
      </c>
      <c r="B9131" t="s">
        <v>1221</v>
      </c>
      <c r="C9131" t="s">
        <v>6846</v>
      </c>
      <c r="D9131">
        <v>121360</v>
      </c>
      <c r="E9131" t="s">
        <v>14</v>
      </c>
      <c r="F9131">
        <v>54.417000000000002</v>
      </c>
      <c r="G9131">
        <v>17.766999999999999</v>
      </c>
      <c r="H9131">
        <v>1</v>
      </c>
      <c r="I9131">
        <v>151</v>
      </c>
      <c r="J9131" t="str">
        <f>HYPERLINK("https://climate.onebuilding.org/WMO_Region_6_Europe/POL_Poland/PM_Pomorskie/POL_PM_Cewice-Lebunia.AP.121360_TMYx.zip")</f>
        <v>https://climate.onebuilding.org/WMO_Region_6_Europe/POL_Poland/PM_Pomorskie/POL_PM_Cewice-Lebunia.AP.121360_TMYx.zip</v>
      </c>
    </row>
    <row r="9132" spans="1:10" x14ac:dyDescent="0.25">
      <c r="A9132" t="s">
        <v>6811</v>
      </c>
      <c r="B9132" t="s">
        <v>1221</v>
      </c>
      <c r="C9132" t="s">
        <v>6848</v>
      </c>
      <c r="D9132">
        <v>121400</v>
      </c>
      <c r="E9132" t="s">
        <v>6849</v>
      </c>
      <c r="F9132">
        <v>54.4</v>
      </c>
      <c r="G9132">
        <v>18.7</v>
      </c>
      <c r="H9132">
        <v>1</v>
      </c>
      <c r="I9132">
        <v>7</v>
      </c>
      <c r="J9132" t="str">
        <f>HYPERLINK("https://climate.onebuilding.org/WMO_Region_6_Europe/POL_Poland/PM_Pomorskie/POL_PM_Gdansk-Port.Polnocny.121400_TMYx.2004-2018.zip")</f>
        <v>https://climate.onebuilding.org/WMO_Region_6_Europe/POL_Poland/PM_Pomorskie/POL_PM_Gdansk-Port.Polnocny.121400_TMYx.2004-2018.zip</v>
      </c>
    </row>
    <row r="9133" spans="1:10" x14ac:dyDescent="0.25">
      <c r="A9133" t="s">
        <v>6811</v>
      </c>
      <c r="B9133" t="s">
        <v>1221</v>
      </c>
      <c r="C9133" t="s">
        <v>6848</v>
      </c>
      <c r="D9133">
        <v>121400</v>
      </c>
      <c r="E9133" t="s">
        <v>14</v>
      </c>
      <c r="F9133">
        <v>54.399700000000003</v>
      </c>
      <c r="G9133">
        <v>18.697800000000001</v>
      </c>
      <c r="H9133">
        <v>1</v>
      </c>
      <c r="I9133">
        <v>7</v>
      </c>
      <c r="J9133" t="str">
        <f>HYPERLINK("https://climate.onebuilding.org/WMO_Region_6_Europe/POL_Poland/PM_Pomorskie/POL_PM_Gdansk-Port.Polnocny.121400_TMYx.2007-2021.zip")</f>
        <v>https://climate.onebuilding.org/WMO_Region_6_Europe/POL_Poland/PM_Pomorskie/POL_PM_Gdansk-Port.Polnocny.121400_TMYx.2007-2021.zip</v>
      </c>
    </row>
    <row r="9134" spans="1:10" x14ac:dyDescent="0.25">
      <c r="A9134" t="s">
        <v>6811</v>
      </c>
      <c r="B9134" t="s">
        <v>1221</v>
      </c>
      <c r="C9134" t="s">
        <v>6848</v>
      </c>
      <c r="D9134">
        <v>121400</v>
      </c>
      <c r="E9134" t="s">
        <v>14</v>
      </c>
      <c r="F9134">
        <v>54.399700000000003</v>
      </c>
      <c r="G9134">
        <v>18.697800000000001</v>
      </c>
      <c r="H9134">
        <v>1</v>
      </c>
      <c r="I9134">
        <v>7</v>
      </c>
      <c r="J9134" t="str">
        <f>HYPERLINK("https://climate.onebuilding.org/WMO_Region_6_Europe/POL_Poland/PM_Pomorskie/POL_PM_Gdansk-Port.Polnocny.121400_TMYx.zip")</f>
        <v>https://climate.onebuilding.org/WMO_Region_6_Europe/POL_Poland/PM_Pomorskie/POL_PM_Gdansk-Port.Polnocny.121400_TMYx.zip</v>
      </c>
    </row>
    <row r="9135" spans="1:10" x14ac:dyDescent="0.25">
      <c r="A9135" t="s">
        <v>6811</v>
      </c>
      <c r="B9135" t="s">
        <v>1221</v>
      </c>
      <c r="C9135" t="s">
        <v>6850</v>
      </c>
      <c r="D9135">
        <v>121420</v>
      </c>
      <c r="E9135" t="s">
        <v>6851</v>
      </c>
      <c r="F9135">
        <v>54.567</v>
      </c>
      <c r="G9135">
        <v>18.516999999999999</v>
      </c>
      <c r="H9135">
        <v>1</v>
      </c>
      <c r="I9135">
        <v>70</v>
      </c>
      <c r="J9135" t="str">
        <f>HYPERLINK("https://climate.onebuilding.org/WMO_Region_6_Europe/POL_Poland/PM_Pomorskie/POL_PM_Oksywie-Gdynia.AP.121420_TMYx.2004-2018.zip")</f>
        <v>https://climate.onebuilding.org/WMO_Region_6_Europe/POL_Poland/PM_Pomorskie/POL_PM_Oksywie-Gdynia.AP.121420_TMYx.2004-2018.zip</v>
      </c>
    </row>
    <row r="9136" spans="1:10" x14ac:dyDescent="0.25">
      <c r="A9136" t="s">
        <v>6811</v>
      </c>
      <c r="B9136" t="s">
        <v>1221</v>
      </c>
      <c r="C9136" t="s">
        <v>6850</v>
      </c>
      <c r="D9136">
        <v>121420</v>
      </c>
      <c r="E9136" t="s">
        <v>14</v>
      </c>
      <c r="F9136">
        <v>54.585700000000003</v>
      </c>
      <c r="G9136">
        <v>18.519200000000001</v>
      </c>
      <c r="H9136">
        <v>1</v>
      </c>
      <c r="I9136">
        <v>70</v>
      </c>
      <c r="J9136" t="str">
        <f>HYPERLINK("https://climate.onebuilding.org/WMO_Region_6_Europe/POL_Poland/PM_Pomorskie/POL_PM_Oksywie-Gdynia.AP.121420_TMYx.2007-2021.zip")</f>
        <v>https://climate.onebuilding.org/WMO_Region_6_Europe/POL_Poland/PM_Pomorskie/POL_PM_Oksywie-Gdynia.AP.121420_TMYx.2007-2021.zip</v>
      </c>
    </row>
    <row r="9137" spans="1:10" x14ac:dyDescent="0.25">
      <c r="A9137" t="s">
        <v>6811</v>
      </c>
      <c r="B9137" t="s">
        <v>1221</v>
      </c>
      <c r="C9137" t="s">
        <v>6850</v>
      </c>
      <c r="D9137">
        <v>121420</v>
      </c>
      <c r="E9137" t="s">
        <v>14</v>
      </c>
      <c r="F9137">
        <v>54.585700000000003</v>
      </c>
      <c r="G9137">
        <v>18.519200000000001</v>
      </c>
      <c r="H9137">
        <v>1</v>
      </c>
      <c r="I9137">
        <v>70</v>
      </c>
      <c r="J9137" t="str">
        <f>HYPERLINK("https://climate.onebuilding.org/WMO_Region_6_Europe/POL_Poland/PM_Pomorskie/POL_PM_Oksywie-Gdynia.AP.121420_TMYx.2009-2023.zip")</f>
        <v>https://climate.onebuilding.org/WMO_Region_6_Europe/POL_Poland/PM_Pomorskie/POL_PM_Oksywie-Gdynia.AP.121420_TMYx.2009-2023.zip</v>
      </c>
    </row>
    <row r="9138" spans="1:10" x14ac:dyDescent="0.25">
      <c r="A9138" t="s">
        <v>6811</v>
      </c>
      <c r="B9138" t="s">
        <v>1221</v>
      </c>
      <c r="C9138" t="s">
        <v>6850</v>
      </c>
      <c r="D9138">
        <v>121420</v>
      </c>
      <c r="E9138" t="s">
        <v>14</v>
      </c>
      <c r="F9138">
        <v>54.585700000000003</v>
      </c>
      <c r="G9138">
        <v>18.519200000000001</v>
      </c>
      <c r="H9138">
        <v>1</v>
      </c>
      <c r="I9138">
        <v>70</v>
      </c>
      <c r="J9138" t="str">
        <f>HYPERLINK("https://climate.onebuilding.org/WMO_Region_6_Europe/POL_Poland/PM_Pomorskie/POL_PM_Oksywie-Gdynia.AP.121420_TMYx.zip")</f>
        <v>https://climate.onebuilding.org/WMO_Region_6_Europe/POL_Poland/PM_Pomorskie/POL_PM_Oksywie-Gdynia.AP.121420_TMYx.zip</v>
      </c>
    </row>
    <row r="9139" spans="1:10" x14ac:dyDescent="0.25">
      <c r="A9139" t="s">
        <v>6811</v>
      </c>
      <c r="B9139" t="s">
        <v>1221</v>
      </c>
      <c r="C9139" t="s">
        <v>6852</v>
      </c>
      <c r="D9139">
        <v>121460</v>
      </c>
      <c r="E9139" t="s">
        <v>6853</v>
      </c>
      <c r="F9139">
        <v>54.247999999999998</v>
      </c>
      <c r="G9139">
        <v>18.672000000000001</v>
      </c>
      <c r="H9139">
        <v>1</v>
      </c>
      <c r="I9139">
        <v>6.4</v>
      </c>
      <c r="J9139" t="str">
        <f>HYPERLINK("https://climate.onebuilding.org/WMO_Region_6_Europe/POL_Poland/PM_Pomorskie/POL_PM_Pruszcz-Gdanski.121460_TMYx.2004-2018.zip")</f>
        <v>https://climate.onebuilding.org/WMO_Region_6_Europe/POL_Poland/PM_Pomorskie/POL_PM_Pruszcz-Gdanski.121460_TMYx.2004-2018.zip</v>
      </c>
    </row>
    <row r="9140" spans="1:10" x14ac:dyDescent="0.25">
      <c r="A9140" t="s">
        <v>6811</v>
      </c>
      <c r="B9140" t="s">
        <v>1221</v>
      </c>
      <c r="C9140" t="s">
        <v>6852</v>
      </c>
      <c r="D9140">
        <v>121460</v>
      </c>
      <c r="E9140" t="s">
        <v>14</v>
      </c>
      <c r="F9140">
        <v>54.247999999999998</v>
      </c>
      <c r="G9140">
        <v>18.672000000000001</v>
      </c>
      <c r="H9140">
        <v>1</v>
      </c>
      <c r="I9140">
        <v>6.4</v>
      </c>
      <c r="J9140" t="str">
        <f>HYPERLINK("https://climate.onebuilding.org/WMO_Region_6_Europe/POL_Poland/PM_Pomorskie/POL_PM_Pruszcz-Gdanski.121460_TMYx.2007-2021.zip")</f>
        <v>https://climate.onebuilding.org/WMO_Region_6_Europe/POL_Poland/PM_Pomorskie/POL_PM_Pruszcz-Gdanski.121460_TMYx.2007-2021.zip</v>
      </c>
    </row>
    <row r="9141" spans="1:10" x14ac:dyDescent="0.25">
      <c r="A9141" t="s">
        <v>6811</v>
      </c>
      <c r="B9141" t="s">
        <v>1221</v>
      </c>
      <c r="C9141" t="s">
        <v>6852</v>
      </c>
      <c r="D9141">
        <v>121460</v>
      </c>
      <c r="E9141" t="s">
        <v>14</v>
      </c>
      <c r="F9141">
        <v>54.247999999999998</v>
      </c>
      <c r="G9141">
        <v>18.672000000000001</v>
      </c>
      <c r="H9141">
        <v>1</v>
      </c>
      <c r="I9141">
        <v>6.4</v>
      </c>
      <c r="J9141" t="str">
        <f>HYPERLINK("https://climate.onebuilding.org/WMO_Region_6_Europe/POL_Poland/PM_Pomorskie/POL_PM_Pruszcz-Gdanski.121460_TMYx.2009-2023.zip")</f>
        <v>https://climate.onebuilding.org/WMO_Region_6_Europe/POL_Poland/PM_Pomorskie/POL_PM_Pruszcz-Gdanski.121460_TMYx.2009-2023.zip</v>
      </c>
    </row>
    <row r="9142" spans="1:10" x14ac:dyDescent="0.25">
      <c r="A9142" t="s">
        <v>6811</v>
      </c>
      <c r="B9142" t="s">
        <v>1221</v>
      </c>
      <c r="C9142" t="s">
        <v>6852</v>
      </c>
      <c r="D9142">
        <v>121460</v>
      </c>
      <c r="E9142" t="s">
        <v>14</v>
      </c>
      <c r="F9142">
        <v>54.247999999999998</v>
      </c>
      <c r="G9142">
        <v>18.672000000000001</v>
      </c>
      <c r="H9142">
        <v>1</v>
      </c>
      <c r="I9142">
        <v>6.4</v>
      </c>
      <c r="J9142" t="str">
        <f>HYPERLINK("https://climate.onebuilding.org/WMO_Region_6_Europe/POL_Poland/PM_Pomorskie/POL_PM_Pruszcz-Gdanski.121460_TMYx.zip")</f>
        <v>https://climate.onebuilding.org/WMO_Region_6_Europe/POL_Poland/PM_Pomorskie/POL_PM_Pruszcz-Gdanski.121460_TMYx.zip</v>
      </c>
    </row>
    <row r="9143" spans="1:10" x14ac:dyDescent="0.25">
      <c r="A9143" t="s">
        <v>6811</v>
      </c>
      <c r="B9143" t="s">
        <v>6823</v>
      </c>
      <c r="C9143" t="s">
        <v>6854</v>
      </c>
      <c r="D9143">
        <v>121465</v>
      </c>
      <c r="E9143" t="s">
        <v>14</v>
      </c>
      <c r="F9143">
        <v>51.383000000000003</v>
      </c>
      <c r="G9143">
        <v>19.683</v>
      </c>
      <c r="H9143">
        <v>1</v>
      </c>
      <c r="I9143">
        <v>205.1</v>
      </c>
      <c r="J9143" t="str">
        <f>HYPERLINK("https://climate.onebuilding.org/WMO_Region_6_Europe/POL_Poland/LD_Lodzkie/POL_LD_Piotrkow.Trybunalski.AP.121465_TMYx.2007-2021.zip")</f>
        <v>https://climate.onebuilding.org/WMO_Region_6_Europe/POL_Poland/LD_Lodzkie/POL_LD_Piotrkow.Trybunalski.AP.121465_TMYx.2007-2021.zip</v>
      </c>
    </row>
    <row r="9144" spans="1:10" x14ac:dyDescent="0.25">
      <c r="A9144" t="s">
        <v>6811</v>
      </c>
      <c r="B9144" t="s">
        <v>6823</v>
      </c>
      <c r="C9144" t="s">
        <v>6854</v>
      </c>
      <c r="D9144">
        <v>121465</v>
      </c>
      <c r="E9144" t="s">
        <v>14</v>
      </c>
      <c r="F9144">
        <v>51.383000000000003</v>
      </c>
      <c r="G9144">
        <v>19.683</v>
      </c>
      <c r="H9144">
        <v>1</v>
      </c>
      <c r="I9144">
        <v>205.1</v>
      </c>
      <c r="J9144" t="str">
        <f>HYPERLINK("https://climate.onebuilding.org/WMO_Region_6_Europe/POL_Poland/LD_Lodzkie/POL_LD_Piotrkow.Trybunalski.AP.121465_TMYx.2009-2023.zip")</f>
        <v>https://climate.onebuilding.org/WMO_Region_6_Europe/POL_Poland/LD_Lodzkie/POL_LD_Piotrkow.Trybunalski.AP.121465_TMYx.2009-2023.zip</v>
      </c>
    </row>
    <row r="9145" spans="1:10" x14ac:dyDescent="0.25">
      <c r="A9145" t="s">
        <v>6811</v>
      </c>
      <c r="B9145" t="s">
        <v>6823</v>
      </c>
      <c r="C9145" t="s">
        <v>6854</v>
      </c>
      <c r="D9145">
        <v>121465</v>
      </c>
      <c r="E9145" t="s">
        <v>14</v>
      </c>
      <c r="F9145">
        <v>51.383000000000003</v>
      </c>
      <c r="G9145">
        <v>19.683</v>
      </c>
      <c r="H9145">
        <v>1</v>
      </c>
      <c r="I9145">
        <v>205.1</v>
      </c>
      <c r="J9145" t="str">
        <f>HYPERLINK("https://climate.onebuilding.org/WMO_Region_6_Europe/POL_Poland/LD_Lodzkie/POL_LD_Piotrkow.Trybunalski.AP.121465_TMYx.zip")</f>
        <v>https://climate.onebuilding.org/WMO_Region_6_Europe/POL_Poland/LD_Lodzkie/POL_LD_Piotrkow.Trybunalski.AP.121465_TMYx.zip</v>
      </c>
    </row>
    <row r="9146" spans="1:10" x14ac:dyDescent="0.25">
      <c r="A9146" t="s">
        <v>6811</v>
      </c>
      <c r="B9146" t="s">
        <v>1221</v>
      </c>
      <c r="C9146" t="s">
        <v>6855</v>
      </c>
      <c r="D9146">
        <v>121500</v>
      </c>
      <c r="E9146" t="s">
        <v>6856</v>
      </c>
      <c r="F9146">
        <v>54.378</v>
      </c>
      <c r="G9146">
        <v>18.466000000000001</v>
      </c>
      <c r="H9146">
        <v>1</v>
      </c>
      <c r="I9146">
        <v>149</v>
      </c>
      <c r="J9146" t="str">
        <f>HYPERLINK("https://climate.onebuilding.org/WMO_Region_6_Europe/POL_Poland/PM_Pomorskie/POL_PM_Gdansk-Walesy.Intl.AP-Rebiechowo.Intl.AP.121500_TMYx.2004-2018.zip")</f>
        <v>https://climate.onebuilding.org/WMO_Region_6_Europe/POL_Poland/PM_Pomorskie/POL_PM_Gdansk-Walesy.Intl.AP-Rebiechowo.Intl.AP.121500_TMYx.2004-2018.zip</v>
      </c>
    </row>
    <row r="9147" spans="1:10" x14ac:dyDescent="0.25">
      <c r="A9147" t="s">
        <v>6811</v>
      </c>
      <c r="B9147" t="s">
        <v>1221</v>
      </c>
      <c r="C9147" t="s">
        <v>6855</v>
      </c>
      <c r="D9147">
        <v>121500</v>
      </c>
      <c r="E9147" t="s">
        <v>14</v>
      </c>
      <c r="F9147">
        <v>54.380499999999998</v>
      </c>
      <c r="G9147">
        <v>18.471900000000002</v>
      </c>
      <c r="H9147">
        <v>1</v>
      </c>
      <c r="I9147">
        <v>149</v>
      </c>
      <c r="J9147" t="str">
        <f>HYPERLINK("https://climate.onebuilding.org/WMO_Region_6_Europe/POL_Poland/PM_Pomorskie/POL_PM_Gdansk-Walesy.Intl.AP-Rebiechowo.Intl.AP.121500_TMYx.2007-2021.zip")</f>
        <v>https://climate.onebuilding.org/WMO_Region_6_Europe/POL_Poland/PM_Pomorskie/POL_PM_Gdansk-Walesy.Intl.AP-Rebiechowo.Intl.AP.121500_TMYx.2007-2021.zip</v>
      </c>
    </row>
    <row r="9148" spans="1:10" x14ac:dyDescent="0.25">
      <c r="A9148" t="s">
        <v>6811</v>
      </c>
      <c r="B9148" t="s">
        <v>1221</v>
      </c>
      <c r="C9148" t="s">
        <v>6855</v>
      </c>
      <c r="D9148">
        <v>121500</v>
      </c>
      <c r="E9148" t="s">
        <v>14</v>
      </c>
      <c r="F9148">
        <v>54.380499999999998</v>
      </c>
      <c r="G9148">
        <v>18.471900000000002</v>
      </c>
      <c r="H9148">
        <v>1</v>
      </c>
      <c r="I9148">
        <v>149</v>
      </c>
      <c r="J9148" t="str">
        <f>HYPERLINK("https://climate.onebuilding.org/WMO_Region_6_Europe/POL_Poland/PM_Pomorskie/POL_PM_Gdansk-Walesy.Intl.AP-Rebiechowo.Intl.AP.121500_TMYx.2009-2023.zip")</f>
        <v>https://climate.onebuilding.org/WMO_Region_6_Europe/POL_Poland/PM_Pomorskie/POL_PM_Gdansk-Walesy.Intl.AP-Rebiechowo.Intl.AP.121500_TMYx.2009-2023.zip</v>
      </c>
    </row>
    <row r="9149" spans="1:10" x14ac:dyDescent="0.25">
      <c r="A9149" t="s">
        <v>6811</v>
      </c>
      <c r="B9149" t="s">
        <v>1221</v>
      </c>
      <c r="C9149" t="s">
        <v>6855</v>
      </c>
      <c r="D9149">
        <v>121500</v>
      </c>
      <c r="E9149" t="s">
        <v>14</v>
      </c>
      <c r="F9149">
        <v>54.380499999999998</v>
      </c>
      <c r="G9149">
        <v>18.471900000000002</v>
      </c>
      <c r="H9149">
        <v>1</v>
      </c>
      <c r="I9149">
        <v>149</v>
      </c>
      <c r="J9149" t="str">
        <f>HYPERLINK("https://climate.onebuilding.org/WMO_Region_6_Europe/POL_Poland/PM_Pomorskie/POL_PM_Gdansk-Walesy.Intl.AP-Rebiechowo.Intl.AP.121500_TMYx.zip")</f>
        <v>https://climate.onebuilding.org/WMO_Region_6_Europe/POL_Poland/PM_Pomorskie/POL_PM_Gdansk-Walesy.Intl.AP-Rebiechowo.Intl.AP.121500_TMYx.zip</v>
      </c>
    </row>
    <row r="9150" spans="1:10" x14ac:dyDescent="0.25">
      <c r="A9150" t="s">
        <v>6811</v>
      </c>
      <c r="B9150" t="s">
        <v>1221</v>
      </c>
      <c r="C9150" t="s">
        <v>6857</v>
      </c>
      <c r="D9150">
        <v>121550</v>
      </c>
      <c r="E9150" t="s">
        <v>14</v>
      </c>
      <c r="F9150">
        <v>54.333599999999997</v>
      </c>
      <c r="G9150">
        <v>18.9344</v>
      </c>
      <c r="H9150">
        <v>1</v>
      </c>
      <c r="I9150">
        <v>9</v>
      </c>
      <c r="J9150" t="str">
        <f>HYPERLINK("https://climate.onebuilding.org/WMO_Region_6_Europe/POL_Poland/PM_Pomorskie/POL_PM_Gdansk-Swibno.121550_TMYx.zip")</f>
        <v>https://climate.onebuilding.org/WMO_Region_6_Europe/POL_Poland/PM_Pomorskie/POL_PM_Gdansk-Swibno.121550_TMYx.zip</v>
      </c>
    </row>
    <row r="9151" spans="1:10" x14ac:dyDescent="0.25">
      <c r="A9151" t="s">
        <v>6811</v>
      </c>
      <c r="B9151" t="s">
        <v>6858</v>
      </c>
      <c r="C9151" t="s">
        <v>6859</v>
      </c>
      <c r="D9151">
        <v>121600</v>
      </c>
      <c r="E9151" t="s">
        <v>6860</v>
      </c>
      <c r="F9151">
        <v>54.167000000000002</v>
      </c>
      <c r="G9151">
        <v>19.433</v>
      </c>
      <c r="H9151">
        <v>1</v>
      </c>
      <c r="I9151">
        <v>43</v>
      </c>
      <c r="J9151" t="str">
        <f>HYPERLINK("https://climate.onebuilding.org/WMO_Region_6_Europe/POL_Poland/WN_Warminsko-Mazurskie/POL_WN_Elblag.Milejewo.121600_TMYx.2004-2018.zip")</f>
        <v>https://climate.onebuilding.org/WMO_Region_6_Europe/POL_Poland/WN_Warminsko-Mazurskie/POL_WN_Elblag.Milejewo.121600_TMYx.2004-2018.zip</v>
      </c>
    </row>
    <row r="9152" spans="1:10" x14ac:dyDescent="0.25">
      <c r="A9152" t="s">
        <v>6811</v>
      </c>
      <c r="B9152" t="s">
        <v>6858</v>
      </c>
      <c r="C9152" t="s">
        <v>6859</v>
      </c>
      <c r="D9152">
        <v>121600</v>
      </c>
      <c r="E9152" t="s">
        <v>14</v>
      </c>
      <c r="F9152">
        <v>54.223199999999999</v>
      </c>
      <c r="G9152">
        <v>19.543500000000002</v>
      </c>
      <c r="H9152">
        <v>1</v>
      </c>
      <c r="I9152">
        <v>185</v>
      </c>
      <c r="J9152" t="str">
        <f>HYPERLINK("https://climate.onebuilding.org/WMO_Region_6_Europe/POL_Poland/WN_Warminsko-Mazurskie/POL_WN_Elblag.Milejewo.121600_TMYx.2007-2021.zip")</f>
        <v>https://climate.onebuilding.org/WMO_Region_6_Europe/POL_Poland/WN_Warminsko-Mazurskie/POL_WN_Elblag.Milejewo.121600_TMYx.2007-2021.zip</v>
      </c>
    </row>
    <row r="9153" spans="1:10" x14ac:dyDescent="0.25">
      <c r="A9153" t="s">
        <v>6811</v>
      </c>
      <c r="B9153" t="s">
        <v>6858</v>
      </c>
      <c r="C9153" t="s">
        <v>6859</v>
      </c>
      <c r="D9153">
        <v>121600</v>
      </c>
      <c r="E9153" t="s">
        <v>14</v>
      </c>
      <c r="F9153">
        <v>54.223199999999999</v>
      </c>
      <c r="G9153">
        <v>19.543500000000002</v>
      </c>
      <c r="H9153">
        <v>1</v>
      </c>
      <c r="I9153">
        <v>185</v>
      </c>
      <c r="J9153" t="str">
        <f>HYPERLINK("https://climate.onebuilding.org/WMO_Region_6_Europe/POL_Poland/WN_Warminsko-Mazurskie/POL_WN_Elblag.Milejewo.121600_TMYx.2009-2023.zip")</f>
        <v>https://climate.onebuilding.org/WMO_Region_6_Europe/POL_Poland/WN_Warminsko-Mazurskie/POL_WN_Elblag.Milejewo.121600_TMYx.2009-2023.zip</v>
      </c>
    </row>
    <row r="9154" spans="1:10" x14ac:dyDescent="0.25">
      <c r="A9154" t="s">
        <v>6811</v>
      </c>
      <c r="B9154" t="s">
        <v>6858</v>
      </c>
      <c r="C9154" t="s">
        <v>6859</v>
      </c>
      <c r="D9154">
        <v>121600</v>
      </c>
      <c r="E9154" t="s">
        <v>14</v>
      </c>
      <c r="F9154">
        <v>54.223199999999999</v>
      </c>
      <c r="G9154">
        <v>19.543500000000002</v>
      </c>
      <c r="H9154">
        <v>1</v>
      </c>
      <c r="I9154">
        <v>185</v>
      </c>
      <c r="J9154" t="str">
        <f>HYPERLINK("https://climate.onebuilding.org/WMO_Region_6_Europe/POL_Poland/WN_Warminsko-Mazurskie/POL_WN_Elblag.Milejewo.121600_TMYx.zip")</f>
        <v>https://climate.onebuilding.org/WMO_Region_6_Europe/POL_Poland/WN_Warminsko-Mazurskie/POL_WN_Elblag.Milejewo.121600_TMYx.zip</v>
      </c>
    </row>
    <row r="9155" spans="1:10" x14ac:dyDescent="0.25">
      <c r="A9155" t="s">
        <v>6811</v>
      </c>
      <c r="B9155" t="s">
        <v>6858</v>
      </c>
      <c r="C9155" t="s">
        <v>6861</v>
      </c>
      <c r="D9155">
        <v>121850</v>
      </c>
      <c r="E9155" t="s">
        <v>6862</v>
      </c>
      <c r="F9155">
        <v>54.067</v>
      </c>
      <c r="G9155">
        <v>21.367000000000001</v>
      </c>
      <c r="H9155">
        <v>1</v>
      </c>
      <c r="I9155">
        <v>110</v>
      </c>
      <c r="J9155" t="str">
        <f>HYPERLINK("https://climate.onebuilding.org/WMO_Region_6_Europe/POL_Poland/WN_Warminsko-Mazurskie/POL_WN_Ketrzyn.121850_TMYx.2004-2018.zip")</f>
        <v>https://climate.onebuilding.org/WMO_Region_6_Europe/POL_Poland/WN_Warminsko-Mazurskie/POL_WN_Ketrzyn.121850_TMYx.2004-2018.zip</v>
      </c>
    </row>
    <row r="9156" spans="1:10" x14ac:dyDescent="0.25">
      <c r="A9156" t="s">
        <v>6811</v>
      </c>
      <c r="B9156" t="s">
        <v>6858</v>
      </c>
      <c r="C9156" t="s">
        <v>6861</v>
      </c>
      <c r="D9156">
        <v>121850</v>
      </c>
      <c r="E9156" t="s">
        <v>14</v>
      </c>
      <c r="F9156">
        <v>54.067</v>
      </c>
      <c r="G9156">
        <v>21.367000000000001</v>
      </c>
      <c r="H9156">
        <v>1</v>
      </c>
      <c r="I9156">
        <v>110</v>
      </c>
      <c r="J9156" t="str">
        <f>HYPERLINK("https://climate.onebuilding.org/WMO_Region_6_Europe/POL_Poland/WN_Warminsko-Mazurskie/POL_WN_Ketrzyn.121850_TMYx.2007-2021.zip")</f>
        <v>https://climate.onebuilding.org/WMO_Region_6_Europe/POL_Poland/WN_Warminsko-Mazurskie/POL_WN_Ketrzyn.121850_TMYx.2007-2021.zip</v>
      </c>
    </row>
    <row r="9157" spans="1:10" x14ac:dyDescent="0.25">
      <c r="A9157" t="s">
        <v>6811</v>
      </c>
      <c r="B9157" t="s">
        <v>6858</v>
      </c>
      <c r="C9157" t="s">
        <v>6861</v>
      </c>
      <c r="D9157">
        <v>121850</v>
      </c>
      <c r="E9157" t="s">
        <v>14</v>
      </c>
      <c r="F9157">
        <v>54.067</v>
      </c>
      <c r="G9157">
        <v>21.367000000000001</v>
      </c>
      <c r="H9157">
        <v>1</v>
      </c>
      <c r="I9157">
        <v>110</v>
      </c>
      <c r="J9157" t="str">
        <f>HYPERLINK("https://climate.onebuilding.org/WMO_Region_6_Europe/POL_Poland/WN_Warminsko-Mazurskie/POL_WN_Ketrzyn.121850_TMYx.2009-2023.zip")</f>
        <v>https://climate.onebuilding.org/WMO_Region_6_Europe/POL_Poland/WN_Warminsko-Mazurskie/POL_WN_Ketrzyn.121850_TMYx.2009-2023.zip</v>
      </c>
    </row>
    <row r="9158" spans="1:10" x14ac:dyDescent="0.25">
      <c r="A9158" t="s">
        <v>6811</v>
      </c>
      <c r="B9158" t="s">
        <v>6858</v>
      </c>
      <c r="C9158" t="s">
        <v>6861</v>
      </c>
      <c r="D9158">
        <v>121850</v>
      </c>
      <c r="E9158" t="s">
        <v>14</v>
      </c>
      <c r="F9158">
        <v>54.067</v>
      </c>
      <c r="G9158">
        <v>21.367000000000001</v>
      </c>
      <c r="H9158">
        <v>1</v>
      </c>
      <c r="I9158">
        <v>110</v>
      </c>
      <c r="J9158" t="str">
        <f>HYPERLINK("https://climate.onebuilding.org/WMO_Region_6_Europe/POL_Poland/WN_Warminsko-Mazurskie/POL_WN_Ketrzyn.121850_TMYx.zip")</f>
        <v>https://climate.onebuilding.org/WMO_Region_6_Europe/POL_Poland/WN_Warminsko-Mazurskie/POL_WN_Ketrzyn.121850_TMYx.zip</v>
      </c>
    </row>
    <row r="9159" spans="1:10" x14ac:dyDescent="0.25">
      <c r="A9159" t="s">
        <v>6811</v>
      </c>
      <c r="B9159" t="s">
        <v>495</v>
      </c>
      <c r="C9159" t="s">
        <v>6863</v>
      </c>
      <c r="D9159">
        <v>121950</v>
      </c>
      <c r="E9159" t="s">
        <v>6864</v>
      </c>
      <c r="F9159">
        <v>54.133000000000003</v>
      </c>
      <c r="G9159">
        <v>22.95</v>
      </c>
      <c r="H9159">
        <v>1</v>
      </c>
      <c r="I9159">
        <v>186</v>
      </c>
      <c r="J9159" t="str">
        <f>HYPERLINK("https://climate.onebuilding.org/WMO_Region_6_Europe/POL_Poland/PD_Podlaskie/POL_PD_Suwalki.121950_TMYx.2004-2018.zip")</f>
        <v>https://climate.onebuilding.org/WMO_Region_6_Europe/POL_Poland/PD_Podlaskie/POL_PD_Suwalki.121950_TMYx.2004-2018.zip</v>
      </c>
    </row>
    <row r="9160" spans="1:10" x14ac:dyDescent="0.25">
      <c r="A9160" t="s">
        <v>6811</v>
      </c>
      <c r="B9160" t="s">
        <v>495</v>
      </c>
      <c r="C9160" t="s">
        <v>6863</v>
      </c>
      <c r="D9160">
        <v>121950</v>
      </c>
      <c r="E9160" t="s">
        <v>14</v>
      </c>
      <c r="F9160">
        <v>54.130800000000001</v>
      </c>
      <c r="G9160">
        <v>22.948899999999998</v>
      </c>
      <c r="H9160">
        <v>1</v>
      </c>
      <c r="I9160">
        <v>186</v>
      </c>
      <c r="J9160" t="str">
        <f>HYPERLINK("https://climate.onebuilding.org/WMO_Region_6_Europe/POL_Poland/PD_Podlaskie/POL_PD_Suwalki.121950_TMYx.2007-2021.zip")</f>
        <v>https://climate.onebuilding.org/WMO_Region_6_Europe/POL_Poland/PD_Podlaskie/POL_PD_Suwalki.121950_TMYx.2007-2021.zip</v>
      </c>
    </row>
    <row r="9161" spans="1:10" x14ac:dyDescent="0.25">
      <c r="A9161" t="s">
        <v>6811</v>
      </c>
      <c r="B9161" t="s">
        <v>495</v>
      </c>
      <c r="C9161" t="s">
        <v>6863</v>
      </c>
      <c r="D9161">
        <v>121950</v>
      </c>
      <c r="E9161" t="s">
        <v>14</v>
      </c>
      <c r="F9161">
        <v>54.130800000000001</v>
      </c>
      <c r="G9161">
        <v>22.948899999999998</v>
      </c>
      <c r="H9161">
        <v>1</v>
      </c>
      <c r="I9161">
        <v>186</v>
      </c>
      <c r="J9161" t="str">
        <f>HYPERLINK("https://climate.onebuilding.org/WMO_Region_6_Europe/POL_Poland/PD_Podlaskie/POL_PD_Suwalki.121950_TMYx.2009-2023.zip")</f>
        <v>https://climate.onebuilding.org/WMO_Region_6_Europe/POL_Poland/PD_Podlaskie/POL_PD_Suwalki.121950_TMYx.2009-2023.zip</v>
      </c>
    </row>
    <row r="9162" spans="1:10" x14ac:dyDescent="0.25">
      <c r="A9162" t="s">
        <v>6811</v>
      </c>
      <c r="B9162" t="s">
        <v>495</v>
      </c>
      <c r="C9162" t="s">
        <v>6863</v>
      </c>
      <c r="D9162">
        <v>121950</v>
      </c>
      <c r="E9162" t="s">
        <v>14</v>
      </c>
      <c r="F9162">
        <v>54.130800000000001</v>
      </c>
      <c r="G9162">
        <v>22.948899999999998</v>
      </c>
      <c r="H9162">
        <v>1</v>
      </c>
      <c r="I9162">
        <v>186</v>
      </c>
      <c r="J9162" t="str">
        <f>HYPERLINK("https://climate.onebuilding.org/WMO_Region_6_Europe/POL_Poland/PD_Podlaskie/POL_PD_Suwalki.121950_TMYx.zip")</f>
        <v>https://climate.onebuilding.org/WMO_Region_6_Europe/POL_Poland/PD_Podlaskie/POL_PD_Suwalki.121950_TMYx.zip</v>
      </c>
    </row>
    <row r="9163" spans="1:10" x14ac:dyDescent="0.25">
      <c r="A9163" t="s">
        <v>6811</v>
      </c>
      <c r="B9163" t="s">
        <v>6812</v>
      </c>
      <c r="C9163" t="s">
        <v>6865</v>
      </c>
      <c r="D9163">
        <v>122000</v>
      </c>
      <c r="E9163" t="s">
        <v>6866</v>
      </c>
      <c r="F9163">
        <v>53.917000000000002</v>
      </c>
      <c r="G9163">
        <v>14.233000000000001</v>
      </c>
      <c r="H9163">
        <v>1</v>
      </c>
      <c r="I9163">
        <v>5</v>
      </c>
      <c r="J9163" t="str">
        <f>HYPERLINK("https://climate.onebuilding.org/WMO_Region_6_Europe/POL_Poland/ZP_Zachodniopomorskie/POL_ZP_Swinoujscie.122000_TMYx.2004-2018.zip")</f>
        <v>https://climate.onebuilding.org/WMO_Region_6_Europe/POL_Poland/ZP_Zachodniopomorskie/POL_ZP_Swinoujscie.122000_TMYx.2004-2018.zip</v>
      </c>
    </row>
    <row r="9164" spans="1:10" x14ac:dyDescent="0.25">
      <c r="A9164" t="s">
        <v>6811</v>
      </c>
      <c r="B9164" t="s">
        <v>6812</v>
      </c>
      <c r="C9164" t="s">
        <v>6865</v>
      </c>
      <c r="D9164">
        <v>122000</v>
      </c>
      <c r="E9164" t="s">
        <v>14</v>
      </c>
      <c r="F9164">
        <v>53.923299999999998</v>
      </c>
      <c r="G9164">
        <v>14.2422</v>
      </c>
      <c r="H9164">
        <v>1</v>
      </c>
      <c r="I9164">
        <v>5</v>
      </c>
      <c r="J9164" t="str">
        <f>HYPERLINK("https://climate.onebuilding.org/WMO_Region_6_Europe/POL_Poland/ZP_Zachodniopomorskie/POL_ZP_Swinoujscie.122000_TMYx.2007-2021.zip")</f>
        <v>https://climate.onebuilding.org/WMO_Region_6_Europe/POL_Poland/ZP_Zachodniopomorskie/POL_ZP_Swinoujscie.122000_TMYx.2007-2021.zip</v>
      </c>
    </row>
    <row r="9165" spans="1:10" x14ac:dyDescent="0.25">
      <c r="A9165" t="s">
        <v>6811</v>
      </c>
      <c r="B9165" t="s">
        <v>6812</v>
      </c>
      <c r="C9165" t="s">
        <v>6865</v>
      </c>
      <c r="D9165">
        <v>122000</v>
      </c>
      <c r="E9165" t="s">
        <v>14</v>
      </c>
      <c r="F9165">
        <v>53.923299999999998</v>
      </c>
      <c r="G9165">
        <v>14.2422</v>
      </c>
      <c r="H9165">
        <v>1</v>
      </c>
      <c r="I9165">
        <v>5</v>
      </c>
      <c r="J9165" t="str">
        <f>HYPERLINK("https://climate.onebuilding.org/WMO_Region_6_Europe/POL_Poland/ZP_Zachodniopomorskie/POL_ZP_Swinoujscie.122000_TMYx.2009-2023.zip")</f>
        <v>https://climate.onebuilding.org/WMO_Region_6_Europe/POL_Poland/ZP_Zachodniopomorskie/POL_ZP_Swinoujscie.122000_TMYx.2009-2023.zip</v>
      </c>
    </row>
    <row r="9166" spans="1:10" x14ac:dyDescent="0.25">
      <c r="A9166" t="s">
        <v>6811</v>
      </c>
      <c r="B9166" t="s">
        <v>6812</v>
      </c>
      <c r="C9166" t="s">
        <v>6865</v>
      </c>
      <c r="D9166">
        <v>122000</v>
      </c>
      <c r="E9166" t="s">
        <v>14</v>
      </c>
      <c r="F9166">
        <v>53.923299999999998</v>
      </c>
      <c r="G9166">
        <v>14.2422</v>
      </c>
      <c r="H9166">
        <v>1</v>
      </c>
      <c r="I9166">
        <v>5</v>
      </c>
      <c r="J9166" t="str">
        <f>HYPERLINK("https://climate.onebuilding.org/WMO_Region_6_Europe/POL_Poland/ZP_Zachodniopomorskie/POL_ZP_Swinoujscie.122000_TMYx.zip")</f>
        <v>https://climate.onebuilding.org/WMO_Region_6_Europe/POL_Poland/ZP_Zachodniopomorskie/POL_ZP_Swinoujscie.122000_TMYx.zip</v>
      </c>
    </row>
    <row r="9167" spans="1:10" x14ac:dyDescent="0.25">
      <c r="A9167" t="s">
        <v>6811</v>
      </c>
      <c r="B9167" t="s">
        <v>6812</v>
      </c>
      <c r="C9167" t="s">
        <v>6867</v>
      </c>
      <c r="D9167">
        <v>122050</v>
      </c>
      <c r="E9167" t="s">
        <v>6868</v>
      </c>
      <c r="F9167">
        <v>53.4</v>
      </c>
      <c r="G9167">
        <v>14.617000000000001</v>
      </c>
      <c r="H9167">
        <v>1</v>
      </c>
      <c r="I9167">
        <v>7</v>
      </c>
      <c r="J9167" t="str">
        <f>HYPERLINK("https://climate.onebuilding.org/WMO_Region_6_Europe/POL_Poland/ZP_Zachodniopomorskie/POL_ZP_Szczecin-Dabie.AP.122050_TMYx.2004-2018.zip")</f>
        <v>https://climate.onebuilding.org/WMO_Region_6_Europe/POL_Poland/ZP_Zachodniopomorskie/POL_ZP_Szczecin-Dabie.AP.122050_TMYx.2004-2018.zip</v>
      </c>
    </row>
    <row r="9168" spans="1:10" x14ac:dyDescent="0.25">
      <c r="A9168" t="s">
        <v>6811</v>
      </c>
      <c r="B9168" t="s">
        <v>6812</v>
      </c>
      <c r="C9168" t="s">
        <v>6867</v>
      </c>
      <c r="D9168">
        <v>122050</v>
      </c>
      <c r="E9168" t="s">
        <v>14</v>
      </c>
      <c r="F9168">
        <v>53.395299999999999</v>
      </c>
      <c r="G9168">
        <v>14.6228</v>
      </c>
      <c r="H9168">
        <v>1</v>
      </c>
      <c r="I9168">
        <v>7</v>
      </c>
      <c r="J9168" t="str">
        <f>HYPERLINK("https://climate.onebuilding.org/WMO_Region_6_Europe/POL_Poland/ZP_Zachodniopomorskie/POL_ZP_Szczecin-Dabie.AP.122050_TMYx.2007-2021.zip")</f>
        <v>https://climate.onebuilding.org/WMO_Region_6_Europe/POL_Poland/ZP_Zachodniopomorskie/POL_ZP_Szczecin-Dabie.AP.122050_TMYx.2007-2021.zip</v>
      </c>
    </row>
    <row r="9169" spans="1:10" x14ac:dyDescent="0.25">
      <c r="A9169" t="s">
        <v>6811</v>
      </c>
      <c r="B9169" t="s">
        <v>6812</v>
      </c>
      <c r="C9169" t="s">
        <v>6867</v>
      </c>
      <c r="D9169">
        <v>122050</v>
      </c>
      <c r="E9169" t="s">
        <v>14</v>
      </c>
      <c r="F9169">
        <v>53.395299999999999</v>
      </c>
      <c r="G9169">
        <v>14.6228</v>
      </c>
      <c r="H9169">
        <v>1</v>
      </c>
      <c r="I9169">
        <v>7</v>
      </c>
      <c r="J9169" t="str">
        <f>HYPERLINK("https://climate.onebuilding.org/WMO_Region_6_Europe/POL_Poland/ZP_Zachodniopomorskie/POL_ZP_Szczecin-Dabie.AP.122050_TMYx.2009-2023.zip")</f>
        <v>https://climate.onebuilding.org/WMO_Region_6_Europe/POL_Poland/ZP_Zachodniopomorskie/POL_ZP_Szczecin-Dabie.AP.122050_TMYx.2009-2023.zip</v>
      </c>
    </row>
    <row r="9170" spans="1:10" x14ac:dyDescent="0.25">
      <c r="A9170" t="s">
        <v>6811</v>
      </c>
      <c r="B9170" t="s">
        <v>6812</v>
      </c>
      <c r="C9170" t="s">
        <v>6867</v>
      </c>
      <c r="D9170">
        <v>122050</v>
      </c>
      <c r="E9170" t="s">
        <v>14</v>
      </c>
      <c r="F9170">
        <v>53.395299999999999</v>
      </c>
      <c r="G9170">
        <v>14.6228</v>
      </c>
      <c r="H9170">
        <v>1</v>
      </c>
      <c r="I9170">
        <v>7</v>
      </c>
      <c r="J9170" t="str">
        <f>HYPERLINK("https://climate.onebuilding.org/WMO_Region_6_Europe/POL_Poland/ZP_Zachodniopomorskie/POL_ZP_Szczecin-Dabie.AP.122050_TMYx.zip")</f>
        <v>https://climate.onebuilding.org/WMO_Region_6_Europe/POL_Poland/ZP_Zachodniopomorskie/POL_ZP_Szczecin-Dabie.AP.122050_TMYx.zip</v>
      </c>
    </row>
    <row r="9171" spans="1:10" x14ac:dyDescent="0.25">
      <c r="A9171" t="s">
        <v>6811</v>
      </c>
      <c r="B9171" t="s">
        <v>6812</v>
      </c>
      <c r="C9171" t="s">
        <v>6869</v>
      </c>
      <c r="D9171">
        <v>122070</v>
      </c>
      <c r="E9171" t="s">
        <v>78</v>
      </c>
      <c r="F9171">
        <v>53.317</v>
      </c>
      <c r="G9171">
        <v>15</v>
      </c>
      <c r="H9171">
        <v>1</v>
      </c>
      <c r="I9171">
        <v>9</v>
      </c>
      <c r="J9171" t="str">
        <f>HYPERLINK("https://climate.onebuilding.org/WMO_Region_6_Europe/POL_Poland/ZP_Zachodniopomorskie/POL_ZP_Stargard.Szczecinski.122070_TMYx.2007-2021.zip")</f>
        <v>https://climate.onebuilding.org/WMO_Region_6_Europe/POL_Poland/ZP_Zachodniopomorskie/POL_ZP_Stargard.Szczecinski.122070_TMYx.2007-2021.zip</v>
      </c>
    </row>
    <row r="9172" spans="1:10" x14ac:dyDescent="0.25">
      <c r="A9172" t="s">
        <v>6811</v>
      </c>
      <c r="B9172" t="s">
        <v>6812</v>
      </c>
      <c r="C9172" t="s">
        <v>6869</v>
      </c>
      <c r="D9172">
        <v>122070</v>
      </c>
      <c r="E9172" t="s">
        <v>78</v>
      </c>
      <c r="F9172">
        <v>53.317</v>
      </c>
      <c r="G9172">
        <v>15</v>
      </c>
      <c r="H9172">
        <v>1</v>
      </c>
      <c r="I9172">
        <v>9</v>
      </c>
      <c r="J9172" t="str">
        <f>HYPERLINK("https://climate.onebuilding.org/WMO_Region_6_Europe/POL_Poland/ZP_Zachodniopomorskie/POL_ZP_Stargard.Szczecinski.122070_TMYx.2009-2023.zip")</f>
        <v>https://climate.onebuilding.org/WMO_Region_6_Europe/POL_Poland/ZP_Zachodniopomorskie/POL_ZP_Stargard.Szczecinski.122070_TMYx.2009-2023.zip</v>
      </c>
    </row>
    <row r="9173" spans="1:10" x14ac:dyDescent="0.25">
      <c r="A9173" t="s">
        <v>6811</v>
      </c>
      <c r="B9173" t="s">
        <v>6812</v>
      </c>
      <c r="C9173" t="s">
        <v>6869</v>
      </c>
      <c r="D9173">
        <v>122070</v>
      </c>
      <c r="E9173" t="s">
        <v>78</v>
      </c>
      <c r="F9173">
        <v>53.317</v>
      </c>
      <c r="G9173">
        <v>15</v>
      </c>
      <c r="H9173">
        <v>1</v>
      </c>
      <c r="I9173">
        <v>9</v>
      </c>
      <c r="J9173" t="str">
        <f>HYPERLINK("https://climate.onebuilding.org/WMO_Region_6_Europe/POL_Poland/ZP_Zachodniopomorskie/POL_ZP_Stargard.Szczecinski.122070_TMYx.zip")</f>
        <v>https://climate.onebuilding.org/WMO_Region_6_Europe/POL_Poland/ZP_Zachodniopomorskie/POL_ZP_Stargard.Szczecinski.122070_TMYx.zip</v>
      </c>
    </row>
    <row r="9174" spans="1:10" x14ac:dyDescent="0.25">
      <c r="A9174" t="s">
        <v>6811</v>
      </c>
      <c r="B9174" t="s">
        <v>6812</v>
      </c>
      <c r="C9174" t="s">
        <v>6870</v>
      </c>
      <c r="D9174">
        <v>122100</v>
      </c>
      <c r="E9174" t="s">
        <v>6871</v>
      </c>
      <c r="F9174">
        <v>53.767000000000003</v>
      </c>
      <c r="G9174">
        <v>15.4</v>
      </c>
      <c r="H9174">
        <v>1</v>
      </c>
      <c r="I9174">
        <v>52.9</v>
      </c>
      <c r="J9174" t="str">
        <f>HYPERLINK("https://climate.onebuilding.org/WMO_Region_6_Europe/POL_Poland/ZP_Zachodniopomorskie/POL_ZP_Resko.Smolsko.122100_TMYx.2004-2018.zip")</f>
        <v>https://climate.onebuilding.org/WMO_Region_6_Europe/POL_Poland/ZP_Zachodniopomorskie/POL_ZP_Resko.Smolsko.122100_TMYx.2004-2018.zip</v>
      </c>
    </row>
    <row r="9175" spans="1:10" x14ac:dyDescent="0.25">
      <c r="A9175" t="s">
        <v>6811</v>
      </c>
      <c r="B9175" t="s">
        <v>6812</v>
      </c>
      <c r="C9175" t="s">
        <v>6870</v>
      </c>
      <c r="D9175">
        <v>122100</v>
      </c>
      <c r="E9175" t="s">
        <v>14</v>
      </c>
      <c r="F9175">
        <v>53.763599999999997</v>
      </c>
      <c r="G9175">
        <v>15.3933</v>
      </c>
      <c r="H9175">
        <v>1</v>
      </c>
      <c r="I9175">
        <v>52.9</v>
      </c>
      <c r="J9175" t="str">
        <f>HYPERLINK("https://climate.onebuilding.org/WMO_Region_6_Europe/POL_Poland/ZP_Zachodniopomorskie/POL_ZP_Resko.Smolsko.122100_TMYx.2007-2021.zip")</f>
        <v>https://climate.onebuilding.org/WMO_Region_6_Europe/POL_Poland/ZP_Zachodniopomorskie/POL_ZP_Resko.Smolsko.122100_TMYx.2007-2021.zip</v>
      </c>
    </row>
    <row r="9176" spans="1:10" x14ac:dyDescent="0.25">
      <c r="A9176" t="s">
        <v>6811</v>
      </c>
      <c r="B9176" t="s">
        <v>6812</v>
      </c>
      <c r="C9176" t="s">
        <v>6870</v>
      </c>
      <c r="D9176">
        <v>122100</v>
      </c>
      <c r="E9176" t="s">
        <v>14</v>
      </c>
      <c r="F9176">
        <v>53.763599999999997</v>
      </c>
      <c r="G9176">
        <v>15.3933</v>
      </c>
      <c r="H9176">
        <v>1</v>
      </c>
      <c r="I9176">
        <v>52.9</v>
      </c>
      <c r="J9176" t="str">
        <f>HYPERLINK("https://climate.onebuilding.org/WMO_Region_6_Europe/POL_Poland/ZP_Zachodniopomorskie/POL_ZP_Resko.Smolsko.122100_TMYx.2009-2023.zip")</f>
        <v>https://climate.onebuilding.org/WMO_Region_6_Europe/POL_Poland/ZP_Zachodniopomorskie/POL_ZP_Resko.Smolsko.122100_TMYx.2009-2023.zip</v>
      </c>
    </row>
    <row r="9177" spans="1:10" x14ac:dyDescent="0.25">
      <c r="A9177" t="s">
        <v>6811</v>
      </c>
      <c r="B9177" t="s">
        <v>6812</v>
      </c>
      <c r="C9177" t="s">
        <v>6870</v>
      </c>
      <c r="D9177">
        <v>122100</v>
      </c>
      <c r="E9177" t="s">
        <v>14</v>
      </c>
      <c r="F9177">
        <v>53.763599999999997</v>
      </c>
      <c r="G9177">
        <v>15.3933</v>
      </c>
      <c r="H9177">
        <v>1</v>
      </c>
      <c r="I9177">
        <v>52.9</v>
      </c>
      <c r="J9177" t="str">
        <f>HYPERLINK("https://climate.onebuilding.org/WMO_Region_6_Europe/POL_Poland/ZP_Zachodniopomorskie/POL_ZP_Resko.Smolsko.122100_TMYx.zip")</f>
        <v>https://climate.onebuilding.org/WMO_Region_6_Europe/POL_Poland/ZP_Zachodniopomorskie/POL_ZP_Resko.Smolsko.122100_TMYx.zip</v>
      </c>
    </row>
    <row r="9178" spans="1:10" x14ac:dyDescent="0.25">
      <c r="A9178" t="s">
        <v>6811</v>
      </c>
      <c r="B9178" t="s">
        <v>6812</v>
      </c>
      <c r="C9178" t="s">
        <v>6872</v>
      </c>
      <c r="D9178">
        <v>122120</v>
      </c>
      <c r="E9178" t="s">
        <v>6873</v>
      </c>
      <c r="F9178">
        <v>53.790999999999997</v>
      </c>
      <c r="G9178">
        <v>15.826000000000001</v>
      </c>
      <c r="H9178">
        <v>1</v>
      </c>
      <c r="I9178">
        <v>117.3</v>
      </c>
      <c r="J9178" t="str">
        <f>HYPERLINK("https://climate.onebuilding.org/WMO_Region_6_Europe/POL_Poland/ZP_Zachodniopomorskie/POL_ZP_Swidwin.AP.122120_TMYx.2004-2018.zip")</f>
        <v>https://climate.onebuilding.org/WMO_Region_6_Europe/POL_Poland/ZP_Zachodniopomorskie/POL_ZP_Swidwin.AP.122120_TMYx.2004-2018.zip</v>
      </c>
    </row>
    <row r="9179" spans="1:10" x14ac:dyDescent="0.25">
      <c r="A9179" t="s">
        <v>6811</v>
      </c>
      <c r="B9179" t="s">
        <v>6812</v>
      </c>
      <c r="C9179" t="s">
        <v>6872</v>
      </c>
      <c r="D9179">
        <v>122120</v>
      </c>
      <c r="E9179" t="s">
        <v>14</v>
      </c>
      <c r="F9179">
        <v>53.790999999999997</v>
      </c>
      <c r="G9179">
        <v>15.826000000000001</v>
      </c>
      <c r="H9179">
        <v>1</v>
      </c>
      <c r="I9179">
        <v>117.3</v>
      </c>
      <c r="J9179" t="str">
        <f>HYPERLINK("https://climate.onebuilding.org/WMO_Region_6_Europe/POL_Poland/ZP_Zachodniopomorskie/POL_ZP_Swidwin.AP.122120_TMYx.2007-2021.zip")</f>
        <v>https://climate.onebuilding.org/WMO_Region_6_Europe/POL_Poland/ZP_Zachodniopomorskie/POL_ZP_Swidwin.AP.122120_TMYx.2007-2021.zip</v>
      </c>
    </row>
    <row r="9180" spans="1:10" x14ac:dyDescent="0.25">
      <c r="A9180" t="s">
        <v>6811</v>
      </c>
      <c r="B9180" t="s">
        <v>6812</v>
      </c>
      <c r="C9180" t="s">
        <v>6872</v>
      </c>
      <c r="D9180">
        <v>122120</v>
      </c>
      <c r="E9180" t="s">
        <v>14</v>
      </c>
      <c r="F9180">
        <v>53.790999999999997</v>
      </c>
      <c r="G9180">
        <v>15.826000000000001</v>
      </c>
      <c r="H9180">
        <v>1</v>
      </c>
      <c r="I9180">
        <v>117.3</v>
      </c>
      <c r="J9180" t="str">
        <f>HYPERLINK("https://climate.onebuilding.org/WMO_Region_6_Europe/POL_Poland/ZP_Zachodniopomorskie/POL_ZP_Swidwin.AP.122120_TMYx.2009-2023.zip")</f>
        <v>https://climate.onebuilding.org/WMO_Region_6_Europe/POL_Poland/ZP_Zachodniopomorskie/POL_ZP_Swidwin.AP.122120_TMYx.2009-2023.zip</v>
      </c>
    </row>
    <row r="9181" spans="1:10" x14ac:dyDescent="0.25">
      <c r="A9181" t="s">
        <v>6811</v>
      </c>
      <c r="B9181" t="s">
        <v>6812</v>
      </c>
      <c r="C9181" t="s">
        <v>6872</v>
      </c>
      <c r="D9181">
        <v>122120</v>
      </c>
      <c r="E9181" t="s">
        <v>14</v>
      </c>
      <c r="F9181">
        <v>53.790999999999997</v>
      </c>
      <c r="G9181">
        <v>15.826000000000001</v>
      </c>
      <c r="H9181">
        <v>1</v>
      </c>
      <c r="I9181">
        <v>117.3</v>
      </c>
      <c r="J9181" t="str">
        <f>HYPERLINK("https://climate.onebuilding.org/WMO_Region_6_Europe/POL_Poland/ZP_Zachodniopomorskie/POL_ZP_Swidwin.AP.122120_TMYx.zip")</f>
        <v>https://climate.onebuilding.org/WMO_Region_6_Europe/POL_Poland/ZP_Zachodniopomorskie/POL_ZP_Swidwin.AP.122120_TMYx.zip</v>
      </c>
    </row>
    <row r="9182" spans="1:10" x14ac:dyDescent="0.25">
      <c r="A9182" t="s">
        <v>6811</v>
      </c>
      <c r="B9182" t="s">
        <v>6812</v>
      </c>
      <c r="C9182" t="s">
        <v>6874</v>
      </c>
      <c r="D9182">
        <v>122150</v>
      </c>
      <c r="E9182" t="s">
        <v>6875</v>
      </c>
      <c r="F9182">
        <v>53.716999999999999</v>
      </c>
      <c r="G9182">
        <v>16.683</v>
      </c>
      <c r="H9182">
        <v>1</v>
      </c>
      <c r="I9182">
        <v>144</v>
      </c>
      <c r="J9182" t="str">
        <f>HYPERLINK("https://climate.onebuilding.org/WMO_Region_6_Europe/POL_Poland/ZP_Zachodniopomorskie/POL_ZP_Szczecinek.122150_TMYx.2004-2018.zip")</f>
        <v>https://climate.onebuilding.org/WMO_Region_6_Europe/POL_Poland/ZP_Zachodniopomorskie/POL_ZP_Szczecinek.122150_TMYx.2004-2018.zip</v>
      </c>
    </row>
    <row r="9183" spans="1:10" x14ac:dyDescent="0.25">
      <c r="A9183" t="s">
        <v>6811</v>
      </c>
      <c r="B9183" t="s">
        <v>6812</v>
      </c>
      <c r="C9183" t="s">
        <v>6874</v>
      </c>
      <c r="D9183">
        <v>122150</v>
      </c>
      <c r="E9183" t="s">
        <v>14</v>
      </c>
      <c r="F9183">
        <v>53.715000000000003</v>
      </c>
      <c r="G9183">
        <v>16.747</v>
      </c>
      <c r="H9183">
        <v>1</v>
      </c>
      <c r="I9183">
        <v>144</v>
      </c>
      <c r="J9183" t="str">
        <f>HYPERLINK("https://climate.onebuilding.org/WMO_Region_6_Europe/POL_Poland/ZP_Zachodniopomorskie/POL_ZP_Szczecinek.122150_TMYx.2007-2021.zip")</f>
        <v>https://climate.onebuilding.org/WMO_Region_6_Europe/POL_Poland/ZP_Zachodniopomorskie/POL_ZP_Szczecinek.122150_TMYx.2007-2021.zip</v>
      </c>
    </row>
    <row r="9184" spans="1:10" x14ac:dyDescent="0.25">
      <c r="A9184" t="s">
        <v>6811</v>
      </c>
      <c r="B9184" t="s">
        <v>6812</v>
      </c>
      <c r="C9184" t="s">
        <v>6874</v>
      </c>
      <c r="D9184">
        <v>122150</v>
      </c>
      <c r="E9184" t="s">
        <v>14</v>
      </c>
      <c r="F9184">
        <v>53.715000000000003</v>
      </c>
      <c r="G9184">
        <v>16.747</v>
      </c>
      <c r="H9184">
        <v>1</v>
      </c>
      <c r="I9184">
        <v>144</v>
      </c>
      <c r="J9184" t="str">
        <f>HYPERLINK("https://climate.onebuilding.org/WMO_Region_6_Europe/POL_Poland/ZP_Zachodniopomorskie/POL_ZP_Szczecinek.122150_TMYx.2009-2023.zip")</f>
        <v>https://climate.onebuilding.org/WMO_Region_6_Europe/POL_Poland/ZP_Zachodniopomorskie/POL_ZP_Szczecinek.122150_TMYx.2009-2023.zip</v>
      </c>
    </row>
    <row r="9185" spans="1:10" x14ac:dyDescent="0.25">
      <c r="A9185" t="s">
        <v>6811</v>
      </c>
      <c r="B9185" t="s">
        <v>6812</v>
      </c>
      <c r="C9185" t="s">
        <v>6874</v>
      </c>
      <c r="D9185">
        <v>122150</v>
      </c>
      <c r="E9185" t="s">
        <v>14</v>
      </c>
      <c r="F9185">
        <v>53.715000000000003</v>
      </c>
      <c r="G9185">
        <v>16.747</v>
      </c>
      <c r="H9185">
        <v>1</v>
      </c>
      <c r="I9185">
        <v>144</v>
      </c>
      <c r="J9185" t="str">
        <f>HYPERLINK("https://climate.onebuilding.org/WMO_Region_6_Europe/POL_Poland/ZP_Zachodniopomorskie/POL_ZP_Szczecinek.122150_TMYx.zip")</f>
        <v>https://climate.onebuilding.org/WMO_Region_6_Europe/POL_Poland/ZP_Zachodniopomorskie/POL_ZP_Szczecinek.122150_TMYx.zip</v>
      </c>
    </row>
    <row r="9186" spans="1:10" x14ac:dyDescent="0.25">
      <c r="A9186" t="s">
        <v>6811</v>
      </c>
      <c r="B9186" t="s">
        <v>6876</v>
      </c>
      <c r="C9186" t="s">
        <v>6877</v>
      </c>
      <c r="D9186">
        <v>122250</v>
      </c>
      <c r="E9186" t="s">
        <v>6878</v>
      </c>
      <c r="F9186">
        <v>53.45</v>
      </c>
      <c r="G9186">
        <v>16.5</v>
      </c>
      <c r="H9186">
        <v>1</v>
      </c>
      <c r="I9186">
        <v>129</v>
      </c>
      <c r="J9186" t="str">
        <f>HYPERLINK("https://climate.onebuilding.org/WMO_Region_6_Europe/POL_Poland/WP_Wielkopolskie/POL_WP_Nadarzyce.122250_TMYx.2004-2018.zip")</f>
        <v>https://climate.onebuilding.org/WMO_Region_6_Europe/POL_Poland/WP_Wielkopolskie/POL_WP_Nadarzyce.122250_TMYx.2004-2018.zip</v>
      </c>
    </row>
    <row r="9187" spans="1:10" x14ac:dyDescent="0.25">
      <c r="A9187" t="s">
        <v>6811</v>
      </c>
      <c r="B9187" t="s">
        <v>6876</v>
      </c>
      <c r="C9187" t="s">
        <v>6877</v>
      </c>
      <c r="D9187">
        <v>122250</v>
      </c>
      <c r="E9187" t="s">
        <v>14</v>
      </c>
      <c r="F9187">
        <v>53.45</v>
      </c>
      <c r="G9187">
        <v>16.5</v>
      </c>
      <c r="H9187">
        <v>1</v>
      </c>
      <c r="I9187">
        <v>129</v>
      </c>
      <c r="J9187" t="str">
        <f>HYPERLINK("https://climate.onebuilding.org/WMO_Region_6_Europe/POL_Poland/WP_Wielkopolskie/POL_WP_Nadarzyce.122250_TMYx.2007-2021.zip")</f>
        <v>https://climate.onebuilding.org/WMO_Region_6_Europe/POL_Poland/WP_Wielkopolskie/POL_WP_Nadarzyce.122250_TMYx.2007-2021.zip</v>
      </c>
    </row>
    <row r="9188" spans="1:10" x14ac:dyDescent="0.25">
      <c r="A9188" t="s">
        <v>6811</v>
      </c>
      <c r="B9188" t="s">
        <v>6876</v>
      </c>
      <c r="C9188" t="s">
        <v>6877</v>
      </c>
      <c r="D9188">
        <v>122250</v>
      </c>
      <c r="E9188" t="s">
        <v>14</v>
      </c>
      <c r="F9188">
        <v>53.45</v>
      </c>
      <c r="G9188">
        <v>16.5</v>
      </c>
      <c r="H9188">
        <v>1</v>
      </c>
      <c r="I9188">
        <v>129</v>
      </c>
      <c r="J9188" t="str">
        <f>HYPERLINK("https://climate.onebuilding.org/WMO_Region_6_Europe/POL_Poland/WP_Wielkopolskie/POL_WP_Nadarzyce.122250_TMYx.2009-2023.zip")</f>
        <v>https://climate.onebuilding.org/WMO_Region_6_Europe/POL_Poland/WP_Wielkopolskie/POL_WP_Nadarzyce.122250_TMYx.2009-2023.zip</v>
      </c>
    </row>
    <row r="9189" spans="1:10" x14ac:dyDescent="0.25">
      <c r="A9189" t="s">
        <v>6811</v>
      </c>
      <c r="B9189" t="s">
        <v>6876</v>
      </c>
      <c r="C9189" t="s">
        <v>6877</v>
      </c>
      <c r="D9189">
        <v>122250</v>
      </c>
      <c r="E9189" t="s">
        <v>14</v>
      </c>
      <c r="F9189">
        <v>53.45</v>
      </c>
      <c r="G9189">
        <v>16.5</v>
      </c>
      <c r="H9189">
        <v>1</v>
      </c>
      <c r="I9189">
        <v>129</v>
      </c>
      <c r="J9189" t="str">
        <f>HYPERLINK("https://climate.onebuilding.org/WMO_Region_6_Europe/POL_Poland/WP_Wielkopolskie/POL_WP_Nadarzyce.122250_TMYx.zip")</f>
        <v>https://climate.onebuilding.org/WMO_Region_6_Europe/POL_Poland/WP_Wielkopolskie/POL_WP_Nadarzyce.122250_TMYx.zip</v>
      </c>
    </row>
    <row r="9190" spans="1:10" x14ac:dyDescent="0.25">
      <c r="A9190" t="s">
        <v>6811</v>
      </c>
      <c r="B9190" t="s">
        <v>6812</v>
      </c>
      <c r="C9190" t="s">
        <v>6879</v>
      </c>
      <c r="D9190">
        <v>122260</v>
      </c>
      <c r="E9190" t="s">
        <v>6880</v>
      </c>
      <c r="F9190">
        <v>53.395000000000003</v>
      </c>
      <c r="G9190">
        <v>16.082999999999998</v>
      </c>
      <c r="H9190">
        <v>1</v>
      </c>
      <c r="I9190">
        <v>139.9</v>
      </c>
      <c r="J9190" t="str">
        <f>HYPERLINK("https://climate.onebuilding.org/WMO_Region_6_Europe/POL_Poland/ZP_Zachodniopomorskie/POL_ZP_Miroslawiec.122260_TMYx.2004-2018.zip")</f>
        <v>https://climate.onebuilding.org/WMO_Region_6_Europe/POL_Poland/ZP_Zachodniopomorskie/POL_ZP_Miroslawiec.122260_TMYx.2004-2018.zip</v>
      </c>
    </row>
    <row r="9191" spans="1:10" x14ac:dyDescent="0.25">
      <c r="A9191" t="s">
        <v>6811</v>
      </c>
      <c r="B9191" t="s">
        <v>6812</v>
      </c>
      <c r="C9191" t="s">
        <v>6879</v>
      </c>
      <c r="D9191">
        <v>122260</v>
      </c>
      <c r="E9191" t="s">
        <v>14</v>
      </c>
      <c r="F9191">
        <v>53.395000000000003</v>
      </c>
      <c r="G9191">
        <v>16.082999999999998</v>
      </c>
      <c r="H9191">
        <v>1</v>
      </c>
      <c r="I9191">
        <v>139.9</v>
      </c>
      <c r="J9191" t="str">
        <f>HYPERLINK("https://climate.onebuilding.org/WMO_Region_6_Europe/POL_Poland/ZP_Zachodniopomorskie/POL_ZP_Miroslawiec.122260_TMYx.2007-2021.zip")</f>
        <v>https://climate.onebuilding.org/WMO_Region_6_Europe/POL_Poland/ZP_Zachodniopomorskie/POL_ZP_Miroslawiec.122260_TMYx.2007-2021.zip</v>
      </c>
    </row>
    <row r="9192" spans="1:10" x14ac:dyDescent="0.25">
      <c r="A9192" t="s">
        <v>6811</v>
      </c>
      <c r="B9192" t="s">
        <v>6812</v>
      </c>
      <c r="C9192" t="s">
        <v>6879</v>
      </c>
      <c r="D9192">
        <v>122260</v>
      </c>
      <c r="E9192" t="s">
        <v>14</v>
      </c>
      <c r="F9192">
        <v>53.395000000000003</v>
      </c>
      <c r="G9192">
        <v>16.082999999999998</v>
      </c>
      <c r="H9192">
        <v>1</v>
      </c>
      <c r="I9192">
        <v>139.9</v>
      </c>
      <c r="J9192" t="str">
        <f>HYPERLINK("https://climate.onebuilding.org/WMO_Region_6_Europe/POL_Poland/ZP_Zachodniopomorskie/POL_ZP_Miroslawiec.122260_TMYx.2009-2023.zip")</f>
        <v>https://climate.onebuilding.org/WMO_Region_6_Europe/POL_Poland/ZP_Zachodniopomorskie/POL_ZP_Miroslawiec.122260_TMYx.2009-2023.zip</v>
      </c>
    </row>
    <row r="9193" spans="1:10" x14ac:dyDescent="0.25">
      <c r="A9193" t="s">
        <v>6811</v>
      </c>
      <c r="B9193" t="s">
        <v>6812</v>
      </c>
      <c r="C9193" t="s">
        <v>6879</v>
      </c>
      <c r="D9193">
        <v>122260</v>
      </c>
      <c r="E9193" t="s">
        <v>14</v>
      </c>
      <c r="F9193">
        <v>53.395000000000003</v>
      </c>
      <c r="G9193">
        <v>16.082999999999998</v>
      </c>
      <c r="H9193">
        <v>1</v>
      </c>
      <c r="I9193">
        <v>139.9</v>
      </c>
      <c r="J9193" t="str">
        <f>HYPERLINK("https://climate.onebuilding.org/WMO_Region_6_Europe/POL_Poland/ZP_Zachodniopomorskie/POL_ZP_Miroslawiec.122260_TMYx.zip")</f>
        <v>https://climate.onebuilding.org/WMO_Region_6_Europe/POL_Poland/ZP_Zachodniopomorskie/POL_ZP_Miroslawiec.122260_TMYx.zip</v>
      </c>
    </row>
    <row r="9194" spans="1:10" x14ac:dyDescent="0.25">
      <c r="A9194" t="s">
        <v>6811</v>
      </c>
      <c r="B9194" t="s">
        <v>6876</v>
      </c>
      <c r="C9194" t="s">
        <v>6881</v>
      </c>
      <c r="D9194">
        <v>122300</v>
      </c>
      <c r="E9194" t="s">
        <v>6882</v>
      </c>
      <c r="F9194">
        <v>53.133000000000003</v>
      </c>
      <c r="G9194">
        <v>16.75</v>
      </c>
      <c r="H9194">
        <v>1</v>
      </c>
      <c r="I9194">
        <v>73</v>
      </c>
      <c r="J9194" t="str">
        <f>HYPERLINK("https://climate.onebuilding.org/WMO_Region_6_Europe/POL_Poland/WP_Wielkopolskie/POL_WP_Pila.122300_TMYx.2004-2018.zip")</f>
        <v>https://climate.onebuilding.org/WMO_Region_6_Europe/POL_Poland/WP_Wielkopolskie/POL_WP_Pila.122300_TMYx.2004-2018.zip</v>
      </c>
    </row>
    <row r="9195" spans="1:10" x14ac:dyDescent="0.25">
      <c r="A9195" t="s">
        <v>6811</v>
      </c>
      <c r="B9195" t="s">
        <v>6876</v>
      </c>
      <c r="C9195" t="s">
        <v>6881</v>
      </c>
      <c r="D9195">
        <v>122300</v>
      </c>
      <c r="E9195" t="s">
        <v>14</v>
      </c>
      <c r="F9195">
        <v>53.130400000000002</v>
      </c>
      <c r="G9195">
        <v>16.747199999999999</v>
      </c>
      <c r="H9195">
        <v>1</v>
      </c>
      <c r="I9195">
        <v>73</v>
      </c>
      <c r="J9195" t="str">
        <f>HYPERLINK("https://climate.onebuilding.org/WMO_Region_6_Europe/POL_Poland/WP_Wielkopolskie/POL_WP_Pila.122300_TMYx.2007-2021.zip")</f>
        <v>https://climate.onebuilding.org/WMO_Region_6_Europe/POL_Poland/WP_Wielkopolskie/POL_WP_Pila.122300_TMYx.2007-2021.zip</v>
      </c>
    </row>
    <row r="9196" spans="1:10" x14ac:dyDescent="0.25">
      <c r="A9196" t="s">
        <v>6811</v>
      </c>
      <c r="B9196" t="s">
        <v>6876</v>
      </c>
      <c r="C9196" t="s">
        <v>6881</v>
      </c>
      <c r="D9196">
        <v>122300</v>
      </c>
      <c r="E9196" t="s">
        <v>14</v>
      </c>
      <c r="F9196">
        <v>53.130400000000002</v>
      </c>
      <c r="G9196">
        <v>16.747199999999999</v>
      </c>
      <c r="H9196">
        <v>1</v>
      </c>
      <c r="I9196">
        <v>73</v>
      </c>
      <c r="J9196" t="str">
        <f>HYPERLINK("https://climate.onebuilding.org/WMO_Region_6_Europe/POL_Poland/WP_Wielkopolskie/POL_WP_Pila.122300_TMYx.2009-2023.zip")</f>
        <v>https://climate.onebuilding.org/WMO_Region_6_Europe/POL_Poland/WP_Wielkopolskie/POL_WP_Pila.122300_TMYx.2009-2023.zip</v>
      </c>
    </row>
    <row r="9197" spans="1:10" x14ac:dyDescent="0.25">
      <c r="A9197" t="s">
        <v>6811</v>
      </c>
      <c r="B9197" t="s">
        <v>6876</v>
      </c>
      <c r="C9197" t="s">
        <v>6881</v>
      </c>
      <c r="D9197">
        <v>122300</v>
      </c>
      <c r="E9197" t="s">
        <v>14</v>
      </c>
      <c r="F9197">
        <v>53.130400000000002</v>
      </c>
      <c r="G9197">
        <v>16.747199999999999</v>
      </c>
      <c r="H9197">
        <v>1</v>
      </c>
      <c r="I9197">
        <v>73</v>
      </c>
      <c r="J9197" t="str">
        <f>HYPERLINK("https://climate.onebuilding.org/WMO_Region_6_Europe/POL_Poland/WP_Wielkopolskie/POL_WP_Pila.122300_TMYx.zip")</f>
        <v>https://climate.onebuilding.org/WMO_Region_6_Europe/POL_Poland/WP_Wielkopolskie/POL_WP_Pila.122300_TMYx.zip</v>
      </c>
    </row>
    <row r="9198" spans="1:10" x14ac:dyDescent="0.25">
      <c r="A9198" t="s">
        <v>6811</v>
      </c>
      <c r="B9198" t="s">
        <v>1221</v>
      </c>
      <c r="C9198" t="s">
        <v>6883</v>
      </c>
      <c r="D9198">
        <v>122350</v>
      </c>
      <c r="E9198" t="s">
        <v>6884</v>
      </c>
      <c r="F9198">
        <v>53.716999999999999</v>
      </c>
      <c r="G9198">
        <v>17.55</v>
      </c>
      <c r="H9198">
        <v>1</v>
      </c>
      <c r="I9198">
        <v>172</v>
      </c>
      <c r="J9198" t="str">
        <f>HYPERLINK("https://climate.onebuilding.org/WMO_Region_6_Europe/POL_Poland/PM_Pomorskie/POL_PM_Chojnice.122350_TMYx.2004-2018.zip")</f>
        <v>https://climate.onebuilding.org/WMO_Region_6_Europe/POL_Poland/PM_Pomorskie/POL_PM_Chojnice.122350_TMYx.2004-2018.zip</v>
      </c>
    </row>
    <row r="9199" spans="1:10" x14ac:dyDescent="0.25">
      <c r="A9199" t="s">
        <v>6811</v>
      </c>
      <c r="B9199" t="s">
        <v>1221</v>
      </c>
      <c r="C9199" t="s">
        <v>6883</v>
      </c>
      <c r="D9199">
        <v>122350</v>
      </c>
      <c r="E9199" t="s">
        <v>14</v>
      </c>
      <c r="F9199">
        <v>53.716999999999999</v>
      </c>
      <c r="G9199">
        <v>17.55</v>
      </c>
      <c r="H9199">
        <v>1</v>
      </c>
      <c r="I9199">
        <v>172</v>
      </c>
      <c r="J9199" t="str">
        <f>HYPERLINK("https://climate.onebuilding.org/WMO_Region_6_Europe/POL_Poland/PM_Pomorskie/POL_PM_Chojnice.122350_TMYx.2007-2021.zip")</f>
        <v>https://climate.onebuilding.org/WMO_Region_6_Europe/POL_Poland/PM_Pomorskie/POL_PM_Chojnice.122350_TMYx.2007-2021.zip</v>
      </c>
    </row>
    <row r="9200" spans="1:10" x14ac:dyDescent="0.25">
      <c r="A9200" t="s">
        <v>6811</v>
      </c>
      <c r="B9200" t="s">
        <v>1221</v>
      </c>
      <c r="C9200" t="s">
        <v>6883</v>
      </c>
      <c r="D9200">
        <v>122350</v>
      </c>
      <c r="E9200" t="s">
        <v>14</v>
      </c>
      <c r="F9200">
        <v>53.716999999999999</v>
      </c>
      <c r="G9200">
        <v>17.55</v>
      </c>
      <c r="H9200">
        <v>1</v>
      </c>
      <c r="I9200">
        <v>172</v>
      </c>
      <c r="J9200" t="str">
        <f>HYPERLINK("https://climate.onebuilding.org/WMO_Region_6_Europe/POL_Poland/PM_Pomorskie/POL_PM_Chojnice.122350_TMYx.2009-2023.zip")</f>
        <v>https://climate.onebuilding.org/WMO_Region_6_Europe/POL_Poland/PM_Pomorskie/POL_PM_Chojnice.122350_TMYx.2009-2023.zip</v>
      </c>
    </row>
    <row r="9201" spans="1:10" x14ac:dyDescent="0.25">
      <c r="A9201" t="s">
        <v>6811</v>
      </c>
      <c r="B9201" t="s">
        <v>1221</v>
      </c>
      <c r="C9201" t="s">
        <v>6883</v>
      </c>
      <c r="D9201">
        <v>122350</v>
      </c>
      <c r="E9201" t="s">
        <v>14</v>
      </c>
      <c r="F9201">
        <v>53.716999999999999</v>
      </c>
      <c r="G9201">
        <v>17.55</v>
      </c>
      <c r="H9201">
        <v>1</v>
      </c>
      <c r="I9201">
        <v>172</v>
      </c>
      <c r="J9201" t="str">
        <f>HYPERLINK("https://climate.onebuilding.org/WMO_Region_6_Europe/POL_Poland/PM_Pomorskie/POL_PM_Chojnice.122350_TMYx.zip")</f>
        <v>https://climate.onebuilding.org/WMO_Region_6_Europe/POL_Poland/PM_Pomorskie/POL_PM_Chojnice.122350_TMYx.zip</v>
      </c>
    </row>
    <row r="9202" spans="1:10" x14ac:dyDescent="0.25">
      <c r="A9202" t="s">
        <v>6811</v>
      </c>
      <c r="B9202" t="s">
        <v>6820</v>
      </c>
      <c r="C9202" t="s">
        <v>6885</v>
      </c>
      <c r="D9202">
        <v>122370</v>
      </c>
      <c r="E9202" t="s">
        <v>78</v>
      </c>
      <c r="F9202">
        <v>53.466999999999999</v>
      </c>
      <c r="G9202">
        <v>18.783000000000001</v>
      </c>
      <c r="H9202">
        <v>1</v>
      </c>
      <c r="I9202">
        <v>7</v>
      </c>
      <c r="J9202" t="str">
        <f>HYPERLINK("https://climate.onebuilding.org/WMO_Region_6_Europe/POL_Poland/KP_Kujawsko-Pomorskie/POL_KP_Grudziadz.122370_TMYx.2007-2021.zip")</f>
        <v>https://climate.onebuilding.org/WMO_Region_6_Europe/POL_Poland/KP_Kujawsko-Pomorskie/POL_KP_Grudziadz.122370_TMYx.2007-2021.zip</v>
      </c>
    </row>
    <row r="9203" spans="1:10" x14ac:dyDescent="0.25">
      <c r="A9203" t="s">
        <v>6811</v>
      </c>
      <c r="B9203" t="s">
        <v>6820</v>
      </c>
      <c r="C9203" t="s">
        <v>6885</v>
      </c>
      <c r="D9203">
        <v>122370</v>
      </c>
      <c r="E9203" t="s">
        <v>78</v>
      </c>
      <c r="F9203">
        <v>53.466999999999999</v>
      </c>
      <c r="G9203">
        <v>18.783000000000001</v>
      </c>
      <c r="H9203">
        <v>1</v>
      </c>
      <c r="I9203">
        <v>7</v>
      </c>
      <c r="J9203" t="str">
        <f>HYPERLINK("https://climate.onebuilding.org/WMO_Region_6_Europe/POL_Poland/KP_Kujawsko-Pomorskie/POL_KP_Grudziadz.122370_TMYx.2009-2023.zip")</f>
        <v>https://climate.onebuilding.org/WMO_Region_6_Europe/POL_Poland/KP_Kujawsko-Pomorskie/POL_KP_Grudziadz.122370_TMYx.2009-2023.zip</v>
      </c>
    </row>
    <row r="9204" spans="1:10" x14ac:dyDescent="0.25">
      <c r="A9204" t="s">
        <v>6811</v>
      </c>
      <c r="B9204" t="s">
        <v>6820</v>
      </c>
      <c r="C9204" t="s">
        <v>6885</v>
      </c>
      <c r="D9204">
        <v>122370</v>
      </c>
      <c r="E9204" t="s">
        <v>78</v>
      </c>
      <c r="F9204">
        <v>53.466999999999999</v>
      </c>
      <c r="G9204">
        <v>18.783000000000001</v>
      </c>
      <c r="H9204">
        <v>1</v>
      </c>
      <c r="I9204">
        <v>7</v>
      </c>
      <c r="J9204" t="str">
        <f>HYPERLINK("https://climate.onebuilding.org/WMO_Region_6_Europe/POL_Poland/KP_Kujawsko-Pomorskie/POL_KP_Grudziadz.122370_TMYx.zip")</f>
        <v>https://climate.onebuilding.org/WMO_Region_6_Europe/POL_Poland/KP_Kujawsko-Pomorskie/POL_KP_Grudziadz.122370_TMYx.zip</v>
      </c>
    </row>
    <row r="9205" spans="1:10" x14ac:dyDescent="0.25">
      <c r="A9205" t="s">
        <v>6811</v>
      </c>
      <c r="B9205" t="s">
        <v>6820</v>
      </c>
      <c r="C9205" t="s">
        <v>6886</v>
      </c>
      <c r="D9205">
        <v>122400</v>
      </c>
      <c r="E9205" t="s">
        <v>6887</v>
      </c>
      <c r="F9205">
        <v>53.082999999999998</v>
      </c>
      <c r="G9205">
        <v>17.983000000000001</v>
      </c>
      <c r="H9205">
        <v>1</v>
      </c>
      <c r="I9205">
        <v>71</v>
      </c>
      <c r="J9205" t="str">
        <f>HYPERLINK("https://climate.onebuilding.org/WMO_Region_6_Europe/POL_Poland/KP_Kujawsko-Pomorskie/POL_KP_Bydgoszcz-Paderewski.AP.122400_TMYx.2004-2018.zip")</f>
        <v>https://climate.onebuilding.org/WMO_Region_6_Europe/POL_Poland/KP_Kujawsko-Pomorskie/POL_KP_Bydgoszcz-Paderewski.AP.122400_TMYx.2004-2018.zip</v>
      </c>
    </row>
    <row r="9206" spans="1:10" x14ac:dyDescent="0.25">
      <c r="A9206" t="s">
        <v>6811</v>
      </c>
      <c r="B9206" t="s">
        <v>6820</v>
      </c>
      <c r="C9206" t="s">
        <v>6886</v>
      </c>
      <c r="D9206">
        <v>122400</v>
      </c>
      <c r="E9206" t="s">
        <v>14</v>
      </c>
      <c r="F9206">
        <v>53.096400000000003</v>
      </c>
      <c r="G9206">
        <v>17.995000000000001</v>
      </c>
      <c r="H9206">
        <v>1</v>
      </c>
      <c r="I9206">
        <v>71</v>
      </c>
      <c r="J9206" t="str">
        <f>HYPERLINK("https://climate.onebuilding.org/WMO_Region_6_Europe/POL_Poland/KP_Kujawsko-Pomorskie/POL_KP_Bydgoszcz-Paderewski.AP.122400_TMYx.2007-2021.zip")</f>
        <v>https://climate.onebuilding.org/WMO_Region_6_Europe/POL_Poland/KP_Kujawsko-Pomorskie/POL_KP_Bydgoszcz-Paderewski.AP.122400_TMYx.2007-2021.zip</v>
      </c>
    </row>
    <row r="9207" spans="1:10" x14ac:dyDescent="0.25">
      <c r="A9207" t="s">
        <v>6811</v>
      </c>
      <c r="B9207" t="s">
        <v>6820</v>
      </c>
      <c r="C9207" t="s">
        <v>6886</v>
      </c>
      <c r="D9207">
        <v>122400</v>
      </c>
      <c r="E9207" t="s">
        <v>14</v>
      </c>
      <c r="F9207">
        <v>53.096400000000003</v>
      </c>
      <c r="G9207">
        <v>17.995000000000001</v>
      </c>
      <c r="H9207">
        <v>1</v>
      </c>
      <c r="I9207">
        <v>71</v>
      </c>
      <c r="J9207" t="str">
        <f>HYPERLINK("https://climate.onebuilding.org/WMO_Region_6_Europe/POL_Poland/KP_Kujawsko-Pomorskie/POL_KP_Bydgoszcz-Paderewski.AP.122400_TMYx.2009-2023.zip")</f>
        <v>https://climate.onebuilding.org/WMO_Region_6_Europe/POL_Poland/KP_Kujawsko-Pomorskie/POL_KP_Bydgoszcz-Paderewski.AP.122400_TMYx.2009-2023.zip</v>
      </c>
    </row>
    <row r="9208" spans="1:10" x14ac:dyDescent="0.25">
      <c r="A9208" t="s">
        <v>6811</v>
      </c>
      <c r="B9208" t="s">
        <v>6820</v>
      </c>
      <c r="C9208" t="s">
        <v>6886</v>
      </c>
      <c r="D9208">
        <v>122400</v>
      </c>
      <c r="E9208" t="s">
        <v>14</v>
      </c>
      <c r="F9208">
        <v>53.096400000000003</v>
      </c>
      <c r="G9208">
        <v>17.995000000000001</v>
      </c>
      <c r="H9208">
        <v>1</v>
      </c>
      <c r="I9208">
        <v>71</v>
      </c>
      <c r="J9208" t="str">
        <f>HYPERLINK("https://climate.onebuilding.org/WMO_Region_6_Europe/POL_Poland/KP_Kujawsko-Pomorskie/POL_KP_Bydgoszcz-Paderewski.AP.122400_TMYx.zip")</f>
        <v>https://climate.onebuilding.org/WMO_Region_6_Europe/POL_Poland/KP_Kujawsko-Pomorskie/POL_KP_Bydgoszcz-Paderewski.AP.122400_TMYx.zip</v>
      </c>
    </row>
    <row r="9209" spans="1:10" x14ac:dyDescent="0.25">
      <c r="A9209" t="s">
        <v>6811</v>
      </c>
      <c r="B9209" t="s">
        <v>6820</v>
      </c>
      <c r="C9209" t="s">
        <v>6888</v>
      </c>
      <c r="D9209">
        <v>122500</v>
      </c>
      <c r="E9209" t="s">
        <v>6889</v>
      </c>
      <c r="F9209">
        <v>53.05</v>
      </c>
      <c r="G9209">
        <v>18.582999999999998</v>
      </c>
      <c r="H9209">
        <v>1</v>
      </c>
      <c r="I9209">
        <v>72</v>
      </c>
      <c r="J9209" t="str">
        <f>HYPERLINK("https://climate.onebuilding.org/WMO_Region_6_Europe/POL_Poland/KP_Kujawsko-Pomorskie/POL_KP_Torun.122500_TMYx.2004-2018.zip")</f>
        <v>https://climate.onebuilding.org/WMO_Region_6_Europe/POL_Poland/KP_Kujawsko-Pomorskie/POL_KP_Torun.122500_TMYx.2004-2018.zip</v>
      </c>
    </row>
    <row r="9210" spans="1:10" x14ac:dyDescent="0.25">
      <c r="A9210" t="s">
        <v>6811</v>
      </c>
      <c r="B9210" t="s">
        <v>6820</v>
      </c>
      <c r="C9210" t="s">
        <v>6888</v>
      </c>
      <c r="D9210">
        <v>122500</v>
      </c>
      <c r="E9210" t="s">
        <v>14</v>
      </c>
      <c r="F9210">
        <v>53.042200000000001</v>
      </c>
      <c r="G9210">
        <v>18.595300000000002</v>
      </c>
      <c r="H9210">
        <v>1</v>
      </c>
      <c r="I9210">
        <v>72</v>
      </c>
      <c r="J9210" t="str">
        <f>HYPERLINK("https://climate.onebuilding.org/WMO_Region_6_Europe/POL_Poland/KP_Kujawsko-Pomorskie/POL_KP_Torun.122500_TMYx.2007-2021.zip")</f>
        <v>https://climate.onebuilding.org/WMO_Region_6_Europe/POL_Poland/KP_Kujawsko-Pomorskie/POL_KP_Torun.122500_TMYx.2007-2021.zip</v>
      </c>
    </row>
    <row r="9211" spans="1:10" x14ac:dyDescent="0.25">
      <c r="A9211" t="s">
        <v>6811</v>
      </c>
      <c r="B9211" t="s">
        <v>6820</v>
      </c>
      <c r="C9211" t="s">
        <v>6888</v>
      </c>
      <c r="D9211">
        <v>122500</v>
      </c>
      <c r="E9211" t="s">
        <v>14</v>
      </c>
      <c r="F9211">
        <v>53.042200000000001</v>
      </c>
      <c r="G9211">
        <v>18.595300000000002</v>
      </c>
      <c r="H9211">
        <v>1</v>
      </c>
      <c r="I9211">
        <v>72</v>
      </c>
      <c r="J9211" t="str">
        <f>HYPERLINK("https://climate.onebuilding.org/WMO_Region_6_Europe/POL_Poland/KP_Kujawsko-Pomorskie/POL_KP_Torun.122500_TMYx.2009-2023.zip")</f>
        <v>https://climate.onebuilding.org/WMO_Region_6_Europe/POL_Poland/KP_Kujawsko-Pomorskie/POL_KP_Torun.122500_TMYx.2009-2023.zip</v>
      </c>
    </row>
    <row r="9212" spans="1:10" x14ac:dyDescent="0.25">
      <c r="A9212" t="s">
        <v>6811</v>
      </c>
      <c r="B9212" t="s">
        <v>6820</v>
      </c>
      <c r="C9212" t="s">
        <v>6888</v>
      </c>
      <c r="D9212">
        <v>122500</v>
      </c>
      <c r="E9212" t="s">
        <v>14</v>
      </c>
      <c r="F9212">
        <v>53.042200000000001</v>
      </c>
      <c r="G9212">
        <v>18.595300000000002</v>
      </c>
      <c r="H9212">
        <v>1</v>
      </c>
      <c r="I9212">
        <v>72</v>
      </c>
      <c r="J9212" t="str">
        <f>HYPERLINK("https://climate.onebuilding.org/WMO_Region_6_Europe/POL_Poland/KP_Kujawsko-Pomorskie/POL_KP_Torun.122500_TMYx.zip")</f>
        <v>https://climate.onebuilding.org/WMO_Region_6_Europe/POL_Poland/KP_Kujawsko-Pomorskie/POL_KP_Torun.122500_TMYx.zip</v>
      </c>
    </row>
    <row r="9213" spans="1:10" x14ac:dyDescent="0.25">
      <c r="A9213" t="s">
        <v>6811</v>
      </c>
      <c r="B9213" t="s">
        <v>6828</v>
      </c>
      <c r="C9213" t="s">
        <v>6890</v>
      </c>
      <c r="D9213">
        <v>122700</v>
      </c>
      <c r="E9213" t="s">
        <v>6891</v>
      </c>
      <c r="F9213">
        <v>53.1</v>
      </c>
      <c r="G9213">
        <v>20.350000000000001</v>
      </c>
      <c r="H9213">
        <v>1</v>
      </c>
      <c r="I9213">
        <v>149</v>
      </c>
      <c r="J9213" t="str">
        <f>HYPERLINK("https://climate.onebuilding.org/WMO_Region_6_Europe/POL_Poland/MZ_Mazowieckie/POL_MZ_Mlawa.122700_TMYx.2004-2018.zip")</f>
        <v>https://climate.onebuilding.org/WMO_Region_6_Europe/POL_Poland/MZ_Mazowieckie/POL_MZ_Mlawa.122700_TMYx.2004-2018.zip</v>
      </c>
    </row>
    <row r="9214" spans="1:10" x14ac:dyDescent="0.25">
      <c r="A9214" t="s">
        <v>6811</v>
      </c>
      <c r="B9214" t="s">
        <v>6828</v>
      </c>
      <c r="C9214" t="s">
        <v>6890</v>
      </c>
      <c r="D9214">
        <v>122700</v>
      </c>
      <c r="E9214" t="s">
        <v>14</v>
      </c>
      <c r="F9214">
        <v>53.104199999999999</v>
      </c>
      <c r="G9214">
        <v>20.3611</v>
      </c>
      <c r="H9214">
        <v>1</v>
      </c>
      <c r="I9214">
        <v>149</v>
      </c>
      <c r="J9214" t="str">
        <f>HYPERLINK("https://climate.onebuilding.org/WMO_Region_6_Europe/POL_Poland/MZ_Mazowieckie/POL_MZ_Mlawa.122700_TMYx.2007-2021.zip")</f>
        <v>https://climate.onebuilding.org/WMO_Region_6_Europe/POL_Poland/MZ_Mazowieckie/POL_MZ_Mlawa.122700_TMYx.2007-2021.zip</v>
      </c>
    </row>
    <row r="9215" spans="1:10" x14ac:dyDescent="0.25">
      <c r="A9215" t="s">
        <v>6811</v>
      </c>
      <c r="B9215" t="s">
        <v>6828</v>
      </c>
      <c r="C9215" t="s">
        <v>6890</v>
      </c>
      <c r="D9215">
        <v>122700</v>
      </c>
      <c r="E9215" t="s">
        <v>14</v>
      </c>
      <c r="F9215">
        <v>53.104199999999999</v>
      </c>
      <c r="G9215">
        <v>20.3611</v>
      </c>
      <c r="H9215">
        <v>1</v>
      </c>
      <c r="I9215">
        <v>149</v>
      </c>
      <c r="J9215" t="str">
        <f>HYPERLINK("https://climate.onebuilding.org/WMO_Region_6_Europe/POL_Poland/MZ_Mazowieckie/POL_MZ_Mlawa.122700_TMYx.2009-2023.zip")</f>
        <v>https://climate.onebuilding.org/WMO_Region_6_Europe/POL_Poland/MZ_Mazowieckie/POL_MZ_Mlawa.122700_TMYx.2009-2023.zip</v>
      </c>
    </row>
    <row r="9216" spans="1:10" x14ac:dyDescent="0.25">
      <c r="A9216" t="s">
        <v>6811</v>
      </c>
      <c r="B9216" t="s">
        <v>6828</v>
      </c>
      <c r="C9216" t="s">
        <v>6890</v>
      </c>
      <c r="D9216">
        <v>122700</v>
      </c>
      <c r="E9216" t="s">
        <v>14</v>
      </c>
      <c r="F9216">
        <v>53.104199999999999</v>
      </c>
      <c r="G9216">
        <v>20.3611</v>
      </c>
      <c r="H9216">
        <v>1</v>
      </c>
      <c r="I9216">
        <v>149</v>
      </c>
      <c r="J9216" t="str">
        <f>HYPERLINK("https://climate.onebuilding.org/WMO_Region_6_Europe/POL_Poland/MZ_Mazowieckie/POL_MZ_Mlawa.122700_TMYx.zip")</f>
        <v>https://climate.onebuilding.org/WMO_Region_6_Europe/POL_Poland/MZ_Mazowieckie/POL_MZ_Mlawa.122700_TMYx.zip</v>
      </c>
    </row>
    <row r="9217" spans="1:10" x14ac:dyDescent="0.25">
      <c r="A9217" t="s">
        <v>6811</v>
      </c>
      <c r="B9217" t="s">
        <v>6858</v>
      </c>
      <c r="C9217" t="s">
        <v>6892</v>
      </c>
      <c r="D9217">
        <v>122720</v>
      </c>
      <c r="E9217" t="s">
        <v>6893</v>
      </c>
      <c r="F9217">
        <v>53.767000000000003</v>
      </c>
      <c r="G9217">
        <v>20.417000000000002</v>
      </c>
      <c r="H9217">
        <v>1</v>
      </c>
      <c r="I9217">
        <v>137</v>
      </c>
      <c r="J9217" t="str">
        <f>HYPERLINK("https://climate.onebuilding.org/WMO_Region_6_Europe/POL_Poland/WN_Warminsko-Mazurskie/POL_WN_Olsztyn.122720_TMYx.2004-2018.zip")</f>
        <v>https://climate.onebuilding.org/WMO_Region_6_Europe/POL_Poland/WN_Warminsko-Mazurskie/POL_WN_Olsztyn.122720_TMYx.2004-2018.zip</v>
      </c>
    </row>
    <row r="9218" spans="1:10" x14ac:dyDescent="0.25">
      <c r="A9218" t="s">
        <v>6811</v>
      </c>
      <c r="B9218" t="s">
        <v>6858</v>
      </c>
      <c r="C9218" t="s">
        <v>6892</v>
      </c>
      <c r="D9218">
        <v>122720</v>
      </c>
      <c r="E9218" t="s">
        <v>14</v>
      </c>
      <c r="F9218">
        <v>53.768599999999999</v>
      </c>
      <c r="G9218">
        <v>20.421299999999999</v>
      </c>
      <c r="H9218">
        <v>1</v>
      </c>
      <c r="I9218">
        <v>137</v>
      </c>
      <c r="J9218" t="str">
        <f>HYPERLINK("https://climate.onebuilding.org/WMO_Region_6_Europe/POL_Poland/WN_Warminsko-Mazurskie/POL_WN_Olsztyn.122720_TMYx.2007-2021.zip")</f>
        <v>https://climate.onebuilding.org/WMO_Region_6_Europe/POL_Poland/WN_Warminsko-Mazurskie/POL_WN_Olsztyn.122720_TMYx.2007-2021.zip</v>
      </c>
    </row>
    <row r="9219" spans="1:10" x14ac:dyDescent="0.25">
      <c r="A9219" t="s">
        <v>6811</v>
      </c>
      <c r="B9219" t="s">
        <v>6858</v>
      </c>
      <c r="C9219" t="s">
        <v>6892</v>
      </c>
      <c r="D9219">
        <v>122720</v>
      </c>
      <c r="E9219" t="s">
        <v>14</v>
      </c>
      <c r="F9219">
        <v>53.768599999999999</v>
      </c>
      <c r="G9219">
        <v>20.421299999999999</v>
      </c>
      <c r="H9219">
        <v>1</v>
      </c>
      <c r="I9219">
        <v>137</v>
      </c>
      <c r="J9219" t="str">
        <f>HYPERLINK("https://climate.onebuilding.org/WMO_Region_6_Europe/POL_Poland/WN_Warminsko-Mazurskie/POL_WN_Olsztyn.122720_TMYx.2009-2023.zip")</f>
        <v>https://climate.onebuilding.org/WMO_Region_6_Europe/POL_Poland/WN_Warminsko-Mazurskie/POL_WN_Olsztyn.122720_TMYx.2009-2023.zip</v>
      </c>
    </row>
    <row r="9220" spans="1:10" x14ac:dyDescent="0.25">
      <c r="A9220" t="s">
        <v>6811</v>
      </c>
      <c r="B9220" t="s">
        <v>6858</v>
      </c>
      <c r="C9220" t="s">
        <v>6892</v>
      </c>
      <c r="D9220">
        <v>122720</v>
      </c>
      <c r="E9220" t="s">
        <v>14</v>
      </c>
      <c r="F9220">
        <v>53.768599999999999</v>
      </c>
      <c r="G9220">
        <v>20.421299999999999</v>
      </c>
      <c r="H9220">
        <v>1</v>
      </c>
      <c r="I9220">
        <v>137</v>
      </c>
      <c r="J9220" t="str">
        <f>HYPERLINK("https://climate.onebuilding.org/WMO_Region_6_Europe/POL_Poland/WN_Warminsko-Mazurskie/POL_WN_Olsztyn.122720_TMYx.zip")</f>
        <v>https://climate.onebuilding.org/WMO_Region_6_Europe/POL_Poland/WN_Warminsko-Mazurskie/POL_WN_Olsztyn.122720_TMYx.zip</v>
      </c>
    </row>
    <row r="9221" spans="1:10" x14ac:dyDescent="0.25">
      <c r="A9221" t="s">
        <v>6811</v>
      </c>
      <c r="B9221" t="s">
        <v>6828</v>
      </c>
      <c r="C9221" t="s">
        <v>6894</v>
      </c>
      <c r="D9221">
        <v>122730</v>
      </c>
      <c r="E9221" t="s">
        <v>78</v>
      </c>
      <c r="F9221">
        <v>52.883000000000003</v>
      </c>
      <c r="G9221">
        <v>20.632999999999999</v>
      </c>
      <c r="H9221">
        <v>1</v>
      </c>
      <c r="I9221">
        <v>36</v>
      </c>
      <c r="J9221" t="str">
        <f>HYPERLINK("https://climate.onebuilding.org/WMO_Region_6_Europe/POL_Poland/MZ_Mazowieckie/POL_MZ_Ciechanow.122730_TMYx.2007-2021.zip")</f>
        <v>https://climate.onebuilding.org/WMO_Region_6_Europe/POL_Poland/MZ_Mazowieckie/POL_MZ_Ciechanow.122730_TMYx.2007-2021.zip</v>
      </c>
    </row>
    <row r="9222" spans="1:10" x14ac:dyDescent="0.25">
      <c r="A9222" t="s">
        <v>6811</v>
      </c>
      <c r="B9222" t="s">
        <v>6828</v>
      </c>
      <c r="C9222" t="s">
        <v>6894</v>
      </c>
      <c r="D9222">
        <v>122730</v>
      </c>
      <c r="E9222" t="s">
        <v>78</v>
      </c>
      <c r="F9222">
        <v>52.883000000000003</v>
      </c>
      <c r="G9222">
        <v>20.632999999999999</v>
      </c>
      <c r="H9222">
        <v>1</v>
      </c>
      <c r="I9222">
        <v>36</v>
      </c>
      <c r="J9222" t="str">
        <f>HYPERLINK("https://climate.onebuilding.org/WMO_Region_6_Europe/POL_Poland/MZ_Mazowieckie/POL_MZ_Ciechanow.122730_TMYx.2009-2023.zip")</f>
        <v>https://climate.onebuilding.org/WMO_Region_6_Europe/POL_Poland/MZ_Mazowieckie/POL_MZ_Ciechanow.122730_TMYx.2009-2023.zip</v>
      </c>
    </row>
    <row r="9223" spans="1:10" x14ac:dyDescent="0.25">
      <c r="A9223" t="s">
        <v>6811</v>
      </c>
      <c r="B9223" t="s">
        <v>6828</v>
      </c>
      <c r="C9223" t="s">
        <v>6894</v>
      </c>
      <c r="D9223">
        <v>122730</v>
      </c>
      <c r="E9223" t="s">
        <v>78</v>
      </c>
      <c r="F9223">
        <v>52.883000000000003</v>
      </c>
      <c r="G9223">
        <v>20.632999999999999</v>
      </c>
      <c r="H9223">
        <v>1</v>
      </c>
      <c r="I9223">
        <v>36</v>
      </c>
      <c r="J9223" t="str">
        <f>HYPERLINK("https://climate.onebuilding.org/WMO_Region_6_Europe/POL_Poland/MZ_Mazowieckie/POL_MZ_Ciechanow.122730_TMYx.zip")</f>
        <v>https://climate.onebuilding.org/WMO_Region_6_Europe/POL_Poland/MZ_Mazowieckie/POL_MZ_Ciechanow.122730_TMYx.zip</v>
      </c>
    </row>
    <row r="9224" spans="1:10" x14ac:dyDescent="0.25">
      <c r="A9224" t="s">
        <v>6811</v>
      </c>
      <c r="B9224" t="s">
        <v>6858</v>
      </c>
      <c r="C9224" t="s">
        <v>6895</v>
      </c>
      <c r="D9224">
        <v>122800</v>
      </c>
      <c r="E9224" t="s">
        <v>6896</v>
      </c>
      <c r="F9224">
        <v>53.783000000000001</v>
      </c>
      <c r="G9224">
        <v>21.582999999999998</v>
      </c>
      <c r="H9224">
        <v>1</v>
      </c>
      <c r="I9224">
        <v>132</v>
      </c>
      <c r="J9224" t="str">
        <f>HYPERLINK("https://climate.onebuilding.org/WMO_Region_6_Europe/POL_Poland/WN_Warminsko-Mazurskie/POL_WN_Mikolajki.122800_TMYx.2004-2018.zip")</f>
        <v>https://climate.onebuilding.org/WMO_Region_6_Europe/POL_Poland/WN_Warminsko-Mazurskie/POL_WN_Mikolajki.122800_TMYx.2004-2018.zip</v>
      </c>
    </row>
    <row r="9225" spans="1:10" x14ac:dyDescent="0.25">
      <c r="A9225" t="s">
        <v>6811</v>
      </c>
      <c r="B9225" t="s">
        <v>6858</v>
      </c>
      <c r="C9225" t="s">
        <v>6895</v>
      </c>
      <c r="D9225">
        <v>122800</v>
      </c>
      <c r="E9225" t="s">
        <v>14</v>
      </c>
      <c r="F9225">
        <v>53.789200000000001</v>
      </c>
      <c r="G9225">
        <v>21.5886</v>
      </c>
      <c r="H9225">
        <v>1</v>
      </c>
      <c r="I9225">
        <v>132</v>
      </c>
      <c r="J9225" t="str">
        <f>HYPERLINK("https://climate.onebuilding.org/WMO_Region_6_Europe/POL_Poland/WN_Warminsko-Mazurskie/POL_WN_Mikolajki.122800_TMYx.2007-2021.zip")</f>
        <v>https://climate.onebuilding.org/WMO_Region_6_Europe/POL_Poland/WN_Warminsko-Mazurskie/POL_WN_Mikolajki.122800_TMYx.2007-2021.zip</v>
      </c>
    </row>
    <row r="9226" spans="1:10" x14ac:dyDescent="0.25">
      <c r="A9226" t="s">
        <v>6811</v>
      </c>
      <c r="B9226" t="s">
        <v>6858</v>
      </c>
      <c r="C9226" t="s">
        <v>6895</v>
      </c>
      <c r="D9226">
        <v>122800</v>
      </c>
      <c r="E9226" t="s">
        <v>14</v>
      </c>
      <c r="F9226">
        <v>53.789200000000001</v>
      </c>
      <c r="G9226">
        <v>21.5886</v>
      </c>
      <c r="H9226">
        <v>1</v>
      </c>
      <c r="I9226">
        <v>132</v>
      </c>
      <c r="J9226" t="str">
        <f>HYPERLINK("https://climate.onebuilding.org/WMO_Region_6_Europe/POL_Poland/WN_Warminsko-Mazurskie/POL_WN_Mikolajki.122800_TMYx.2009-2023.zip")</f>
        <v>https://climate.onebuilding.org/WMO_Region_6_Europe/POL_Poland/WN_Warminsko-Mazurskie/POL_WN_Mikolajki.122800_TMYx.2009-2023.zip</v>
      </c>
    </row>
    <row r="9227" spans="1:10" x14ac:dyDescent="0.25">
      <c r="A9227" t="s">
        <v>6811</v>
      </c>
      <c r="B9227" t="s">
        <v>6858</v>
      </c>
      <c r="C9227" t="s">
        <v>6895</v>
      </c>
      <c r="D9227">
        <v>122800</v>
      </c>
      <c r="E9227" t="s">
        <v>14</v>
      </c>
      <c r="F9227">
        <v>53.789200000000001</v>
      </c>
      <c r="G9227">
        <v>21.5886</v>
      </c>
      <c r="H9227">
        <v>1</v>
      </c>
      <c r="I9227">
        <v>132</v>
      </c>
      <c r="J9227" t="str">
        <f>HYPERLINK("https://climate.onebuilding.org/WMO_Region_6_Europe/POL_Poland/WN_Warminsko-Mazurskie/POL_WN_Mikolajki.122800_TMYx.zip")</f>
        <v>https://climate.onebuilding.org/WMO_Region_6_Europe/POL_Poland/WN_Warminsko-Mazurskie/POL_WN_Mikolajki.122800_TMYx.zip</v>
      </c>
    </row>
    <row r="9228" spans="1:10" x14ac:dyDescent="0.25">
      <c r="A9228" t="s">
        <v>6811</v>
      </c>
      <c r="B9228" t="s">
        <v>6858</v>
      </c>
      <c r="C9228" t="s">
        <v>6897</v>
      </c>
      <c r="D9228">
        <v>122810</v>
      </c>
      <c r="E9228" t="s">
        <v>78</v>
      </c>
      <c r="F9228">
        <v>53.567</v>
      </c>
      <c r="G9228">
        <v>21</v>
      </c>
      <c r="H9228">
        <v>1</v>
      </c>
      <c r="I9228">
        <v>145</v>
      </c>
      <c r="J9228" t="str">
        <f>HYPERLINK("https://climate.onebuilding.org/WMO_Region_6_Europe/POL_Poland/WN_Warminsko-Mazurskie/POL_WN_Szczytno.122810_TMYx.2007-2021.zip")</f>
        <v>https://climate.onebuilding.org/WMO_Region_6_Europe/POL_Poland/WN_Warminsko-Mazurskie/POL_WN_Szczytno.122810_TMYx.2007-2021.zip</v>
      </c>
    </row>
    <row r="9229" spans="1:10" x14ac:dyDescent="0.25">
      <c r="A9229" t="s">
        <v>6811</v>
      </c>
      <c r="B9229" t="s">
        <v>6858</v>
      </c>
      <c r="C9229" t="s">
        <v>6897</v>
      </c>
      <c r="D9229">
        <v>122810</v>
      </c>
      <c r="E9229" t="s">
        <v>78</v>
      </c>
      <c r="F9229">
        <v>53.567</v>
      </c>
      <c r="G9229">
        <v>21</v>
      </c>
      <c r="H9229">
        <v>1</v>
      </c>
      <c r="I9229">
        <v>145</v>
      </c>
      <c r="J9229" t="str">
        <f>HYPERLINK("https://climate.onebuilding.org/WMO_Region_6_Europe/POL_Poland/WN_Warminsko-Mazurskie/POL_WN_Szczytno.122810_TMYx.2009-2023.zip")</f>
        <v>https://climate.onebuilding.org/WMO_Region_6_Europe/POL_Poland/WN_Warminsko-Mazurskie/POL_WN_Szczytno.122810_TMYx.2009-2023.zip</v>
      </c>
    </row>
    <row r="9230" spans="1:10" x14ac:dyDescent="0.25">
      <c r="A9230" t="s">
        <v>6811</v>
      </c>
      <c r="B9230" t="s">
        <v>6858</v>
      </c>
      <c r="C9230" t="s">
        <v>6897</v>
      </c>
      <c r="D9230">
        <v>122810</v>
      </c>
      <c r="E9230" t="s">
        <v>78</v>
      </c>
      <c r="F9230">
        <v>53.567</v>
      </c>
      <c r="G9230">
        <v>21</v>
      </c>
      <c r="H9230">
        <v>1</v>
      </c>
      <c r="I9230">
        <v>145</v>
      </c>
      <c r="J9230" t="str">
        <f>HYPERLINK("https://climate.onebuilding.org/WMO_Region_6_Europe/POL_Poland/WN_Warminsko-Mazurskie/POL_WN_Szczytno.122810_TMYx.zip")</f>
        <v>https://climate.onebuilding.org/WMO_Region_6_Europe/POL_Poland/WN_Warminsko-Mazurskie/POL_WN_Szczytno.122810_TMYx.zip</v>
      </c>
    </row>
    <row r="9231" spans="1:10" x14ac:dyDescent="0.25">
      <c r="A9231" t="s">
        <v>6811</v>
      </c>
      <c r="B9231" t="s">
        <v>6823</v>
      </c>
      <c r="C9231" t="s">
        <v>6898</v>
      </c>
      <c r="D9231">
        <v>122850</v>
      </c>
      <c r="E9231" t="s">
        <v>6899</v>
      </c>
      <c r="F9231">
        <v>53.082999999999998</v>
      </c>
      <c r="G9231">
        <v>21.567</v>
      </c>
      <c r="H9231">
        <v>1</v>
      </c>
      <c r="I9231">
        <v>97</v>
      </c>
      <c r="J9231" t="str">
        <f>HYPERLINK("https://climate.onebuilding.org/WMO_Region_6_Europe/POL_Poland/LD_Lodzkie/POL_LD_Ostroleka.122850_TMYx.2004-2018.zip")</f>
        <v>https://climate.onebuilding.org/WMO_Region_6_Europe/POL_Poland/LD_Lodzkie/POL_LD_Ostroleka.122850_TMYx.2004-2018.zip</v>
      </c>
    </row>
    <row r="9232" spans="1:10" x14ac:dyDescent="0.25">
      <c r="A9232" t="s">
        <v>6811</v>
      </c>
      <c r="B9232" t="s">
        <v>6823</v>
      </c>
      <c r="C9232" t="s">
        <v>6898</v>
      </c>
      <c r="D9232">
        <v>122850</v>
      </c>
      <c r="E9232" t="s">
        <v>14</v>
      </c>
      <c r="F9232">
        <v>53.066000000000003</v>
      </c>
      <c r="G9232">
        <v>21.533999999999999</v>
      </c>
      <c r="H9232">
        <v>1</v>
      </c>
      <c r="I9232">
        <v>97</v>
      </c>
      <c r="J9232" t="str">
        <f>HYPERLINK("https://climate.onebuilding.org/WMO_Region_6_Europe/POL_Poland/LD_Lodzkie/POL_LD_Ostroleka.122850_TMYx.2007-2021.zip")</f>
        <v>https://climate.onebuilding.org/WMO_Region_6_Europe/POL_Poland/LD_Lodzkie/POL_LD_Ostroleka.122850_TMYx.2007-2021.zip</v>
      </c>
    </row>
    <row r="9233" spans="1:10" x14ac:dyDescent="0.25">
      <c r="A9233" t="s">
        <v>6811</v>
      </c>
      <c r="B9233" t="s">
        <v>6823</v>
      </c>
      <c r="C9233" t="s">
        <v>6898</v>
      </c>
      <c r="D9233">
        <v>122850</v>
      </c>
      <c r="E9233" t="s">
        <v>14</v>
      </c>
      <c r="F9233">
        <v>53.066000000000003</v>
      </c>
      <c r="G9233">
        <v>21.533999999999999</v>
      </c>
      <c r="H9233">
        <v>1</v>
      </c>
      <c r="I9233">
        <v>97</v>
      </c>
      <c r="J9233" t="str">
        <f>HYPERLINK("https://climate.onebuilding.org/WMO_Region_6_Europe/POL_Poland/LD_Lodzkie/POL_LD_Ostroleka.122850_TMYx.2009-2023.zip")</f>
        <v>https://climate.onebuilding.org/WMO_Region_6_Europe/POL_Poland/LD_Lodzkie/POL_LD_Ostroleka.122850_TMYx.2009-2023.zip</v>
      </c>
    </row>
    <row r="9234" spans="1:10" x14ac:dyDescent="0.25">
      <c r="A9234" t="s">
        <v>6811</v>
      </c>
      <c r="B9234" t="s">
        <v>6823</v>
      </c>
      <c r="C9234" t="s">
        <v>6898</v>
      </c>
      <c r="D9234">
        <v>122850</v>
      </c>
      <c r="E9234" t="s">
        <v>14</v>
      </c>
      <c r="F9234">
        <v>53.066000000000003</v>
      </c>
      <c r="G9234">
        <v>21.533999999999999</v>
      </c>
      <c r="H9234">
        <v>1</v>
      </c>
      <c r="I9234">
        <v>97</v>
      </c>
      <c r="J9234" t="str">
        <f>HYPERLINK("https://climate.onebuilding.org/WMO_Region_6_Europe/POL_Poland/LD_Lodzkie/POL_LD_Ostroleka.122850_TMYx.zip")</f>
        <v>https://climate.onebuilding.org/WMO_Region_6_Europe/POL_Poland/LD_Lodzkie/POL_LD_Ostroleka.122850_TMYx.zip</v>
      </c>
    </row>
    <row r="9235" spans="1:10" x14ac:dyDescent="0.25">
      <c r="A9235" t="s">
        <v>6811</v>
      </c>
      <c r="B9235" t="s">
        <v>495</v>
      </c>
      <c r="C9235" t="s">
        <v>6900</v>
      </c>
      <c r="D9235">
        <v>122950</v>
      </c>
      <c r="E9235" t="s">
        <v>6901</v>
      </c>
      <c r="F9235">
        <v>53.1</v>
      </c>
      <c r="G9235">
        <v>23.167000000000002</v>
      </c>
      <c r="H9235">
        <v>1</v>
      </c>
      <c r="I9235">
        <v>151</v>
      </c>
      <c r="J9235" t="str">
        <f>HYPERLINK("https://climate.onebuilding.org/WMO_Region_6_Europe/POL_Poland/PD_Podlaskie/POL_PD_Bialystok-Krywlany.AP.122950_TMYx.2004-2018.zip")</f>
        <v>https://climate.onebuilding.org/WMO_Region_6_Europe/POL_Poland/PD_Podlaskie/POL_PD_Bialystok-Krywlany.AP.122950_TMYx.2004-2018.zip</v>
      </c>
    </row>
    <row r="9236" spans="1:10" x14ac:dyDescent="0.25">
      <c r="A9236" t="s">
        <v>6811</v>
      </c>
      <c r="B9236" t="s">
        <v>495</v>
      </c>
      <c r="C9236" t="s">
        <v>6900</v>
      </c>
      <c r="D9236">
        <v>122950</v>
      </c>
      <c r="E9236" t="s">
        <v>14</v>
      </c>
      <c r="F9236">
        <v>53.107300000000002</v>
      </c>
      <c r="G9236">
        <v>23.162299999999998</v>
      </c>
      <c r="H9236">
        <v>1</v>
      </c>
      <c r="I9236">
        <v>151</v>
      </c>
      <c r="J9236" t="str">
        <f>HYPERLINK("https://climate.onebuilding.org/WMO_Region_6_Europe/POL_Poland/PD_Podlaskie/POL_PD_Bialystok-Krywlany.AP.122950_TMYx.2007-2021.zip")</f>
        <v>https://climate.onebuilding.org/WMO_Region_6_Europe/POL_Poland/PD_Podlaskie/POL_PD_Bialystok-Krywlany.AP.122950_TMYx.2007-2021.zip</v>
      </c>
    </row>
    <row r="9237" spans="1:10" x14ac:dyDescent="0.25">
      <c r="A9237" t="s">
        <v>6811</v>
      </c>
      <c r="B9237" t="s">
        <v>495</v>
      </c>
      <c r="C9237" t="s">
        <v>6900</v>
      </c>
      <c r="D9237">
        <v>122950</v>
      </c>
      <c r="E9237" t="s">
        <v>14</v>
      </c>
      <c r="F9237">
        <v>53.107300000000002</v>
      </c>
      <c r="G9237">
        <v>23.162299999999998</v>
      </c>
      <c r="H9237">
        <v>1</v>
      </c>
      <c r="I9237">
        <v>151</v>
      </c>
      <c r="J9237" t="str">
        <f>HYPERLINK("https://climate.onebuilding.org/WMO_Region_6_Europe/POL_Poland/PD_Podlaskie/POL_PD_Bialystok-Krywlany.AP.122950_TMYx.2009-2023.zip")</f>
        <v>https://climate.onebuilding.org/WMO_Region_6_Europe/POL_Poland/PD_Podlaskie/POL_PD_Bialystok-Krywlany.AP.122950_TMYx.2009-2023.zip</v>
      </c>
    </row>
    <row r="9238" spans="1:10" x14ac:dyDescent="0.25">
      <c r="A9238" t="s">
        <v>6811</v>
      </c>
      <c r="B9238" t="s">
        <v>495</v>
      </c>
      <c r="C9238" t="s">
        <v>6900</v>
      </c>
      <c r="D9238">
        <v>122950</v>
      </c>
      <c r="E9238" t="s">
        <v>14</v>
      </c>
      <c r="F9238">
        <v>53.107300000000002</v>
      </c>
      <c r="G9238">
        <v>23.162299999999998</v>
      </c>
      <c r="H9238">
        <v>1</v>
      </c>
      <c r="I9238">
        <v>151</v>
      </c>
      <c r="J9238" t="str">
        <f>HYPERLINK("https://climate.onebuilding.org/WMO_Region_6_Europe/POL_Poland/PD_Podlaskie/POL_PD_Bialystok-Krywlany.AP.122950_TMYx.zip")</f>
        <v>https://climate.onebuilding.org/WMO_Region_6_Europe/POL_Poland/PD_Podlaskie/POL_PD_Bialystok-Krywlany.AP.122950_TMYx.zip</v>
      </c>
    </row>
    <row r="9239" spans="1:10" x14ac:dyDescent="0.25">
      <c r="A9239" t="s">
        <v>6811</v>
      </c>
      <c r="B9239" t="s">
        <v>5472</v>
      </c>
      <c r="C9239" t="s">
        <v>6902</v>
      </c>
      <c r="D9239">
        <v>123000</v>
      </c>
      <c r="E9239" t="s">
        <v>6903</v>
      </c>
      <c r="F9239">
        <v>52.75</v>
      </c>
      <c r="G9239">
        <v>15.282999999999999</v>
      </c>
      <c r="H9239">
        <v>1</v>
      </c>
      <c r="I9239">
        <v>73</v>
      </c>
      <c r="J9239" t="str">
        <f>HYPERLINK("https://climate.onebuilding.org/WMO_Region_6_Europe/POL_Poland/LB_Lubuskie/POL_LB_Gorzow-Wielkopolski.123000_TMYx.2004-2018.zip")</f>
        <v>https://climate.onebuilding.org/WMO_Region_6_Europe/POL_Poland/LB_Lubuskie/POL_LB_Gorzow-Wielkopolski.123000_TMYx.2004-2018.zip</v>
      </c>
    </row>
    <row r="9240" spans="1:10" x14ac:dyDescent="0.25">
      <c r="A9240" t="s">
        <v>6811</v>
      </c>
      <c r="B9240" t="s">
        <v>5472</v>
      </c>
      <c r="C9240" t="s">
        <v>6902</v>
      </c>
      <c r="D9240">
        <v>123000</v>
      </c>
      <c r="E9240" t="s">
        <v>14</v>
      </c>
      <c r="F9240">
        <v>52.741100000000003</v>
      </c>
      <c r="G9240">
        <v>15.277200000000001</v>
      </c>
      <c r="H9240">
        <v>1</v>
      </c>
      <c r="I9240">
        <v>73</v>
      </c>
      <c r="J9240" t="str">
        <f>HYPERLINK("https://climate.onebuilding.org/WMO_Region_6_Europe/POL_Poland/LB_Lubuskie/POL_LB_Gorzow-Wielkopolski.123000_TMYx.2007-2021.zip")</f>
        <v>https://climate.onebuilding.org/WMO_Region_6_Europe/POL_Poland/LB_Lubuskie/POL_LB_Gorzow-Wielkopolski.123000_TMYx.2007-2021.zip</v>
      </c>
    </row>
    <row r="9241" spans="1:10" x14ac:dyDescent="0.25">
      <c r="A9241" t="s">
        <v>6811</v>
      </c>
      <c r="B9241" t="s">
        <v>5472</v>
      </c>
      <c r="C9241" t="s">
        <v>6902</v>
      </c>
      <c r="D9241">
        <v>123000</v>
      </c>
      <c r="E9241" t="s">
        <v>14</v>
      </c>
      <c r="F9241">
        <v>52.741100000000003</v>
      </c>
      <c r="G9241">
        <v>15.277200000000001</v>
      </c>
      <c r="H9241">
        <v>1</v>
      </c>
      <c r="I9241">
        <v>73</v>
      </c>
      <c r="J9241" t="str">
        <f>HYPERLINK("https://climate.onebuilding.org/WMO_Region_6_Europe/POL_Poland/LB_Lubuskie/POL_LB_Gorzow-Wielkopolski.123000_TMYx.2009-2023.zip")</f>
        <v>https://climate.onebuilding.org/WMO_Region_6_Europe/POL_Poland/LB_Lubuskie/POL_LB_Gorzow-Wielkopolski.123000_TMYx.2009-2023.zip</v>
      </c>
    </row>
    <row r="9242" spans="1:10" x14ac:dyDescent="0.25">
      <c r="A9242" t="s">
        <v>6811</v>
      </c>
      <c r="B9242" t="s">
        <v>5472</v>
      </c>
      <c r="C9242" t="s">
        <v>6902</v>
      </c>
      <c r="D9242">
        <v>123000</v>
      </c>
      <c r="E9242" t="s">
        <v>14</v>
      </c>
      <c r="F9242">
        <v>52.741100000000003</v>
      </c>
      <c r="G9242">
        <v>15.277200000000001</v>
      </c>
      <c r="H9242">
        <v>1</v>
      </c>
      <c r="I9242">
        <v>73</v>
      </c>
      <c r="J9242" t="str">
        <f>HYPERLINK("https://climate.onebuilding.org/WMO_Region_6_Europe/POL_Poland/LB_Lubuskie/POL_LB_Gorzow-Wielkopolski.123000_TMYx.zip")</f>
        <v>https://climate.onebuilding.org/WMO_Region_6_Europe/POL_Poland/LB_Lubuskie/POL_LB_Gorzow-Wielkopolski.123000_TMYx.zip</v>
      </c>
    </row>
    <row r="9243" spans="1:10" x14ac:dyDescent="0.25">
      <c r="A9243" t="s">
        <v>6811</v>
      </c>
      <c r="B9243" t="s">
        <v>5472</v>
      </c>
      <c r="C9243" t="s">
        <v>6904</v>
      </c>
      <c r="D9243">
        <v>123100</v>
      </c>
      <c r="E9243" t="s">
        <v>6905</v>
      </c>
      <c r="F9243">
        <v>52.35</v>
      </c>
      <c r="G9243">
        <v>14.6</v>
      </c>
      <c r="H9243">
        <v>1</v>
      </c>
      <c r="I9243">
        <v>24</v>
      </c>
      <c r="J9243" t="str">
        <f>HYPERLINK("https://climate.onebuilding.org/WMO_Region_6_Europe/POL_Poland/LB_Lubuskie/POL_LB_Slubice.123100_TMYx.2004-2018.zip")</f>
        <v>https://climate.onebuilding.org/WMO_Region_6_Europe/POL_Poland/LB_Lubuskie/POL_LB_Slubice.123100_TMYx.2004-2018.zip</v>
      </c>
    </row>
    <row r="9244" spans="1:10" x14ac:dyDescent="0.25">
      <c r="A9244" t="s">
        <v>6811</v>
      </c>
      <c r="B9244" t="s">
        <v>5472</v>
      </c>
      <c r="C9244" t="s">
        <v>6904</v>
      </c>
      <c r="D9244">
        <v>123100</v>
      </c>
      <c r="E9244" t="s">
        <v>14</v>
      </c>
      <c r="F9244">
        <v>52.347999999999999</v>
      </c>
      <c r="G9244">
        <v>14.593</v>
      </c>
      <c r="H9244">
        <v>1</v>
      </c>
      <c r="I9244">
        <v>24</v>
      </c>
      <c r="J9244" t="str">
        <f>HYPERLINK("https://climate.onebuilding.org/WMO_Region_6_Europe/POL_Poland/LB_Lubuskie/POL_LB_Slubice.123100_TMYx.2007-2021.zip")</f>
        <v>https://climate.onebuilding.org/WMO_Region_6_Europe/POL_Poland/LB_Lubuskie/POL_LB_Slubice.123100_TMYx.2007-2021.zip</v>
      </c>
    </row>
    <row r="9245" spans="1:10" x14ac:dyDescent="0.25">
      <c r="A9245" t="s">
        <v>6811</v>
      </c>
      <c r="B9245" t="s">
        <v>5472</v>
      </c>
      <c r="C9245" t="s">
        <v>6904</v>
      </c>
      <c r="D9245">
        <v>123100</v>
      </c>
      <c r="E9245" t="s">
        <v>14</v>
      </c>
      <c r="F9245">
        <v>52.347999999999999</v>
      </c>
      <c r="G9245">
        <v>14.593</v>
      </c>
      <c r="H9245">
        <v>1</v>
      </c>
      <c r="I9245">
        <v>24</v>
      </c>
      <c r="J9245" t="str">
        <f>HYPERLINK("https://climate.onebuilding.org/WMO_Region_6_Europe/POL_Poland/LB_Lubuskie/POL_LB_Slubice.123100_TMYx.2009-2023.zip")</f>
        <v>https://climate.onebuilding.org/WMO_Region_6_Europe/POL_Poland/LB_Lubuskie/POL_LB_Slubice.123100_TMYx.2009-2023.zip</v>
      </c>
    </row>
    <row r="9246" spans="1:10" x14ac:dyDescent="0.25">
      <c r="A9246" t="s">
        <v>6811</v>
      </c>
      <c r="B9246" t="s">
        <v>5472</v>
      </c>
      <c r="C9246" t="s">
        <v>6904</v>
      </c>
      <c r="D9246">
        <v>123100</v>
      </c>
      <c r="E9246" t="s">
        <v>14</v>
      </c>
      <c r="F9246">
        <v>52.347999999999999</v>
      </c>
      <c r="G9246">
        <v>14.593</v>
      </c>
      <c r="H9246">
        <v>1</v>
      </c>
      <c r="I9246">
        <v>24</v>
      </c>
      <c r="J9246" t="str">
        <f>HYPERLINK("https://climate.onebuilding.org/WMO_Region_6_Europe/POL_Poland/LB_Lubuskie/POL_LB_Slubice.123100_TMYx.zip")</f>
        <v>https://climate.onebuilding.org/WMO_Region_6_Europe/POL_Poland/LB_Lubuskie/POL_LB_Slubice.123100_TMYx.zip</v>
      </c>
    </row>
    <row r="9247" spans="1:10" x14ac:dyDescent="0.25">
      <c r="A9247" t="s">
        <v>6811</v>
      </c>
      <c r="B9247" t="s">
        <v>5472</v>
      </c>
      <c r="C9247" t="s">
        <v>6906</v>
      </c>
      <c r="D9247">
        <v>123120</v>
      </c>
      <c r="E9247" t="s">
        <v>14</v>
      </c>
      <c r="F9247">
        <v>52.139000000000003</v>
      </c>
      <c r="G9247">
        <v>15.798999999999999</v>
      </c>
      <c r="H9247">
        <v>1</v>
      </c>
      <c r="I9247">
        <v>59.1</v>
      </c>
      <c r="J9247" t="str">
        <f>HYPERLINK("https://climate.onebuilding.org/WMO_Region_6_Europe/POL_Poland/LB_Lubuskie/POL_LB_Babimost.Rgnl.AP.123120_TMYx.2007-2021.zip")</f>
        <v>https://climate.onebuilding.org/WMO_Region_6_Europe/POL_Poland/LB_Lubuskie/POL_LB_Babimost.Rgnl.AP.123120_TMYx.2007-2021.zip</v>
      </c>
    </row>
    <row r="9248" spans="1:10" x14ac:dyDescent="0.25">
      <c r="A9248" t="s">
        <v>6811</v>
      </c>
      <c r="B9248" t="s">
        <v>5472</v>
      </c>
      <c r="C9248" t="s">
        <v>6906</v>
      </c>
      <c r="D9248">
        <v>123120</v>
      </c>
      <c r="E9248" t="s">
        <v>14</v>
      </c>
      <c r="F9248">
        <v>52.139000000000003</v>
      </c>
      <c r="G9248">
        <v>15.798999999999999</v>
      </c>
      <c r="H9248">
        <v>1</v>
      </c>
      <c r="I9248">
        <v>59.1</v>
      </c>
      <c r="J9248" t="str">
        <f>HYPERLINK("https://climate.onebuilding.org/WMO_Region_6_Europe/POL_Poland/LB_Lubuskie/POL_LB_Babimost.Rgnl.AP.123120_TMYx.2009-2023.zip")</f>
        <v>https://climate.onebuilding.org/WMO_Region_6_Europe/POL_Poland/LB_Lubuskie/POL_LB_Babimost.Rgnl.AP.123120_TMYx.2009-2023.zip</v>
      </c>
    </row>
    <row r="9249" spans="1:10" x14ac:dyDescent="0.25">
      <c r="A9249" t="s">
        <v>6811</v>
      </c>
      <c r="B9249" t="s">
        <v>5472</v>
      </c>
      <c r="C9249" t="s">
        <v>6906</v>
      </c>
      <c r="D9249">
        <v>123120</v>
      </c>
      <c r="E9249" t="s">
        <v>14</v>
      </c>
      <c r="F9249">
        <v>52.139000000000003</v>
      </c>
      <c r="G9249">
        <v>15.798999999999999</v>
      </c>
      <c r="H9249">
        <v>1</v>
      </c>
      <c r="I9249">
        <v>59.1</v>
      </c>
      <c r="J9249" t="str">
        <f>HYPERLINK("https://climate.onebuilding.org/WMO_Region_6_Europe/POL_Poland/LB_Lubuskie/POL_LB_Babimost.Rgnl.AP.123120_TMYx.zip")</f>
        <v>https://climate.onebuilding.org/WMO_Region_6_Europe/POL_Poland/LB_Lubuskie/POL_LB_Babimost.Rgnl.AP.123120_TMYx.zip</v>
      </c>
    </row>
    <row r="9250" spans="1:10" x14ac:dyDescent="0.25">
      <c r="A9250" t="s">
        <v>6811</v>
      </c>
      <c r="B9250" t="s">
        <v>6876</v>
      </c>
      <c r="C9250" t="s">
        <v>6907</v>
      </c>
      <c r="D9250">
        <v>123260</v>
      </c>
      <c r="E9250" t="s">
        <v>6908</v>
      </c>
      <c r="F9250">
        <v>52.332000000000001</v>
      </c>
      <c r="G9250">
        <v>16.966000000000001</v>
      </c>
      <c r="H9250">
        <v>1</v>
      </c>
      <c r="I9250">
        <v>80.8</v>
      </c>
      <c r="J9250" t="str">
        <f>HYPERLINK("https://climate.onebuilding.org/WMO_Region_6_Europe/POL_Poland/WP_Wielkopolskie/POL_WP_Poznan-Krzesiny.AP.123260_TMYx.2004-2018.zip")</f>
        <v>https://climate.onebuilding.org/WMO_Region_6_Europe/POL_Poland/WP_Wielkopolskie/POL_WP_Poznan-Krzesiny.AP.123260_TMYx.2004-2018.zip</v>
      </c>
    </row>
    <row r="9251" spans="1:10" x14ac:dyDescent="0.25">
      <c r="A9251" t="s">
        <v>6811</v>
      </c>
      <c r="B9251" t="s">
        <v>6876</v>
      </c>
      <c r="C9251" t="s">
        <v>6907</v>
      </c>
      <c r="D9251">
        <v>123260</v>
      </c>
      <c r="E9251" t="s">
        <v>14</v>
      </c>
      <c r="F9251">
        <v>52.332000000000001</v>
      </c>
      <c r="G9251">
        <v>16.966000000000001</v>
      </c>
      <c r="H9251">
        <v>1</v>
      </c>
      <c r="I9251">
        <v>80.8</v>
      </c>
      <c r="J9251" t="str">
        <f>HYPERLINK("https://climate.onebuilding.org/WMO_Region_6_Europe/POL_Poland/WP_Wielkopolskie/POL_WP_Poznan-Krzesiny.AP.123260_TMYx.2007-2021.zip")</f>
        <v>https://climate.onebuilding.org/WMO_Region_6_Europe/POL_Poland/WP_Wielkopolskie/POL_WP_Poznan-Krzesiny.AP.123260_TMYx.2007-2021.zip</v>
      </c>
    </row>
    <row r="9252" spans="1:10" x14ac:dyDescent="0.25">
      <c r="A9252" t="s">
        <v>6811</v>
      </c>
      <c r="B9252" t="s">
        <v>6876</v>
      </c>
      <c r="C9252" t="s">
        <v>6907</v>
      </c>
      <c r="D9252">
        <v>123260</v>
      </c>
      <c r="E9252" t="s">
        <v>14</v>
      </c>
      <c r="F9252">
        <v>52.332000000000001</v>
      </c>
      <c r="G9252">
        <v>16.966000000000001</v>
      </c>
      <c r="H9252">
        <v>1</v>
      </c>
      <c r="I9252">
        <v>80.8</v>
      </c>
      <c r="J9252" t="str">
        <f>HYPERLINK("https://climate.onebuilding.org/WMO_Region_6_Europe/POL_Poland/WP_Wielkopolskie/POL_WP_Poznan-Krzesiny.AP.123260_TMYx.2009-2023.zip")</f>
        <v>https://climate.onebuilding.org/WMO_Region_6_Europe/POL_Poland/WP_Wielkopolskie/POL_WP_Poznan-Krzesiny.AP.123260_TMYx.2009-2023.zip</v>
      </c>
    </row>
    <row r="9253" spans="1:10" x14ac:dyDescent="0.25">
      <c r="A9253" t="s">
        <v>6811</v>
      </c>
      <c r="B9253" t="s">
        <v>6876</v>
      </c>
      <c r="C9253" t="s">
        <v>6907</v>
      </c>
      <c r="D9253">
        <v>123260</v>
      </c>
      <c r="E9253" t="s">
        <v>14</v>
      </c>
      <c r="F9253">
        <v>52.332000000000001</v>
      </c>
      <c r="G9253">
        <v>16.966000000000001</v>
      </c>
      <c r="H9253">
        <v>1</v>
      </c>
      <c r="I9253">
        <v>80.8</v>
      </c>
      <c r="J9253" t="str">
        <f>HYPERLINK("https://climate.onebuilding.org/WMO_Region_6_Europe/POL_Poland/WP_Wielkopolskie/POL_WP_Poznan-Krzesiny.AP.123260_TMYx.zip")</f>
        <v>https://climate.onebuilding.org/WMO_Region_6_Europe/POL_Poland/WP_Wielkopolskie/POL_WP_Poznan-Krzesiny.AP.123260_TMYx.zip</v>
      </c>
    </row>
    <row r="9254" spans="1:10" x14ac:dyDescent="0.25">
      <c r="A9254" t="s">
        <v>6811</v>
      </c>
      <c r="B9254" t="s">
        <v>6876</v>
      </c>
      <c r="C9254" t="s">
        <v>6909</v>
      </c>
      <c r="D9254">
        <v>123300</v>
      </c>
      <c r="E9254" t="s">
        <v>6910</v>
      </c>
      <c r="F9254">
        <v>52.420999999999999</v>
      </c>
      <c r="G9254">
        <v>16.826000000000001</v>
      </c>
      <c r="H9254">
        <v>1</v>
      </c>
      <c r="I9254">
        <v>93.9</v>
      </c>
      <c r="J9254" t="str">
        <f>HYPERLINK("https://climate.onebuilding.org/WMO_Region_6_Europe/POL_Poland/WP_Wielkopolskie/POL_WP_Poznan-Lawica-Wieniawski.AP.123300_TMYx.2004-2018.zip")</f>
        <v>https://climate.onebuilding.org/WMO_Region_6_Europe/POL_Poland/WP_Wielkopolskie/POL_WP_Poznan-Lawica-Wieniawski.AP.123300_TMYx.2004-2018.zip</v>
      </c>
    </row>
    <row r="9255" spans="1:10" x14ac:dyDescent="0.25">
      <c r="A9255" t="s">
        <v>6811</v>
      </c>
      <c r="B9255" t="s">
        <v>6876</v>
      </c>
      <c r="C9255" t="s">
        <v>6909</v>
      </c>
      <c r="D9255">
        <v>123300</v>
      </c>
      <c r="E9255" t="s">
        <v>14</v>
      </c>
      <c r="F9255">
        <v>52.416699999999999</v>
      </c>
      <c r="G9255">
        <v>16.834700000000002</v>
      </c>
      <c r="H9255">
        <v>1</v>
      </c>
      <c r="I9255">
        <v>93.9</v>
      </c>
      <c r="J9255" t="str">
        <f>HYPERLINK("https://climate.onebuilding.org/WMO_Region_6_Europe/POL_Poland/WP_Wielkopolskie/POL_WP_Poznan-Lawica-Wieniawski.AP.123300_TMYx.2007-2021.zip")</f>
        <v>https://climate.onebuilding.org/WMO_Region_6_Europe/POL_Poland/WP_Wielkopolskie/POL_WP_Poznan-Lawica-Wieniawski.AP.123300_TMYx.2007-2021.zip</v>
      </c>
    </row>
    <row r="9256" spans="1:10" x14ac:dyDescent="0.25">
      <c r="A9256" t="s">
        <v>6811</v>
      </c>
      <c r="B9256" t="s">
        <v>6876</v>
      </c>
      <c r="C9256" t="s">
        <v>6909</v>
      </c>
      <c r="D9256">
        <v>123300</v>
      </c>
      <c r="E9256" t="s">
        <v>14</v>
      </c>
      <c r="F9256">
        <v>52.416699999999999</v>
      </c>
      <c r="G9256">
        <v>16.834700000000002</v>
      </c>
      <c r="H9256">
        <v>1</v>
      </c>
      <c r="I9256">
        <v>93.9</v>
      </c>
      <c r="J9256" t="str">
        <f>HYPERLINK("https://climate.onebuilding.org/WMO_Region_6_Europe/POL_Poland/WP_Wielkopolskie/POL_WP_Poznan-Lawica-Wieniawski.AP.123300_TMYx.2009-2023.zip")</f>
        <v>https://climate.onebuilding.org/WMO_Region_6_Europe/POL_Poland/WP_Wielkopolskie/POL_WP_Poznan-Lawica-Wieniawski.AP.123300_TMYx.2009-2023.zip</v>
      </c>
    </row>
    <row r="9257" spans="1:10" x14ac:dyDescent="0.25">
      <c r="A9257" t="s">
        <v>6811</v>
      </c>
      <c r="B9257" t="s">
        <v>6876</v>
      </c>
      <c r="C9257" t="s">
        <v>6909</v>
      </c>
      <c r="D9257">
        <v>123300</v>
      </c>
      <c r="E9257" t="s">
        <v>14</v>
      </c>
      <c r="F9257">
        <v>52.416699999999999</v>
      </c>
      <c r="G9257">
        <v>16.834700000000002</v>
      </c>
      <c r="H9257">
        <v>1</v>
      </c>
      <c r="I9257">
        <v>93.9</v>
      </c>
      <c r="J9257" t="str">
        <f>HYPERLINK("https://climate.onebuilding.org/WMO_Region_6_Europe/POL_Poland/WP_Wielkopolskie/POL_WP_Poznan-Lawica-Wieniawski.AP.123300_TMYx.zip")</f>
        <v>https://climate.onebuilding.org/WMO_Region_6_Europe/POL_Poland/WP_Wielkopolskie/POL_WP_Poznan-Lawica-Wieniawski.AP.123300_TMYx.zip</v>
      </c>
    </row>
    <row r="9258" spans="1:10" x14ac:dyDescent="0.25">
      <c r="A9258" t="s">
        <v>6811</v>
      </c>
      <c r="B9258" t="s">
        <v>6876</v>
      </c>
      <c r="C9258" t="s">
        <v>6911</v>
      </c>
      <c r="D9258">
        <v>123360</v>
      </c>
      <c r="E9258" t="s">
        <v>6912</v>
      </c>
      <c r="F9258">
        <v>52.378999999999998</v>
      </c>
      <c r="G9258">
        <v>17.853999999999999</v>
      </c>
      <c r="H9258">
        <v>1</v>
      </c>
      <c r="I9258">
        <v>113.1</v>
      </c>
      <c r="J9258" t="str">
        <f>HYPERLINK("https://climate.onebuilding.org/WMO_Region_6_Europe/POL_Poland/WP_Wielkopolskie/POL_WP_Powidz.123360_TMYx.2004-2018.zip")</f>
        <v>https://climate.onebuilding.org/WMO_Region_6_Europe/POL_Poland/WP_Wielkopolskie/POL_WP_Powidz.123360_TMYx.2004-2018.zip</v>
      </c>
    </row>
    <row r="9259" spans="1:10" x14ac:dyDescent="0.25">
      <c r="A9259" t="s">
        <v>6811</v>
      </c>
      <c r="B9259" t="s">
        <v>6876</v>
      </c>
      <c r="C9259" t="s">
        <v>6911</v>
      </c>
      <c r="D9259">
        <v>123360</v>
      </c>
      <c r="E9259" t="s">
        <v>14</v>
      </c>
      <c r="F9259">
        <v>52.378999999999998</v>
      </c>
      <c r="G9259">
        <v>17.853999999999999</v>
      </c>
      <c r="H9259">
        <v>1</v>
      </c>
      <c r="I9259">
        <v>113.1</v>
      </c>
      <c r="J9259" t="str">
        <f>HYPERLINK("https://climate.onebuilding.org/WMO_Region_6_Europe/POL_Poland/WP_Wielkopolskie/POL_WP_Powidz.123360_TMYx.2007-2021.zip")</f>
        <v>https://climate.onebuilding.org/WMO_Region_6_Europe/POL_Poland/WP_Wielkopolskie/POL_WP_Powidz.123360_TMYx.2007-2021.zip</v>
      </c>
    </row>
    <row r="9260" spans="1:10" x14ac:dyDescent="0.25">
      <c r="A9260" t="s">
        <v>6811</v>
      </c>
      <c r="B9260" t="s">
        <v>6876</v>
      </c>
      <c r="C9260" t="s">
        <v>6911</v>
      </c>
      <c r="D9260">
        <v>123360</v>
      </c>
      <c r="E9260" t="s">
        <v>14</v>
      </c>
      <c r="F9260">
        <v>52.378999999999998</v>
      </c>
      <c r="G9260">
        <v>17.853999999999999</v>
      </c>
      <c r="H9260">
        <v>1</v>
      </c>
      <c r="I9260">
        <v>113.1</v>
      </c>
      <c r="J9260" t="str">
        <f>HYPERLINK("https://climate.onebuilding.org/WMO_Region_6_Europe/POL_Poland/WP_Wielkopolskie/POL_WP_Powidz.123360_TMYx.2009-2023.zip")</f>
        <v>https://climate.onebuilding.org/WMO_Region_6_Europe/POL_Poland/WP_Wielkopolskie/POL_WP_Powidz.123360_TMYx.2009-2023.zip</v>
      </c>
    </row>
    <row r="9261" spans="1:10" x14ac:dyDescent="0.25">
      <c r="A9261" t="s">
        <v>6811</v>
      </c>
      <c r="B9261" t="s">
        <v>6876</v>
      </c>
      <c r="C9261" t="s">
        <v>6911</v>
      </c>
      <c r="D9261">
        <v>123360</v>
      </c>
      <c r="E9261" t="s">
        <v>14</v>
      </c>
      <c r="F9261">
        <v>52.378999999999998</v>
      </c>
      <c r="G9261">
        <v>17.853999999999999</v>
      </c>
      <c r="H9261">
        <v>1</v>
      </c>
      <c r="I9261">
        <v>113.1</v>
      </c>
      <c r="J9261" t="str">
        <f>HYPERLINK("https://climate.onebuilding.org/WMO_Region_6_Europe/POL_Poland/WP_Wielkopolskie/POL_WP_Powidz.123360_TMYx.zip")</f>
        <v>https://climate.onebuilding.org/WMO_Region_6_Europe/POL_Poland/WP_Wielkopolskie/POL_WP_Powidz.123360_TMYx.zip</v>
      </c>
    </row>
    <row r="9262" spans="1:10" x14ac:dyDescent="0.25">
      <c r="A9262" t="s">
        <v>6811</v>
      </c>
      <c r="B9262" t="s">
        <v>6876</v>
      </c>
      <c r="C9262" t="s">
        <v>6913</v>
      </c>
      <c r="D9262">
        <v>123450</v>
      </c>
      <c r="E9262" t="s">
        <v>6914</v>
      </c>
      <c r="F9262">
        <v>52.2</v>
      </c>
      <c r="G9262">
        <v>18.667000000000002</v>
      </c>
      <c r="H9262">
        <v>1</v>
      </c>
      <c r="I9262">
        <v>117</v>
      </c>
      <c r="J9262" t="str">
        <f>HYPERLINK("https://climate.onebuilding.org/WMO_Region_6_Europe/POL_Poland/WP_Wielkopolskie/POL_WP_Kolo.123450_TMYx.2004-2018.zip")</f>
        <v>https://climate.onebuilding.org/WMO_Region_6_Europe/POL_Poland/WP_Wielkopolskie/POL_WP_Kolo.123450_TMYx.2004-2018.zip</v>
      </c>
    </row>
    <row r="9263" spans="1:10" x14ac:dyDescent="0.25">
      <c r="A9263" t="s">
        <v>6811</v>
      </c>
      <c r="B9263" t="s">
        <v>6876</v>
      </c>
      <c r="C9263" t="s">
        <v>6913</v>
      </c>
      <c r="D9263">
        <v>123450</v>
      </c>
      <c r="E9263" t="s">
        <v>14</v>
      </c>
      <c r="F9263">
        <v>52.199800000000003</v>
      </c>
      <c r="G9263">
        <v>18.6602</v>
      </c>
      <c r="H9263">
        <v>1</v>
      </c>
      <c r="I9263">
        <v>117</v>
      </c>
      <c r="J9263" t="str">
        <f>HYPERLINK("https://climate.onebuilding.org/WMO_Region_6_Europe/POL_Poland/WP_Wielkopolskie/POL_WP_Kolo.123450_TMYx.2007-2021.zip")</f>
        <v>https://climate.onebuilding.org/WMO_Region_6_Europe/POL_Poland/WP_Wielkopolskie/POL_WP_Kolo.123450_TMYx.2007-2021.zip</v>
      </c>
    </row>
    <row r="9264" spans="1:10" x14ac:dyDescent="0.25">
      <c r="A9264" t="s">
        <v>6811</v>
      </c>
      <c r="B9264" t="s">
        <v>6876</v>
      </c>
      <c r="C9264" t="s">
        <v>6913</v>
      </c>
      <c r="D9264">
        <v>123450</v>
      </c>
      <c r="E9264" t="s">
        <v>14</v>
      </c>
      <c r="F9264">
        <v>52.199800000000003</v>
      </c>
      <c r="G9264">
        <v>18.6602</v>
      </c>
      <c r="H9264">
        <v>1</v>
      </c>
      <c r="I9264">
        <v>117</v>
      </c>
      <c r="J9264" t="str">
        <f>HYPERLINK("https://climate.onebuilding.org/WMO_Region_6_Europe/POL_Poland/WP_Wielkopolskie/POL_WP_Kolo.123450_TMYx.2009-2023.zip")</f>
        <v>https://climate.onebuilding.org/WMO_Region_6_Europe/POL_Poland/WP_Wielkopolskie/POL_WP_Kolo.123450_TMYx.2009-2023.zip</v>
      </c>
    </row>
    <row r="9265" spans="1:10" x14ac:dyDescent="0.25">
      <c r="A9265" t="s">
        <v>6811</v>
      </c>
      <c r="B9265" t="s">
        <v>6876</v>
      </c>
      <c r="C9265" t="s">
        <v>6913</v>
      </c>
      <c r="D9265">
        <v>123450</v>
      </c>
      <c r="E9265" t="s">
        <v>14</v>
      </c>
      <c r="F9265">
        <v>52.199800000000003</v>
      </c>
      <c r="G9265">
        <v>18.6602</v>
      </c>
      <c r="H9265">
        <v>1</v>
      </c>
      <c r="I9265">
        <v>117</v>
      </c>
      <c r="J9265" t="str">
        <f>HYPERLINK("https://climate.onebuilding.org/WMO_Region_6_Europe/POL_Poland/WP_Wielkopolskie/POL_WP_Kolo.123450_TMYx.zip")</f>
        <v>https://climate.onebuilding.org/WMO_Region_6_Europe/POL_Poland/WP_Wielkopolskie/POL_WP_Kolo.123450_TMYx.zip</v>
      </c>
    </row>
    <row r="9266" spans="1:10" x14ac:dyDescent="0.25">
      <c r="A9266" t="s">
        <v>6811</v>
      </c>
      <c r="B9266" t="s">
        <v>6828</v>
      </c>
      <c r="C9266" t="s">
        <v>6915</v>
      </c>
      <c r="D9266">
        <v>123600</v>
      </c>
      <c r="E9266" t="s">
        <v>6916</v>
      </c>
      <c r="F9266">
        <v>52.582999999999998</v>
      </c>
      <c r="G9266">
        <v>19.733000000000001</v>
      </c>
      <c r="H9266">
        <v>1</v>
      </c>
      <c r="I9266">
        <v>109</v>
      </c>
      <c r="J9266" t="str">
        <f>HYPERLINK("https://climate.onebuilding.org/WMO_Region_6_Europe/POL_Poland/MZ_Mazowieckie/POL_MZ_Plock.123600_TMYx.2004-2018.zip")</f>
        <v>https://climate.onebuilding.org/WMO_Region_6_Europe/POL_Poland/MZ_Mazowieckie/POL_MZ_Plock.123600_TMYx.2004-2018.zip</v>
      </c>
    </row>
    <row r="9267" spans="1:10" x14ac:dyDescent="0.25">
      <c r="A9267" t="s">
        <v>6811</v>
      </c>
      <c r="B9267" t="s">
        <v>6828</v>
      </c>
      <c r="C9267" t="s">
        <v>6915</v>
      </c>
      <c r="D9267">
        <v>123600</v>
      </c>
      <c r="E9267" t="s">
        <v>14</v>
      </c>
      <c r="F9267">
        <v>52.588299999999997</v>
      </c>
      <c r="G9267">
        <v>19.7258</v>
      </c>
      <c r="H9267">
        <v>1</v>
      </c>
      <c r="I9267">
        <v>109</v>
      </c>
      <c r="J9267" t="str">
        <f>HYPERLINK("https://climate.onebuilding.org/WMO_Region_6_Europe/POL_Poland/MZ_Mazowieckie/POL_MZ_Plock.123600_TMYx.2007-2021.zip")</f>
        <v>https://climate.onebuilding.org/WMO_Region_6_Europe/POL_Poland/MZ_Mazowieckie/POL_MZ_Plock.123600_TMYx.2007-2021.zip</v>
      </c>
    </row>
    <row r="9268" spans="1:10" x14ac:dyDescent="0.25">
      <c r="A9268" t="s">
        <v>6811</v>
      </c>
      <c r="B9268" t="s">
        <v>6828</v>
      </c>
      <c r="C9268" t="s">
        <v>6915</v>
      </c>
      <c r="D9268">
        <v>123600</v>
      </c>
      <c r="E9268" t="s">
        <v>14</v>
      </c>
      <c r="F9268">
        <v>52.588299999999997</v>
      </c>
      <c r="G9268">
        <v>19.7258</v>
      </c>
      <c r="H9268">
        <v>1</v>
      </c>
      <c r="I9268">
        <v>109</v>
      </c>
      <c r="J9268" t="str">
        <f>HYPERLINK("https://climate.onebuilding.org/WMO_Region_6_Europe/POL_Poland/MZ_Mazowieckie/POL_MZ_Plock.123600_TMYx.2009-2023.zip")</f>
        <v>https://climate.onebuilding.org/WMO_Region_6_Europe/POL_Poland/MZ_Mazowieckie/POL_MZ_Plock.123600_TMYx.2009-2023.zip</v>
      </c>
    </row>
    <row r="9269" spans="1:10" x14ac:dyDescent="0.25">
      <c r="A9269" t="s">
        <v>6811</v>
      </c>
      <c r="B9269" t="s">
        <v>6828</v>
      </c>
      <c r="C9269" t="s">
        <v>6915</v>
      </c>
      <c r="D9269">
        <v>123600</v>
      </c>
      <c r="E9269" t="s">
        <v>14</v>
      </c>
      <c r="F9269">
        <v>52.588299999999997</v>
      </c>
      <c r="G9269">
        <v>19.7258</v>
      </c>
      <c r="H9269">
        <v>1</v>
      </c>
      <c r="I9269">
        <v>109</v>
      </c>
      <c r="J9269" t="str">
        <f>HYPERLINK("https://climate.onebuilding.org/WMO_Region_6_Europe/POL_Poland/MZ_Mazowieckie/POL_MZ_Plock.123600_TMYx.zip")</f>
        <v>https://climate.onebuilding.org/WMO_Region_6_Europe/POL_Poland/MZ_Mazowieckie/POL_MZ_Plock.123600_TMYx.zip</v>
      </c>
    </row>
    <row r="9270" spans="1:10" x14ac:dyDescent="0.25">
      <c r="A9270" t="s">
        <v>6811</v>
      </c>
      <c r="B9270" t="s">
        <v>6828</v>
      </c>
      <c r="C9270" t="s">
        <v>6917</v>
      </c>
      <c r="D9270">
        <v>123750</v>
      </c>
      <c r="E9270" t="s">
        <v>6918</v>
      </c>
      <c r="F9270">
        <v>52.165999999999997</v>
      </c>
      <c r="G9270">
        <v>20.966999999999999</v>
      </c>
      <c r="H9270">
        <v>1</v>
      </c>
      <c r="I9270">
        <v>110.3</v>
      </c>
      <c r="J9270" t="str">
        <f>HYPERLINK("https://climate.onebuilding.org/WMO_Region_6_Europe/POL_Poland/MZ_Mazowieckie/POL_MZ_Okecie-Warszawa-Chopina.Intl.AP.123750_TMYx.2004-2018.zip")</f>
        <v>https://climate.onebuilding.org/WMO_Region_6_Europe/POL_Poland/MZ_Mazowieckie/POL_MZ_Okecie-Warszawa-Chopina.Intl.AP.123750_TMYx.2004-2018.zip</v>
      </c>
    </row>
    <row r="9271" spans="1:10" x14ac:dyDescent="0.25">
      <c r="A9271" t="s">
        <v>6811</v>
      </c>
      <c r="B9271" t="s">
        <v>6828</v>
      </c>
      <c r="C9271" t="s">
        <v>6917</v>
      </c>
      <c r="D9271">
        <v>123750</v>
      </c>
      <c r="E9271" t="s">
        <v>14</v>
      </c>
      <c r="F9271">
        <v>52.162799999999997</v>
      </c>
      <c r="G9271">
        <v>20.961099999999998</v>
      </c>
      <c r="H9271">
        <v>1</v>
      </c>
      <c r="I9271">
        <v>110.3</v>
      </c>
      <c r="J9271" t="str">
        <f>HYPERLINK("https://climate.onebuilding.org/WMO_Region_6_Europe/POL_Poland/MZ_Mazowieckie/POL_MZ_Okecie-Warszawa-Chopina.Intl.AP.123750_TMYx.2007-2021.zip")</f>
        <v>https://climate.onebuilding.org/WMO_Region_6_Europe/POL_Poland/MZ_Mazowieckie/POL_MZ_Okecie-Warszawa-Chopina.Intl.AP.123750_TMYx.2007-2021.zip</v>
      </c>
    </row>
    <row r="9272" spans="1:10" x14ac:dyDescent="0.25">
      <c r="A9272" t="s">
        <v>6811</v>
      </c>
      <c r="B9272" t="s">
        <v>6828</v>
      </c>
      <c r="C9272" t="s">
        <v>6917</v>
      </c>
      <c r="D9272">
        <v>123750</v>
      </c>
      <c r="E9272" t="s">
        <v>14</v>
      </c>
      <c r="F9272">
        <v>52.162799999999997</v>
      </c>
      <c r="G9272">
        <v>20.961099999999998</v>
      </c>
      <c r="H9272">
        <v>1</v>
      </c>
      <c r="I9272">
        <v>110.3</v>
      </c>
      <c r="J9272" t="str">
        <f>HYPERLINK("https://climate.onebuilding.org/WMO_Region_6_Europe/POL_Poland/MZ_Mazowieckie/POL_MZ_Okecie-Warszawa-Chopina.Intl.AP.123750_TMYx.2009-2023.zip")</f>
        <v>https://climate.onebuilding.org/WMO_Region_6_Europe/POL_Poland/MZ_Mazowieckie/POL_MZ_Okecie-Warszawa-Chopina.Intl.AP.123750_TMYx.2009-2023.zip</v>
      </c>
    </row>
    <row r="9273" spans="1:10" x14ac:dyDescent="0.25">
      <c r="A9273" t="s">
        <v>6811</v>
      </c>
      <c r="B9273" t="s">
        <v>6828</v>
      </c>
      <c r="C9273" t="s">
        <v>6917</v>
      </c>
      <c r="D9273">
        <v>123750</v>
      </c>
      <c r="E9273" t="s">
        <v>14</v>
      </c>
      <c r="F9273">
        <v>52.162799999999997</v>
      </c>
      <c r="G9273">
        <v>20.961099999999998</v>
      </c>
      <c r="H9273">
        <v>1</v>
      </c>
      <c r="I9273">
        <v>110.3</v>
      </c>
      <c r="J9273" t="str">
        <f>HYPERLINK("https://climate.onebuilding.org/WMO_Region_6_Europe/POL_Poland/MZ_Mazowieckie/POL_MZ_Okecie-Warszawa-Chopina.Intl.AP.123750_TMYx.zip")</f>
        <v>https://climate.onebuilding.org/WMO_Region_6_Europe/POL_Poland/MZ_Mazowieckie/POL_MZ_Okecie-Warszawa-Chopina.Intl.AP.123750_TMYx.zip</v>
      </c>
    </row>
    <row r="9274" spans="1:10" x14ac:dyDescent="0.25">
      <c r="A9274" t="s">
        <v>6811</v>
      </c>
      <c r="B9274" t="s">
        <v>6828</v>
      </c>
      <c r="C9274" t="s">
        <v>6919</v>
      </c>
      <c r="D9274">
        <v>123760</v>
      </c>
      <c r="E9274" t="s">
        <v>6920</v>
      </c>
      <c r="F9274">
        <v>52.195999999999998</v>
      </c>
      <c r="G9274">
        <v>21.655999999999999</v>
      </c>
      <c r="H9274">
        <v>1</v>
      </c>
      <c r="I9274">
        <v>184.1</v>
      </c>
      <c r="J9274" t="str">
        <f>HYPERLINK("https://climate.onebuilding.org/WMO_Region_6_Europe/POL_Poland/MZ_Mazowieckie/POL_MZ_Minsk-Mazowiecki.AP.123760_TMYx.2004-2018.zip")</f>
        <v>https://climate.onebuilding.org/WMO_Region_6_Europe/POL_Poland/MZ_Mazowieckie/POL_MZ_Minsk-Mazowiecki.AP.123760_TMYx.2004-2018.zip</v>
      </c>
    </row>
    <row r="9275" spans="1:10" x14ac:dyDescent="0.25">
      <c r="A9275" t="s">
        <v>6811</v>
      </c>
      <c r="B9275" t="s">
        <v>6828</v>
      </c>
      <c r="C9275" t="s">
        <v>6919</v>
      </c>
      <c r="D9275">
        <v>123760</v>
      </c>
      <c r="E9275" t="s">
        <v>14</v>
      </c>
      <c r="F9275">
        <v>52.1922</v>
      </c>
      <c r="G9275">
        <v>21.663499999999999</v>
      </c>
      <c r="H9275">
        <v>1</v>
      </c>
      <c r="I9275">
        <v>184.1</v>
      </c>
      <c r="J9275" t="str">
        <f>HYPERLINK("https://climate.onebuilding.org/WMO_Region_6_Europe/POL_Poland/MZ_Mazowieckie/POL_MZ_Minsk-Mazowiecki.AP.123760_TMYx.2007-2021.zip")</f>
        <v>https://climate.onebuilding.org/WMO_Region_6_Europe/POL_Poland/MZ_Mazowieckie/POL_MZ_Minsk-Mazowiecki.AP.123760_TMYx.2007-2021.zip</v>
      </c>
    </row>
    <row r="9276" spans="1:10" x14ac:dyDescent="0.25">
      <c r="A9276" t="s">
        <v>6811</v>
      </c>
      <c r="B9276" t="s">
        <v>6828</v>
      </c>
      <c r="C9276" t="s">
        <v>6919</v>
      </c>
      <c r="D9276">
        <v>123760</v>
      </c>
      <c r="E9276" t="s">
        <v>14</v>
      </c>
      <c r="F9276">
        <v>52.1922</v>
      </c>
      <c r="G9276">
        <v>21.663499999999999</v>
      </c>
      <c r="H9276">
        <v>1</v>
      </c>
      <c r="I9276">
        <v>184.1</v>
      </c>
      <c r="J9276" t="str">
        <f>HYPERLINK("https://climate.onebuilding.org/WMO_Region_6_Europe/POL_Poland/MZ_Mazowieckie/POL_MZ_Minsk-Mazowiecki.AP.123760_TMYx.2009-2023.zip")</f>
        <v>https://climate.onebuilding.org/WMO_Region_6_Europe/POL_Poland/MZ_Mazowieckie/POL_MZ_Minsk-Mazowiecki.AP.123760_TMYx.2009-2023.zip</v>
      </c>
    </row>
    <row r="9277" spans="1:10" x14ac:dyDescent="0.25">
      <c r="A9277" t="s">
        <v>6811</v>
      </c>
      <c r="B9277" t="s">
        <v>6828</v>
      </c>
      <c r="C9277" t="s">
        <v>6919</v>
      </c>
      <c r="D9277">
        <v>123760</v>
      </c>
      <c r="E9277" t="s">
        <v>14</v>
      </c>
      <c r="F9277">
        <v>52.1922</v>
      </c>
      <c r="G9277">
        <v>21.663499999999999</v>
      </c>
      <c r="H9277">
        <v>1</v>
      </c>
      <c r="I9277">
        <v>184.1</v>
      </c>
      <c r="J9277" t="str">
        <f>HYPERLINK("https://climate.onebuilding.org/WMO_Region_6_Europe/POL_Poland/MZ_Mazowieckie/POL_MZ_Minsk-Mazowiecki.AP.123760_TMYx.zip")</f>
        <v>https://climate.onebuilding.org/WMO_Region_6_Europe/POL_Poland/MZ_Mazowieckie/POL_MZ_Minsk-Mazowiecki.AP.123760_TMYx.zip</v>
      </c>
    </row>
    <row r="9278" spans="1:10" x14ac:dyDescent="0.25">
      <c r="A9278" t="s">
        <v>6811</v>
      </c>
      <c r="B9278" t="s">
        <v>495</v>
      </c>
      <c r="C9278" t="s">
        <v>6921</v>
      </c>
      <c r="D9278">
        <v>123764</v>
      </c>
      <c r="E9278" t="s">
        <v>14</v>
      </c>
      <c r="F9278">
        <v>50.433</v>
      </c>
      <c r="G9278">
        <v>21.766999999999999</v>
      </c>
      <c r="H9278">
        <v>1</v>
      </c>
      <c r="I9278">
        <v>170</v>
      </c>
      <c r="J9278" t="str">
        <f>HYPERLINK("https://climate.onebuilding.org/WMO_Region_6_Europe/POL_Poland/PD_Podlaskie/POL_PD_Nowa.Deba.123764_TMYx.2007-2021.zip")</f>
        <v>https://climate.onebuilding.org/WMO_Region_6_Europe/POL_Poland/PD_Podlaskie/POL_PD_Nowa.Deba.123764_TMYx.2007-2021.zip</v>
      </c>
    </row>
    <row r="9279" spans="1:10" x14ac:dyDescent="0.25">
      <c r="A9279" t="s">
        <v>6811</v>
      </c>
      <c r="B9279" t="s">
        <v>495</v>
      </c>
      <c r="C9279" t="s">
        <v>6921</v>
      </c>
      <c r="D9279">
        <v>123764</v>
      </c>
      <c r="E9279" t="s">
        <v>14</v>
      </c>
      <c r="F9279">
        <v>50.433</v>
      </c>
      <c r="G9279">
        <v>21.766999999999999</v>
      </c>
      <c r="H9279">
        <v>1</v>
      </c>
      <c r="I9279">
        <v>170</v>
      </c>
      <c r="J9279" t="str">
        <f>HYPERLINK("https://climate.onebuilding.org/WMO_Region_6_Europe/POL_Poland/PD_Podlaskie/POL_PD_Nowa.Deba.123764_TMYx.2009-2023.zip")</f>
        <v>https://climate.onebuilding.org/WMO_Region_6_Europe/POL_Poland/PD_Podlaskie/POL_PD_Nowa.Deba.123764_TMYx.2009-2023.zip</v>
      </c>
    </row>
    <row r="9280" spans="1:10" x14ac:dyDescent="0.25">
      <c r="A9280" t="s">
        <v>6811</v>
      </c>
      <c r="B9280" t="s">
        <v>495</v>
      </c>
      <c r="C9280" t="s">
        <v>6921</v>
      </c>
      <c r="D9280">
        <v>123764</v>
      </c>
      <c r="E9280" t="s">
        <v>14</v>
      </c>
      <c r="F9280">
        <v>50.433</v>
      </c>
      <c r="G9280">
        <v>21.766999999999999</v>
      </c>
      <c r="H9280">
        <v>1</v>
      </c>
      <c r="I9280">
        <v>170</v>
      </c>
      <c r="J9280" t="str">
        <f>HYPERLINK("https://climate.onebuilding.org/WMO_Region_6_Europe/POL_Poland/PD_Podlaskie/POL_PD_Nowa.Deba.123764_TMYx.zip")</f>
        <v>https://climate.onebuilding.org/WMO_Region_6_Europe/POL_Poland/PD_Podlaskie/POL_PD_Nowa.Deba.123764_TMYx.zip</v>
      </c>
    </row>
    <row r="9281" spans="1:10" x14ac:dyDescent="0.25">
      <c r="A9281" t="s">
        <v>6811</v>
      </c>
      <c r="B9281" t="s">
        <v>1221</v>
      </c>
      <c r="C9281" t="s">
        <v>6922</v>
      </c>
      <c r="D9281">
        <v>123765</v>
      </c>
      <c r="E9281" t="s">
        <v>6923</v>
      </c>
      <c r="F9281">
        <v>54.027000000000001</v>
      </c>
      <c r="G9281">
        <v>19.134</v>
      </c>
      <c r="H9281">
        <v>1</v>
      </c>
      <c r="I9281">
        <v>4.9000000000000004</v>
      </c>
      <c r="J9281" t="str">
        <f>HYPERLINK("https://climate.onebuilding.org/WMO_Region_6_Europe/POL_Poland/PM_Pomorskie/POL_PM_Malbork.123765_TMYx.2004-2018.zip")</f>
        <v>https://climate.onebuilding.org/WMO_Region_6_Europe/POL_Poland/PM_Pomorskie/POL_PM_Malbork.123765_TMYx.2004-2018.zip</v>
      </c>
    </row>
    <row r="9282" spans="1:10" x14ac:dyDescent="0.25">
      <c r="A9282" t="s">
        <v>6811</v>
      </c>
      <c r="B9282" t="s">
        <v>1221</v>
      </c>
      <c r="C9282" t="s">
        <v>6922</v>
      </c>
      <c r="D9282">
        <v>123765</v>
      </c>
      <c r="E9282" t="s">
        <v>14</v>
      </c>
      <c r="F9282">
        <v>54.027000000000001</v>
      </c>
      <c r="G9282">
        <v>19.134</v>
      </c>
      <c r="H9282">
        <v>1</v>
      </c>
      <c r="I9282">
        <v>4.9000000000000004</v>
      </c>
      <c r="J9282" t="str">
        <f>HYPERLINK("https://climate.onebuilding.org/WMO_Region_6_Europe/POL_Poland/PM_Pomorskie/POL_PM_Malbork.123765_TMYx.2007-2021.zip")</f>
        <v>https://climate.onebuilding.org/WMO_Region_6_Europe/POL_Poland/PM_Pomorskie/POL_PM_Malbork.123765_TMYx.2007-2021.zip</v>
      </c>
    </row>
    <row r="9283" spans="1:10" x14ac:dyDescent="0.25">
      <c r="A9283" t="s">
        <v>6811</v>
      </c>
      <c r="B9283" t="s">
        <v>1221</v>
      </c>
      <c r="C9283" t="s">
        <v>6922</v>
      </c>
      <c r="D9283">
        <v>123765</v>
      </c>
      <c r="E9283" t="s">
        <v>14</v>
      </c>
      <c r="F9283">
        <v>54.027000000000001</v>
      </c>
      <c r="G9283">
        <v>19.134</v>
      </c>
      <c r="H9283">
        <v>1</v>
      </c>
      <c r="I9283">
        <v>4.9000000000000004</v>
      </c>
      <c r="J9283" t="str">
        <f>HYPERLINK("https://climate.onebuilding.org/WMO_Region_6_Europe/POL_Poland/PM_Pomorskie/POL_PM_Malbork.123765_TMYx.2009-2023.zip")</f>
        <v>https://climate.onebuilding.org/WMO_Region_6_Europe/POL_Poland/PM_Pomorskie/POL_PM_Malbork.123765_TMYx.2009-2023.zip</v>
      </c>
    </row>
    <row r="9284" spans="1:10" x14ac:dyDescent="0.25">
      <c r="A9284" t="s">
        <v>6811</v>
      </c>
      <c r="B9284" t="s">
        <v>1221</v>
      </c>
      <c r="C9284" t="s">
        <v>6922</v>
      </c>
      <c r="D9284">
        <v>123765</v>
      </c>
      <c r="E9284" t="s">
        <v>14</v>
      </c>
      <c r="F9284">
        <v>54.027000000000001</v>
      </c>
      <c r="G9284">
        <v>19.134</v>
      </c>
      <c r="H9284">
        <v>1</v>
      </c>
      <c r="I9284">
        <v>4.9000000000000004</v>
      </c>
      <c r="J9284" t="str">
        <f>HYPERLINK("https://climate.onebuilding.org/WMO_Region_6_Europe/POL_Poland/PM_Pomorskie/POL_PM_Malbork.123765_TMYx.zip")</f>
        <v>https://climate.onebuilding.org/WMO_Region_6_Europe/POL_Poland/PM_Pomorskie/POL_PM_Malbork.123765_TMYx.zip</v>
      </c>
    </row>
    <row r="9285" spans="1:10" x14ac:dyDescent="0.25">
      <c r="A9285" t="s">
        <v>6811</v>
      </c>
      <c r="B9285" t="s">
        <v>6828</v>
      </c>
      <c r="C9285" t="s">
        <v>6924</v>
      </c>
      <c r="D9285">
        <v>123850</v>
      </c>
      <c r="E9285" t="s">
        <v>6925</v>
      </c>
      <c r="F9285">
        <v>52.25</v>
      </c>
      <c r="G9285">
        <v>22.25</v>
      </c>
      <c r="H9285">
        <v>1</v>
      </c>
      <c r="I9285">
        <v>155</v>
      </c>
      <c r="J9285" t="str">
        <f>HYPERLINK("https://climate.onebuilding.org/WMO_Region_6_Europe/POL_Poland/MZ_Mazowieckie/POL_MZ_Siedlce.123850_TMYx.2004-2018.zip")</f>
        <v>https://climate.onebuilding.org/WMO_Region_6_Europe/POL_Poland/MZ_Mazowieckie/POL_MZ_Siedlce.123850_TMYx.2004-2018.zip</v>
      </c>
    </row>
    <row r="9286" spans="1:10" x14ac:dyDescent="0.25">
      <c r="A9286" t="s">
        <v>6811</v>
      </c>
      <c r="B9286" t="s">
        <v>6828</v>
      </c>
      <c r="C9286" t="s">
        <v>6924</v>
      </c>
      <c r="D9286">
        <v>123850</v>
      </c>
      <c r="E9286" t="s">
        <v>14</v>
      </c>
      <c r="F9286">
        <v>52.181100000000001</v>
      </c>
      <c r="G9286">
        <v>22.244700000000002</v>
      </c>
      <c r="H9286">
        <v>1</v>
      </c>
      <c r="I9286">
        <v>155</v>
      </c>
      <c r="J9286" t="str">
        <f>HYPERLINK("https://climate.onebuilding.org/WMO_Region_6_Europe/POL_Poland/MZ_Mazowieckie/POL_MZ_Siedlce.123850_TMYx.2007-2021.zip")</f>
        <v>https://climate.onebuilding.org/WMO_Region_6_Europe/POL_Poland/MZ_Mazowieckie/POL_MZ_Siedlce.123850_TMYx.2007-2021.zip</v>
      </c>
    </row>
    <row r="9287" spans="1:10" x14ac:dyDescent="0.25">
      <c r="A9287" t="s">
        <v>6811</v>
      </c>
      <c r="B9287" t="s">
        <v>6828</v>
      </c>
      <c r="C9287" t="s">
        <v>6924</v>
      </c>
      <c r="D9287">
        <v>123850</v>
      </c>
      <c r="E9287" t="s">
        <v>14</v>
      </c>
      <c r="F9287">
        <v>52.181100000000001</v>
      </c>
      <c r="G9287">
        <v>22.244700000000002</v>
      </c>
      <c r="H9287">
        <v>1</v>
      </c>
      <c r="I9287">
        <v>155</v>
      </c>
      <c r="J9287" t="str">
        <f>HYPERLINK("https://climate.onebuilding.org/WMO_Region_6_Europe/POL_Poland/MZ_Mazowieckie/POL_MZ_Siedlce.123850_TMYx.2009-2023.zip")</f>
        <v>https://climate.onebuilding.org/WMO_Region_6_Europe/POL_Poland/MZ_Mazowieckie/POL_MZ_Siedlce.123850_TMYx.2009-2023.zip</v>
      </c>
    </row>
    <row r="9288" spans="1:10" x14ac:dyDescent="0.25">
      <c r="A9288" t="s">
        <v>6811</v>
      </c>
      <c r="B9288" t="s">
        <v>6828</v>
      </c>
      <c r="C9288" t="s">
        <v>6924</v>
      </c>
      <c r="D9288">
        <v>123850</v>
      </c>
      <c r="E9288" t="s">
        <v>14</v>
      </c>
      <c r="F9288">
        <v>52.181100000000001</v>
      </c>
      <c r="G9288">
        <v>22.244700000000002</v>
      </c>
      <c r="H9288">
        <v>1</v>
      </c>
      <c r="I9288">
        <v>155</v>
      </c>
      <c r="J9288" t="str">
        <f>HYPERLINK("https://climate.onebuilding.org/WMO_Region_6_Europe/POL_Poland/MZ_Mazowieckie/POL_MZ_Siedlce.123850_TMYx.zip")</f>
        <v>https://climate.onebuilding.org/WMO_Region_6_Europe/POL_Poland/MZ_Mazowieckie/POL_MZ_Siedlce.123850_TMYx.zip</v>
      </c>
    </row>
    <row r="9289" spans="1:10" x14ac:dyDescent="0.25">
      <c r="A9289" t="s">
        <v>6811</v>
      </c>
      <c r="B9289" t="s">
        <v>11</v>
      </c>
      <c r="C9289" t="s">
        <v>6926</v>
      </c>
      <c r="D9289">
        <v>123950</v>
      </c>
      <c r="E9289" t="s">
        <v>14</v>
      </c>
      <c r="F9289">
        <v>52.017000000000003</v>
      </c>
      <c r="G9289">
        <v>23.117000000000001</v>
      </c>
      <c r="H9289">
        <v>1</v>
      </c>
      <c r="I9289">
        <v>146.6</v>
      </c>
      <c r="J9289" t="str">
        <f>HYPERLINK("https://climate.onebuilding.org/WMO_Region_6_Europe/POL_Poland/LU_Lubelskie/POL_LU_Biala-Podlaska.123950_TMYx.zip")</f>
        <v>https://climate.onebuilding.org/WMO_Region_6_Europe/POL_Poland/LU_Lubelskie/POL_LU_Biala-Podlaska.123950_TMYx.zip</v>
      </c>
    </row>
    <row r="9290" spans="1:10" x14ac:dyDescent="0.25">
      <c r="A9290" t="s">
        <v>6811</v>
      </c>
      <c r="B9290" t="s">
        <v>11</v>
      </c>
      <c r="C9290" t="s">
        <v>6927</v>
      </c>
      <c r="D9290">
        <v>123960</v>
      </c>
      <c r="E9290" t="s">
        <v>14</v>
      </c>
      <c r="F9290">
        <v>52</v>
      </c>
      <c r="G9290">
        <v>23.15</v>
      </c>
      <c r="H9290">
        <v>1</v>
      </c>
      <c r="I9290">
        <v>150</v>
      </c>
      <c r="J9290" t="str">
        <f>HYPERLINK("https://climate.onebuilding.org/WMO_Region_6_Europe/POL_Poland/LU_Lubelskie/POL_LU_Podlaska.123960_TMYx.zip")</f>
        <v>https://climate.onebuilding.org/WMO_Region_6_Europe/POL_Poland/LU_Lubelskie/POL_LU_Podlaska.123960_TMYx.zip</v>
      </c>
    </row>
    <row r="9291" spans="1:10" x14ac:dyDescent="0.25">
      <c r="A9291" t="s">
        <v>6811</v>
      </c>
      <c r="B9291" t="s">
        <v>11</v>
      </c>
      <c r="C9291" t="s">
        <v>6928</v>
      </c>
      <c r="D9291">
        <v>123990</v>
      </c>
      <c r="E9291" t="s">
        <v>6929</v>
      </c>
      <c r="F9291">
        <v>52.067</v>
      </c>
      <c r="G9291">
        <v>23.617000000000001</v>
      </c>
      <c r="H9291">
        <v>1</v>
      </c>
      <c r="I9291">
        <v>137</v>
      </c>
      <c r="J9291" t="str">
        <f>HYPERLINK("https://climate.onebuilding.org/WMO_Region_6_Europe/POL_Poland/LU_Lubelskie/POL_LU_Terespol.123990_TMYx.2004-2018.zip")</f>
        <v>https://climate.onebuilding.org/WMO_Region_6_Europe/POL_Poland/LU_Lubelskie/POL_LU_Terespol.123990_TMYx.2004-2018.zip</v>
      </c>
    </row>
    <row r="9292" spans="1:10" x14ac:dyDescent="0.25">
      <c r="A9292" t="s">
        <v>6811</v>
      </c>
      <c r="B9292" t="s">
        <v>11</v>
      </c>
      <c r="C9292" t="s">
        <v>6928</v>
      </c>
      <c r="D9292">
        <v>123990</v>
      </c>
      <c r="E9292" t="s">
        <v>14</v>
      </c>
      <c r="F9292">
        <v>52.078600000000002</v>
      </c>
      <c r="G9292">
        <v>23.6219</v>
      </c>
      <c r="H9292">
        <v>1</v>
      </c>
      <c r="I9292">
        <v>137</v>
      </c>
      <c r="J9292" t="str">
        <f>HYPERLINK("https://climate.onebuilding.org/WMO_Region_6_Europe/POL_Poland/LU_Lubelskie/POL_LU_Terespol.123990_TMYx.2007-2021.zip")</f>
        <v>https://climate.onebuilding.org/WMO_Region_6_Europe/POL_Poland/LU_Lubelskie/POL_LU_Terespol.123990_TMYx.2007-2021.zip</v>
      </c>
    </row>
    <row r="9293" spans="1:10" x14ac:dyDescent="0.25">
      <c r="A9293" t="s">
        <v>6811</v>
      </c>
      <c r="B9293" t="s">
        <v>11</v>
      </c>
      <c r="C9293" t="s">
        <v>6928</v>
      </c>
      <c r="D9293">
        <v>123990</v>
      </c>
      <c r="E9293" t="s">
        <v>14</v>
      </c>
      <c r="F9293">
        <v>52.078600000000002</v>
      </c>
      <c r="G9293">
        <v>23.6219</v>
      </c>
      <c r="H9293">
        <v>1</v>
      </c>
      <c r="I9293">
        <v>137</v>
      </c>
      <c r="J9293" t="str">
        <f>HYPERLINK("https://climate.onebuilding.org/WMO_Region_6_Europe/POL_Poland/LU_Lubelskie/POL_LU_Terespol.123990_TMYx.2009-2023.zip")</f>
        <v>https://climate.onebuilding.org/WMO_Region_6_Europe/POL_Poland/LU_Lubelskie/POL_LU_Terespol.123990_TMYx.2009-2023.zip</v>
      </c>
    </row>
    <row r="9294" spans="1:10" x14ac:dyDescent="0.25">
      <c r="A9294" t="s">
        <v>6811</v>
      </c>
      <c r="B9294" t="s">
        <v>11</v>
      </c>
      <c r="C9294" t="s">
        <v>6928</v>
      </c>
      <c r="D9294">
        <v>123990</v>
      </c>
      <c r="E9294" t="s">
        <v>14</v>
      </c>
      <c r="F9294">
        <v>52.078600000000002</v>
      </c>
      <c r="G9294">
        <v>23.6219</v>
      </c>
      <c r="H9294">
        <v>1</v>
      </c>
      <c r="I9294">
        <v>137</v>
      </c>
      <c r="J9294" t="str">
        <f>HYPERLINK("https://climate.onebuilding.org/WMO_Region_6_Europe/POL_Poland/LU_Lubelskie/POL_LU_Terespol.123990_TMYx.zip")</f>
        <v>https://climate.onebuilding.org/WMO_Region_6_Europe/POL_Poland/LU_Lubelskie/POL_LU_Terespol.123990_TMYx.zip</v>
      </c>
    </row>
    <row r="9295" spans="1:10" x14ac:dyDescent="0.25">
      <c r="A9295" t="s">
        <v>6811</v>
      </c>
      <c r="B9295" t="s">
        <v>5472</v>
      </c>
      <c r="C9295" t="s">
        <v>6930</v>
      </c>
      <c r="D9295">
        <v>124000</v>
      </c>
      <c r="E9295" t="s">
        <v>6931</v>
      </c>
      <c r="F9295">
        <v>51.933</v>
      </c>
      <c r="G9295">
        <v>15.532999999999999</v>
      </c>
      <c r="H9295">
        <v>1</v>
      </c>
      <c r="I9295">
        <v>192</v>
      </c>
      <c r="J9295" t="str">
        <f>HYPERLINK("https://climate.onebuilding.org/WMO_Region_6_Europe/POL_Poland/LB_Lubuskie/POL_LB_Zielona-Gora.124000_TMYx.2004-2018.zip")</f>
        <v>https://climate.onebuilding.org/WMO_Region_6_Europe/POL_Poland/LB_Lubuskie/POL_LB_Zielona-Gora.124000_TMYx.2004-2018.zip</v>
      </c>
    </row>
    <row r="9296" spans="1:10" x14ac:dyDescent="0.25">
      <c r="A9296" t="s">
        <v>6811</v>
      </c>
      <c r="B9296" t="s">
        <v>5472</v>
      </c>
      <c r="C9296" t="s">
        <v>6930</v>
      </c>
      <c r="D9296">
        <v>124000</v>
      </c>
      <c r="E9296" t="s">
        <v>14</v>
      </c>
      <c r="F9296">
        <v>51.929900000000004</v>
      </c>
      <c r="G9296">
        <v>15.524699999999999</v>
      </c>
      <c r="H9296">
        <v>1</v>
      </c>
      <c r="I9296">
        <v>192</v>
      </c>
      <c r="J9296" t="str">
        <f>HYPERLINK("https://climate.onebuilding.org/WMO_Region_6_Europe/POL_Poland/LB_Lubuskie/POL_LB_Zielona-Gora.124000_TMYx.2007-2021.zip")</f>
        <v>https://climate.onebuilding.org/WMO_Region_6_Europe/POL_Poland/LB_Lubuskie/POL_LB_Zielona-Gora.124000_TMYx.2007-2021.zip</v>
      </c>
    </row>
    <row r="9297" spans="1:10" x14ac:dyDescent="0.25">
      <c r="A9297" t="s">
        <v>6811</v>
      </c>
      <c r="B9297" t="s">
        <v>5472</v>
      </c>
      <c r="C9297" t="s">
        <v>6930</v>
      </c>
      <c r="D9297">
        <v>124000</v>
      </c>
      <c r="E9297" t="s">
        <v>14</v>
      </c>
      <c r="F9297">
        <v>51.929900000000004</v>
      </c>
      <c r="G9297">
        <v>15.524699999999999</v>
      </c>
      <c r="H9297">
        <v>1</v>
      </c>
      <c r="I9297">
        <v>192</v>
      </c>
      <c r="J9297" t="str">
        <f>HYPERLINK("https://climate.onebuilding.org/WMO_Region_6_Europe/POL_Poland/LB_Lubuskie/POL_LB_Zielona-Gora.124000_TMYx.2009-2023.zip")</f>
        <v>https://climate.onebuilding.org/WMO_Region_6_Europe/POL_Poland/LB_Lubuskie/POL_LB_Zielona-Gora.124000_TMYx.2009-2023.zip</v>
      </c>
    </row>
    <row r="9298" spans="1:10" x14ac:dyDescent="0.25">
      <c r="A9298" t="s">
        <v>6811</v>
      </c>
      <c r="B9298" t="s">
        <v>5472</v>
      </c>
      <c r="C9298" t="s">
        <v>6930</v>
      </c>
      <c r="D9298">
        <v>124000</v>
      </c>
      <c r="E9298" t="s">
        <v>14</v>
      </c>
      <c r="F9298">
        <v>51.929900000000004</v>
      </c>
      <c r="G9298">
        <v>15.524699999999999</v>
      </c>
      <c r="H9298">
        <v>1</v>
      </c>
      <c r="I9298">
        <v>192</v>
      </c>
      <c r="J9298" t="str">
        <f>HYPERLINK("https://climate.onebuilding.org/WMO_Region_6_Europe/POL_Poland/LB_Lubuskie/POL_LB_Zielona-Gora.124000_TMYx.zip")</f>
        <v>https://climate.onebuilding.org/WMO_Region_6_Europe/POL_Poland/LB_Lubuskie/POL_LB_Zielona-Gora.124000_TMYx.zip</v>
      </c>
    </row>
    <row r="9299" spans="1:10" x14ac:dyDescent="0.25">
      <c r="A9299" t="s">
        <v>6811</v>
      </c>
      <c r="B9299" t="s">
        <v>6932</v>
      </c>
      <c r="C9299" t="s">
        <v>6933</v>
      </c>
      <c r="D9299">
        <v>124150</v>
      </c>
      <c r="E9299" t="s">
        <v>6934</v>
      </c>
      <c r="F9299">
        <v>51.2</v>
      </c>
      <c r="G9299">
        <v>16.2</v>
      </c>
      <c r="H9299">
        <v>1</v>
      </c>
      <c r="I9299">
        <v>124</v>
      </c>
      <c r="J9299" t="str">
        <f>HYPERLINK("https://climate.onebuilding.org/WMO_Region_6_Europe/POL_Poland/DS_Dolnoslaskie/POL_DS_Legnica.124150_TMYx.2004-2018.zip")</f>
        <v>https://climate.onebuilding.org/WMO_Region_6_Europe/POL_Poland/DS_Dolnoslaskie/POL_DS_Legnica.124150_TMYx.2004-2018.zip</v>
      </c>
    </row>
    <row r="9300" spans="1:10" x14ac:dyDescent="0.25">
      <c r="A9300" t="s">
        <v>6811</v>
      </c>
      <c r="B9300" t="s">
        <v>6932</v>
      </c>
      <c r="C9300" t="s">
        <v>6933</v>
      </c>
      <c r="D9300">
        <v>124150</v>
      </c>
      <c r="E9300" t="s">
        <v>14</v>
      </c>
      <c r="F9300">
        <v>51.192500000000003</v>
      </c>
      <c r="G9300">
        <v>16.207599999999999</v>
      </c>
      <c r="H9300">
        <v>1</v>
      </c>
      <c r="I9300">
        <v>124</v>
      </c>
      <c r="J9300" t="str">
        <f>HYPERLINK("https://climate.onebuilding.org/WMO_Region_6_Europe/POL_Poland/DS_Dolnoslaskie/POL_DS_Legnica.124150_TMYx.2007-2021.zip")</f>
        <v>https://climate.onebuilding.org/WMO_Region_6_Europe/POL_Poland/DS_Dolnoslaskie/POL_DS_Legnica.124150_TMYx.2007-2021.zip</v>
      </c>
    </row>
    <row r="9301" spans="1:10" x14ac:dyDescent="0.25">
      <c r="A9301" t="s">
        <v>6811</v>
      </c>
      <c r="B9301" t="s">
        <v>6932</v>
      </c>
      <c r="C9301" t="s">
        <v>6933</v>
      </c>
      <c r="D9301">
        <v>124150</v>
      </c>
      <c r="E9301" t="s">
        <v>14</v>
      </c>
      <c r="F9301">
        <v>51.192500000000003</v>
      </c>
      <c r="G9301">
        <v>16.207599999999999</v>
      </c>
      <c r="H9301">
        <v>1</v>
      </c>
      <c r="I9301">
        <v>124</v>
      </c>
      <c r="J9301" t="str">
        <f>HYPERLINK("https://climate.onebuilding.org/WMO_Region_6_Europe/POL_Poland/DS_Dolnoslaskie/POL_DS_Legnica.124150_TMYx.2009-2023.zip")</f>
        <v>https://climate.onebuilding.org/WMO_Region_6_Europe/POL_Poland/DS_Dolnoslaskie/POL_DS_Legnica.124150_TMYx.2009-2023.zip</v>
      </c>
    </row>
    <row r="9302" spans="1:10" x14ac:dyDescent="0.25">
      <c r="A9302" t="s">
        <v>6811</v>
      </c>
      <c r="B9302" t="s">
        <v>6932</v>
      </c>
      <c r="C9302" t="s">
        <v>6933</v>
      </c>
      <c r="D9302">
        <v>124150</v>
      </c>
      <c r="E9302" t="s">
        <v>14</v>
      </c>
      <c r="F9302">
        <v>51.192500000000003</v>
      </c>
      <c r="G9302">
        <v>16.207599999999999</v>
      </c>
      <c r="H9302">
        <v>1</v>
      </c>
      <c r="I9302">
        <v>124</v>
      </c>
      <c r="J9302" t="str">
        <f>HYPERLINK("https://climate.onebuilding.org/WMO_Region_6_Europe/POL_Poland/DS_Dolnoslaskie/POL_DS_Legnica.124150_TMYx.zip")</f>
        <v>https://climate.onebuilding.org/WMO_Region_6_Europe/POL_Poland/DS_Dolnoslaskie/POL_DS_Legnica.124150_TMYx.zip</v>
      </c>
    </row>
    <row r="9303" spans="1:10" x14ac:dyDescent="0.25">
      <c r="A9303" t="s">
        <v>6811</v>
      </c>
      <c r="B9303" t="s">
        <v>6876</v>
      </c>
      <c r="C9303" t="s">
        <v>6935</v>
      </c>
      <c r="D9303">
        <v>124180</v>
      </c>
      <c r="E9303" t="s">
        <v>6936</v>
      </c>
      <c r="F9303">
        <v>51.832999999999998</v>
      </c>
      <c r="G9303">
        <v>16.533000000000001</v>
      </c>
      <c r="H9303">
        <v>1</v>
      </c>
      <c r="I9303">
        <v>92</v>
      </c>
      <c r="J9303" t="str">
        <f>HYPERLINK("https://climate.onebuilding.org/WMO_Region_6_Europe/POL_Poland/WP_Wielkopolskie/POL_WP_Leszno-Strzyrzowice.AP.124180_TMYx.2004-2018.zip")</f>
        <v>https://climate.onebuilding.org/WMO_Region_6_Europe/POL_Poland/WP_Wielkopolskie/POL_WP_Leszno-Strzyrzowice.AP.124180_TMYx.2004-2018.zip</v>
      </c>
    </row>
    <row r="9304" spans="1:10" x14ac:dyDescent="0.25">
      <c r="A9304" t="s">
        <v>6811</v>
      </c>
      <c r="B9304" t="s">
        <v>6876</v>
      </c>
      <c r="C9304" t="s">
        <v>6935</v>
      </c>
      <c r="D9304">
        <v>124180</v>
      </c>
      <c r="E9304" t="s">
        <v>14</v>
      </c>
      <c r="F9304">
        <v>51.835500000000003</v>
      </c>
      <c r="G9304">
        <v>16.534700000000001</v>
      </c>
      <c r="H9304">
        <v>1</v>
      </c>
      <c r="I9304">
        <v>92</v>
      </c>
      <c r="J9304" t="str">
        <f>HYPERLINK("https://climate.onebuilding.org/WMO_Region_6_Europe/POL_Poland/WP_Wielkopolskie/POL_WP_Leszno-Strzyrzowice.AP.124180_TMYx.2007-2021.zip")</f>
        <v>https://climate.onebuilding.org/WMO_Region_6_Europe/POL_Poland/WP_Wielkopolskie/POL_WP_Leszno-Strzyrzowice.AP.124180_TMYx.2007-2021.zip</v>
      </c>
    </row>
    <row r="9305" spans="1:10" x14ac:dyDescent="0.25">
      <c r="A9305" t="s">
        <v>6811</v>
      </c>
      <c r="B9305" t="s">
        <v>6876</v>
      </c>
      <c r="C9305" t="s">
        <v>6935</v>
      </c>
      <c r="D9305">
        <v>124180</v>
      </c>
      <c r="E9305" t="s">
        <v>14</v>
      </c>
      <c r="F9305">
        <v>51.835500000000003</v>
      </c>
      <c r="G9305">
        <v>16.534700000000001</v>
      </c>
      <c r="H9305">
        <v>1</v>
      </c>
      <c r="I9305">
        <v>92</v>
      </c>
      <c r="J9305" t="str">
        <f>HYPERLINK("https://climate.onebuilding.org/WMO_Region_6_Europe/POL_Poland/WP_Wielkopolskie/POL_WP_Leszno-Strzyrzowice.AP.124180_TMYx.2009-2023.zip")</f>
        <v>https://climate.onebuilding.org/WMO_Region_6_Europe/POL_Poland/WP_Wielkopolskie/POL_WP_Leszno-Strzyrzowice.AP.124180_TMYx.2009-2023.zip</v>
      </c>
    </row>
    <row r="9306" spans="1:10" x14ac:dyDescent="0.25">
      <c r="A9306" t="s">
        <v>6811</v>
      </c>
      <c r="B9306" t="s">
        <v>6876</v>
      </c>
      <c r="C9306" t="s">
        <v>6935</v>
      </c>
      <c r="D9306">
        <v>124180</v>
      </c>
      <c r="E9306" t="s">
        <v>14</v>
      </c>
      <c r="F9306">
        <v>51.835500000000003</v>
      </c>
      <c r="G9306">
        <v>16.534700000000001</v>
      </c>
      <c r="H9306">
        <v>1</v>
      </c>
      <c r="I9306">
        <v>92</v>
      </c>
      <c r="J9306" t="str">
        <f>HYPERLINK("https://climate.onebuilding.org/WMO_Region_6_Europe/POL_Poland/WP_Wielkopolskie/POL_WP_Leszno-Strzyrzowice.AP.124180_TMYx.zip")</f>
        <v>https://climate.onebuilding.org/WMO_Region_6_Europe/POL_Poland/WP_Wielkopolskie/POL_WP_Leszno-Strzyrzowice.AP.124180_TMYx.zip</v>
      </c>
    </row>
    <row r="9307" spans="1:10" x14ac:dyDescent="0.25">
      <c r="A9307" t="s">
        <v>6811</v>
      </c>
      <c r="B9307" t="s">
        <v>6932</v>
      </c>
      <c r="C9307" t="s">
        <v>6937</v>
      </c>
      <c r="D9307">
        <v>124240</v>
      </c>
      <c r="E9307" t="s">
        <v>6938</v>
      </c>
      <c r="F9307">
        <v>51.103000000000002</v>
      </c>
      <c r="G9307">
        <v>16.885999999999999</v>
      </c>
      <c r="H9307">
        <v>1</v>
      </c>
      <c r="I9307">
        <v>123.1</v>
      </c>
      <c r="J9307" t="str">
        <f>HYPERLINK("https://climate.onebuilding.org/WMO_Region_6_Europe/POL_Poland/DS_Dolnoslaskie/POL_DS_Strachowice-Wroclaw-Copernicus.AP.124240_TMYx.2004-2018.zip")</f>
        <v>https://climate.onebuilding.org/WMO_Region_6_Europe/POL_Poland/DS_Dolnoslaskie/POL_DS_Strachowice-Wroclaw-Copernicus.AP.124240_TMYx.2004-2018.zip</v>
      </c>
    </row>
    <row r="9308" spans="1:10" x14ac:dyDescent="0.25">
      <c r="A9308" t="s">
        <v>6811</v>
      </c>
      <c r="B9308" t="s">
        <v>6932</v>
      </c>
      <c r="C9308" t="s">
        <v>6937</v>
      </c>
      <c r="D9308">
        <v>124240</v>
      </c>
      <c r="E9308" t="s">
        <v>14</v>
      </c>
      <c r="F9308">
        <v>51.103200000000001</v>
      </c>
      <c r="G9308">
        <v>16.899799999999999</v>
      </c>
      <c r="H9308">
        <v>1</v>
      </c>
      <c r="I9308">
        <v>123.1</v>
      </c>
      <c r="J9308" t="str">
        <f>HYPERLINK("https://climate.onebuilding.org/WMO_Region_6_Europe/POL_Poland/DS_Dolnoslaskie/POL_DS_Strachowice-Wroclaw-Copernicus.AP.124240_TMYx.2007-2021.zip")</f>
        <v>https://climate.onebuilding.org/WMO_Region_6_Europe/POL_Poland/DS_Dolnoslaskie/POL_DS_Strachowice-Wroclaw-Copernicus.AP.124240_TMYx.2007-2021.zip</v>
      </c>
    </row>
    <row r="9309" spans="1:10" x14ac:dyDescent="0.25">
      <c r="A9309" t="s">
        <v>6811</v>
      </c>
      <c r="B9309" t="s">
        <v>6932</v>
      </c>
      <c r="C9309" t="s">
        <v>6937</v>
      </c>
      <c r="D9309">
        <v>124240</v>
      </c>
      <c r="E9309" t="s">
        <v>14</v>
      </c>
      <c r="F9309">
        <v>51.103200000000001</v>
      </c>
      <c r="G9309">
        <v>16.899799999999999</v>
      </c>
      <c r="H9309">
        <v>1</v>
      </c>
      <c r="I9309">
        <v>123.1</v>
      </c>
      <c r="J9309" t="str">
        <f>HYPERLINK("https://climate.onebuilding.org/WMO_Region_6_Europe/POL_Poland/DS_Dolnoslaskie/POL_DS_Strachowice-Wroclaw-Copernicus.AP.124240_TMYx.2009-2023.zip")</f>
        <v>https://climate.onebuilding.org/WMO_Region_6_Europe/POL_Poland/DS_Dolnoslaskie/POL_DS_Strachowice-Wroclaw-Copernicus.AP.124240_TMYx.2009-2023.zip</v>
      </c>
    </row>
    <row r="9310" spans="1:10" x14ac:dyDescent="0.25">
      <c r="A9310" t="s">
        <v>6811</v>
      </c>
      <c r="B9310" t="s">
        <v>6932</v>
      </c>
      <c r="C9310" t="s">
        <v>6937</v>
      </c>
      <c r="D9310">
        <v>124240</v>
      </c>
      <c r="E9310" t="s">
        <v>14</v>
      </c>
      <c r="F9310">
        <v>51.103200000000001</v>
      </c>
      <c r="G9310">
        <v>16.899799999999999</v>
      </c>
      <c r="H9310">
        <v>1</v>
      </c>
      <c r="I9310">
        <v>123.1</v>
      </c>
      <c r="J9310" t="str">
        <f>HYPERLINK("https://climate.onebuilding.org/WMO_Region_6_Europe/POL_Poland/DS_Dolnoslaskie/POL_DS_Strachowice-Wroclaw-Copernicus.AP.124240_TMYx.zip")</f>
        <v>https://climate.onebuilding.org/WMO_Region_6_Europe/POL_Poland/DS_Dolnoslaskie/POL_DS_Strachowice-Wroclaw-Copernicus.AP.124240_TMYx.zip</v>
      </c>
    </row>
    <row r="9311" spans="1:10" x14ac:dyDescent="0.25">
      <c r="A9311" t="s">
        <v>6811</v>
      </c>
      <c r="B9311" t="s">
        <v>6876</v>
      </c>
      <c r="C9311" t="s">
        <v>6939</v>
      </c>
      <c r="D9311">
        <v>124350</v>
      </c>
      <c r="E9311" t="s">
        <v>6940</v>
      </c>
      <c r="F9311">
        <v>51.783000000000001</v>
      </c>
      <c r="G9311">
        <v>18.082999999999998</v>
      </c>
      <c r="H9311">
        <v>1</v>
      </c>
      <c r="I9311">
        <v>140</v>
      </c>
      <c r="J9311" t="str">
        <f>HYPERLINK("https://climate.onebuilding.org/WMO_Region_6_Europe/POL_Poland/WP_Wielkopolskie/POL_WP_Kalisz.124350_TMYx.2004-2018.zip")</f>
        <v>https://climate.onebuilding.org/WMO_Region_6_Europe/POL_Poland/WP_Wielkopolskie/POL_WP_Kalisz.124350_TMYx.2004-2018.zip</v>
      </c>
    </row>
    <row r="9312" spans="1:10" x14ac:dyDescent="0.25">
      <c r="A9312" t="s">
        <v>6811</v>
      </c>
      <c r="B9312" t="s">
        <v>6876</v>
      </c>
      <c r="C9312" t="s">
        <v>6939</v>
      </c>
      <c r="D9312">
        <v>124350</v>
      </c>
      <c r="E9312" t="s">
        <v>14</v>
      </c>
      <c r="F9312">
        <v>51.781199999999998</v>
      </c>
      <c r="G9312">
        <v>18.081</v>
      </c>
      <c r="H9312">
        <v>1</v>
      </c>
      <c r="I9312">
        <v>140</v>
      </c>
      <c r="J9312" t="str">
        <f>HYPERLINK("https://climate.onebuilding.org/WMO_Region_6_Europe/POL_Poland/WP_Wielkopolskie/POL_WP_Kalisz.124350_TMYx.2007-2021.zip")</f>
        <v>https://climate.onebuilding.org/WMO_Region_6_Europe/POL_Poland/WP_Wielkopolskie/POL_WP_Kalisz.124350_TMYx.2007-2021.zip</v>
      </c>
    </row>
    <row r="9313" spans="1:10" x14ac:dyDescent="0.25">
      <c r="A9313" t="s">
        <v>6811</v>
      </c>
      <c r="B9313" t="s">
        <v>6876</v>
      </c>
      <c r="C9313" t="s">
        <v>6939</v>
      </c>
      <c r="D9313">
        <v>124350</v>
      </c>
      <c r="E9313" t="s">
        <v>14</v>
      </c>
      <c r="F9313">
        <v>51.781199999999998</v>
      </c>
      <c r="G9313">
        <v>18.081</v>
      </c>
      <c r="H9313">
        <v>1</v>
      </c>
      <c r="I9313">
        <v>140</v>
      </c>
      <c r="J9313" t="str">
        <f>HYPERLINK("https://climate.onebuilding.org/WMO_Region_6_Europe/POL_Poland/WP_Wielkopolskie/POL_WP_Kalisz.124350_TMYx.2009-2023.zip")</f>
        <v>https://climate.onebuilding.org/WMO_Region_6_Europe/POL_Poland/WP_Wielkopolskie/POL_WP_Kalisz.124350_TMYx.2009-2023.zip</v>
      </c>
    </row>
    <row r="9314" spans="1:10" x14ac:dyDescent="0.25">
      <c r="A9314" t="s">
        <v>6811</v>
      </c>
      <c r="B9314" t="s">
        <v>6876</v>
      </c>
      <c r="C9314" t="s">
        <v>6939</v>
      </c>
      <c r="D9314">
        <v>124350</v>
      </c>
      <c r="E9314" t="s">
        <v>14</v>
      </c>
      <c r="F9314">
        <v>51.781199999999998</v>
      </c>
      <c r="G9314">
        <v>18.081</v>
      </c>
      <c r="H9314">
        <v>1</v>
      </c>
      <c r="I9314">
        <v>140</v>
      </c>
      <c r="J9314" t="str">
        <f>HYPERLINK("https://climate.onebuilding.org/WMO_Region_6_Europe/POL_Poland/WP_Wielkopolskie/POL_WP_Kalisz.124350_TMYx.zip")</f>
        <v>https://climate.onebuilding.org/WMO_Region_6_Europe/POL_Poland/WP_Wielkopolskie/POL_WP_Kalisz.124350_TMYx.zip</v>
      </c>
    </row>
    <row r="9315" spans="1:10" x14ac:dyDescent="0.25">
      <c r="A9315" t="s">
        <v>6811</v>
      </c>
      <c r="B9315" t="s">
        <v>6823</v>
      </c>
      <c r="C9315" t="s">
        <v>6941</v>
      </c>
      <c r="D9315">
        <v>124540</v>
      </c>
      <c r="E9315" t="s">
        <v>6942</v>
      </c>
      <c r="F9315">
        <v>51.552</v>
      </c>
      <c r="G9315">
        <v>19.178999999999998</v>
      </c>
      <c r="H9315">
        <v>1</v>
      </c>
      <c r="I9315">
        <v>192.9</v>
      </c>
      <c r="J9315" t="str">
        <f>HYPERLINK("https://climate.onebuilding.org/WMO_Region_6_Europe/POL_Poland/LD_Lodzkie/POL_LD_Lask.AP.124540_TMYx.2004-2018.zip")</f>
        <v>https://climate.onebuilding.org/WMO_Region_6_Europe/POL_Poland/LD_Lodzkie/POL_LD_Lask.AP.124540_TMYx.2004-2018.zip</v>
      </c>
    </row>
    <row r="9316" spans="1:10" x14ac:dyDescent="0.25">
      <c r="A9316" t="s">
        <v>6811</v>
      </c>
      <c r="B9316" t="s">
        <v>6823</v>
      </c>
      <c r="C9316" t="s">
        <v>6941</v>
      </c>
      <c r="D9316">
        <v>124540</v>
      </c>
      <c r="E9316" t="s">
        <v>14</v>
      </c>
      <c r="F9316">
        <v>51.552</v>
      </c>
      <c r="G9316">
        <v>19.178999999999998</v>
      </c>
      <c r="H9316">
        <v>1</v>
      </c>
      <c r="I9316">
        <v>192.9</v>
      </c>
      <c r="J9316" t="str">
        <f>HYPERLINK("https://climate.onebuilding.org/WMO_Region_6_Europe/POL_Poland/LD_Lodzkie/POL_LD_Lask.AP.124540_TMYx.2007-2021.zip")</f>
        <v>https://climate.onebuilding.org/WMO_Region_6_Europe/POL_Poland/LD_Lodzkie/POL_LD_Lask.AP.124540_TMYx.2007-2021.zip</v>
      </c>
    </row>
    <row r="9317" spans="1:10" x14ac:dyDescent="0.25">
      <c r="A9317" t="s">
        <v>6811</v>
      </c>
      <c r="B9317" t="s">
        <v>6823</v>
      </c>
      <c r="C9317" t="s">
        <v>6941</v>
      </c>
      <c r="D9317">
        <v>124540</v>
      </c>
      <c r="E9317" t="s">
        <v>14</v>
      </c>
      <c r="F9317">
        <v>51.552</v>
      </c>
      <c r="G9317">
        <v>19.178999999999998</v>
      </c>
      <c r="H9317">
        <v>1</v>
      </c>
      <c r="I9317">
        <v>192.9</v>
      </c>
      <c r="J9317" t="str">
        <f>HYPERLINK("https://climate.onebuilding.org/WMO_Region_6_Europe/POL_Poland/LD_Lodzkie/POL_LD_Lask.AP.124540_TMYx.2009-2023.zip")</f>
        <v>https://climate.onebuilding.org/WMO_Region_6_Europe/POL_Poland/LD_Lodzkie/POL_LD_Lask.AP.124540_TMYx.2009-2023.zip</v>
      </c>
    </row>
    <row r="9318" spans="1:10" x14ac:dyDescent="0.25">
      <c r="A9318" t="s">
        <v>6811</v>
      </c>
      <c r="B9318" t="s">
        <v>6823</v>
      </c>
      <c r="C9318" t="s">
        <v>6941</v>
      </c>
      <c r="D9318">
        <v>124540</v>
      </c>
      <c r="E9318" t="s">
        <v>14</v>
      </c>
      <c r="F9318">
        <v>51.552</v>
      </c>
      <c r="G9318">
        <v>19.178999999999998</v>
      </c>
      <c r="H9318">
        <v>1</v>
      </c>
      <c r="I9318">
        <v>192.9</v>
      </c>
      <c r="J9318" t="str">
        <f>HYPERLINK("https://climate.onebuilding.org/WMO_Region_6_Europe/POL_Poland/LD_Lodzkie/POL_LD_Lask.AP.124540_TMYx.zip")</f>
        <v>https://climate.onebuilding.org/WMO_Region_6_Europe/POL_Poland/LD_Lodzkie/POL_LD_Lask.AP.124540_TMYx.zip</v>
      </c>
    </row>
    <row r="9319" spans="1:10" x14ac:dyDescent="0.25">
      <c r="A9319" t="s">
        <v>6811</v>
      </c>
      <c r="B9319" t="s">
        <v>6823</v>
      </c>
      <c r="C9319" t="s">
        <v>6943</v>
      </c>
      <c r="D9319">
        <v>124550</v>
      </c>
      <c r="E9319" t="s">
        <v>6944</v>
      </c>
      <c r="F9319">
        <v>51.216999999999999</v>
      </c>
      <c r="G9319">
        <v>18.567</v>
      </c>
      <c r="H9319">
        <v>1</v>
      </c>
      <c r="I9319">
        <v>201</v>
      </c>
      <c r="J9319" t="str">
        <f>HYPERLINK("https://climate.onebuilding.org/WMO_Region_6_Europe/POL_Poland/LD_Lodzkie/POL_LD_Wielun.124550_TMYx.2004-2018.zip")</f>
        <v>https://climate.onebuilding.org/WMO_Region_6_Europe/POL_Poland/LD_Lodzkie/POL_LD_Wielun.124550_TMYx.2004-2018.zip</v>
      </c>
    </row>
    <row r="9320" spans="1:10" x14ac:dyDescent="0.25">
      <c r="A9320" t="s">
        <v>6811</v>
      </c>
      <c r="B9320" t="s">
        <v>6823</v>
      </c>
      <c r="C9320" t="s">
        <v>6943</v>
      </c>
      <c r="D9320">
        <v>124550</v>
      </c>
      <c r="E9320" t="s">
        <v>14</v>
      </c>
      <c r="F9320">
        <v>51.2102</v>
      </c>
      <c r="G9320">
        <v>18.5566</v>
      </c>
      <c r="H9320">
        <v>1</v>
      </c>
      <c r="I9320">
        <v>201</v>
      </c>
      <c r="J9320" t="str">
        <f>HYPERLINK("https://climate.onebuilding.org/WMO_Region_6_Europe/POL_Poland/LD_Lodzkie/POL_LD_Wielun.124550_TMYx.2007-2021.zip")</f>
        <v>https://climate.onebuilding.org/WMO_Region_6_Europe/POL_Poland/LD_Lodzkie/POL_LD_Wielun.124550_TMYx.2007-2021.zip</v>
      </c>
    </row>
    <row r="9321" spans="1:10" x14ac:dyDescent="0.25">
      <c r="A9321" t="s">
        <v>6811</v>
      </c>
      <c r="B9321" t="s">
        <v>6823</v>
      </c>
      <c r="C9321" t="s">
        <v>6943</v>
      </c>
      <c r="D9321">
        <v>124550</v>
      </c>
      <c r="E9321" t="s">
        <v>14</v>
      </c>
      <c r="F9321">
        <v>51.2102</v>
      </c>
      <c r="G9321">
        <v>18.5566</v>
      </c>
      <c r="H9321">
        <v>1</v>
      </c>
      <c r="I9321">
        <v>201</v>
      </c>
      <c r="J9321" t="str">
        <f>HYPERLINK("https://climate.onebuilding.org/WMO_Region_6_Europe/POL_Poland/LD_Lodzkie/POL_LD_Wielun.124550_TMYx.2009-2023.zip")</f>
        <v>https://climate.onebuilding.org/WMO_Region_6_Europe/POL_Poland/LD_Lodzkie/POL_LD_Wielun.124550_TMYx.2009-2023.zip</v>
      </c>
    </row>
    <row r="9322" spans="1:10" x14ac:dyDescent="0.25">
      <c r="A9322" t="s">
        <v>6811</v>
      </c>
      <c r="B9322" t="s">
        <v>6823</v>
      </c>
      <c r="C9322" t="s">
        <v>6943</v>
      </c>
      <c r="D9322">
        <v>124550</v>
      </c>
      <c r="E9322" t="s">
        <v>14</v>
      </c>
      <c r="F9322">
        <v>51.2102</v>
      </c>
      <c r="G9322">
        <v>18.5566</v>
      </c>
      <c r="H9322">
        <v>1</v>
      </c>
      <c r="I9322">
        <v>201</v>
      </c>
      <c r="J9322" t="str">
        <f>HYPERLINK("https://climate.onebuilding.org/WMO_Region_6_Europe/POL_Poland/LD_Lodzkie/POL_LD_Wielun.124550_TMYx.zip")</f>
        <v>https://climate.onebuilding.org/WMO_Region_6_Europe/POL_Poland/LD_Lodzkie/POL_LD_Wielun.124550_TMYx.zip</v>
      </c>
    </row>
    <row r="9323" spans="1:10" x14ac:dyDescent="0.25">
      <c r="A9323" t="s">
        <v>6811</v>
      </c>
      <c r="B9323" t="s">
        <v>6823</v>
      </c>
      <c r="C9323" t="s">
        <v>6945</v>
      </c>
      <c r="D9323">
        <v>124650</v>
      </c>
      <c r="E9323" t="s">
        <v>6946</v>
      </c>
      <c r="F9323">
        <v>51.732999999999997</v>
      </c>
      <c r="G9323">
        <v>19.399999999999999</v>
      </c>
      <c r="H9323">
        <v>1</v>
      </c>
      <c r="I9323">
        <v>190</v>
      </c>
      <c r="J9323" t="str">
        <f>HYPERLINK("https://climate.onebuilding.org/WMO_Region_6_Europe/POL_Poland/LD_Lodzkie/POL_LD_Lodz-Reymont.AP.124650_TMYx.2004-2018.zip")</f>
        <v>https://climate.onebuilding.org/WMO_Region_6_Europe/POL_Poland/LD_Lodzkie/POL_LD_Lodz-Reymont.AP.124650_TMYx.2004-2018.zip</v>
      </c>
    </row>
    <row r="9324" spans="1:10" x14ac:dyDescent="0.25">
      <c r="A9324" t="s">
        <v>6811</v>
      </c>
      <c r="B9324" t="s">
        <v>6823</v>
      </c>
      <c r="C9324" t="s">
        <v>6945</v>
      </c>
      <c r="D9324">
        <v>124650</v>
      </c>
      <c r="E9324" t="s">
        <v>14</v>
      </c>
      <c r="F9324">
        <v>51.722999999999999</v>
      </c>
      <c r="G9324">
        <v>19.399000000000001</v>
      </c>
      <c r="H9324">
        <v>1</v>
      </c>
      <c r="I9324">
        <v>190</v>
      </c>
      <c r="J9324" t="str">
        <f>HYPERLINK("https://climate.onebuilding.org/WMO_Region_6_Europe/POL_Poland/LD_Lodzkie/POL_LD_Lodz-Reymont.AP.124650_TMYx.2007-2021.zip")</f>
        <v>https://climate.onebuilding.org/WMO_Region_6_Europe/POL_Poland/LD_Lodzkie/POL_LD_Lodz-Reymont.AP.124650_TMYx.2007-2021.zip</v>
      </c>
    </row>
    <row r="9325" spans="1:10" x14ac:dyDescent="0.25">
      <c r="A9325" t="s">
        <v>6811</v>
      </c>
      <c r="B9325" t="s">
        <v>6823</v>
      </c>
      <c r="C9325" t="s">
        <v>6945</v>
      </c>
      <c r="D9325">
        <v>124650</v>
      </c>
      <c r="E9325" t="s">
        <v>14</v>
      </c>
      <c r="F9325">
        <v>51.722999999999999</v>
      </c>
      <c r="G9325">
        <v>19.399000000000001</v>
      </c>
      <c r="H9325">
        <v>1</v>
      </c>
      <c r="I9325">
        <v>190</v>
      </c>
      <c r="J9325" t="str">
        <f>HYPERLINK("https://climate.onebuilding.org/WMO_Region_6_Europe/POL_Poland/LD_Lodzkie/POL_LD_Lodz-Reymont.AP.124650_TMYx.2009-2023.zip")</f>
        <v>https://climate.onebuilding.org/WMO_Region_6_Europe/POL_Poland/LD_Lodzkie/POL_LD_Lodz-Reymont.AP.124650_TMYx.2009-2023.zip</v>
      </c>
    </row>
    <row r="9326" spans="1:10" x14ac:dyDescent="0.25">
      <c r="A9326" t="s">
        <v>6811</v>
      </c>
      <c r="B9326" t="s">
        <v>6823</v>
      </c>
      <c r="C9326" t="s">
        <v>6945</v>
      </c>
      <c r="D9326">
        <v>124650</v>
      </c>
      <c r="E9326" t="s">
        <v>14</v>
      </c>
      <c r="F9326">
        <v>51.722999999999999</v>
      </c>
      <c r="G9326">
        <v>19.399000000000001</v>
      </c>
      <c r="H9326">
        <v>1</v>
      </c>
      <c r="I9326">
        <v>190</v>
      </c>
      <c r="J9326" t="str">
        <f>HYPERLINK("https://climate.onebuilding.org/WMO_Region_6_Europe/POL_Poland/LD_Lodzkie/POL_LD_Lodz-Reymont.AP.124650_TMYx.zip")</f>
        <v>https://climate.onebuilding.org/WMO_Region_6_Europe/POL_Poland/LD_Lodzkie/POL_LD_Lodz-Reymont.AP.124650_TMYx.zip</v>
      </c>
    </row>
    <row r="9327" spans="1:10" x14ac:dyDescent="0.25">
      <c r="A9327" t="s">
        <v>6811</v>
      </c>
      <c r="B9327" t="s">
        <v>6823</v>
      </c>
      <c r="C9327" t="s">
        <v>6947</v>
      </c>
      <c r="D9327">
        <v>124690</v>
      </c>
      <c r="E9327" t="s">
        <v>6948</v>
      </c>
      <c r="F9327">
        <v>51.35</v>
      </c>
      <c r="G9327">
        <v>19.867000000000001</v>
      </c>
      <c r="H9327">
        <v>1</v>
      </c>
      <c r="I9327">
        <v>189</v>
      </c>
      <c r="J9327" t="str">
        <f>HYPERLINK("https://climate.onebuilding.org/WMO_Region_6_Europe/POL_Poland/LD_Lodzkie/POL_LD_Sulejow.124690_TMYx.2004-2018.zip")</f>
        <v>https://climate.onebuilding.org/WMO_Region_6_Europe/POL_Poland/LD_Lodzkie/POL_LD_Sulejow.124690_TMYx.2004-2018.zip</v>
      </c>
    </row>
    <row r="9328" spans="1:10" x14ac:dyDescent="0.25">
      <c r="A9328" t="s">
        <v>6811</v>
      </c>
      <c r="B9328" t="s">
        <v>6823</v>
      </c>
      <c r="C9328" t="s">
        <v>6947</v>
      </c>
      <c r="D9328">
        <v>124690</v>
      </c>
      <c r="E9328" t="s">
        <v>14</v>
      </c>
      <c r="F9328">
        <v>51.353299999999997</v>
      </c>
      <c r="G9328">
        <v>19.866399999999999</v>
      </c>
      <c r="H9328">
        <v>1</v>
      </c>
      <c r="I9328">
        <v>189</v>
      </c>
      <c r="J9328" t="str">
        <f>HYPERLINK("https://climate.onebuilding.org/WMO_Region_6_Europe/POL_Poland/LD_Lodzkie/POL_LD_Sulejow.124690_TMYx.2007-2021.zip")</f>
        <v>https://climate.onebuilding.org/WMO_Region_6_Europe/POL_Poland/LD_Lodzkie/POL_LD_Sulejow.124690_TMYx.2007-2021.zip</v>
      </c>
    </row>
    <row r="9329" spans="1:10" x14ac:dyDescent="0.25">
      <c r="A9329" t="s">
        <v>6811</v>
      </c>
      <c r="B9329" t="s">
        <v>6823</v>
      </c>
      <c r="C9329" t="s">
        <v>6947</v>
      </c>
      <c r="D9329">
        <v>124690</v>
      </c>
      <c r="E9329" t="s">
        <v>14</v>
      </c>
      <c r="F9329">
        <v>51.353299999999997</v>
      </c>
      <c r="G9329">
        <v>19.866399999999999</v>
      </c>
      <c r="H9329">
        <v>1</v>
      </c>
      <c r="I9329">
        <v>189</v>
      </c>
      <c r="J9329" t="str">
        <f>HYPERLINK("https://climate.onebuilding.org/WMO_Region_6_Europe/POL_Poland/LD_Lodzkie/POL_LD_Sulejow.124690_TMYx.2009-2023.zip")</f>
        <v>https://climate.onebuilding.org/WMO_Region_6_Europe/POL_Poland/LD_Lodzkie/POL_LD_Sulejow.124690_TMYx.2009-2023.zip</v>
      </c>
    </row>
    <row r="9330" spans="1:10" x14ac:dyDescent="0.25">
      <c r="A9330" t="s">
        <v>6811</v>
      </c>
      <c r="B9330" t="s">
        <v>6823</v>
      </c>
      <c r="C9330" t="s">
        <v>6947</v>
      </c>
      <c r="D9330">
        <v>124690</v>
      </c>
      <c r="E9330" t="s">
        <v>14</v>
      </c>
      <c r="F9330">
        <v>51.353299999999997</v>
      </c>
      <c r="G9330">
        <v>19.866399999999999</v>
      </c>
      <c r="H9330">
        <v>1</v>
      </c>
      <c r="I9330">
        <v>189</v>
      </c>
      <c r="J9330" t="str">
        <f>HYPERLINK("https://climate.onebuilding.org/WMO_Region_6_Europe/POL_Poland/LD_Lodzkie/POL_LD_Sulejow.124690_TMYx.zip")</f>
        <v>https://climate.onebuilding.org/WMO_Region_6_Europe/POL_Poland/LD_Lodzkie/POL_LD_Sulejow.124690_TMYx.zip</v>
      </c>
    </row>
    <row r="9331" spans="1:10" x14ac:dyDescent="0.25">
      <c r="A9331" t="s">
        <v>6811</v>
      </c>
      <c r="B9331" t="s">
        <v>6828</v>
      </c>
      <c r="C9331" t="s">
        <v>6949</v>
      </c>
      <c r="D9331">
        <v>124850</v>
      </c>
      <c r="E9331" t="s">
        <v>6950</v>
      </c>
      <c r="F9331">
        <v>51.417000000000002</v>
      </c>
      <c r="G9331">
        <v>21.117000000000001</v>
      </c>
      <c r="H9331">
        <v>1</v>
      </c>
      <c r="I9331">
        <v>183</v>
      </c>
      <c r="J9331" t="str">
        <f>HYPERLINK("https://climate.onebuilding.org/WMO_Region_6_Europe/POL_Poland/MZ_Mazowieckie/POL_MZ_Radom.124850_TMYx.2004-2018.zip")</f>
        <v>https://climate.onebuilding.org/WMO_Region_6_Europe/POL_Poland/MZ_Mazowieckie/POL_MZ_Radom.124850_TMYx.2004-2018.zip</v>
      </c>
    </row>
    <row r="9332" spans="1:10" x14ac:dyDescent="0.25">
      <c r="A9332" t="s">
        <v>6811</v>
      </c>
      <c r="B9332" t="s">
        <v>6828</v>
      </c>
      <c r="C9332" t="s">
        <v>6949</v>
      </c>
      <c r="D9332">
        <v>124850</v>
      </c>
      <c r="E9332" t="s">
        <v>14</v>
      </c>
      <c r="F9332">
        <v>51.414000000000001</v>
      </c>
      <c r="G9332">
        <v>21.111000000000001</v>
      </c>
      <c r="H9332">
        <v>1</v>
      </c>
      <c r="I9332">
        <v>183</v>
      </c>
      <c r="J9332" t="str">
        <f>HYPERLINK("https://climate.onebuilding.org/WMO_Region_6_Europe/POL_Poland/MZ_Mazowieckie/POL_MZ_Radom.124850_TMYx.2007-2021.zip")</f>
        <v>https://climate.onebuilding.org/WMO_Region_6_Europe/POL_Poland/MZ_Mazowieckie/POL_MZ_Radom.124850_TMYx.2007-2021.zip</v>
      </c>
    </row>
    <row r="9333" spans="1:10" x14ac:dyDescent="0.25">
      <c r="A9333" t="s">
        <v>6811</v>
      </c>
      <c r="B9333" t="s">
        <v>6828</v>
      </c>
      <c r="C9333" t="s">
        <v>6949</v>
      </c>
      <c r="D9333">
        <v>124850</v>
      </c>
      <c r="E9333" t="s">
        <v>14</v>
      </c>
      <c r="F9333">
        <v>51.414000000000001</v>
      </c>
      <c r="G9333">
        <v>21.111000000000001</v>
      </c>
      <c r="H9333">
        <v>1</v>
      </c>
      <c r="I9333">
        <v>183</v>
      </c>
      <c r="J9333" t="str">
        <f>HYPERLINK("https://climate.onebuilding.org/WMO_Region_6_Europe/POL_Poland/MZ_Mazowieckie/POL_MZ_Radom.124850_TMYx.2009-2023.zip")</f>
        <v>https://climate.onebuilding.org/WMO_Region_6_Europe/POL_Poland/MZ_Mazowieckie/POL_MZ_Radom.124850_TMYx.2009-2023.zip</v>
      </c>
    </row>
    <row r="9334" spans="1:10" x14ac:dyDescent="0.25">
      <c r="A9334" t="s">
        <v>6811</v>
      </c>
      <c r="B9334" t="s">
        <v>6828</v>
      </c>
      <c r="C9334" t="s">
        <v>6949</v>
      </c>
      <c r="D9334">
        <v>124850</v>
      </c>
      <c r="E9334" t="s">
        <v>14</v>
      </c>
      <c r="F9334">
        <v>51.414000000000001</v>
      </c>
      <c r="G9334">
        <v>21.111000000000001</v>
      </c>
      <c r="H9334">
        <v>1</v>
      </c>
      <c r="I9334">
        <v>183</v>
      </c>
      <c r="J9334" t="str">
        <f>HYPERLINK("https://climate.onebuilding.org/WMO_Region_6_Europe/POL_Poland/MZ_Mazowieckie/POL_MZ_Radom.124850_TMYx.zip")</f>
        <v>https://climate.onebuilding.org/WMO_Region_6_Europe/POL_Poland/MZ_Mazowieckie/POL_MZ_Radom.124850_TMYx.zip</v>
      </c>
    </row>
    <row r="9335" spans="1:10" x14ac:dyDescent="0.25">
      <c r="A9335" t="s">
        <v>6811</v>
      </c>
      <c r="B9335" t="s">
        <v>6828</v>
      </c>
      <c r="C9335" t="s">
        <v>6951</v>
      </c>
      <c r="D9335">
        <v>124880</v>
      </c>
      <c r="E9335" t="s">
        <v>6952</v>
      </c>
      <c r="F9335">
        <v>51.567</v>
      </c>
      <c r="G9335">
        <v>21.55</v>
      </c>
      <c r="H9335">
        <v>1</v>
      </c>
      <c r="I9335">
        <v>126</v>
      </c>
      <c r="J9335" t="str">
        <f>HYPERLINK("https://climate.onebuilding.org/WMO_Region_6_Europe/POL_Poland/MZ_Mazowieckie/POL_MZ_Kozienice.124880_TMYx.2004-2018.zip")</f>
        <v>https://climate.onebuilding.org/WMO_Region_6_Europe/POL_Poland/MZ_Mazowieckie/POL_MZ_Kozienice.124880_TMYx.2004-2018.zip</v>
      </c>
    </row>
    <row r="9336" spans="1:10" x14ac:dyDescent="0.25">
      <c r="A9336" t="s">
        <v>6811</v>
      </c>
      <c r="B9336" t="s">
        <v>6828</v>
      </c>
      <c r="C9336" t="s">
        <v>6951</v>
      </c>
      <c r="D9336">
        <v>124880</v>
      </c>
      <c r="E9336" t="s">
        <v>14</v>
      </c>
      <c r="F9336">
        <v>51.564700000000002</v>
      </c>
      <c r="G9336">
        <v>21.543600000000001</v>
      </c>
      <c r="H9336">
        <v>1</v>
      </c>
      <c r="I9336">
        <v>126</v>
      </c>
      <c r="J9336" t="str">
        <f>HYPERLINK("https://climate.onebuilding.org/WMO_Region_6_Europe/POL_Poland/MZ_Mazowieckie/POL_MZ_Kozienice.124880_TMYx.2007-2021.zip")</f>
        <v>https://climate.onebuilding.org/WMO_Region_6_Europe/POL_Poland/MZ_Mazowieckie/POL_MZ_Kozienice.124880_TMYx.2007-2021.zip</v>
      </c>
    </row>
    <row r="9337" spans="1:10" x14ac:dyDescent="0.25">
      <c r="A9337" t="s">
        <v>6811</v>
      </c>
      <c r="B9337" t="s">
        <v>6828</v>
      </c>
      <c r="C9337" t="s">
        <v>6951</v>
      </c>
      <c r="D9337">
        <v>124880</v>
      </c>
      <c r="E9337" t="s">
        <v>14</v>
      </c>
      <c r="F9337">
        <v>51.564700000000002</v>
      </c>
      <c r="G9337">
        <v>21.543600000000001</v>
      </c>
      <c r="H9337">
        <v>1</v>
      </c>
      <c r="I9337">
        <v>126</v>
      </c>
      <c r="J9337" t="str">
        <f>HYPERLINK("https://climate.onebuilding.org/WMO_Region_6_Europe/POL_Poland/MZ_Mazowieckie/POL_MZ_Kozienice.124880_TMYx.2009-2023.zip")</f>
        <v>https://climate.onebuilding.org/WMO_Region_6_Europe/POL_Poland/MZ_Mazowieckie/POL_MZ_Kozienice.124880_TMYx.2009-2023.zip</v>
      </c>
    </row>
    <row r="9338" spans="1:10" x14ac:dyDescent="0.25">
      <c r="A9338" t="s">
        <v>6811</v>
      </c>
      <c r="B9338" t="s">
        <v>6828</v>
      </c>
      <c r="C9338" t="s">
        <v>6951</v>
      </c>
      <c r="D9338">
        <v>124880</v>
      </c>
      <c r="E9338" t="s">
        <v>14</v>
      </c>
      <c r="F9338">
        <v>51.564700000000002</v>
      </c>
      <c r="G9338">
        <v>21.543600000000001</v>
      </c>
      <c r="H9338">
        <v>1</v>
      </c>
      <c r="I9338">
        <v>126</v>
      </c>
      <c r="J9338" t="str">
        <f>HYPERLINK("https://climate.onebuilding.org/WMO_Region_6_Europe/POL_Poland/MZ_Mazowieckie/POL_MZ_Kozienice.124880_TMYx.zip")</f>
        <v>https://climate.onebuilding.org/WMO_Region_6_Europe/POL_Poland/MZ_Mazowieckie/POL_MZ_Kozienice.124880_TMYx.zip</v>
      </c>
    </row>
    <row r="9339" spans="1:10" x14ac:dyDescent="0.25">
      <c r="A9339" t="s">
        <v>6811</v>
      </c>
      <c r="B9339" t="s">
        <v>646</v>
      </c>
      <c r="C9339" t="s">
        <v>6953</v>
      </c>
      <c r="D9339">
        <v>124900</v>
      </c>
      <c r="E9339" t="s">
        <v>6954</v>
      </c>
      <c r="F9339">
        <v>51.551000000000002</v>
      </c>
      <c r="G9339">
        <v>21.893999999999998</v>
      </c>
      <c r="H9339">
        <v>1</v>
      </c>
      <c r="I9339">
        <v>119.5</v>
      </c>
      <c r="J9339" t="str">
        <f>HYPERLINK("https://climate.onebuilding.org/WMO_Region_6_Europe/POL_Poland/MA_Malopolskie/POL_MA_Deblin.AP.124900_TMYx.2004-2018.zip")</f>
        <v>https://climate.onebuilding.org/WMO_Region_6_Europe/POL_Poland/MA_Malopolskie/POL_MA_Deblin.AP.124900_TMYx.2004-2018.zip</v>
      </c>
    </row>
    <row r="9340" spans="1:10" x14ac:dyDescent="0.25">
      <c r="A9340" t="s">
        <v>6811</v>
      </c>
      <c r="B9340" t="s">
        <v>646</v>
      </c>
      <c r="C9340" t="s">
        <v>6953</v>
      </c>
      <c r="D9340">
        <v>124900</v>
      </c>
      <c r="E9340" t="s">
        <v>14</v>
      </c>
      <c r="F9340">
        <v>51.551000000000002</v>
      </c>
      <c r="G9340">
        <v>21.893999999999998</v>
      </c>
      <c r="H9340">
        <v>1</v>
      </c>
      <c r="I9340">
        <v>119.5</v>
      </c>
      <c r="J9340" t="str">
        <f>HYPERLINK("https://climate.onebuilding.org/WMO_Region_6_Europe/POL_Poland/MA_Malopolskie/POL_MA_Deblin.AP.124900_TMYx.2007-2021.zip")</f>
        <v>https://climate.onebuilding.org/WMO_Region_6_Europe/POL_Poland/MA_Malopolskie/POL_MA_Deblin.AP.124900_TMYx.2007-2021.zip</v>
      </c>
    </row>
    <row r="9341" spans="1:10" x14ac:dyDescent="0.25">
      <c r="A9341" t="s">
        <v>6811</v>
      </c>
      <c r="B9341" t="s">
        <v>646</v>
      </c>
      <c r="C9341" t="s">
        <v>6953</v>
      </c>
      <c r="D9341">
        <v>124900</v>
      </c>
      <c r="E9341" t="s">
        <v>14</v>
      </c>
      <c r="F9341">
        <v>51.551000000000002</v>
      </c>
      <c r="G9341">
        <v>21.893999999999998</v>
      </c>
      <c r="H9341">
        <v>1</v>
      </c>
      <c r="I9341">
        <v>119.5</v>
      </c>
      <c r="J9341" t="str">
        <f>HYPERLINK("https://climate.onebuilding.org/WMO_Region_6_Europe/POL_Poland/MA_Malopolskie/POL_MA_Deblin.AP.124900_TMYx.2009-2023.zip")</f>
        <v>https://climate.onebuilding.org/WMO_Region_6_Europe/POL_Poland/MA_Malopolskie/POL_MA_Deblin.AP.124900_TMYx.2009-2023.zip</v>
      </c>
    </row>
    <row r="9342" spans="1:10" x14ac:dyDescent="0.25">
      <c r="A9342" t="s">
        <v>6811</v>
      </c>
      <c r="B9342" t="s">
        <v>646</v>
      </c>
      <c r="C9342" t="s">
        <v>6953</v>
      </c>
      <c r="D9342">
        <v>124900</v>
      </c>
      <c r="E9342" t="s">
        <v>14</v>
      </c>
      <c r="F9342">
        <v>51.551000000000002</v>
      </c>
      <c r="G9342">
        <v>21.893999999999998</v>
      </c>
      <c r="H9342">
        <v>1</v>
      </c>
      <c r="I9342">
        <v>119.5</v>
      </c>
      <c r="J9342" t="str">
        <f>HYPERLINK("https://climate.onebuilding.org/WMO_Region_6_Europe/POL_Poland/MA_Malopolskie/POL_MA_Deblin.AP.124900_TMYx.zip")</f>
        <v>https://climate.onebuilding.org/WMO_Region_6_Europe/POL_Poland/MA_Malopolskie/POL_MA_Deblin.AP.124900_TMYx.zip</v>
      </c>
    </row>
    <row r="9343" spans="1:10" x14ac:dyDescent="0.25">
      <c r="A9343" t="s">
        <v>6811</v>
      </c>
      <c r="B9343" t="s">
        <v>11</v>
      </c>
      <c r="C9343" t="s">
        <v>6955</v>
      </c>
      <c r="D9343">
        <v>124950</v>
      </c>
      <c r="E9343" t="s">
        <v>6956</v>
      </c>
      <c r="F9343">
        <v>51.216999999999999</v>
      </c>
      <c r="G9343">
        <v>22.4</v>
      </c>
      <c r="H9343">
        <v>1</v>
      </c>
      <c r="I9343">
        <v>240</v>
      </c>
      <c r="J9343" t="str">
        <f>HYPERLINK("https://climate.onebuilding.org/WMO_Region_6_Europe/POL_Poland/LU_Lubelskie/POL_LU_Lublin-Radawiec.AP.124950_TMYx.2004-2018.zip")</f>
        <v>https://climate.onebuilding.org/WMO_Region_6_Europe/POL_Poland/LU_Lubelskie/POL_LU_Lublin-Radawiec.AP.124950_TMYx.2004-2018.zip</v>
      </c>
    </row>
    <row r="9344" spans="1:10" x14ac:dyDescent="0.25">
      <c r="A9344" t="s">
        <v>6811</v>
      </c>
      <c r="B9344" t="s">
        <v>11</v>
      </c>
      <c r="C9344" t="s">
        <v>6955</v>
      </c>
      <c r="D9344">
        <v>124950</v>
      </c>
      <c r="E9344" t="s">
        <v>14</v>
      </c>
      <c r="F9344">
        <v>51.216700000000003</v>
      </c>
      <c r="G9344">
        <v>22.3931</v>
      </c>
      <c r="H9344">
        <v>1</v>
      </c>
      <c r="I9344">
        <v>240</v>
      </c>
      <c r="J9344" t="str">
        <f>HYPERLINK("https://climate.onebuilding.org/WMO_Region_6_Europe/POL_Poland/LU_Lubelskie/POL_LU_Lublin-Radawiec.AP.124950_TMYx.2007-2021.zip")</f>
        <v>https://climate.onebuilding.org/WMO_Region_6_Europe/POL_Poland/LU_Lubelskie/POL_LU_Lublin-Radawiec.AP.124950_TMYx.2007-2021.zip</v>
      </c>
    </row>
    <row r="9345" spans="1:10" x14ac:dyDescent="0.25">
      <c r="A9345" t="s">
        <v>6811</v>
      </c>
      <c r="B9345" t="s">
        <v>11</v>
      </c>
      <c r="C9345" t="s">
        <v>6955</v>
      </c>
      <c r="D9345">
        <v>124950</v>
      </c>
      <c r="E9345" t="s">
        <v>14</v>
      </c>
      <c r="F9345">
        <v>51.216700000000003</v>
      </c>
      <c r="G9345">
        <v>22.3931</v>
      </c>
      <c r="H9345">
        <v>1</v>
      </c>
      <c r="I9345">
        <v>240</v>
      </c>
      <c r="J9345" t="str">
        <f>HYPERLINK("https://climate.onebuilding.org/WMO_Region_6_Europe/POL_Poland/LU_Lubelskie/POL_LU_Lublin-Radawiec.AP.124950_TMYx.2009-2023.zip")</f>
        <v>https://climate.onebuilding.org/WMO_Region_6_Europe/POL_Poland/LU_Lubelskie/POL_LU_Lublin-Radawiec.AP.124950_TMYx.2009-2023.zip</v>
      </c>
    </row>
    <row r="9346" spans="1:10" x14ac:dyDescent="0.25">
      <c r="A9346" t="s">
        <v>6811</v>
      </c>
      <c r="B9346" t="s">
        <v>11</v>
      </c>
      <c r="C9346" t="s">
        <v>6955</v>
      </c>
      <c r="D9346">
        <v>124950</v>
      </c>
      <c r="E9346" t="s">
        <v>14</v>
      </c>
      <c r="F9346">
        <v>51.216700000000003</v>
      </c>
      <c r="G9346">
        <v>22.3931</v>
      </c>
      <c r="H9346">
        <v>1</v>
      </c>
      <c r="I9346">
        <v>240</v>
      </c>
      <c r="J9346" t="str">
        <f>HYPERLINK("https://climate.onebuilding.org/WMO_Region_6_Europe/POL_Poland/LU_Lubelskie/POL_LU_Lublin-Radawiec.AP.124950_TMYx.zip")</f>
        <v>https://climate.onebuilding.org/WMO_Region_6_Europe/POL_Poland/LU_Lubelskie/POL_LU_Lublin-Radawiec.AP.124950_TMYx.zip</v>
      </c>
    </row>
    <row r="9347" spans="1:10" x14ac:dyDescent="0.25">
      <c r="A9347" t="s">
        <v>6811</v>
      </c>
      <c r="B9347" t="s">
        <v>11</v>
      </c>
      <c r="C9347" t="s">
        <v>6957</v>
      </c>
      <c r="D9347">
        <v>124970</v>
      </c>
      <c r="E9347" t="s">
        <v>6958</v>
      </c>
      <c r="F9347">
        <v>51.55</v>
      </c>
      <c r="G9347">
        <v>23.533000000000001</v>
      </c>
      <c r="H9347">
        <v>1</v>
      </c>
      <c r="I9347">
        <v>179</v>
      </c>
      <c r="J9347" t="str">
        <f>HYPERLINK("https://climate.onebuilding.org/WMO_Region_6_Europe/POL_Poland/LU_Lubelskie/POL_LU_Wlodawa.124970_TMYx.2004-2018.zip")</f>
        <v>https://climate.onebuilding.org/WMO_Region_6_Europe/POL_Poland/LU_Lubelskie/POL_LU_Wlodawa.124970_TMYx.2004-2018.zip</v>
      </c>
    </row>
    <row r="9348" spans="1:10" x14ac:dyDescent="0.25">
      <c r="A9348" t="s">
        <v>6811</v>
      </c>
      <c r="B9348" t="s">
        <v>11</v>
      </c>
      <c r="C9348" t="s">
        <v>6957</v>
      </c>
      <c r="D9348">
        <v>124970</v>
      </c>
      <c r="E9348" t="s">
        <v>14</v>
      </c>
      <c r="F9348">
        <v>51.5533</v>
      </c>
      <c r="G9348">
        <v>23.529399999999999</v>
      </c>
      <c r="H9348">
        <v>1</v>
      </c>
      <c r="I9348">
        <v>179</v>
      </c>
      <c r="J9348" t="str">
        <f>HYPERLINK("https://climate.onebuilding.org/WMO_Region_6_Europe/POL_Poland/LU_Lubelskie/POL_LU_Wlodawa.124970_TMYx.2007-2021.zip")</f>
        <v>https://climate.onebuilding.org/WMO_Region_6_Europe/POL_Poland/LU_Lubelskie/POL_LU_Wlodawa.124970_TMYx.2007-2021.zip</v>
      </c>
    </row>
    <row r="9349" spans="1:10" x14ac:dyDescent="0.25">
      <c r="A9349" t="s">
        <v>6811</v>
      </c>
      <c r="B9349" t="s">
        <v>11</v>
      </c>
      <c r="C9349" t="s">
        <v>6957</v>
      </c>
      <c r="D9349">
        <v>124970</v>
      </c>
      <c r="E9349" t="s">
        <v>14</v>
      </c>
      <c r="F9349">
        <v>51.5533</v>
      </c>
      <c r="G9349">
        <v>23.529399999999999</v>
      </c>
      <c r="H9349">
        <v>1</v>
      </c>
      <c r="I9349">
        <v>179</v>
      </c>
      <c r="J9349" t="str">
        <f>HYPERLINK("https://climate.onebuilding.org/WMO_Region_6_Europe/POL_Poland/LU_Lubelskie/POL_LU_Wlodawa.124970_TMYx.2009-2023.zip")</f>
        <v>https://climate.onebuilding.org/WMO_Region_6_Europe/POL_Poland/LU_Lubelskie/POL_LU_Wlodawa.124970_TMYx.2009-2023.zip</v>
      </c>
    </row>
    <row r="9350" spans="1:10" x14ac:dyDescent="0.25">
      <c r="A9350" t="s">
        <v>6811</v>
      </c>
      <c r="B9350" t="s">
        <v>11</v>
      </c>
      <c r="C9350" t="s">
        <v>6957</v>
      </c>
      <c r="D9350">
        <v>124970</v>
      </c>
      <c r="E9350" t="s">
        <v>14</v>
      </c>
      <c r="F9350">
        <v>51.5533</v>
      </c>
      <c r="G9350">
        <v>23.529399999999999</v>
      </c>
      <c r="H9350">
        <v>1</v>
      </c>
      <c r="I9350">
        <v>179</v>
      </c>
      <c r="J9350" t="str">
        <f>HYPERLINK("https://climate.onebuilding.org/WMO_Region_6_Europe/POL_Poland/LU_Lubelskie/POL_LU_Wlodawa.124970_TMYx.zip")</f>
        <v>https://climate.onebuilding.org/WMO_Region_6_Europe/POL_Poland/LU_Lubelskie/POL_LU_Wlodawa.124970_TMYx.zip</v>
      </c>
    </row>
    <row r="9351" spans="1:10" x14ac:dyDescent="0.25">
      <c r="A9351" t="s">
        <v>6811</v>
      </c>
      <c r="B9351" t="s">
        <v>6932</v>
      </c>
      <c r="C9351" t="s">
        <v>6959</v>
      </c>
      <c r="D9351">
        <v>125000</v>
      </c>
      <c r="E9351" t="s">
        <v>6960</v>
      </c>
      <c r="F9351">
        <v>50.9</v>
      </c>
      <c r="G9351">
        <v>15.8</v>
      </c>
      <c r="H9351">
        <v>1</v>
      </c>
      <c r="I9351">
        <v>344</v>
      </c>
      <c r="J9351" t="str">
        <f>HYPERLINK("https://climate.onebuilding.org/WMO_Region_6_Europe/POL_Poland/DS_Dolnoslaskie/POL_DS_Jelenia-Gora.125000_TMYx.2004-2018.zip")</f>
        <v>https://climate.onebuilding.org/WMO_Region_6_Europe/POL_Poland/DS_Dolnoslaskie/POL_DS_Jelenia-Gora.125000_TMYx.2004-2018.zip</v>
      </c>
    </row>
    <row r="9352" spans="1:10" x14ac:dyDescent="0.25">
      <c r="A9352" t="s">
        <v>6811</v>
      </c>
      <c r="B9352" t="s">
        <v>6932</v>
      </c>
      <c r="C9352" t="s">
        <v>6959</v>
      </c>
      <c r="D9352">
        <v>125000</v>
      </c>
      <c r="E9352" t="s">
        <v>14</v>
      </c>
      <c r="F9352">
        <v>50.900300000000001</v>
      </c>
      <c r="G9352">
        <v>15.7889</v>
      </c>
      <c r="H9352">
        <v>1</v>
      </c>
      <c r="I9352">
        <v>344</v>
      </c>
      <c r="J9352" t="str">
        <f>HYPERLINK("https://climate.onebuilding.org/WMO_Region_6_Europe/POL_Poland/DS_Dolnoslaskie/POL_DS_Jelenia-Gora.125000_TMYx.2007-2021.zip")</f>
        <v>https://climate.onebuilding.org/WMO_Region_6_Europe/POL_Poland/DS_Dolnoslaskie/POL_DS_Jelenia-Gora.125000_TMYx.2007-2021.zip</v>
      </c>
    </row>
    <row r="9353" spans="1:10" x14ac:dyDescent="0.25">
      <c r="A9353" t="s">
        <v>6811</v>
      </c>
      <c r="B9353" t="s">
        <v>6932</v>
      </c>
      <c r="C9353" t="s">
        <v>6959</v>
      </c>
      <c r="D9353">
        <v>125000</v>
      </c>
      <c r="E9353" t="s">
        <v>14</v>
      </c>
      <c r="F9353">
        <v>50.900300000000001</v>
      </c>
      <c r="G9353">
        <v>15.7889</v>
      </c>
      <c r="H9353">
        <v>1</v>
      </c>
      <c r="I9353">
        <v>344</v>
      </c>
      <c r="J9353" t="str">
        <f>HYPERLINK("https://climate.onebuilding.org/WMO_Region_6_Europe/POL_Poland/DS_Dolnoslaskie/POL_DS_Jelenia-Gora.125000_TMYx.2009-2023.zip")</f>
        <v>https://climate.onebuilding.org/WMO_Region_6_Europe/POL_Poland/DS_Dolnoslaskie/POL_DS_Jelenia-Gora.125000_TMYx.2009-2023.zip</v>
      </c>
    </row>
    <row r="9354" spans="1:10" x14ac:dyDescent="0.25">
      <c r="A9354" t="s">
        <v>6811</v>
      </c>
      <c r="B9354" t="s">
        <v>6932</v>
      </c>
      <c r="C9354" t="s">
        <v>6959</v>
      </c>
      <c r="D9354">
        <v>125000</v>
      </c>
      <c r="E9354" t="s">
        <v>14</v>
      </c>
      <c r="F9354">
        <v>50.900300000000001</v>
      </c>
      <c r="G9354">
        <v>15.7889</v>
      </c>
      <c r="H9354">
        <v>1</v>
      </c>
      <c r="I9354">
        <v>344</v>
      </c>
      <c r="J9354" t="str">
        <f>HYPERLINK("https://climate.onebuilding.org/WMO_Region_6_Europe/POL_Poland/DS_Dolnoslaskie/POL_DS_Jelenia-Gora.125000_TMYx.zip")</f>
        <v>https://climate.onebuilding.org/WMO_Region_6_Europe/POL_Poland/DS_Dolnoslaskie/POL_DS_Jelenia-Gora.125000_TMYx.zip</v>
      </c>
    </row>
    <row r="9355" spans="1:10" x14ac:dyDescent="0.25">
      <c r="A9355" t="s">
        <v>6811</v>
      </c>
      <c r="B9355" t="s">
        <v>6932</v>
      </c>
      <c r="C9355" t="s">
        <v>6961</v>
      </c>
      <c r="D9355">
        <v>125100</v>
      </c>
      <c r="E9355" t="s">
        <v>6962</v>
      </c>
      <c r="F9355">
        <v>50.732999999999997</v>
      </c>
      <c r="G9355">
        <v>15.733000000000001</v>
      </c>
      <c r="H9355">
        <v>1</v>
      </c>
      <c r="I9355">
        <v>1613</v>
      </c>
      <c r="J9355" t="str">
        <f>HYPERLINK("https://climate.onebuilding.org/WMO_Region_6_Europe/POL_Poland/DS_Dolnoslaskie/POL_DS_Sniezka.Obs.Meteorologiczne.Holdysa.125100_TMYx.2004-2018.zip")</f>
        <v>https://climate.onebuilding.org/WMO_Region_6_Europe/POL_Poland/DS_Dolnoslaskie/POL_DS_Sniezka.Obs.Meteorologiczne.Holdysa.125100_TMYx.2004-2018.zip</v>
      </c>
    </row>
    <row r="9356" spans="1:10" x14ac:dyDescent="0.25">
      <c r="A9356" t="s">
        <v>6811</v>
      </c>
      <c r="B9356" t="s">
        <v>6932</v>
      </c>
      <c r="C9356" t="s">
        <v>6961</v>
      </c>
      <c r="D9356">
        <v>125100</v>
      </c>
      <c r="E9356" t="s">
        <v>14</v>
      </c>
      <c r="F9356">
        <v>50.732999999999997</v>
      </c>
      <c r="G9356">
        <v>15.733000000000001</v>
      </c>
      <c r="H9356">
        <v>1</v>
      </c>
      <c r="I9356">
        <v>1613</v>
      </c>
      <c r="J9356" t="str">
        <f>HYPERLINK("https://climate.onebuilding.org/WMO_Region_6_Europe/POL_Poland/DS_Dolnoslaskie/POL_DS_Sniezka.Obs.Meteorologiczne.Holdysa.125100_TMYx.2007-2021.zip")</f>
        <v>https://climate.onebuilding.org/WMO_Region_6_Europe/POL_Poland/DS_Dolnoslaskie/POL_DS_Sniezka.Obs.Meteorologiczne.Holdysa.125100_TMYx.2007-2021.zip</v>
      </c>
    </row>
    <row r="9357" spans="1:10" x14ac:dyDescent="0.25">
      <c r="A9357" t="s">
        <v>6811</v>
      </c>
      <c r="B9357" t="s">
        <v>6932</v>
      </c>
      <c r="C9357" t="s">
        <v>6961</v>
      </c>
      <c r="D9357">
        <v>125100</v>
      </c>
      <c r="E9357" t="s">
        <v>14</v>
      </c>
      <c r="F9357">
        <v>50.732999999999997</v>
      </c>
      <c r="G9357">
        <v>15.733000000000001</v>
      </c>
      <c r="H9357">
        <v>1</v>
      </c>
      <c r="I9357">
        <v>1613</v>
      </c>
      <c r="J9357" t="str">
        <f>HYPERLINK("https://climate.onebuilding.org/WMO_Region_6_Europe/POL_Poland/DS_Dolnoslaskie/POL_DS_Sniezka.Obs.Meteorologiczne.Holdysa.125100_TMYx.2009-2023.zip")</f>
        <v>https://climate.onebuilding.org/WMO_Region_6_Europe/POL_Poland/DS_Dolnoslaskie/POL_DS_Sniezka.Obs.Meteorologiczne.Holdysa.125100_TMYx.2009-2023.zip</v>
      </c>
    </row>
    <row r="9358" spans="1:10" x14ac:dyDescent="0.25">
      <c r="A9358" t="s">
        <v>6811</v>
      </c>
      <c r="B9358" t="s">
        <v>6932</v>
      </c>
      <c r="C9358" t="s">
        <v>6961</v>
      </c>
      <c r="D9358">
        <v>125100</v>
      </c>
      <c r="E9358" t="s">
        <v>14</v>
      </c>
      <c r="F9358">
        <v>50.732999999999997</v>
      </c>
      <c r="G9358">
        <v>15.733000000000001</v>
      </c>
      <c r="H9358">
        <v>1</v>
      </c>
      <c r="I9358">
        <v>1613</v>
      </c>
      <c r="J9358" t="str">
        <f>HYPERLINK("https://climate.onebuilding.org/WMO_Region_6_Europe/POL_Poland/DS_Dolnoslaskie/POL_DS_Sniezka.Obs.Meteorologiczne.Holdysa.125100_TMYx.zip")</f>
        <v>https://climate.onebuilding.org/WMO_Region_6_Europe/POL_Poland/DS_Dolnoslaskie/POL_DS_Sniezka.Obs.Meteorologiczne.Holdysa.125100_TMYx.zip</v>
      </c>
    </row>
    <row r="9359" spans="1:10" x14ac:dyDescent="0.25">
      <c r="A9359" t="s">
        <v>6811</v>
      </c>
      <c r="B9359" t="s">
        <v>6932</v>
      </c>
      <c r="C9359" t="s">
        <v>6963</v>
      </c>
      <c r="D9359">
        <v>125200</v>
      </c>
      <c r="E9359" t="s">
        <v>6964</v>
      </c>
      <c r="F9359">
        <v>50.433</v>
      </c>
      <c r="G9359">
        <v>16.617000000000001</v>
      </c>
      <c r="H9359">
        <v>1</v>
      </c>
      <c r="I9359">
        <v>357</v>
      </c>
      <c r="J9359" t="str">
        <f>HYPERLINK("https://climate.onebuilding.org/WMO_Region_6_Europe/POL_Poland/DS_Dolnoslaskie/POL_DS_Klodzko.125200_TMYx.2004-2018.zip")</f>
        <v>https://climate.onebuilding.org/WMO_Region_6_Europe/POL_Poland/DS_Dolnoslaskie/POL_DS_Klodzko.125200_TMYx.2004-2018.zip</v>
      </c>
    </row>
    <row r="9360" spans="1:10" x14ac:dyDescent="0.25">
      <c r="A9360" t="s">
        <v>6811</v>
      </c>
      <c r="B9360" t="s">
        <v>6932</v>
      </c>
      <c r="C9360" t="s">
        <v>6963</v>
      </c>
      <c r="D9360">
        <v>125200</v>
      </c>
      <c r="E9360" t="s">
        <v>14</v>
      </c>
      <c r="F9360">
        <v>50.433</v>
      </c>
      <c r="G9360">
        <v>16.617000000000001</v>
      </c>
      <c r="H9360">
        <v>1</v>
      </c>
      <c r="I9360">
        <v>357</v>
      </c>
      <c r="J9360" t="str">
        <f>HYPERLINK("https://climate.onebuilding.org/WMO_Region_6_Europe/POL_Poland/DS_Dolnoslaskie/POL_DS_Klodzko.125200_TMYx.2007-2021.zip")</f>
        <v>https://climate.onebuilding.org/WMO_Region_6_Europe/POL_Poland/DS_Dolnoslaskie/POL_DS_Klodzko.125200_TMYx.2007-2021.zip</v>
      </c>
    </row>
    <row r="9361" spans="1:10" x14ac:dyDescent="0.25">
      <c r="A9361" t="s">
        <v>6811</v>
      </c>
      <c r="B9361" t="s">
        <v>6932</v>
      </c>
      <c r="C9361" t="s">
        <v>6963</v>
      </c>
      <c r="D9361">
        <v>125200</v>
      </c>
      <c r="E9361" t="s">
        <v>14</v>
      </c>
      <c r="F9361">
        <v>50.433</v>
      </c>
      <c r="G9361">
        <v>16.617000000000001</v>
      </c>
      <c r="H9361">
        <v>1</v>
      </c>
      <c r="I9361">
        <v>357</v>
      </c>
      <c r="J9361" t="str">
        <f>HYPERLINK("https://climate.onebuilding.org/WMO_Region_6_Europe/POL_Poland/DS_Dolnoslaskie/POL_DS_Klodzko.125200_TMYx.2009-2023.zip")</f>
        <v>https://climate.onebuilding.org/WMO_Region_6_Europe/POL_Poland/DS_Dolnoslaskie/POL_DS_Klodzko.125200_TMYx.2009-2023.zip</v>
      </c>
    </row>
    <row r="9362" spans="1:10" x14ac:dyDescent="0.25">
      <c r="A9362" t="s">
        <v>6811</v>
      </c>
      <c r="B9362" t="s">
        <v>6932</v>
      </c>
      <c r="C9362" t="s">
        <v>6963</v>
      </c>
      <c r="D9362">
        <v>125200</v>
      </c>
      <c r="E9362" t="s">
        <v>14</v>
      </c>
      <c r="F9362">
        <v>50.433</v>
      </c>
      <c r="G9362">
        <v>16.617000000000001</v>
      </c>
      <c r="H9362">
        <v>1</v>
      </c>
      <c r="I9362">
        <v>357</v>
      </c>
      <c r="J9362" t="str">
        <f>HYPERLINK("https://climate.onebuilding.org/WMO_Region_6_Europe/POL_Poland/DS_Dolnoslaskie/POL_DS_Klodzko.125200_TMYx.zip")</f>
        <v>https://climate.onebuilding.org/WMO_Region_6_Europe/POL_Poland/DS_Dolnoslaskie/POL_DS_Klodzko.125200_TMYx.zip</v>
      </c>
    </row>
    <row r="9363" spans="1:10" x14ac:dyDescent="0.25">
      <c r="A9363" t="s">
        <v>6811</v>
      </c>
      <c r="B9363" t="s">
        <v>6281</v>
      </c>
      <c r="C9363" t="s">
        <v>6965</v>
      </c>
      <c r="D9363">
        <v>125300</v>
      </c>
      <c r="E9363" t="s">
        <v>6966</v>
      </c>
      <c r="F9363">
        <v>50.616999999999997</v>
      </c>
      <c r="G9363">
        <v>17.966999999999999</v>
      </c>
      <c r="H9363">
        <v>1</v>
      </c>
      <c r="I9363">
        <v>163</v>
      </c>
      <c r="J9363" t="str">
        <f>HYPERLINK("https://climate.onebuilding.org/WMO_Region_6_Europe/POL_Poland/OP_Opolskie/POL_OP_Opole.125300_TMYx.2004-2018.zip")</f>
        <v>https://climate.onebuilding.org/WMO_Region_6_Europe/POL_Poland/OP_Opolskie/POL_OP_Opole.125300_TMYx.2004-2018.zip</v>
      </c>
    </row>
    <row r="9364" spans="1:10" x14ac:dyDescent="0.25">
      <c r="A9364" t="s">
        <v>6811</v>
      </c>
      <c r="B9364" t="s">
        <v>6281</v>
      </c>
      <c r="C9364" t="s">
        <v>6965</v>
      </c>
      <c r="D9364">
        <v>125300</v>
      </c>
      <c r="E9364" t="s">
        <v>14</v>
      </c>
      <c r="F9364">
        <v>50.616999999999997</v>
      </c>
      <c r="G9364">
        <v>17.966999999999999</v>
      </c>
      <c r="H9364">
        <v>1</v>
      </c>
      <c r="I9364">
        <v>163</v>
      </c>
      <c r="J9364" t="str">
        <f>HYPERLINK("https://climate.onebuilding.org/WMO_Region_6_Europe/POL_Poland/OP_Opolskie/POL_OP_Opole.125300_TMYx.2007-2021.zip")</f>
        <v>https://climate.onebuilding.org/WMO_Region_6_Europe/POL_Poland/OP_Opolskie/POL_OP_Opole.125300_TMYx.2007-2021.zip</v>
      </c>
    </row>
    <row r="9365" spans="1:10" x14ac:dyDescent="0.25">
      <c r="A9365" t="s">
        <v>6811</v>
      </c>
      <c r="B9365" t="s">
        <v>6281</v>
      </c>
      <c r="C9365" t="s">
        <v>6965</v>
      </c>
      <c r="D9365">
        <v>125300</v>
      </c>
      <c r="E9365" t="s">
        <v>14</v>
      </c>
      <c r="F9365">
        <v>50.616999999999997</v>
      </c>
      <c r="G9365">
        <v>17.966999999999999</v>
      </c>
      <c r="H9365">
        <v>1</v>
      </c>
      <c r="I9365">
        <v>163</v>
      </c>
      <c r="J9365" t="str">
        <f>HYPERLINK("https://climate.onebuilding.org/WMO_Region_6_Europe/POL_Poland/OP_Opolskie/POL_OP_Opole.125300_TMYx.2009-2023.zip")</f>
        <v>https://climate.onebuilding.org/WMO_Region_6_Europe/POL_Poland/OP_Opolskie/POL_OP_Opole.125300_TMYx.2009-2023.zip</v>
      </c>
    </row>
    <row r="9366" spans="1:10" x14ac:dyDescent="0.25">
      <c r="A9366" t="s">
        <v>6811</v>
      </c>
      <c r="B9366" t="s">
        <v>6281</v>
      </c>
      <c r="C9366" t="s">
        <v>6965</v>
      </c>
      <c r="D9366">
        <v>125300</v>
      </c>
      <c r="E9366" t="s">
        <v>14</v>
      </c>
      <c r="F9366">
        <v>50.616999999999997</v>
      </c>
      <c r="G9366">
        <v>17.966999999999999</v>
      </c>
      <c r="H9366">
        <v>1</v>
      </c>
      <c r="I9366">
        <v>163</v>
      </c>
      <c r="J9366" t="str">
        <f>HYPERLINK("https://climate.onebuilding.org/WMO_Region_6_Europe/POL_Poland/OP_Opolskie/POL_OP_Opole.125300_TMYx.zip")</f>
        <v>https://climate.onebuilding.org/WMO_Region_6_Europe/POL_Poland/OP_Opolskie/POL_OP_Opole.125300_TMYx.zip</v>
      </c>
    </row>
    <row r="9367" spans="1:10" x14ac:dyDescent="0.25">
      <c r="A9367" t="s">
        <v>6811</v>
      </c>
      <c r="B9367" t="s">
        <v>475</v>
      </c>
      <c r="C9367" t="s">
        <v>6967</v>
      </c>
      <c r="D9367">
        <v>125400</v>
      </c>
      <c r="E9367" t="s">
        <v>6968</v>
      </c>
      <c r="F9367">
        <v>50.05</v>
      </c>
      <c r="G9367">
        <v>18.2</v>
      </c>
      <c r="H9367">
        <v>1</v>
      </c>
      <c r="I9367">
        <v>206</v>
      </c>
      <c r="J9367" t="str">
        <f>HYPERLINK("https://climate.onebuilding.org/WMO_Region_6_Europe/POL_Poland/SL_Slaskie/POL_SL_Raciborz.125400_TMYx.2004-2018.zip")</f>
        <v>https://climate.onebuilding.org/WMO_Region_6_Europe/POL_Poland/SL_Slaskie/POL_SL_Raciborz.125400_TMYx.2004-2018.zip</v>
      </c>
    </row>
    <row r="9368" spans="1:10" x14ac:dyDescent="0.25">
      <c r="A9368" t="s">
        <v>6811</v>
      </c>
      <c r="B9368" t="s">
        <v>475</v>
      </c>
      <c r="C9368" t="s">
        <v>6967</v>
      </c>
      <c r="D9368">
        <v>125400</v>
      </c>
      <c r="E9368" t="s">
        <v>14</v>
      </c>
      <c r="F9368">
        <v>50.05</v>
      </c>
      <c r="G9368">
        <v>18.2</v>
      </c>
      <c r="H9368">
        <v>1</v>
      </c>
      <c r="I9368">
        <v>206</v>
      </c>
      <c r="J9368" t="str">
        <f>HYPERLINK("https://climate.onebuilding.org/WMO_Region_6_Europe/POL_Poland/SL_Slaskie/POL_SL_Raciborz.125400_TMYx.2007-2021.zip")</f>
        <v>https://climate.onebuilding.org/WMO_Region_6_Europe/POL_Poland/SL_Slaskie/POL_SL_Raciborz.125400_TMYx.2007-2021.zip</v>
      </c>
    </row>
    <row r="9369" spans="1:10" x14ac:dyDescent="0.25">
      <c r="A9369" t="s">
        <v>6811</v>
      </c>
      <c r="B9369" t="s">
        <v>475</v>
      </c>
      <c r="C9369" t="s">
        <v>6967</v>
      </c>
      <c r="D9369">
        <v>125400</v>
      </c>
      <c r="E9369" t="s">
        <v>14</v>
      </c>
      <c r="F9369">
        <v>50.05</v>
      </c>
      <c r="G9369">
        <v>18.2</v>
      </c>
      <c r="H9369">
        <v>1</v>
      </c>
      <c r="I9369">
        <v>206</v>
      </c>
      <c r="J9369" t="str">
        <f>HYPERLINK("https://climate.onebuilding.org/WMO_Region_6_Europe/POL_Poland/SL_Slaskie/POL_SL_Raciborz.125400_TMYx.2009-2023.zip")</f>
        <v>https://climate.onebuilding.org/WMO_Region_6_Europe/POL_Poland/SL_Slaskie/POL_SL_Raciborz.125400_TMYx.2009-2023.zip</v>
      </c>
    </row>
    <row r="9370" spans="1:10" x14ac:dyDescent="0.25">
      <c r="A9370" t="s">
        <v>6811</v>
      </c>
      <c r="B9370" t="s">
        <v>475</v>
      </c>
      <c r="C9370" t="s">
        <v>6967</v>
      </c>
      <c r="D9370">
        <v>125400</v>
      </c>
      <c r="E9370" t="s">
        <v>14</v>
      </c>
      <c r="F9370">
        <v>50.05</v>
      </c>
      <c r="G9370">
        <v>18.2</v>
      </c>
      <c r="H9370">
        <v>1</v>
      </c>
      <c r="I9370">
        <v>206</v>
      </c>
      <c r="J9370" t="str">
        <f>HYPERLINK("https://climate.onebuilding.org/WMO_Region_6_Europe/POL_Poland/SL_Slaskie/POL_SL_Raciborz.125400_TMYx.zip")</f>
        <v>https://climate.onebuilding.org/WMO_Region_6_Europe/POL_Poland/SL_Slaskie/POL_SL_Raciborz.125400_TMYx.zip</v>
      </c>
    </row>
    <row r="9371" spans="1:10" x14ac:dyDescent="0.25">
      <c r="A9371" t="s">
        <v>6811</v>
      </c>
      <c r="B9371" t="s">
        <v>475</v>
      </c>
      <c r="C9371" t="s">
        <v>6969</v>
      </c>
      <c r="D9371">
        <v>125500</v>
      </c>
      <c r="E9371" t="s">
        <v>6970</v>
      </c>
      <c r="F9371">
        <v>50.817</v>
      </c>
      <c r="G9371">
        <v>19.100000000000001</v>
      </c>
      <c r="H9371">
        <v>1</v>
      </c>
      <c r="I9371">
        <v>295</v>
      </c>
      <c r="J9371" t="str">
        <f>HYPERLINK("https://climate.onebuilding.org/WMO_Region_6_Europe/POL_Poland/SL_Slaskie/POL_SL_Czestochowa.125500_TMYx.2004-2018.zip")</f>
        <v>https://climate.onebuilding.org/WMO_Region_6_Europe/POL_Poland/SL_Slaskie/POL_SL_Czestochowa.125500_TMYx.2004-2018.zip</v>
      </c>
    </row>
    <row r="9372" spans="1:10" x14ac:dyDescent="0.25">
      <c r="A9372" t="s">
        <v>6811</v>
      </c>
      <c r="B9372" t="s">
        <v>475</v>
      </c>
      <c r="C9372" t="s">
        <v>6969</v>
      </c>
      <c r="D9372">
        <v>125500</v>
      </c>
      <c r="E9372" t="s">
        <v>14</v>
      </c>
      <c r="F9372">
        <v>50.811799999999998</v>
      </c>
      <c r="G9372">
        <v>19.0915</v>
      </c>
      <c r="H9372">
        <v>1</v>
      </c>
      <c r="I9372">
        <v>295</v>
      </c>
      <c r="J9372" t="str">
        <f>HYPERLINK("https://climate.onebuilding.org/WMO_Region_6_Europe/POL_Poland/SL_Slaskie/POL_SL_Czestochowa.125500_TMYx.2007-2021.zip")</f>
        <v>https://climate.onebuilding.org/WMO_Region_6_Europe/POL_Poland/SL_Slaskie/POL_SL_Czestochowa.125500_TMYx.2007-2021.zip</v>
      </c>
    </row>
    <row r="9373" spans="1:10" x14ac:dyDescent="0.25">
      <c r="A9373" t="s">
        <v>6811</v>
      </c>
      <c r="B9373" t="s">
        <v>475</v>
      </c>
      <c r="C9373" t="s">
        <v>6969</v>
      </c>
      <c r="D9373">
        <v>125500</v>
      </c>
      <c r="E9373" t="s">
        <v>14</v>
      </c>
      <c r="F9373">
        <v>50.811799999999998</v>
      </c>
      <c r="G9373">
        <v>19.0915</v>
      </c>
      <c r="H9373">
        <v>1</v>
      </c>
      <c r="I9373">
        <v>295</v>
      </c>
      <c r="J9373" t="str">
        <f>HYPERLINK("https://climate.onebuilding.org/WMO_Region_6_Europe/POL_Poland/SL_Slaskie/POL_SL_Czestochowa.125500_TMYx.2009-2023.zip")</f>
        <v>https://climate.onebuilding.org/WMO_Region_6_Europe/POL_Poland/SL_Slaskie/POL_SL_Czestochowa.125500_TMYx.2009-2023.zip</v>
      </c>
    </row>
    <row r="9374" spans="1:10" x14ac:dyDescent="0.25">
      <c r="A9374" t="s">
        <v>6811</v>
      </c>
      <c r="B9374" t="s">
        <v>475</v>
      </c>
      <c r="C9374" t="s">
        <v>6969</v>
      </c>
      <c r="D9374">
        <v>125500</v>
      </c>
      <c r="E9374" t="s">
        <v>14</v>
      </c>
      <c r="F9374">
        <v>50.811799999999998</v>
      </c>
      <c r="G9374">
        <v>19.0915</v>
      </c>
      <c r="H9374">
        <v>1</v>
      </c>
      <c r="I9374">
        <v>295</v>
      </c>
      <c r="J9374" t="str">
        <f>HYPERLINK("https://climate.onebuilding.org/WMO_Region_6_Europe/POL_Poland/SL_Slaskie/POL_SL_Czestochowa.125500_TMYx.zip")</f>
        <v>https://climate.onebuilding.org/WMO_Region_6_Europe/POL_Poland/SL_Slaskie/POL_SL_Czestochowa.125500_TMYx.zip</v>
      </c>
    </row>
    <row r="9375" spans="1:10" x14ac:dyDescent="0.25">
      <c r="A9375" t="s">
        <v>6811</v>
      </c>
      <c r="B9375" t="s">
        <v>475</v>
      </c>
      <c r="C9375" t="s">
        <v>6971</v>
      </c>
      <c r="D9375">
        <v>125600</v>
      </c>
      <c r="E9375" t="s">
        <v>6972</v>
      </c>
      <c r="F9375">
        <v>50.232999999999997</v>
      </c>
      <c r="G9375">
        <v>19.033000000000001</v>
      </c>
      <c r="H9375">
        <v>1</v>
      </c>
      <c r="I9375">
        <v>284</v>
      </c>
      <c r="J9375" t="str">
        <f>HYPERLINK("https://climate.onebuilding.org/WMO_Region_6_Europe/POL_Poland/SL_Slaskie/POL_SL_Katowice.Intl.AP.125600_TMYx.2004-2018.zip")</f>
        <v>https://climate.onebuilding.org/WMO_Region_6_Europe/POL_Poland/SL_Slaskie/POL_SL_Katowice.Intl.AP.125600_TMYx.2004-2018.zip</v>
      </c>
    </row>
    <row r="9376" spans="1:10" x14ac:dyDescent="0.25">
      <c r="A9376" t="s">
        <v>6811</v>
      </c>
      <c r="B9376" t="s">
        <v>475</v>
      </c>
      <c r="C9376" t="s">
        <v>6971</v>
      </c>
      <c r="D9376">
        <v>125600</v>
      </c>
      <c r="E9376" t="s">
        <v>14</v>
      </c>
      <c r="F9376">
        <v>50.240600000000001</v>
      </c>
      <c r="G9376">
        <v>19.032800000000002</v>
      </c>
      <c r="H9376">
        <v>1</v>
      </c>
      <c r="I9376">
        <v>284</v>
      </c>
      <c r="J9376" t="str">
        <f>HYPERLINK("https://climate.onebuilding.org/WMO_Region_6_Europe/POL_Poland/SL_Slaskie/POL_SL_Katowice.Intl.AP.125600_TMYx.2007-2021.zip")</f>
        <v>https://climate.onebuilding.org/WMO_Region_6_Europe/POL_Poland/SL_Slaskie/POL_SL_Katowice.Intl.AP.125600_TMYx.2007-2021.zip</v>
      </c>
    </row>
    <row r="9377" spans="1:10" x14ac:dyDescent="0.25">
      <c r="A9377" t="s">
        <v>6811</v>
      </c>
      <c r="B9377" t="s">
        <v>475</v>
      </c>
      <c r="C9377" t="s">
        <v>6971</v>
      </c>
      <c r="D9377">
        <v>125600</v>
      </c>
      <c r="E9377" t="s">
        <v>14</v>
      </c>
      <c r="F9377">
        <v>50.240600000000001</v>
      </c>
      <c r="G9377">
        <v>19.032800000000002</v>
      </c>
      <c r="H9377">
        <v>1</v>
      </c>
      <c r="I9377">
        <v>284</v>
      </c>
      <c r="J9377" t="str">
        <f>HYPERLINK("https://climate.onebuilding.org/WMO_Region_6_Europe/POL_Poland/SL_Slaskie/POL_SL_Katowice.Intl.AP.125600_TMYx.2009-2023.zip")</f>
        <v>https://climate.onebuilding.org/WMO_Region_6_Europe/POL_Poland/SL_Slaskie/POL_SL_Katowice.Intl.AP.125600_TMYx.2009-2023.zip</v>
      </c>
    </row>
    <row r="9378" spans="1:10" x14ac:dyDescent="0.25">
      <c r="A9378" t="s">
        <v>6811</v>
      </c>
      <c r="B9378" t="s">
        <v>475</v>
      </c>
      <c r="C9378" t="s">
        <v>6971</v>
      </c>
      <c r="D9378">
        <v>125600</v>
      </c>
      <c r="E9378" t="s">
        <v>14</v>
      </c>
      <c r="F9378">
        <v>50.240600000000001</v>
      </c>
      <c r="G9378">
        <v>19.032800000000002</v>
      </c>
      <c r="H9378">
        <v>1</v>
      </c>
      <c r="I9378">
        <v>284</v>
      </c>
      <c r="J9378" t="str">
        <f>HYPERLINK("https://climate.onebuilding.org/WMO_Region_6_Europe/POL_Poland/SL_Slaskie/POL_SL_Katowice.Intl.AP.125600_TMYx.zip")</f>
        <v>https://climate.onebuilding.org/WMO_Region_6_Europe/POL_Poland/SL_Slaskie/POL_SL_Katowice.Intl.AP.125600_TMYx.zip</v>
      </c>
    </row>
    <row r="9379" spans="1:10" x14ac:dyDescent="0.25">
      <c r="A9379" t="s">
        <v>6811</v>
      </c>
      <c r="B9379" t="s">
        <v>646</v>
      </c>
      <c r="C9379" t="s">
        <v>6973</v>
      </c>
      <c r="D9379">
        <v>125660</v>
      </c>
      <c r="E9379" t="s">
        <v>6974</v>
      </c>
      <c r="F9379">
        <v>50.078000000000003</v>
      </c>
      <c r="G9379">
        <v>19.785</v>
      </c>
      <c r="H9379">
        <v>1</v>
      </c>
      <c r="I9379">
        <v>241.1</v>
      </c>
      <c r="J9379" t="str">
        <f>HYPERLINK("https://climate.onebuilding.org/WMO_Region_6_Europe/POL_Poland/MA_Malopolskie/POL_MA_Krakow-Balice-Jana.Pawla.II.Intl.AP.125660_TMYx.2004-2018.zip")</f>
        <v>https://climate.onebuilding.org/WMO_Region_6_Europe/POL_Poland/MA_Malopolskie/POL_MA_Krakow-Balice-Jana.Pawla.II.Intl.AP.125660_TMYx.2004-2018.zip</v>
      </c>
    </row>
    <row r="9380" spans="1:10" x14ac:dyDescent="0.25">
      <c r="A9380" t="s">
        <v>6811</v>
      </c>
      <c r="B9380" t="s">
        <v>646</v>
      </c>
      <c r="C9380" t="s">
        <v>6973</v>
      </c>
      <c r="D9380">
        <v>125660</v>
      </c>
      <c r="E9380" t="s">
        <v>14</v>
      </c>
      <c r="F9380">
        <v>50.0777</v>
      </c>
      <c r="G9380">
        <v>19.794799999999999</v>
      </c>
      <c r="H9380">
        <v>1</v>
      </c>
      <c r="I9380">
        <v>241.1</v>
      </c>
      <c r="J9380" t="str">
        <f>HYPERLINK("https://climate.onebuilding.org/WMO_Region_6_Europe/POL_Poland/MA_Malopolskie/POL_MA_Krakow-Balice-Jana.Pawla.II.Intl.AP.125660_TMYx.2007-2021.zip")</f>
        <v>https://climate.onebuilding.org/WMO_Region_6_Europe/POL_Poland/MA_Malopolskie/POL_MA_Krakow-Balice-Jana.Pawla.II.Intl.AP.125660_TMYx.2007-2021.zip</v>
      </c>
    </row>
    <row r="9381" spans="1:10" x14ac:dyDescent="0.25">
      <c r="A9381" t="s">
        <v>6811</v>
      </c>
      <c r="B9381" t="s">
        <v>646</v>
      </c>
      <c r="C9381" t="s">
        <v>6973</v>
      </c>
      <c r="D9381">
        <v>125660</v>
      </c>
      <c r="E9381" t="s">
        <v>14</v>
      </c>
      <c r="F9381">
        <v>50.0777</v>
      </c>
      <c r="G9381">
        <v>19.794799999999999</v>
      </c>
      <c r="H9381">
        <v>1</v>
      </c>
      <c r="I9381">
        <v>241.1</v>
      </c>
      <c r="J9381" t="str">
        <f>HYPERLINK("https://climate.onebuilding.org/WMO_Region_6_Europe/POL_Poland/MA_Malopolskie/POL_MA_Krakow-Balice-Jana.Pawla.II.Intl.AP.125660_TMYx.2009-2023.zip")</f>
        <v>https://climate.onebuilding.org/WMO_Region_6_Europe/POL_Poland/MA_Malopolskie/POL_MA_Krakow-Balice-Jana.Pawla.II.Intl.AP.125660_TMYx.2009-2023.zip</v>
      </c>
    </row>
    <row r="9382" spans="1:10" x14ac:dyDescent="0.25">
      <c r="A9382" t="s">
        <v>6811</v>
      </c>
      <c r="B9382" t="s">
        <v>646</v>
      </c>
      <c r="C9382" t="s">
        <v>6973</v>
      </c>
      <c r="D9382">
        <v>125660</v>
      </c>
      <c r="E9382" t="s">
        <v>14</v>
      </c>
      <c r="F9382">
        <v>50.0777</v>
      </c>
      <c r="G9382">
        <v>19.794799999999999</v>
      </c>
      <c r="H9382">
        <v>1</v>
      </c>
      <c r="I9382">
        <v>241.1</v>
      </c>
      <c r="J9382" t="str">
        <f>HYPERLINK("https://climate.onebuilding.org/WMO_Region_6_Europe/POL_Poland/MA_Malopolskie/POL_MA_Krakow-Balice-Jana.Pawla.II.Intl.AP.125660_TMYx.zip")</f>
        <v>https://climate.onebuilding.org/WMO_Region_6_Europe/POL_Poland/MA_Malopolskie/POL_MA_Krakow-Balice-Jana.Pawla.II.Intl.AP.125660_TMYx.zip</v>
      </c>
    </row>
    <row r="9383" spans="1:10" x14ac:dyDescent="0.25">
      <c r="A9383" t="s">
        <v>6811</v>
      </c>
      <c r="B9383" t="s">
        <v>1239</v>
      </c>
      <c r="C9383" t="s">
        <v>6975</v>
      </c>
      <c r="D9383">
        <v>125700</v>
      </c>
      <c r="E9383" t="s">
        <v>6976</v>
      </c>
      <c r="F9383">
        <v>50.817</v>
      </c>
      <c r="G9383">
        <v>20.7</v>
      </c>
      <c r="H9383">
        <v>1</v>
      </c>
      <c r="I9383">
        <v>261</v>
      </c>
      <c r="J9383" t="str">
        <f>HYPERLINK("https://climate.onebuilding.org/WMO_Region_6_Europe/POL_Poland/SK_Swietokrzyskie/POL_SK_Kielce-Sukow.125700_TMYx.2004-2018.zip")</f>
        <v>https://climate.onebuilding.org/WMO_Region_6_Europe/POL_Poland/SK_Swietokrzyskie/POL_SK_Kielce-Sukow.125700_TMYx.2004-2018.zip</v>
      </c>
    </row>
    <row r="9384" spans="1:10" x14ac:dyDescent="0.25">
      <c r="A9384" t="s">
        <v>6811</v>
      </c>
      <c r="B9384" t="s">
        <v>1239</v>
      </c>
      <c r="C9384" t="s">
        <v>6975</v>
      </c>
      <c r="D9384">
        <v>125700</v>
      </c>
      <c r="E9384" t="s">
        <v>14</v>
      </c>
      <c r="F9384">
        <v>50.810299999999998</v>
      </c>
      <c r="G9384">
        <v>20.6922</v>
      </c>
      <c r="H9384">
        <v>1</v>
      </c>
      <c r="I9384">
        <v>261</v>
      </c>
      <c r="J9384" t="str">
        <f>HYPERLINK("https://climate.onebuilding.org/WMO_Region_6_Europe/POL_Poland/SK_Swietokrzyskie/POL_SK_Kielce-Sukow.125700_TMYx.2007-2021.zip")</f>
        <v>https://climate.onebuilding.org/WMO_Region_6_Europe/POL_Poland/SK_Swietokrzyskie/POL_SK_Kielce-Sukow.125700_TMYx.2007-2021.zip</v>
      </c>
    </row>
    <row r="9385" spans="1:10" x14ac:dyDescent="0.25">
      <c r="A9385" t="s">
        <v>6811</v>
      </c>
      <c r="B9385" t="s">
        <v>1239</v>
      </c>
      <c r="C9385" t="s">
        <v>6975</v>
      </c>
      <c r="D9385">
        <v>125700</v>
      </c>
      <c r="E9385" t="s">
        <v>14</v>
      </c>
      <c r="F9385">
        <v>50.810299999999998</v>
      </c>
      <c r="G9385">
        <v>20.6922</v>
      </c>
      <c r="H9385">
        <v>1</v>
      </c>
      <c r="I9385">
        <v>261</v>
      </c>
      <c r="J9385" t="str">
        <f>HYPERLINK("https://climate.onebuilding.org/WMO_Region_6_Europe/POL_Poland/SK_Swietokrzyskie/POL_SK_Kielce-Sukow.125700_TMYx.2009-2023.zip")</f>
        <v>https://climate.onebuilding.org/WMO_Region_6_Europe/POL_Poland/SK_Swietokrzyskie/POL_SK_Kielce-Sukow.125700_TMYx.2009-2023.zip</v>
      </c>
    </row>
    <row r="9386" spans="1:10" x14ac:dyDescent="0.25">
      <c r="A9386" t="s">
        <v>6811</v>
      </c>
      <c r="B9386" t="s">
        <v>1239</v>
      </c>
      <c r="C9386" t="s">
        <v>6975</v>
      </c>
      <c r="D9386">
        <v>125700</v>
      </c>
      <c r="E9386" t="s">
        <v>14</v>
      </c>
      <c r="F9386">
        <v>50.810299999999998</v>
      </c>
      <c r="G9386">
        <v>20.6922</v>
      </c>
      <c r="H9386">
        <v>1</v>
      </c>
      <c r="I9386">
        <v>261</v>
      </c>
      <c r="J9386" t="str">
        <f>HYPERLINK("https://climate.onebuilding.org/WMO_Region_6_Europe/POL_Poland/SK_Swietokrzyskie/POL_SK_Kielce-Sukow.125700_TMYx.zip")</f>
        <v>https://climate.onebuilding.org/WMO_Region_6_Europe/POL_Poland/SK_Swietokrzyskie/POL_SK_Kielce-Sukow.125700_TMYx.zip</v>
      </c>
    </row>
    <row r="9387" spans="1:10" x14ac:dyDescent="0.25">
      <c r="A9387" t="s">
        <v>6811</v>
      </c>
      <c r="B9387" t="s">
        <v>646</v>
      </c>
      <c r="C9387" t="s">
        <v>6977</v>
      </c>
      <c r="D9387">
        <v>125750</v>
      </c>
      <c r="E9387" t="s">
        <v>6978</v>
      </c>
      <c r="F9387">
        <v>50.033000000000001</v>
      </c>
      <c r="G9387">
        <v>20.983000000000001</v>
      </c>
      <c r="H9387">
        <v>1</v>
      </c>
      <c r="I9387">
        <v>209</v>
      </c>
      <c r="J9387" t="str">
        <f>HYPERLINK("https://climate.onebuilding.org/WMO_Region_6_Europe/POL_Poland/MA_Malopolskie/POL_MA_Tarnow.125750_TMYx.2004-2018.zip")</f>
        <v>https://climate.onebuilding.org/WMO_Region_6_Europe/POL_Poland/MA_Malopolskie/POL_MA_Tarnow.125750_TMYx.2004-2018.zip</v>
      </c>
    </row>
    <row r="9388" spans="1:10" x14ac:dyDescent="0.25">
      <c r="A9388" t="s">
        <v>6811</v>
      </c>
      <c r="B9388" t="s">
        <v>646</v>
      </c>
      <c r="C9388" t="s">
        <v>6977</v>
      </c>
      <c r="D9388">
        <v>125750</v>
      </c>
      <c r="E9388" t="s">
        <v>14</v>
      </c>
      <c r="F9388">
        <v>50.029899999999998</v>
      </c>
      <c r="G9388">
        <v>20.983899999999998</v>
      </c>
      <c r="H9388">
        <v>1</v>
      </c>
      <c r="I9388">
        <v>209</v>
      </c>
      <c r="J9388" t="str">
        <f>HYPERLINK("https://climate.onebuilding.org/WMO_Region_6_Europe/POL_Poland/MA_Malopolskie/POL_MA_Tarnow.125750_TMYx.2007-2021.zip")</f>
        <v>https://climate.onebuilding.org/WMO_Region_6_Europe/POL_Poland/MA_Malopolskie/POL_MA_Tarnow.125750_TMYx.2007-2021.zip</v>
      </c>
    </row>
    <row r="9389" spans="1:10" x14ac:dyDescent="0.25">
      <c r="A9389" t="s">
        <v>6811</v>
      </c>
      <c r="B9389" t="s">
        <v>646</v>
      </c>
      <c r="C9389" t="s">
        <v>6977</v>
      </c>
      <c r="D9389">
        <v>125750</v>
      </c>
      <c r="E9389" t="s">
        <v>14</v>
      </c>
      <c r="F9389">
        <v>50.029899999999998</v>
      </c>
      <c r="G9389">
        <v>20.983899999999998</v>
      </c>
      <c r="H9389">
        <v>1</v>
      </c>
      <c r="I9389">
        <v>209</v>
      </c>
      <c r="J9389" t="str">
        <f>HYPERLINK("https://climate.onebuilding.org/WMO_Region_6_Europe/POL_Poland/MA_Malopolskie/POL_MA_Tarnow.125750_TMYx.2009-2023.zip")</f>
        <v>https://climate.onebuilding.org/WMO_Region_6_Europe/POL_Poland/MA_Malopolskie/POL_MA_Tarnow.125750_TMYx.2009-2023.zip</v>
      </c>
    </row>
    <row r="9390" spans="1:10" x14ac:dyDescent="0.25">
      <c r="A9390" t="s">
        <v>6811</v>
      </c>
      <c r="B9390" t="s">
        <v>646</v>
      </c>
      <c r="C9390" t="s">
        <v>6977</v>
      </c>
      <c r="D9390">
        <v>125750</v>
      </c>
      <c r="E9390" t="s">
        <v>14</v>
      </c>
      <c r="F9390">
        <v>50.029899999999998</v>
      </c>
      <c r="G9390">
        <v>20.983899999999998</v>
      </c>
      <c r="H9390">
        <v>1</v>
      </c>
      <c r="I9390">
        <v>209</v>
      </c>
      <c r="J9390" t="str">
        <f>HYPERLINK("https://climate.onebuilding.org/WMO_Region_6_Europe/POL_Poland/MA_Malopolskie/POL_MA_Tarnow.125750_TMYx.zip")</f>
        <v>https://climate.onebuilding.org/WMO_Region_6_Europe/POL_Poland/MA_Malopolskie/POL_MA_Tarnow.125750_TMYx.zip</v>
      </c>
    </row>
    <row r="9391" spans="1:10" x14ac:dyDescent="0.25">
      <c r="A9391" t="s">
        <v>6811</v>
      </c>
      <c r="B9391" t="s">
        <v>1195</v>
      </c>
      <c r="C9391" t="s">
        <v>6979</v>
      </c>
      <c r="D9391">
        <v>125800</v>
      </c>
      <c r="E9391" t="s">
        <v>6980</v>
      </c>
      <c r="F9391">
        <v>50.11</v>
      </c>
      <c r="G9391">
        <v>22.018999999999998</v>
      </c>
      <c r="H9391">
        <v>1</v>
      </c>
      <c r="I9391">
        <v>205.7</v>
      </c>
      <c r="J9391" t="str">
        <f>HYPERLINK("https://climate.onebuilding.org/WMO_Region_6_Europe/POL_Poland/PK_Podkarpackie/POL_PK_Rzeszow-Jasionka.Intl.AP.125800_TMYx.2004-2018.zip")</f>
        <v>https://climate.onebuilding.org/WMO_Region_6_Europe/POL_Poland/PK_Podkarpackie/POL_PK_Rzeszow-Jasionka.Intl.AP.125800_TMYx.2004-2018.zip</v>
      </c>
    </row>
    <row r="9392" spans="1:10" x14ac:dyDescent="0.25">
      <c r="A9392" t="s">
        <v>6811</v>
      </c>
      <c r="B9392" t="s">
        <v>1195</v>
      </c>
      <c r="C9392" t="s">
        <v>6979</v>
      </c>
      <c r="D9392">
        <v>125800</v>
      </c>
      <c r="E9392" t="s">
        <v>14</v>
      </c>
      <c r="F9392">
        <v>50.11</v>
      </c>
      <c r="G9392">
        <v>22.018999999999998</v>
      </c>
      <c r="H9392">
        <v>1</v>
      </c>
      <c r="I9392">
        <v>205.7</v>
      </c>
      <c r="J9392" t="str">
        <f>HYPERLINK("https://climate.onebuilding.org/WMO_Region_6_Europe/POL_Poland/PK_Podkarpackie/POL_PK_Rzeszow-Jasionka.Intl.AP.125800_TMYx.2007-2021.zip")</f>
        <v>https://climate.onebuilding.org/WMO_Region_6_Europe/POL_Poland/PK_Podkarpackie/POL_PK_Rzeszow-Jasionka.Intl.AP.125800_TMYx.2007-2021.zip</v>
      </c>
    </row>
    <row r="9393" spans="1:10" x14ac:dyDescent="0.25">
      <c r="A9393" t="s">
        <v>6811</v>
      </c>
      <c r="B9393" t="s">
        <v>1195</v>
      </c>
      <c r="C9393" t="s">
        <v>6979</v>
      </c>
      <c r="D9393">
        <v>125800</v>
      </c>
      <c r="E9393" t="s">
        <v>14</v>
      </c>
      <c r="F9393">
        <v>50.11</v>
      </c>
      <c r="G9393">
        <v>22.018999999999998</v>
      </c>
      <c r="H9393">
        <v>1</v>
      </c>
      <c r="I9393">
        <v>205.7</v>
      </c>
      <c r="J9393" t="str">
        <f>HYPERLINK("https://climate.onebuilding.org/WMO_Region_6_Europe/POL_Poland/PK_Podkarpackie/POL_PK_Rzeszow-Jasionka.Intl.AP.125800_TMYx.2009-2023.zip")</f>
        <v>https://climate.onebuilding.org/WMO_Region_6_Europe/POL_Poland/PK_Podkarpackie/POL_PK_Rzeszow-Jasionka.Intl.AP.125800_TMYx.2009-2023.zip</v>
      </c>
    </row>
    <row r="9394" spans="1:10" x14ac:dyDescent="0.25">
      <c r="A9394" t="s">
        <v>6811</v>
      </c>
      <c r="B9394" t="s">
        <v>1195</v>
      </c>
      <c r="C9394" t="s">
        <v>6979</v>
      </c>
      <c r="D9394">
        <v>125800</v>
      </c>
      <c r="E9394" t="s">
        <v>14</v>
      </c>
      <c r="F9394">
        <v>50.11</v>
      </c>
      <c r="G9394">
        <v>22.018999999999998</v>
      </c>
      <c r="H9394">
        <v>1</v>
      </c>
      <c r="I9394">
        <v>205.7</v>
      </c>
      <c r="J9394" t="str">
        <f>HYPERLINK("https://climate.onebuilding.org/WMO_Region_6_Europe/POL_Poland/PK_Podkarpackie/POL_PK_Rzeszow-Jasionka.Intl.AP.125800_TMYx.zip")</f>
        <v>https://climate.onebuilding.org/WMO_Region_6_Europe/POL_Poland/PK_Podkarpackie/POL_PK_Rzeszow-Jasionka.Intl.AP.125800_TMYx.zip</v>
      </c>
    </row>
    <row r="9395" spans="1:10" x14ac:dyDescent="0.25">
      <c r="A9395" t="s">
        <v>6811</v>
      </c>
      <c r="B9395" t="s">
        <v>1239</v>
      </c>
      <c r="C9395" t="s">
        <v>6981</v>
      </c>
      <c r="D9395">
        <v>125850</v>
      </c>
      <c r="E9395" t="s">
        <v>6982</v>
      </c>
      <c r="F9395">
        <v>50.7</v>
      </c>
      <c r="G9395">
        <v>21.716999999999999</v>
      </c>
      <c r="H9395">
        <v>1</v>
      </c>
      <c r="I9395">
        <v>218</v>
      </c>
      <c r="J9395" t="str">
        <f>HYPERLINK("https://climate.onebuilding.org/WMO_Region_6_Europe/POL_Poland/SK_Swietokrzyskie/POL_SK_Sandomierz.125850_TMYx.2004-2018.zip")</f>
        <v>https://climate.onebuilding.org/WMO_Region_6_Europe/POL_Poland/SK_Swietokrzyskie/POL_SK_Sandomierz.125850_TMYx.2004-2018.zip</v>
      </c>
    </row>
    <row r="9396" spans="1:10" x14ac:dyDescent="0.25">
      <c r="A9396" t="s">
        <v>6811</v>
      </c>
      <c r="B9396" t="s">
        <v>1239</v>
      </c>
      <c r="C9396" t="s">
        <v>6981</v>
      </c>
      <c r="D9396">
        <v>125850</v>
      </c>
      <c r="E9396" t="s">
        <v>14</v>
      </c>
      <c r="F9396">
        <v>50.6967</v>
      </c>
      <c r="G9396">
        <v>21.715800000000002</v>
      </c>
      <c r="H9396">
        <v>1</v>
      </c>
      <c r="I9396">
        <v>218</v>
      </c>
      <c r="J9396" t="str">
        <f>HYPERLINK("https://climate.onebuilding.org/WMO_Region_6_Europe/POL_Poland/SK_Swietokrzyskie/POL_SK_Sandomierz.125850_TMYx.2007-2021.zip")</f>
        <v>https://climate.onebuilding.org/WMO_Region_6_Europe/POL_Poland/SK_Swietokrzyskie/POL_SK_Sandomierz.125850_TMYx.2007-2021.zip</v>
      </c>
    </row>
    <row r="9397" spans="1:10" x14ac:dyDescent="0.25">
      <c r="A9397" t="s">
        <v>6811</v>
      </c>
      <c r="B9397" t="s">
        <v>1239</v>
      </c>
      <c r="C9397" t="s">
        <v>6981</v>
      </c>
      <c r="D9397">
        <v>125850</v>
      </c>
      <c r="E9397" t="s">
        <v>14</v>
      </c>
      <c r="F9397">
        <v>50.6967</v>
      </c>
      <c r="G9397">
        <v>21.715800000000002</v>
      </c>
      <c r="H9397">
        <v>1</v>
      </c>
      <c r="I9397">
        <v>218</v>
      </c>
      <c r="J9397" t="str">
        <f>HYPERLINK("https://climate.onebuilding.org/WMO_Region_6_Europe/POL_Poland/SK_Swietokrzyskie/POL_SK_Sandomierz.125850_TMYx.2009-2023.zip")</f>
        <v>https://climate.onebuilding.org/WMO_Region_6_Europe/POL_Poland/SK_Swietokrzyskie/POL_SK_Sandomierz.125850_TMYx.2009-2023.zip</v>
      </c>
    </row>
    <row r="9398" spans="1:10" x14ac:dyDescent="0.25">
      <c r="A9398" t="s">
        <v>6811</v>
      </c>
      <c r="B9398" t="s">
        <v>1239</v>
      </c>
      <c r="C9398" t="s">
        <v>6981</v>
      </c>
      <c r="D9398">
        <v>125850</v>
      </c>
      <c r="E9398" t="s">
        <v>14</v>
      </c>
      <c r="F9398">
        <v>50.6967</v>
      </c>
      <c r="G9398">
        <v>21.715800000000002</v>
      </c>
      <c r="H9398">
        <v>1</v>
      </c>
      <c r="I9398">
        <v>218</v>
      </c>
      <c r="J9398" t="str">
        <f>HYPERLINK("https://climate.onebuilding.org/WMO_Region_6_Europe/POL_Poland/SK_Swietokrzyskie/POL_SK_Sandomierz.125850_TMYx.zip")</f>
        <v>https://climate.onebuilding.org/WMO_Region_6_Europe/POL_Poland/SK_Swietokrzyskie/POL_SK_Sandomierz.125850_TMYx.zip</v>
      </c>
    </row>
    <row r="9399" spans="1:10" x14ac:dyDescent="0.25">
      <c r="A9399" t="s">
        <v>6811</v>
      </c>
      <c r="B9399" t="s">
        <v>646</v>
      </c>
      <c r="C9399" t="s">
        <v>6983</v>
      </c>
      <c r="D9399">
        <v>125950</v>
      </c>
      <c r="E9399" t="s">
        <v>6984</v>
      </c>
      <c r="F9399">
        <v>50.7</v>
      </c>
      <c r="G9399">
        <v>23.25</v>
      </c>
      <c r="H9399">
        <v>1</v>
      </c>
      <c r="I9399">
        <v>213</v>
      </c>
      <c r="J9399" t="str">
        <f>HYPERLINK("https://climate.onebuilding.org/WMO_Region_6_Europe/POL_Poland/MA_Malopolskie/POL_MA_Zamosc.125950_TMYx.2004-2018.zip")</f>
        <v>https://climate.onebuilding.org/WMO_Region_6_Europe/POL_Poland/MA_Malopolskie/POL_MA_Zamosc.125950_TMYx.2004-2018.zip</v>
      </c>
    </row>
    <row r="9400" spans="1:10" x14ac:dyDescent="0.25">
      <c r="A9400" t="s">
        <v>6811</v>
      </c>
      <c r="B9400" t="s">
        <v>646</v>
      </c>
      <c r="C9400" t="s">
        <v>6983</v>
      </c>
      <c r="D9400">
        <v>125950</v>
      </c>
      <c r="E9400" t="s">
        <v>14</v>
      </c>
      <c r="F9400">
        <v>50.697899999999997</v>
      </c>
      <c r="G9400">
        <v>23.206299999999999</v>
      </c>
      <c r="H9400">
        <v>1</v>
      </c>
      <c r="I9400">
        <v>213</v>
      </c>
      <c r="J9400" t="str">
        <f>HYPERLINK("https://climate.onebuilding.org/WMO_Region_6_Europe/POL_Poland/MA_Malopolskie/POL_MA_Zamosc.125950_TMYx.2007-2021.zip")</f>
        <v>https://climate.onebuilding.org/WMO_Region_6_Europe/POL_Poland/MA_Malopolskie/POL_MA_Zamosc.125950_TMYx.2007-2021.zip</v>
      </c>
    </row>
    <row r="9401" spans="1:10" x14ac:dyDescent="0.25">
      <c r="A9401" t="s">
        <v>6811</v>
      </c>
      <c r="B9401" t="s">
        <v>646</v>
      </c>
      <c r="C9401" t="s">
        <v>6983</v>
      </c>
      <c r="D9401">
        <v>125950</v>
      </c>
      <c r="E9401" t="s">
        <v>14</v>
      </c>
      <c r="F9401">
        <v>50.697899999999997</v>
      </c>
      <c r="G9401">
        <v>23.206299999999999</v>
      </c>
      <c r="H9401">
        <v>1</v>
      </c>
      <c r="I9401">
        <v>213</v>
      </c>
      <c r="J9401" t="str">
        <f>HYPERLINK("https://climate.onebuilding.org/WMO_Region_6_Europe/POL_Poland/MA_Malopolskie/POL_MA_Zamosc.125950_TMYx.2009-2023.zip")</f>
        <v>https://climate.onebuilding.org/WMO_Region_6_Europe/POL_Poland/MA_Malopolskie/POL_MA_Zamosc.125950_TMYx.2009-2023.zip</v>
      </c>
    </row>
    <row r="9402" spans="1:10" x14ac:dyDescent="0.25">
      <c r="A9402" t="s">
        <v>6811</v>
      </c>
      <c r="B9402" t="s">
        <v>646</v>
      </c>
      <c r="C9402" t="s">
        <v>6983</v>
      </c>
      <c r="D9402">
        <v>125950</v>
      </c>
      <c r="E9402" t="s">
        <v>14</v>
      </c>
      <c r="F9402">
        <v>50.697899999999997</v>
      </c>
      <c r="G9402">
        <v>23.206299999999999</v>
      </c>
      <c r="H9402">
        <v>1</v>
      </c>
      <c r="I9402">
        <v>213</v>
      </c>
      <c r="J9402" t="str">
        <f>HYPERLINK("https://climate.onebuilding.org/WMO_Region_6_Europe/POL_Poland/MA_Malopolskie/POL_MA_Zamosc.125950_TMYx.zip")</f>
        <v>https://climate.onebuilding.org/WMO_Region_6_Europe/POL_Poland/MA_Malopolskie/POL_MA_Zamosc.125950_TMYx.zip</v>
      </c>
    </row>
    <row r="9403" spans="1:10" x14ac:dyDescent="0.25">
      <c r="A9403" t="s">
        <v>6811</v>
      </c>
      <c r="B9403" t="s">
        <v>646</v>
      </c>
      <c r="C9403" t="s">
        <v>6985</v>
      </c>
      <c r="D9403">
        <v>126000</v>
      </c>
      <c r="E9403" t="s">
        <v>6986</v>
      </c>
      <c r="F9403">
        <v>49.8</v>
      </c>
      <c r="G9403">
        <v>19</v>
      </c>
      <c r="H9403">
        <v>1</v>
      </c>
      <c r="I9403">
        <v>399</v>
      </c>
      <c r="J9403" t="str">
        <f>HYPERLINK("https://climate.onebuilding.org/WMO_Region_6_Europe/POL_Poland/MA_Malopolskie/POL_MA_Bielsko-Biala.AP.126000_TMYx.2004-2018.zip")</f>
        <v>https://climate.onebuilding.org/WMO_Region_6_Europe/POL_Poland/MA_Malopolskie/POL_MA_Bielsko-Biala.AP.126000_TMYx.2004-2018.zip</v>
      </c>
    </row>
    <row r="9404" spans="1:10" x14ac:dyDescent="0.25">
      <c r="A9404" t="s">
        <v>6811</v>
      </c>
      <c r="B9404" t="s">
        <v>646</v>
      </c>
      <c r="C9404" t="s">
        <v>6985</v>
      </c>
      <c r="D9404">
        <v>126000</v>
      </c>
      <c r="E9404" t="s">
        <v>14</v>
      </c>
      <c r="F9404">
        <v>49.806699999999999</v>
      </c>
      <c r="G9404">
        <v>19.002300000000002</v>
      </c>
      <c r="H9404">
        <v>1</v>
      </c>
      <c r="I9404">
        <v>399</v>
      </c>
      <c r="J9404" t="str">
        <f>HYPERLINK("https://climate.onebuilding.org/WMO_Region_6_Europe/POL_Poland/MA_Malopolskie/POL_MA_Bielsko-Biala.AP.126000_TMYx.2007-2021.zip")</f>
        <v>https://climate.onebuilding.org/WMO_Region_6_Europe/POL_Poland/MA_Malopolskie/POL_MA_Bielsko-Biala.AP.126000_TMYx.2007-2021.zip</v>
      </c>
    </row>
    <row r="9405" spans="1:10" x14ac:dyDescent="0.25">
      <c r="A9405" t="s">
        <v>6811</v>
      </c>
      <c r="B9405" t="s">
        <v>646</v>
      </c>
      <c r="C9405" t="s">
        <v>6985</v>
      </c>
      <c r="D9405">
        <v>126000</v>
      </c>
      <c r="E9405" t="s">
        <v>14</v>
      </c>
      <c r="F9405">
        <v>49.806699999999999</v>
      </c>
      <c r="G9405">
        <v>19.002300000000002</v>
      </c>
      <c r="H9405">
        <v>1</v>
      </c>
      <c r="I9405">
        <v>399</v>
      </c>
      <c r="J9405" t="str">
        <f>HYPERLINK("https://climate.onebuilding.org/WMO_Region_6_Europe/POL_Poland/MA_Malopolskie/POL_MA_Bielsko-Biala.AP.126000_TMYx.2009-2023.zip")</f>
        <v>https://climate.onebuilding.org/WMO_Region_6_Europe/POL_Poland/MA_Malopolskie/POL_MA_Bielsko-Biala.AP.126000_TMYx.2009-2023.zip</v>
      </c>
    </row>
    <row r="9406" spans="1:10" x14ac:dyDescent="0.25">
      <c r="A9406" t="s">
        <v>6811</v>
      </c>
      <c r="B9406" t="s">
        <v>646</v>
      </c>
      <c r="C9406" t="s">
        <v>6985</v>
      </c>
      <c r="D9406">
        <v>126000</v>
      </c>
      <c r="E9406" t="s">
        <v>14</v>
      </c>
      <c r="F9406">
        <v>49.806699999999999</v>
      </c>
      <c r="G9406">
        <v>19.002300000000002</v>
      </c>
      <c r="H9406">
        <v>1</v>
      </c>
      <c r="I9406">
        <v>399</v>
      </c>
      <c r="J9406" t="str">
        <f>HYPERLINK("https://climate.onebuilding.org/WMO_Region_6_Europe/POL_Poland/MA_Malopolskie/POL_MA_Bielsko-Biala.AP.126000_TMYx.zip")</f>
        <v>https://climate.onebuilding.org/WMO_Region_6_Europe/POL_Poland/MA_Malopolskie/POL_MA_Bielsko-Biala.AP.126000_TMYx.zip</v>
      </c>
    </row>
    <row r="9407" spans="1:10" x14ac:dyDescent="0.25">
      <c r="A9407" t="s">
        <v>6811</v>
      </c>
      <c r="B9407" t="s">
        <v>646</v>
      </c>
      <c r="C9407" t="s">
        <v>6987</v>
      </c>
      <c r="D9407">
        <v>126250</v>
      </c>
      <c r="E9407" t="s">
        <v>6988</v>
      </c>
      <c r="F9407">
        <v>49.3</v>
      </c>
      <c r="G9407">
        <v>19.966999999999999</v>
      </c>
      <c r="H9407">
        <v>1</v>
      </c>
      <c r="I9407">
        <v>857</v>
      </c>
      <c r="J9407" t="str">
        <f>HYPERLINK("https://climate.onebuilding.org/WMO_Region_6_Europe/POL_Poland/MA_Malopolskie/POL_MA_Zakopane.126250_TMYx.2004-2018.zip")</f>
        <v>https://climate.onebuilding.org/WMO_Region_6_Europe/POL_Poland/MA_Malopolskie/POL_MA_Zakopane.126250_TMYx.2004-2018.zip</v>
      </c>
    </row>
    <row r="9408" spans="1:10" x14ac:dyDescent="0.25">
      <c r="A9408" t="s">
        <v>6811</v>
      </c>
      <c r="B9408" t="s">
        <v>646</v>
      </c>
      <c r="C9408" t="s">
        <v>6987</v>
      </c>
      <c r="D9408">
        <v>126250</v>
      </c>
      <c r="E9408" t="s">
        <v>14</v>
      </c>
      <c r="F9408">
        <v>49.293900000000001</v>
      </c>
      <c r="G9408">
        <v>19.9603</v>
      </c>
      <c r="H9408">
        <v>1</v>
      </c>
      <c r="I9408">
        <v>857</v>
      </c>
      <c r="J9408" t="str">
        <f>HYPERLINK("https://climate.onebuilding.org/WMO_Region_6_Europe/POL_Poland/MA_Malopolskie/POL_MA_Zakopane.126250_TMYx.2007-2021.zip")</f>
        <v>https://climate.onebuilding.org/WMO_Region_6_Europe/POL_Poland/MA_Malopolskie/POL_MA_Zakopane.126250_TMYx.2007-2021.zip</v>
      </c>
    </row>
    <row r="9409" spans="1:10" x14ac:dyDescent="0.25">
      <c r="A9409" t="s">
        <v>6811</v>
      </c>
      <c r="B9409" t="s">
        <v>646</v>
      </c>
      <c r="C9409" t="s">
        <v>6987</v>
      </c>
      <c r="D9409">
        <v>126250</v>
      </c>
      <c r="E9409" t="s">
        <v>14</v>
      </c>
      <c r="F9409">
        <v>49.293900000000001</v>
      </c>
      <c r="G9409">
        <v>19.9603</v>
      </c>
      <c r="H9409">
        <v>1</v>
      </c>
      <c r="I9409">
        <v>857</v>
      </c>
      <c r="J9409" t="str">
        <f>HYPERLINK("https://climate.onebuilding.org/WMO_Region_6_Europe/POL_Poland/MA_Malopolskie/POL_MA_Zakopane.126250_TMYx.2009-2023.zip")</f>
        <v>https://climate.onebuilding.org/WMO_Region_6_Europe/POL_Poland/MA_Malopolskie/POL_MA_Zakopane.126250_TMYx.2009-2023.zip</v>
      </c>
    </row>
    <row r="9410" spans="1:10" x14ac:dyDescent="0.25">
      <c r="A9410" t="s">
        <v>6811</v>
      </c>
      <c r="B9410" t="s">
        <v>646</v>
      </c>
      <c r="C9410" t="s">
        <v>6987</v>
      </c>
      <c r="D9410">
        <v>126250</v>
      </c>
      <c r="E9410" t="s">
        <v>14</v>
      </c>
      <c r="F9410">
        <v>49.293900000000001</v>
      </c>
      <c r="G9410">
        <v>19.9603</v>
      </c>
      <c r="H9410">
        <v>1</v>
      </c>
      <c r="I9410">
        <v>857</v>
      </c>
      <c r="J9410" t="str">
        <f>HYPERLINK("https://climate.onebuilding.org/WMO_Region_6_Europe/POL_Poland/MA_Malopolskie/POL_MA_Zakopane.126250_TMYx.zip")</f>
        <v>https://climate.onebuilding.org/WMO_Region_6_Europe/POL_Poland/MA_Malopolskie/POL_MA_Zakopane.126250_TMYx.zip</v>
      </c>
    </row>
    <row r="9411" spans="1:10" x14ac:dyDescent="0.25">
      <c r="A9411" t="s">
        <v>6811</v>
      </c>
      <c r="B9411" t="s">
        <v>646</v>
      </c>
      <c r="C9411" t="s">
        <v>6989</v>
      </c>
      <c r="D9411">
        <v>126500</v>
      </c>
      <c r="E9411" t="s">
        <v>6990</v>
      </c>
      <c r="F9411">
        <v>49.232999999999997</v>
      </c>
      <c r="G9411">
        <v>19.983000000000001</v>
      </c>
      <c r="H9411">
        <v>1</v>
      </c>
      <c r="I9411">
        <v>1989</v>
      </c>
      <c r="J9411" t="str">
        <f>HYPERLINK("https://climate.onebuilding.org/WMO_Region_6_Europe/POL_Poland/MA_Malopolskie/POL_MA_Kasprowy.Wierch.Obs.Meteorologiczne.126500_TMYx.2004-2018.zip")</f>
        <v>https://climate.onebuilding.org/WMO_Region_6_Europe/POL_Poland/MA_Malopolskie/POL_MA_Kasprowy.Wierch.Obs.Meteorologiczne.126500_TMYx.2004-2018.zip</v>
      </c>
    </row>
    <row r="9412" spans="1:10" x14ac:dyDescent="0.25">
      <c r="A9412" t="s">
        <v>6811</v>
      </c>
      <c r="B9412" t="s">
        <v>646</v>
      </c>
      <c r="C9412" t="s">
        <v>6989</v>
      </c>
      <c r="D9412">
        <v>126500</v>
      </c>
      <c r="E9412" t="s">
        <v>14</v>
      </c>
      <c r="F9412">
        <v>49.232999999999997</v>
      </c>
      <c r="G9412">
        <v>19.983000000000001</v>
      </c>
      <c r="H9412">
        <v>1</v>
      </c>
      <c r="I9412">
        <v>1989</v>
      </c>
      <c r="J9412" t="str">
        <f>HYPERLINK("https://climate.onebuilding.org/WMO_Region_6_Europe/POL_Poland/MA_Malopolskie/POL_MA_Kasprowy.Wierch.Obs.Meteorologiczne.126500_TMYx.2007-2021.zip")</f>
        <v>https://climate.onebuilding.org/WMO_Region_6_Europe/POL_Poland/MA_Malopolskie/POL_MA_Kasprowy.Wierch.Obs.Meteorologiczne.126500_TMYx.2007-2021.zip</v>
      </c>
    </row>
    <row r="9413" spans="1:10" x14ac:dyDescent="0.25">
      <c r="A9413" t="s">
        <v>6811</v>
      </c>
      <c r="B9413" t="s">
        <v>646</v>
      </c>
      <c r="C9413" t="s">
        <v>6989</v>
      </c>
      <c r="D9413">
        <v>126500</v>
      </c>
      <c r="E9413" t="s">
        <v>14</v>
      </c>
      <c r="F9413">
        <v>49.232999999999997</v>
      </c>
      <c r="G9413">
        <v>19.983000000000001</v>
      </c>
      <c r="H9413">
        <v>1</v>
      </c>
      <c r="I9413">
        <v>1989</v>
      </c>
      <c r="J9413" t="str">
        <f>HYPERLINK("https://climate.onebuilding.org/WMO_Region_6_Europe/POL_Poland/MA_Malopolskie/POL_MA_Kasprowy.Wierch.Obs.Meteorologiczne.126500_TMYx.2009-2023.zip")</f>
        <v>https://climate.onebuilding.org/WMO_Region_6_Europe/POL_Poland/MA_Malopolskie/POL_MA_Kasprowy.Wierch.Obs.Meteorologiczne.126500_TMYx.2009-2023.zip</v>
      </c>
    </row>
    <row r="9414" spans="1:10" x14ac:dyDescent="0.25">
      <c r="A9414" t="s">
        <v>6811</v>
      </c>
      <c r="B9414" t="s">
        <v>646</v>
      </c>
      <c r="C9414" t="s">
        <v>6989</v>
      </c>
      <c r="D9414">
        <v>126500</v>
      </c>
      <c r="E9414" t="s">
        <v>14</v>
      </c>
      <c r="F9414">
        <v>49.232999999999997</v>
      </c>
      <c r="G9414">
        <v>19.983000000000001</v>
      </c>
      <c r="H9414">
        <v>1</v>
      </c>
      <c r="I9414">
        <v>1989</v>
      </c>
      <c r="J9414" t="str">
        <f>HYPERLINK("https://climate.onebuilding.org/WMO_Region_6_Europe/POL_Poland/MA_Malopolskie/POL_MA_Kasprowy.Wierch.Obs.Meteorologiczne.126500_TMYx.zip")</f>
        <v>https://climate.onebuilding.org/WMO_Region_6_Europe/POL_Poland/MA_Malopolskie/POL_MA_Kasprowy.Wierch.Obs.Meteorologiczne.126500_TMYx.zip</v>
      </c>
    </row>
    <row r="9415" spans="1:10" x14ac:dyDescent="0.25">
      <c r="A9415" t="s">
        <v>6811</v>
      </c>
      <c r="B9415" t="s">
        <v>646</v>
      </c>
      <c r="C9415" t="s">
        <v>6991</v>
      </c>
      <c r="D9415">
        <v>126600</v>
      </c>
      <c r="E9415" t="s">
        <v>6992</v>
      </c>
      <c r="F9415">
        <v>49.616999999999997</v>
      </c>
      <c r="G9415">
        <v>20.7</v>
      </c>
      <c r="H9415">
        <v>1</v>
      </c>
      <c r="I9415">
        <v>295</v>
      </c>
      <c r="J9415" t="str">
        <f>HYPERLINK("https://climate.onebuilding.org/WMO_Region_6_Europe/POL_Poland/MA_Malopolskie/POL_MA_Nowy.Sacz.126600_TMYx.2004-2018.zip")</f>
        <v>https://climate.onebuilding.org/WMO_Region_6_Europe/POL_Poland/MA_Malopolskie/POL_MA_Nowy.Sacz.126600_TMYx.2004-2018.zip</v>
      </c>
    </row>
    <row r="9416" spans="1:10" x14ac:dyDescent="0.25">
      <c r="A9416" t="s">
        <v>6811</v>
      </c>
      <c r="B9416" t="s">
        <v>646</v>
      </c>
      <c r="C9416" t="s">
        <v>6991</v>
      </c>
      <c r="D9416">
        <v>126600</v>
      </c>
      <c r="E9416" t="s">
        <v>14</v>
      </c>
      <c r="F9416">
        <v>49.627099999999999</v>
      </c>
      <c r="G9416">
        <v>20.688600000000001</v>
      </c>
      <c r="H9416">
        <v>1</v>
      </c>
      <c r="I9416">
        <v>295</v>
      </c>
      <c r="J9416" t="str">
        <f>HYPERLINK("https://climate.onebuilding.org/WMO_Region_6_Europe/POL_Poland/MA_Malopolskie/POL_MA_Nowy.Sacz.126600_TMYx.2007-2021.zip")</f>
        <v>https://climate.onebuilding.org/WMO_Region_6_Europe/POL_Poland/MA_Malopolskie/POL_MA_Nowy.Sacz.126600_TMYx.2007-2021.zip</v>
      </c>
    </row>
    <row r="9417" spans="1:10" x14ac:dyDescent="0.25">
      <c r="A9417" t="s">
        <v>6811</v>
      </c>
      <c r="B9417" t="s">
        <v>646</v>
      </c>
      <c r="C9417" t="s">
        <v>6991</v>
      </c>
      <c r="D9417">
        <v>126600</v>
      </c>
      <c r="E9417" t="s">
        <v>14</v>
      </c>
      <c r="F9417">
        <v>49.627099999999999</v>
      </c>
      <c r="G9417">
        <v>20.688600000000001</v>
      </c>
      <c r="H9417">
        <v>1</v>
      </c>
      <c r="I9417">
        <v>295</v>
      </c>
      <c r="J9417" t="str">
        <f>HYPERLINK("https://climate.onebuilding.org/WMO_Region_6_Europe/POL_Poland/MA_Malopolskie/POL_MA_Nowy.Sacz.126600_TMYx.2009-2023.zip")</f>
        <v>https://climate.onebuilding.org/WMO_Region_6_Europe/POL_Poland/MA_Malopolskie/POL_MA_Nowy.Sacz.126600_TMYx.2009-2023.zip</v>
      </c>
    </row>
    <row r="9418" spans="1:10" x14ac:dyDescent="0.25">
      <c r="A9418" t="s">
        <v>6811</v>
      </c>
      <c r="B9418" t="s">
        <v>646</v>
      </c>
      <c r="C9418" t="s">
        <v>6991</v>
      </c>
      <c r="D9418">
        <v>126600</v>
      </c>
      <c r="E9418" t="s">
        <v>14</v>
      </c>
      <c r="F9418">
        <v>49.627099999999999</v>
      </c>
      <c r="G9418">
        <v>20.688600000000001</v>
      </c>
      <c r="H9418">
        <v>1</v>
      </c>
      <c r="I9418">
        <v>295</v>
      </c>
      <c r="J9418" t="str">
        <f>HYPERLINK("https://climate.onebuilding.org/WMO_Region_6_Europe/POL_Poland/MA_Malopolskie/POL_MA_Nowy.Sacz.126600_TMYx.zip")</f>
        <v>https://climate.onebuilding.org/WMO_Region_6_Europe/POL_Poland/MA_Malopolskie/POL_MA_Nowy.Sacz.126600_TMYx.zip</v>
      </c>
    </row>
    <row r="9419" spans="1:10" x14ac:dyDescent="0.25">
      <c r="A9419" t="s">
        <v>6811</v>
      </c>
      <c r="B9419" t="s">
        <v>1195</v>
      </c>
      <c r="C9419" t="s">
        <v>6993</v>
      </c>
      <c r="D9419">
        <v>126700</v>
      </c>
      <c r="E9419" t="s">
        <v>6994</v>
      </c>
      <c r="F9419">
        <v>49.7</v>
      </c>
      <c r="G9419">
        <v>21.766999999999999</v>
      </c>
      <c r="H9419">
        <v>1</v>
      </c>
      <c r="I9419">
        <v>329</v>
      </c>
      <c r="J9419" t="str">
        <f>HYPERLINK("https://climate.onebuilding.org/WMO_Region_6_Europe/POL_Poland/PK_Podkarpackie/POL_PK_Krosno.126700_TMYx.2004-2018.zip")</f>
        <v>https://climate.onebuilding.org/WMO_Region_6_Europe/POL_Poland/PK_Podkarpackie/POL_PK_Krosno.126700_TMYx.2004-2018.zip</v>
      </c>
    </row>
    <row r="9420" spans="1:10" x14ac:dyDescent="0.25">
      <c r="A9420" t="s">
        <v>6811</v>
      </c>
      <c r="B9420" t="s">
        <v>1195</v>
      </c>
      <c r="C9420" t="s">
        <v>6993</v>
      </c>
      <c r="D9420">
        <v>126700</v>
      </c>
      <c r="E9420" t="s">
        <v>14</v>
      </c>
      <c r="F9420">
        <v>49.706899999999997</v>
      </c>
      <c r="G9420">
        <v>21.769200000000001</v>
      </c>
      <c r="H9420">
        <v>1</v>
      </c>
      <c r="I9420">
        <v>329</v>
      </c>
      <c r="J9420" t="str">
        <f>HYPERLINK("https://climate.onebuilding.org/WMO_Region_6_Europe/POL_Poland/PK_Podkarpackie/POL_PK_Krosno.126700_TMYx.2007-2021.zip")</f>
        <v>https://climate.onebuilding.org/WMO_Region_6_Europe/POL_Poland/PK_Podkarpackie/POL_PK_Krosno.126700_TMYx.2007-2021.zip</v>
      </c>
    </row>
    <row r="9421" spans="1:10" x14ac:dyDescent="0.25">
      <c r="A9421" t="s">
        <v>6811</v>
      </c>
      <c r="B9421" t="s">
        <v>1195</v>
      </c>
      <c r="C9421" t="s">
        <v>6993</v>
      </c>
      <c r="D9421">
        <v>126700</v>
      </c>
      <c r="E9421" t="s">
        <v>14</v>
      </c>
      <c r="F9421">
        <v>49.706899999999997</v>
      </c>
      <c r="G9421">
        <v>21.769200000000001</v>
      </c>
      <c r="H9421">
        <v>1</v>
      </c>
      <c r="I9421">
        <v>329</v>
      </c>
      <c r="J9421" t="str">
        <f>HYPERLINK("https://climate.onebuilding.org/WMO_Region_6_Europe/POL_Poland/PK_Podkarpackie/POL_PK_Krosno.126700_TMYx.2009-2023.zip")</f>
        <v>https://climate.onebuilding.org/WMO_Region_6_Europe/POL_Poland/PK_Podkarpackie/POL_PK_Krosno.126700_TMYx.2009-2023.zip</v>
      </c>
    </row>
    <row r="9422" spans="1:10" x14ac:dyDescent="0.25">
      <c r="A9422" t="s">
        <v>6811</v>
      </c>
      <c r="B9422" t="s">
        <v>1195</v>
      </c>
      <c r="C9422" t="s">
        <v>6993</v>
      </c>
      <c r="D9422">
        <v>126700</v>
      </c>
      <c r="E9422" t="s">
        <v>14</v>
      </c>
      <c r="F9422">
        <v>49.706899999999997</v>
      </c>
      <c r="G9422">
        <v>21.769200000000001</v>
      </c>
      <c r="H9422">
        <v>1</v>
      </c>
      <c r="I9422">
        <v>329</v>
      </c>
      <c r="J9422" t="str">
        <f>HYPERLINK("https://climate.onebuilding.org/WMO_Region_6_Europe/POL_Poland/PK_Podkarpackie/POL_PK_Krosno.126700_TMYx.zip")</f>
        <v>https://climate.onebuilding.org/WMO_Region_6_Europe/POL_Poland/PK_Podkarpackie/POL_PK_Krosno.126700_TMYx.zip</v>
      </c>
    </row>
    <row r="9423" spans="1:10" x14ac:dyDescent="0.25">
      <c r="A9423" t="s">
        <v>6811</v>
      </c>
      <c r="B9423" t="s">
        <v>1195</v>
      </c>
      <c r="C9423" t="s">
        <v>6995</v>
      </c>
      <c r="D9423">
        <v>126900</v>
      </c>
      <c r="E9423" t="s">
        <v>6996</v>
      </c>
      <c r="F9423">
        <v>49.466999999999999</v>
      </c>
      <c r="G9423">
        <v>22.35</v>
      </c>
      <c r="H9423">
        <v>1</v>
      </c>
      <c r="I9423">
        <v>422</v>
      </c>
      <c r="J9423" t="str">
        <f>HYPERLINK("https://climate.onebuilding.org/WMO_Region_6_Europe/POL_Poland/PK_Podkarpackie/POL_PK_Lesko.126900_TMYx.2004-2018.zip")</f>
        <v>https://climate.onebuilding.org/WMO_Region_6_Europe/POL_Poland/PK_Podkarpackie/POL_PK_Lesko.126900_TMYx.2004-2018.zip</v>
      </c>
    </row>
    <row r="9424" spans="1:10" x14ac:dyDescent="0.25">
      <c r="A9424" t="s">
        <v>6811</v>
      </c>
      <c r="B9424" t="s">
        <v>1195</v>
      </c>
      <c r="C9424" t="s">
        <v>6995</v>
      </c>
      <c r="D9424">
        <v>126900</v>
      </c>
      <c r="E9424" t="s">
        <v>14</v>
      </c>
      <c r="F9424">
        <v>49.4664</v>
      </c>
      <c r="G9424">
        <v>22.341699999999999</v>
      </c>
      <c r="H9424">
        <v>1</v>
      </c>
      <c r="I9424">
        <v>422</v>
      </c>
      <c r="J9424" t="str">
        <f>HYPERLINK("https://climate.onebuilding.org/WMO_Region_6_Europe/POL_Poland/PK_Podkarpackie/POL_PK_Lesko.126900_TMYx.2007-2021.zip")</f>
        <v>https://climate.onebuilding.org/WMO_Region_6_Europe/POL_Poland/PK_Podkarpackie/POL_PK_Lesko.126900_TMYx.2007-2021.zip</v>
      </c>
    </row>
    <row r="9425" spans="1:10" x14ac:dyDescent="0.25">
      <c r="A9425" t="s">
        <v>6811</v>
      </c>
      <c r="B9425" t="s">
        <v>1195</v>
      </c>
      <c r="C9425" t="s">
        <v>6995</v>
      </c>
      <c r="D9425">
        <v>126900</v>
      </c>
      <c r="E9425" t="s">
        <v>14</v>
      </c>
      <c r="F9425">
        <v>49.4664</v>
      </c>
      <c r="G9425">
        <v>22.341699999999999</v>
      </c>
      <c r="H9425">
        <v>1</v>
      </c>
      <c r="I9425">
        <v>422</v>
      </c>
      <c r="J9425" t="str">
        <f>HYPERLINK("https://climate.onebuilding.org/WMO_Region_6_Europe/POL_Poland/PK_Podkarpackie/POL_PK_Lesko.126900_TMYx.2009-2023.zip")</f>
        <v>https://climate.onebuilding.org/WMO_Region_6_Europe/POL_Poland/PK_Podkarpackie/POL_PK_Lesko.126900_TMYx.2009-2023.zip</v>
      </c>
    </row>
    <row r="9426" spans="1:10" x14ac:dyDescent="0.25">
      <c r="A9426" t="s">
        <v>6811</v>
      </c>
      <c r="B9426" t="s">
        <v>1195</v>
      </c>
      <c r="C9426" t="s">
        <v>6995</v>
      </c>
      <c r="D9426">
        <v>126900</v>
      </c>
      <c r="E9426" t="s">
        <v>14</v>
      </c>
      <c r="F9426">
        <v>49.4664</v>
      </c>
      <c r="G9426">
        <v>22.341699999999999</v>
      </c>
      <c r="H9426">
        <v>1</v>
      </c>
      <c r="I9426">
        <v>422</v>
      </c>
      <c r="J9426" t="str">
        <f>HYPERLINK("https://climate.onebuilding.org/WMO_Region_6_Europe/POL_Poland/PK_Podkarpackie/POL_PK_Lesko.126900_TMYx.zip")</f>
        <v>https://climate.onebuilding.org/WMO_Region_6_Europe/POL_Poland/PK_Podkarpackie/POL_PK_Lesko.126900_TMYx.zip</v>
      </c>
    </row>
    <row r="9427" spans="1:10" x14ac:dyDescent="0.25">
      <c r="A9427" t="s">
        <v>6811</v>
      </c>
      <c r="B9427" t="s">
        <v>1195</v>
      </c>
      <c r="C9427" t="s">
        <v>6997</v>
      </c>
      <c r="D9427">
        <v>126950</v>
      </c>
      <c r="E9427" t="s">
        <v>6998</v>
      </c>
      <c r="F9427">
        <v>49.8</v>
      </c>
      <c r="G9427">
        <v>22.766999999999999</v>
      </c>
      <c r="H9427">
        <v>1</v>
      </c>
      <c r="I9427">
        <v>280</v>
      </c>
      <c r="J9427" t="str">
        <f>HYPERLINK("https://climate.onebuilding.org/WMO_Region_6_Europe/POL_Poland/PK_Podkarpackie/POL_PK_Przemysl.126950_TMYx.2004-2018.zip")</f>
        <v>https://climate.onebuilding.org/WMO_Region_6_Europe/POL_Poland/PK_Podkarpackie/POL_PK_Przemysl.126950_TMYx.2004-2018.zip</v>
      </c>
    </row>
    <row r="9428" spans="1:10" x14ac:dyDescent="0.25">
      <c r="A9428" t="s">
        <v>6811</v>
      </c>
      <c r="B9428" t="s">
        <v>1195</v>
      </c>
      <c r="C9428" t="s">
        <v>6997</v>
      </c>
      <c r="D9428">
        <v>126950</v>
      </c>
      <c r="E9428" t="s">
        <v>14</v>
      </c>
      <c r="F9428">
        <v>49.804200000000002</v>
      </c>
      <c r="G9428">
        <v>22.771899999999999</v>
      </c>
      <c r="H9428">
        <v>1</v>
      </c>
      <c r="I9428">
        <v>280</v>
      </c>
      <c r="J9428" t="str">
        <f>HYPERLINK("https://climate.onebuilding.org/WMO_Region_6_Europe/POL_Poland/PK_Podkarpackie/POL_PK_Przemysl.126950_TMYx.2007-2021.zip")</f>
        <v>https://climate.onebuilding.org/WMO_Region_6_Europe/POL_Poland/PK_Podkarpackie/POL_PK_Przemysl.126950_TMYx.2007-2021.zip</v>
      </c>
    </row>
    <row r="9429" spans="1:10" x14ac:dyDescent="0.25">
      <c r="A9429" t="s">
        <v>6811</v>
      </c>
      <c r="B9429" t="s">
        <v>1195</v>
      </c>
      <c r="C9429" t="s">
        <v>6997</v>
      </c>
      <c r="D9429">
        <v>126950</v>
      </c>
      <c r="E9429" t="s">
        <v>14</v>
      </c>
      <c r="F9429">
        <v>49.804200000000002</v>
      </c>
      <c r="G9429">
        <v>22.771899999999999</v>
      </c>
      <c r="H9429">
        <v>1</v>
      </c>
      <c r="I9429">
        <v>280</v>
      </c>
      <c r="J9429" t="str">
        <f>HYPERLINK("https://climate.onebuilding.org/WMO_Region_6_Europe/POL_Poland/PK_Podkarpackie/POL_PK_Przemysl.126950_TMYx.2009-2023.zip")</f>
        <v>https://climate.onebuilding.org/WMO_Region_6_Europe/POL_Poland/PK_Podkarpackie/POL_PK_Przemysl.126950_TMYx.2009-2023.zip</v>
      </c>
    </row>
    <row r="9430" spans="1:10" x14ac:dyDescent="0.25">
      <c r="A9430" t="s">
        <v>6811</v>
      </c>
      <c r="B9430" t="s">
        <v>1195</v>
      </c>
      <c r="C9430" t="s">
        <v>6997</v>
      </c>
      <c r="D9430">
        <v>126950</v>
      </c>
      <c r="E9430" t="s">
        <v>14</v>
      </c>
      <c r="F9430">
        <v>49.804200000000002</v>
      </c>
      <c r="G9430">
        <v>22.771899999999999</v>
      </c>
      <c r="H9430">
        <v>1</v>
      </c>
      <c r="I9430">
        <v>280</v>
      </c>
      <c r="J9430" t="str">
        <f>HYPERLINK("https://climate.onebuilding.org/WMO_Region_6_Europe/POL_Poland/PK_Podkarpackie/POL_PK_Przemysl.126950_TMYx.zip")</f>
        <v>https://climate.onebuilding.org/WMO_Region_6_Europe/POL_Poland/PK_Podkarpackie/POL_PK_Przemysl.126950_TMYx.zip</v>
      </c>
    </row>
    <row r="9431" spans="1:10" x14ac:dyDescent="0.25">
      <c r="A9431" t="s">
        <v>6999</v>
      </c>
      <c r="B9431" t="s">
        <v>3203</v>
      </c>
      <c r="C9431" t="s">
        <v>7000</v>
      </c>
      <c r="D9431" s="1" t="s">
        <v>7001</v>
      </c>
      <c r="E9431" t="s">
        <v>7002</v>
      </c>
      <c r="F9431">
        <v>39.4572</v>
      </c>
      <c r="G9431">
        <v>-31.130800000000001</v>
      </c>
      <c r="H9431">
        <v>-1</v>
      </c>
      <c r="I9431">
        <v>28.8</v>
      </c>
      <c r="J9431" t="str">
        <f>HYPERLINK("https://climate.onebuilding.org/WMO_Region_6_Europe/PRT_Portugal/AC_Acores/PRT_AC_Flores.AP.085010_TMYx.2004-2018.zip")</f>
        <v>https://climate.onebuilding.org/WMO_Region_6_Europe/PRT_Portugal/AC_Acores/PRT_AC_Flores.AP.085010_TMYx.2004-2018.zip</v>
      </c>
    </row>
    <row r="9432" spans="1:10" x14ac:dyDescent="0.25">
      <c r="A9432" t="s">
        <v>6999</v>
      </c>
      <c r="B9432" t="s">
        <v>3203</v>
      </c>
      <c r="C9432" t="s">
        <v>7000</v>
      </c>
      <c r="D9432" s="1" t="s">
        <v>7001</v>
      </c>
      <c r="E9432" t="s">
        <v>14</v>
      </c>
      <c r="F9432">
        <v>39.4572</v>
      </c>
      <c r="G9432">
        <v>-31.130800000000001</v>
      </c>
      <c r="H9432">
        <v>-1</v>
      </c>
      <c r="I9432">
        <v>28.8</v>
      </c>
      <c r="J9432" t="str">
        <f>HYPERLINK("https://climate.onebuilding.org/WMO_Region_6_Europe/PRT_Portugal/AC_Acores/PRT_AC_Flores.AP.085010_TMYx.2007-2021.zip")</f>
        <v>https://climate.onebuilding.org/WMO_Region_6_Europe/PRT_Portugal/AC_Acores/PRT_AC_Flores.AP.085010_TMYx.2007-2021.zip</v>
      </c>
    </row>
    <row r="9433" spans="1:10" x14ac:dyDescent="0.25">
      <c r="A9433" t="s">
        <v>6999</v>
      </c>
      <c r="B9433" t="s">
        <v>3203</v>
      </c>
      <c r="C9433" t="s">
        <v>7000</v>
      </c>
      <c r="D9433" s="1" t="s">
        <v>7001</v>
      </c>
      <c r="E9433" t="s">
        <v>14</v>
      </c>
      <c r="F9433">
        <v>39.4572</v>
      </c>
      <c r="G9433">
        <v>-31.130800000000001</v>
      </c>
      <c r="H9433">
        <v>-1</v>
      </c>
      <c r="I9433">
        <v>28.8</v>
      </c>
      <c r="J9433" t="str">
        <f>HYPERLINK("https://climate.onebuilding.org/WMO_Region_6_Europe/PRT_Portugal/AC_Acores/PRT_AC_Flores.AP.085010_TMYx.2009-2023.zip")</f>
        <v>https://climate.onebuilding.org/WMO_Region_6_Europe/PRT_Portugal/AC_Acores/PRT_AC_Flores.AP.085010_TMYx.2009-2023.zip</v>
      </c>
    </row>
    <row r="9434" spans="1:10" x14ac:dyDescent="0.25">
      <c r="A9434" t="s">
        <v>6999</v>
      </c>
      <c r="B9434" t="s">
        <v>3203</v>
      </c>
      <c r="C9434" t="s">
        <v>7000</v>
      </c>
      <c r="D9434" s="1" t="s">
        <v>7001</v>
      </c>
      <c r="E9434" t="s">
        <v>14</v>
      </c>
      <c r="F9434">
        <v>39.4572</v>
      </c>
      <c r="G9434">
        <v>-31.130800000000001</v>
      </c>
      <c r="H9434">
        <v>-1</v>
      </c>
      <c r="I9434">
        <v>28.8</v>
      </c>
      <c r="J9434" t="str">
        <f>HYPERLINK("https://climate.onebuilding.org/WMO_Region_6_Europe/PRT_Portugal/AC_Acores/PRT_AC_Flores.AP.085010_TMYx.zip")</f>
        <v>https://climate.onebuilding.org/WMO_Region_6_Europe/PRT_Portugal/AC_Acores/PRT_AC_Flores.AP.085010_TMYx.zip</v>
      </c>
    </row>
    <row r="9435" spans="1:10" x14ac:dyDescent="0.25">
      <c r="A9435" t="s">
        <v>6999</v>
      </c>
      <c r="B9435" t="s">
        <v>3203</v>
      </c>
      <c r="C9435" t="s">
        <v>7003</v>
      </c>
      <c r="D9435" s="1" t="s">
        <v>7004</v>
      </c>
      <c r="E9435" t="s">
        <v>14</v>
      </c>
      <c r="F9435">
        <v>39.6708</v>
      </c>
      <c r="G9435">
        <v>-31.1128</v>
      </c>
      <c r="H9435">
        <v>-1</v>
      </c>
      <c r="I9435">
        <v>18.8</v>
      </c>
      <c r="J9435" t="str">
        <f>HYPERLINK("https://climate.onebuilding.org/WMO_Region_6_Europe/PRT_Portugal/AC_Acores/PRT_AC_Corvo.Island.AP.085020_TMYx.2007-2021.zip")</f>
        <v>https://climate.onebuilding.org/WMO_Region_6_Europe/PRT_Portugal/AC_Acores/PRT_AC_Corvo.Island.AP.085020_TMYx.2007-2021.zip</v>
      </c>
    </row>
    <row r="9436" spans="1:10" x14ac:dyDescent="0.25">
      <c r="A9436" t="s">
        <v>6999</v>
      </c>
      <c r="B9436" t="s">
        <v>3203</v>
      </c>
      <c r="C9436" t="s">
        <v>7003</v>
      </c>
      <c r="D9436" s="1" t="s">
        <v>7004</v>
      </c>
      <c r="E9436" t="s">
        <v>14</v>
      </c>
      <c r="F9436">
        <v>39.6708</v>
      </c>
      <c r="G9436">
        <v>-31.1128</v>
      </c>
      <c r="H9436">
        <v>-1</v>
      </c>
      <c r="I9436">
        <v>18.8</v>
      </c>
      <c r="J9436" t="str">
        <f>HYPERLINK("https://climate.onebuilding.org/WMO_Region_6_Europe/PRT_Portugal/AC_Acores/PRT_AC_Corvo.Island.AP.085020_TMYx.2009-2023.zip")</f>
        <v>https://climate.onebuilding.org/WMO_Region_6_Europe/PRT_Portugal/AC_Acores/PRT_AC_Corvo.Island.AP.085020_TMYx.2009-2023.zip</v>
      </c>
    </row>
    <row r="9437" spans="1:10" x14ac:dyDescent="0.25">
      <c r="A9437" t="s">
        <v>6999</v>
      </c>
      <c r="B9437" t="s">
        <v>3203</v>
      </c>
      <c r="C9437" t="s">
        <v>7003</v>
      </c>
      <c r="D9437" s="1" t="s">
        <v>7004</v>
      </c>
      <c r="E9437" t="s">
        <v>14</v>
      </c>
      <c r="F9437">
        <v>39.6708</v>
      </c>
      <c r="G9437">
        <v>-31.1128</v>
      </c>
      <c r="H9437">
        <v>-1</v>
      </c>
      <c r="I9437">
        <v>18.8</v>
      </c>
      <c r="J9437" t="str">
        <f>HYPERLINK("https://climate.onebuilding.org/WMO_Region_6_Europe/PRT_Portugal/AC_Acores/PRT_AC_Corvo.Island.AP.085020_TMYx.zip")</f>
        <v>https://climate.onebuilding.org/WMO_Region_6_Europe/PRT_Portugal/AC_Acores/PRT_AC_Corvo.Island.AP.085020_TMYx.zip</v>
      </c>
    </row>
    <row r="9438" spans="1:10" x14ac:dyDescent="0.25">
      <c r="A9438" t="s">
        <v>6999</v>
      </c>
      <c r="B9438" t="s">
        <v>3203</v>
      </c>
      <c r="C9438" t="s">
        <v>7005</v>
      </c>
      <c r="D9438" s="1" t="s">
        <v>7006</v>
      </c>
      <c r="E9438" t="s">
        <v>7007</v>
      </c>
      <c r="F9438">
        <v>38.521099999999997</v>
      </c>
      <c r="G9438">
        <v>-28.713899999999999</v>
      </c>
      <c r="H9438">
        <v>-1</v>
      </c>
      <c r="I9438">
        <v>41</v>
      </c>
      <c r="J9438" t="str">
        <f>HYPERLINK("https://climate.onebuilding.org/WMO_Region_6_Europe/PRT_Portugal/AC_Acores/PRT_AC_Horta.AP.085050_TMYx.2004-2018.zip")</f>
        <v>https://climate.onebuilding.org/WMO_Region_6_Europe/PRT_Portugal/AC_Acores/PRT_AC_Horta.AP.085050_TMYx.2004-2018.zip</v>
      </c>
    </row>
    <row r="9439" spans="1:10" x14ac:dyDescent="0.25">
      <c r="A9439" t="s">
        <v>6999</v>
      </c>
      <c r="B9439" t="s">
        <v>3203</v>
      </c>
      <c r="C9439" t="s">
        <v>7005</v>
      </c>
      <c r="D9439" s="1" t="s">
        <v>7006</v>
      </c>
      <c r="E9439" t="s">
        <v>14</v>
      </c>
      <c r="F9439">
        <v>38.521099999999997</v>
      </c>
      <c r="G9439">
        <v>-28.713899999999999</v>
      </c>
      <c r="H9439">
        <v>-1</v>
      </c>
      <c r="I9439">
        <v>41</v>
      </c>
      <c r="J9439" t="str">
        <f>HYPERLINK("https://climate.onebuilding.org/WMO_Region_6_Europe/PRT_Portugal/AC_Acores/PRT_AC_Horta.AP.085050_TMYx.2007-2021.zip")</f>
        <v>https://climate.onebuilding.org/WMO_Region_6_Europe/PRT_Portugal/AC_Acores/PRT_AC_Horta.AP.085050_TMYx.2007-2021.zip</v>
      </c>
    </row>
    <row r="9440" spans="1:10" x14ac:dyDescent="0.25">
      <c r="A9440" t="s">
        <v>6999</v>
      </c>
      <c r="B9440" t="s">
        <v>3203</v>
      </c>
      <c r="C9440" t="s">
        <v>7005</v>
      </c>
      <c r="D9440" s="1" t="s">
        <v>7006</v>
      </c>
      <c r="E9440" t="s">
        <v>14</v>
      </c>
      <c r="F9440">
        <v>38.521099999999997</v>
      </c>
      <c r="G9440">
        <v>-28.713899999999999</v>
      </c>
      <c r="H9440">
        <v>-1</v>
      </c>
      <c r="I9440">
        <v>41</v>
      </c>
      <c r="J9440" t="str">
        <f>HYPERLINK("https://climate.onebuilding.org/WMO_Region_6_Europe/PRT_Portugal/AC_Acores/PRT_AC_Horta.AP.085050_TMYx.2009-2023.zip")</f>
        <v>https://climate.onebuilding.org/WMO_Region_6_Europe/PRT_Portugal/AC_Acores/PRT_AC_Horta.AP.085050_TMYx.2009-2023.zip</v>
      </c>
    </row>
    <row r="9441" spans="1:10" x14ac:dyDescent="0.25">
      <c r="A9441" t="s">
        <v>6999</v>
      </c>
      <c r="B9441" t="s">
        <v>3203</v>
      </c>
      <c r="C9441" t="s">
        <v>7005</v>
      </c>
      <c r="D9441" s="1" t="s">
        <v>7006</v>
      </c>
      <c r="E9441" t="s">
        <v>14</v>
      </c>
      <c r="F9441">
        <v>38.521099999999997</v>
      </c>
      <c r="G9441">
        <v>-28.713899999999999</v>
      </c>
      <c r="H9441">
        <v>-1</v>
      </c>
      <c r="I9441">
        <v>41</v>
      </c>
      <c r="J9441" t="str">
        <f>HYPERLINK("https://climate.onebuilding.org/WMO_Region_6_Europe/PRT_Portugal/AC_Acores/PRT_AC_Horta.AP.085050_TMYx.zip")</f>
        <v>https://climate.onebuilding.org/WMO_Region_6_Europe/PRT_Portugal/AC_Acores/PRT_AC_Horta.AP.085050_TMYx.zip</v>
      </c>
    </row>
    <row r="9442" spans="1:10" x14ac:dyDescent="0.25">
      <c r="A9442" t="s">
        <v>6999</v>
      </c>
      <c r="B9442" t="s">
        <v>3203</v>
      </c>
      <c r="C9442" t="s">
        <v>7008</v>
      </c>
      <c r="D9442" s="1" t="s">
        <v>7009</v>
      </c>
      <c r="E9442" t="s">
        <v>7010</v>
      </c>
      <c r="F9442">
        <v>38.529699999999998</v>
      </c>
      <c r="G9442">
        <v>-28.628599999999999</v>
      </c>
      <c r="H9442">
        <v>-1</v>
      </c>
      <c r="I9442">
        <v>62</v>
      </c>
      <c r="J9442" t="str">
        <f>HYPERLINK("https://climate.onebuilding.org/WMO_Region_6_Europe/PRT_Portugal/AC_Acores/PRT_AC_Horta.085060_TMYx.2004-2018.zip")</f>
        <v>https://climate.onebuilding.org/WMO_Region_6_Europe/PRT_Portugal/AC_Acores/PRT_AC_Horta.085060_TMYx.2004-2018.zip</v>
      </c>
    </row>
    <row r="9443" spans="1:10" x14ac:dyDescent="0.25">
      <c r="A9443" t="s">
        <v>6999</v>
      </c>
      <c r="B9443" t="s">
        <v>3203</v>
      </c>
      <c r="C9443" t="s">
        <v>7008</v>
      </c>
      <c r="D9443" s="1" t="s">
        <v>7009</v>
      </c>
      <c r="E9443" t="s">
        <v>14</v>
      </c>
      <c r="F9443">
        <v>38.529699999999998</v>
      </c>
      <c r="G9443">
        <v>-28.628599999999999</v>
      </c>
      <c r="H9443">
        <v>-1</v>
      </c>
      <c r="I9443">
        <v>62</v>
      </c>
      <c r="J9443" t="str">
        <f>HYPERLINK("https://climate.onebuilding.org/WMO_Region_6_Europe/PRT_Portugal/AC_Acores/PRT_AC_Horta.085060_TMYx.2007-2021.zip")</f>
        <v>https://climate.onebuilding.org/WMO_Region_6_Europe/PRT_Portugal/AC_Acores/PRT_AC_Horta.085060_TMYx.2007-2021.zip</v>
      </c>
    </row>
    <row r="9444" spans="1:10" x14ac:dyDescent="0.25">
      <c r="A9444" t="s">
        <v>6999</v>
      </c>
      <c r="B9444" t="s">
        <v>3203</v>
      </c>
      <c r="C9444" t="s">
        <v>7008</v>
      </c>
      <c r="D9444" s="1" t="s">
        <v>7009</v>
      </c>
      <c r="E9444" t="s">
        <v>14</v>
      </c>
      <c r="F9444">
        <v>38.529699999999998</v>
      </c>
      <c r="G9444">
        <v>-28.628599999999999</v>
      </c>
      <c r="H9444">
        <v>-1</v>
      </c>
      <c r="I9444">
        <v>62</v>
      </c>
      <c r="J9444" t="str">
        <f>HYPERLINK("https://climate.onebuilding.org/WMO_Region_6_Europe/PRT_Portugal/AC_Acores/PRT_AC_Horta.085060_TMYx.2009-2023.zip")</f>
        <v>https://climate.onebuilding.org/WMO_Region_6_Europe/PRT_Portugal/AC_Acores/PRT_AC_Horta.085060_TMYx.2009-2023.zip</v>
      </c>
    </row>
    <row r="9445" spans="1:10" x14ac:dyDescent="0.25">
      <c r="A9445" t="s">
        <v>6999</v>
      </c>
      <c r="B9445" t="s">
        <v>3203</v>
      </c>
      <c r="C9445" t="s">
        <v>7008</v>
      </c>
      <c r="D9445" s="1" t="s">
        <v>7009</v>
      </c>
      <c r="E9445" t="s">
        <v>14</v>
      </c>
      <c r="F9445">
        <v>38.529699999999998</v>
      </c>
      <c r="G9445">
        <v>-28.628599999999999</v>
      </c>
      <c r="H9445">
        <v>-1</v>
      </c>
      <c r="I9445">
        <v>62</v>
      </c>
      <c r="J9445" t="str">
        <f>HYPERLINK("https://climate.onebuilding.org/WMO_Region_6_Europe/PRT_Portugal/AC_Acores/PRT_AC_Horta.085060_TMYx.zip")</f>
        <v>https://climate.onebuilding.org/WMO_Region_6_Europe/PRT_Portugal/AC_Acores/PRT_AC_Horta.085060_TMYx.zip</v>
      </c>
    </row>
    <row r="9446" spans="1:10" x14ac:dyDescent="0.25">
      <c r="A9446" t="s">
        <v>6999</v>
      </c>
      <c r="B9446" t="s">
        <v>3203</v>
      </c>
      <c r="C9446" t="s">
        <v>7011</v>
      </c>
      <c r="D9446" s="1" t="s">
        <v>7012</v>
      </c>
      <c r="E9446" t="s">
        <v>7013</v>
      </c>
      <c r="F9446">
        <v>38.7697</v>
      </c>
      <c r="G9446">
        <v>-27.095800000000001</v>
      </c>
      <c r="H9446">
        <v>-1</v>
      </c>
      <c r="I9446">
        <v>54</v>
      </c>
      <c r="J9446" t="str">
        <f>HYPERLINK("https://climate.onebuilding.org/WMO_Region_6_Europe/PRT_Portugal/AC_Acores/PRT_AC_Lajes.AP.085090_TMYx.2004-2018.zip")</f>
        <v>https://climate.onebuilding.org/WMO_Region_6_Europe/PRT_Portugal/AC_Acores/PRT_AC_Lajes.AP.085090_TMYx.2004-2018.zip</v>
      </c>
    </row>
    <row r="9447" spans="1:10" x14ac:dyDescent="0.25">
      <c r="A9447" t="s">
        <v>6999</v>
      </c>
      <c r="B9447" t="s">
        <v>3203</v>
      </c>
      <c r="C9447" t="s">
        <v>7011</v>
      </c>
      <c r="D9447" s="1" t="s">
        <v>7012</v>
      </c>
      <c r="E9447" t="s">
        <v>14</v>
      </c>
      <c r="F9447">
        <v>38.768000000000001</v>
      </c>
      <c r="G9447">
        <v>-27.087</v>
      </c>
      <c r="H9447">
        <v>-1</v>
      </c>
      <c r="I9447">
        <v>54</v>
      </c>
      <c r="J9447" t="str">
        <f>HYPERLINK("https://climate.onebuilding.org/WMO_Region_6_Europe/PRT_Portugal/AC_Acores/PRT_AC_Lajes.AP.085090_TMYx.2007-2021.zip")</f>
        <v>https://climate.onebuilding.org/WMO_Region_6_Europe/PRT_Portugal/AC_Acores/PRT_AC_Lajes.AP.085090_TMYx.2007-2021.zip</v>
      </c>
    </row>
    <row r="9448" spans="1:10" x14ac:dyDescent="0.25">
      <c r="A9448" t="s">
        <v>6999</v>
      </c>
      <c r="B9448" t="s">
        <v>3203</v>
      </c>
      <c r="C9448" t="s">
        <v>7011</v>
      </c>
      <c r="D9448" s="1" t="s">
        <v>7012</v>
      </c>
      <c r="E9448" t="s">
        <v>14</v>
      </c>
      <c r="F9448">
        <v>38.768000000000001</v>
      </c>
      <c r="G9448">
        <v>-27.087</v>
      </c>
      <c r="H9448">
        <v>-1</v>
      </c>
      <c r="I9448">
        <v>54</v>
      </c>
      <c r="J9448" t="str">
        <f>HYPERLINK("https://climate.onebuilding.org/WMO_Region_6_Europe/PRT_Portugal/AC_Acores/PRT_AC_Lajes.AP.085090_TMYx.2009-2023.zip")</f>
        <v>https://climate.onebuilding.org/WMO_Region_6_Europe/PRT_Portugal/AC_Acores/PRT_AC_Lajes.AP.085090_TMYx.2009-2023.zip</v>
      </c>
    </row>
    <row r="9449" spans="1:10" x14ac:dyDescent="0.25">
      <c r="A9449" t="s">
        <v>6999</v>
      </c>
      <c r="B9449" t="s">
        <v>3203</v>
      </c>
      <c r="C9449" t="s">
        <v>7011</v>
      </c>
      <c r="D9449" s="1" t="s">
        <v>7012</v>
      </c>
      <c r="E9449" t="s">
        <v>14</v>
      </c>
      <c r="F9449">
        <v>38.768000000000001</v>
      </c>
      <c r="G9449">
        <v>-27.087</v>
      </c>
      <c r="H9449">
        <v>-1</v>
      </c>
      <c r="I9449">
        <v>54</v>
      </c>
      <c r="J9449" t="str">
        <f>HYPERLINK("https://climate.onebuilding.org/WMO_Region_6_Europe/PRT_Portugal/AC_Acores/PRT_AC_Lajes.AP.085090_TMYx.zip")</f>
        <v>https://climate.onebuilding.org/WMO_Region_6_Europe/PRT_Portugal/AC_Acores/PRT_AC_Lajes.AP.085090_TMYx.zip</v>
      </c>
    </row>
    <row r="9450" spans="1:10" x14ac:dyDescent="0.25">
      <c r="A9450" t="s">
        <v>6999</v>
      </c>
      <c r="B9450" t="s">
        <v>3203</v>
      </c>
      <c r="C9450" t="s">
        <v>7014</v>
      </c>
      <c r="D9450" s="1" t="s">
        <v>7015</v>
      </c>
      <c r="E9450" t="s">
        <v>14</v>
      </c>
      <c r="F9450">
        <v>38.665999999999997</v>
      </c>
      <c r="G9450">
        <v>-28.175999999999998</v>
      </c>
      <c r="H9450">
        <v>-1</v>
      </c>
      <c r="I9450">
        <v>94.8</v>
      </c>
      <c r="J9450" t="str">
        <f>HYPERLINK("https://climate.onebuilding.org/WMO_Region_6_Europe/PRT_Portugal/AC_Acores/PRT_AC_Sao.Jorge.AP.085095_TMYx.2007-2021.zip")</f>
        <v>https://climate.onebuilding.org/WMO_Region_6_Europe/PRT_Portugal/AC_Acores/PRT_AC_Sao.Jorge.AP.085095_TMYx.2007-2021.zip</v>
      </c>
    </row>
    <row r="9451" spans="1:10" x14ac:dyDescent="0.25">
      <c r="A9451" t="s">
        <v>6999</v>
      </c>
      <c r="B9451" t="s">
        <v>3203</v>
      </c>
      <c r="C9451" t="s">
        <v>7014</v>
      </c>
      <c r="D9451" s="1" t="s">
        <v>7015</v>
      </c>
      <c r="E9451" t="s">
        <v>14</v>
      </c>
      <c r="F9451">
        <v>38.665999999999997</v>
      </c>
      <c r="G9451">
        <v>-28.175999999999998</v>
      </c>
      <c r="H9451">
        <v>-1</v>
      </c>
      <c r="I9451">
        <v>94.8</v>
      </c>
      <c r="J9451" t="str">
        <f>HYPERLINK("https://climate.onebuilding.org/WMO_Region_6_Europe/PRT_Portugal/AC_Acores/PRT_AC_Sao.Jorge.AP.085095_TMYx.2009-2023.zip")</f>
        <v>https://climate.onebuilding.org/WMO_Region_6_Europe/PRT_Portugal/AC_Acores/PRT_AC_Sao.Jorge.AP.085095_TMYx.2009-2023.zip</v>
      </c>
    </row>
    <row r="9452" spans="1:10" x14ac:dyDescent="0.25">
      <c r="A9452" t="s">
        <v>6999</v>
      </c>
      <c r="B9452" t="s">
        <v>3203</v>
      </c>
      <c r="C9452" t="s">
        <v>7014</v>
      </c>
      <c r="D9452" s="1" t="s">
        <v>7015</v>
      </c>
      <c r="E9452" t="s">
        <v>14</v>
      </c>
      <c r="F9452">
        <v>38.665999999999997</v>
      </c>
      <c r="G9452">
        <v>-28.175999999999998</v>
      </c>
      <c r="H9452">
        <v>-1</v>
      </c>
      <c r="I9452">
        <v>94.8</v>
      </c>
      <c r="J9452" t="str">
        <f>HYPERLINK("https://climate.onebuilding.org/WMO_Region_6_Europe/PRT_Portugal/AC_Acores/PRT_AC_Sao.Jorge.AP.085095_TMYx.zip")</f>
        <v>https://climate.onebuilding.org/WMO_Region_6_Europe/PRT_Portugal/AC_Acores/PRT_AC_Sao.Jorge.AP.085095_TMYx.zip</v>
      </c>
    </row>
    <row r="9453" spans="1:10" x14ac:dyDescent="0.25">
      <c r="A9453" t="s">
        <v>6999</v>
      </c>
      <c r="B9453" t="s">
        <v>3203</v>
      </c>
      <c r="C9453" t="s">
        <v>7016</v>
      </c>
      <c r="D9453" s="1" t="s">
        <v>7017</v>
      </c>
      <c r="E9453" t="s">
        <v>7018</v>
      </c>
      <c r="F9453">
        <v>38.659999999999997</v>
      </c>
      <c r="G9453">
        <v>-27.2242</v>
      </c>
      <c r="H9453">
        <v>-1</v>
      </c>
      <c r="I9453">
        <v>90.8</v>
      </c>
      <c r="J9453" t="str">
        <f>HYPERLINK("https://climate.onebuilding.org/WMO_Region_6_Europe/PRT_Portugal/AC_Acores/PRT_AC_Angra.do.Heroismo.085110_TMYx.2004-2018.zip")</f>
        <v>https://climate.onebuilding.org/WMO_Region_6_Europe/PRT_Portugal/AC_Acores/PRT_AC_Angra.do.Heroismo.085110_TMYx.2004-2018.zip</v>
      </c>
    </row>
    <row r="9454" spans="1:10" x14ac:dyDescent="0.25">
      <c r="A9454" t="s">
        <v>6999</v>
      </c>
      <c r="B9454" t="s">
        <v>3203</v>
      </c>
      <c r="C9454" t="s">
        <v>7016</v>
      </c>
      <c r="D9454" s="1" t="s">
        <v>7017</v>
      </c>
      <c r="E9454" t="s">
        <v>14</v>
      </c>
      <c r="F9454">
        <v>38.659999999999997</v>
      </c>
      <c r="G9454">
        <v>-27.2242</v>
      </c>
      <c r="H9454">
        <v>-1</v>
      </c>
      <c r="I9454">
        <v>90.8</v>
      </c>
      <c r="J9454" t="str">
        <f>HYPERLINK("https://climate.onebuilding.org/WMO_Region_6_Europe/PRT_Portugal/AC_Acores/PRT_AC_Angra.do.Heroismo.085110_TMYx.2007-2021.zip")</f>
        <v>https://climate.onebuilding.org/WMO_Region_6_Europe/PRT_Portugal/AC_Acores/PRT_AC_Angra.do.Heroismo.085110_TMYx.2007-2021.zip</v>
      </c>
    </row>
    <row r="9455" spans="1:10" x14ac:dyDescent="0.25">
      <c r="A9455" t="s">
        <v>6999</v>
      </c>
      <c r="B9455" t="s">
        <v>3203</v>
      </c>
      <c r="C9455" t="s">
        <v>7016</v>
      </c>
      <c r="D9455" s="1" t="s">
        <v>7017</v>
      </c>
      <c r="E9455" t="s">
        <v>14</v>
      </c>
      <c r="F9455">
        <v>38.659999999999997</v>
      </c>
      <c r="G9455">
        <v>-27.2242</v>
      </c>
      <c r="H9455">
        <v>-1</v>
      </c>
      <c r="I9455">
        <v>90.8</v>
      </c>
      <c r="J9455" t="str">
        <f>HYPERLINK("https://climate.onebuilding.org/WMO_Region_6_Europe/PRT_Portugal/AC_Acores/PRT_AC_Angra.do.Heroismo.085110_TMYx.2009-2023.zip")</f>
        <v>https://climate.onebuilding.org/WMO_Region_6_Europe/PRT_Portugal/AC_Acores/PRT_AC_Angra.do.Heroismo.085110_TMYx.2009-2023.zip</v>
      </c>
    </row>
    <row r="9456" spans="1:10" x14ac:dyDescent="0.25">
      <c r="A9456" t="s">
        <v>6999</v>
      </c>
      <c r="B9456" t="s">
        <v>3203</v>
      </c>
      <c r="C9456" t="s">
        <v>7016</v>
      </c>
      <c r="D9456" s="1" t="s">
        <v>7017</v>
      </c>
      <c r="E9456" t="s">
        <v>14</v>
      </c>
      <c r="F9456">
        <v>38.659999999999997</v>
      </c>
      <c r="G9456">
        <v>-27.2242</v>
      </c>
      <c r="H9456">
        <v>-1</v>
      </c>
      <c r="I9456">
        <v>90.8</v>
      </c>
      <c r="J9456" t="str">
        <f>HYPERLINK("https://climate.onebuilding.org/WMO_Region_6_Europe/PRT_Portugal/AC_Acores/PRT_AC_Angra.do.Heroismo.085110_TMYx.zip")</f>
        <v>https://climate.onebuilding.org/WMO_Region_6_Europe/PRT_Portugal/AC_Acores/PRT_AC_Angra.do.Heroismo.085110_TMYx.zip</v>
      </c>
    </row>
    <row r="9457" spans="1:10" x14ac:dyDescent="0.25">
      <c r="A9457" t="s">
        <v>6999</v>
      </c>
      <c r="B9457" t="s">
        <v>3203</v>
      </c>
      <c r="C9457" t="s">
        <v>7019</v>
      </c>
      <c r="D9457" s="1" t="s">
        <v>7020</v>
      </c>
      <c r="E9457" t="s">
        <v>7021</v>
      </c>
      <c r="F9457">
        <v>37.744399999999999</v>
      </c>
      <c r="G9457">
        <v>-25.696899999999999</v>
      </c>
      <c r="H9457">
        <v>-1</v>
      </c>
      <c r="I9457">
        <v>77.8</v>
      </c>
      <c r="J9457" t="str">
        <f>HYPERLINK("https://climate.onebuilding.org/WMO_Region_6_Europe/PRT_Portugal/AC_Acores/PRT_AC_Ponta.Delgada-Joao.Paulo.AP.085120_TMYx.2004-2018.zip")</f>
        <v>https://climate.onebuilding.org/WMO_Region_6_Europe/PRT_Portugal/AC_Acores/PRT_AC_Ponta.Delgada-Joao.Paulo.AP.085120_TMYx.2004-2018.zip</v>
      </c>
    </row>
    <row r="9458" spans="1:10" x14ac:dyDescent="0.25">
      <c r="A9458" t="s">
        <v>6999</v>
      </c>
      <c r="B9458" t="s">
        <v>3203</v>
      </c>
      <c r="C9458" t="s">
        <v>7019</v>
      </c>
      <c r="D9458" s="1" t="s">
        <v>7020</v>
      </c>
      <c r="E9458" t="s">
        <v>14</v>
      </c>
      <c r="F9458">
        <v>37.744399999999999</v>
      </c>
      <c r="G9458">
        <v>-25.696899999999999</v>
      </c>
      <c r="H9458">
        <v>-1</v>
      </c>
      <c r="I9458">
        <v>77.8</v>
      </c>
      <c r="J9458" t="str">
        <f>HYPERLINK("https://climate.onebuilding.org/WMO_Region_6_Europe/PRT_Portugal/AC_Acores/PRT_AC_Ponta.Delgada-Joao.Paulo.AP.085120_TMYx.2007-2021.zip")</f>
        <v>https://climate.onebuilding.org/WMO_Region_6_Europe/PRT_Portugal/AC_Acores/PRT_AC_Ponta.Delgada-Joao.Paulo.AP.085120_TMYx.2007-2021.zip</v>
      </c>
    </row>
    <row r="9459" spans="1:10" x14ac:dyDescent="0.25">
      <c r="A9459" t="s">
        <v>6999</v>
      </c>
      <c r="B9459" t="s">
        <v>3203</v>
      </c>
      <c r="C9459" t="s">
        <v>7019</v>
      </c>
      <c r="D9459" s="1" t="s">
        <v>7020</v>
      </c>
      <c r="E9459" t="s">
        <v>14</v>
      </c>
      <c r="F9459">
        <v>37.744399999999999</v>
      </c>
      <c r="G9459">
        <v>-25.696899999999999</v>
      </c>
      <c r="H9459">
        <v>-1</v>
      </c>
      <c r="I9459">
        <v>77.8</v>
      </c>
      <c r="J9459" t="str">
        <f>HYPERLINK("https://climate.onebuilding.org/WMO_Region_6_Europe/PRT_Portugal/AC_Acores/PRT_AC_Ponta.Delgada-Joao.Paulo.AP.085120_TMYx.2009-2023.zip")</f>
        <v>https://climate.onebuilding.org/WMO_Region_6_Europe/PRT_Portugal/AC_Acores/PRT_AC_Ponta.Delgada-Joao.Paulo.AP.085120_TMYx.2009-2023.zip</v>
      </c>
    </row>
    <row r="9460" spans="1:10" x14ac:dyDescent="0.25">
      <c r="A9460" t="s">
        <v>6999</v>
      </c>
      <c r="B9460" t="s">
        <v>3203</v>
      </c>
      <c r="C9460" t="s">
        <v>7019</v>
      </c>
      <c r="D9460" s="1" t="s">
        <v>7020</v>
      </c>
      <c r="E9460" t="s">
        <v>14</v>
      </c>
      <c r="F9460">
        <v>37.744399999999999</v>
      </c>
      <c r="G9460">
        <v>-25.696899999999999</v>
      </c>
      <c r="H9460">
        <v>-1</v>
      </c>
      <c r="I9460">
        <v>77.8</v>
      </c>
      <c r="J9460" t="str">
        <f>HYPERLINK("https://climate.onebuilding.org/WMO_Region_6_Europe/PRT_Portugal/AC_Acores/PRT_AC_Ponta.Delgada-Joao.Paulo.AP.085120_TMYx.zip")</f>
        <v>https://climate.onebuilding.org/WMO_Region_6_Europe/PRT_Portugal/AC_Acores/PRT_AC_Ponta.Delgada-Joao.Paulo.AP.085120_TMYx.zip</v>
      </c>
    </row>
    <row r="9461" spans="1:10" x14ac:dyDescent="0.25">
      <c r="A9461" t="s">
        <v>6999</v>
      </c>
      <c r="B9461" t="s">
        <v>3203</v>
      </c>
      <c r="C9461" t="s">
        <v>7022</v>
      </c>
      <c r="D9461" s="1" t="s">
        <v>7023</v>
      </c>
      <c r="E9461" t="s">
        <v>7024</v>
      </c>
      <c r="F9461">
        <v>38.554000000000002</v>
      </c>
      <c r="G9461">
        <v>-28.440999999999999</v>
      </c>
      <c r="H9461">
        <v>-1</v>
      </c>
      <c r="I9461">
        <v>33.200000000000003</v>
      </c>
      <c r="J9461" t="str">
        <f>HYPERLINK("https://climate.onebuilding.org/WMO_Region_6_Europe/PRT_Portugal/AC_Acores/PRT_AC_Pico.AP.085125_TMYx.2004-2018.zip")</f>
        <v>https://climate.onebuilding.org/WMO_Region_6_Europe/PRT_Portugal/AC_Acores/PRT_AC_Pico.AP.085125_TMYx.2004-2018.zip</v>
      </c>
    </row>
    <row r="9462" spans="1:10" x14ac:dyDescent="0.25">
      <c r="A9462" t="s">
        <v>6999</v>
      </c>
      <c r="B9462" t="s">
        <v>3203</v>
      </c>
      <c r="C9462" t="s">
        <v>7022</v>
      </c>
      <c r="D9462" s="1" t="s">
        <v>7023</v>
      </c>
      <c r="E9462" t="s">
        <v>14</v>
      </c>
      <c r="F9462">
        <v>38.554000000000002</v>
      </c>
      <c r="G9462">
        <v>-28.440999999999999</v>
      </c>
      <c r="H9462">
        <v>-1</v>
      </c>
      <c r="I9462">
        <v>33.200000000000003</v>
      </c>
      <c r="J9462" t="str">
        <f>HYPERLINK("https://climate.onebuilding.org/WMO_Region_6_Europe/PRT_Portugal/AC_Acores/PRT_AC_Pico.AP.085125_TMYx.2007-2021.zip")</f>
        <v>https://climate.onebuilding.org/WMO_Region_6_Europe/PRT_Portugal/AC_Acores/PRT_AC_Pico.AP.085125_TMYx.2007-2021.zip</v>
      </c>
    </row>
    <row r="9463" spans="1:10" x14ac:dyDescent="0.25">
      <c r="A9463" t="s">
        <v>6999</v>
      </c>
      <c r="B9463" t="s">
        <v>3203</v>
      </c>
      <c r="C9463" t="s">
        <v>7022</v>
      </c>
      <c r="D9463" s="1" t="s">
        <v>7023</v>
      </c>
      <c r="E9463" t="s">
        <v>14</v>
      </c>
      <c r="F9463">
        <v>38.554000000000002</v>
      </c>
      <c r="G9463">
        <v>-28.440999999999999</v>
      </c>
      <c r="H9463">
        <v>-1</v>
      </c>
      <c r="I9463">
        <v>33.200000000000003</v>
      </c>
      <c r="J9463" t="str">
        <f>HYPERLINK("https://climate.onebuilding.org/WMO_Region_6_Europe/PRT_Portugal/AC_Acores/PRT_AC_Pico.AP.085125_TMYx.2009-2023.zip")</f>
        <v>https://climate.onebuilding.org/WMO_Region_6_Europe/PRT_Portugal/AC_Acores/PRT_AC_Pico.AP.085125_TMYx.2009-2023.zip</v>
      </c>
    </row>
    <row r="9464" spans="1:10" x14ac:dyDescent="0.25">
      <c r="A9464" t="s">
        <v>6999</v>
      </c>
      <c r="B9464" t="s">
        <v>3203</v>
      </c>
      <c r="C9464" t="s">
        <v>7022</v>
      </c>
      <c r="D9464" s="1" t="s">
        <v>7023</v>
      </c>
      <c r="E9464" t="s">
        <v>14</v>
      </c>
      <c r="F9464">
        <v>38.554000000000002</v>
      </c>
      <c r="G9464">
        <v>-28.440999999999999</v>
      </c>
      <c r="H9464">
        <v>-1</v>
      </c>
      <c r="I9464">
        <v>33.200000000000003</v>
      </c>
      <c r="J9464" t="str">
        <f>HYPERLINK("https://climate.onebuilding.org/WMO_Region_6_Europe/PRT_Portugal/AC_Acores/PRT_AC_Pico.AP.085125_TMYx.zip")</f>
        <v>https://climate.onebuilding.org/WMO_Region_6_Europe/PRT_Portugal/AC_Acores/PRT_AC_Pico.AP.085125_TMYx.zip</v>
      </c>
    </row>
    <row r="9465" spans="1:10" x14ac:dyDescent="0.25">
      <c r="A9465" t="s">
        <v>6999</v>
      </c>
      <c r="B9465" t="s">
        <v>3203</v>
      </c>
      <c r="C9465" t="s">
        <v>7025</v>
      </c>
      <c r="D9465" s="1" t="s">
        <v>7026</v>
      </c>
      <c r="E9465" t="s">
        <v>7027</v>
      </c>
      <c r="F9465">
        <v>36.973100000000002</v>
      </c>
      <c r="G9465">
        <v>-25.172799999999999</v>
      </c>
      <c r="H9465">
        <v>-1</v>
      </c>
      <c r="I9465">
        <v>96.8</v>
      </c>
      <c r="J9465" t="str">
        <f>HYPERLINK("https://climate.onebuilding.org/WMO_Region_6_Europe/PRT_Portugal/AC_Acores/PRT_AC_Santa.Maria.AP.085150_TMYx.2004-2018.zip")</f>
        <v>https://climate.onebuilding.org/WMO_Region_6_Europe/PRT_Portugal/AC_Acores/PRT_AC_Santa.Maria.AP.085150_TMYx.2004-2018.zip</v>
      </c>
    </row>
    <row r="9466" spans="1:10" x14ac:dyDescent="0.25">
      <c r="A9466" t="s">
        <v>6999</v>
      </c>
      <c r="B9466" t="s">
        <v>3203</v>
      </c>
      <c r="C9466" t="s">
        <v>7025</v>
      </c>
      <c r="D9466" s="1" t="s">
        <v>7026</v>
      </c>
      <c r="E9466" t="s">
        <v>14</v>
      </c>
      <c r="F9466">
        <v>36.973100000000002</v>
      </c>
      <c r="G9466">
        <v>-25.172799999999999</v>
      </c>
      <c r="H9466">
        <v>-1</v>
      </c>
      <c r="I9466">
        <v>96.8</v>
      </c>
      <c r="J9466" t="str">
        <f>HYPERLINK("https://climate.onebuilding.org/WMO_Region_6_Europe/PRT_Portugal/AC_Acores/PRT_AC_Santa.Maria.AP.085150_TMYx.2007-2021.zip")</f>
        <v>https://climate.onebuilding.org/WMO_Region_6_Europe/PRT_Portugal/AC_Acores/PRT_AC_Santa.Maria.AP.085150_TMYx.2007-2021.zip</v>
      </c>
    </row>
    <row r="9467" spans="1:10" x14ac:dyDescent="0.25">
      <c r="A9467" t="s">
        <v>6999</v>
      </c>
      <c r="B9467" t="s">
        <v>3203</v>
      </c>
      <c r="C9467" t="s">
        <v>7025</v>
      </c>
      <c r="D9467" s="1" t="s">
        <v>7026</v>
      </c>
      <c r="E9467" t="s">
        <v>14</v>
      </c>
      <c r="F9467">
        <v>36.973100000000002</v>
      </c>
      <c r="G9467">
        <v>-25.172799999999999</v>
      </c>
      <c r="H9467">
        <v>-1</v>
      </c>
      <c r="I9467">
        <v>96.8</v>
      </c>
      <c r="J9467" t="str">
        <f>HYPERLINK("https://climate.onebuilding.org/WMO_Region_6_Europe/PRT_Portugal/AC_Acores/PRT_AC_Santa.Maria.AP.085150_TMYx.2009-2023.zip")</f>
        <v>https://climate.onebuilding.org/WMO_Region_6_Europe/PRT_Portugal/AC_Acores/PRT_AC_Santa.Maria.AP.085150_TMYx.2009-2023.zip</v>
      </c>
    </row>
    <row r="9468" spans="1:10" x14ac:dyDescent="0.25">
      <c r="A9468" t="s">
        <v>6999</v>
      </c>
      <c r="B9468" t="s">
        <v>3203</v>
      </c>
      <c r="C9468" t="s">
        <v>7025</v>
      </c>
      <c r="D9468" s="1" t="s">
        <v>7026</v>
      </c>
      <c r="E9468" t="s">
        <v>14</v>
      </c>
      <c r="F9468">
        <v>36.973100000000002</v>
      </c>
      <c r="G9468">
        <v>-25.172799999999999</v>
      </c>
      <c r="H9468">
        <v>-1</v>
      </c>
      <c r="I9468">
        <v>96.8</v>
      </c>
      <c r="J9468" t="str">
        <f>HYPERLINK("https://climate.onebuilding.org/WMO_Region_6_Europe/PRT_Portugal/AC_Acores/PRT_AC_Santa.Maria.AP.085150_TMYx.zip")</f>
        <v>https://climate.onebuilding.org/WMO_Region_6_Europe/PRT_Portugal/AC_Acores/PRT_AC_Santa.Maria.AP.085150_TMYx.zip</v>
      </c>
    </row>
    <row r="9469" spans="1:10" x14ac:dyDescent="0.25">
      <c r="A9469" t="s">
        <v>6999</v>
      </c>
      <c r="B9469" t="s">
        <v>3203</v>
      </c>
      <c r="C9469" t="s">
        <v>7028</v>
      </c>
      <c r="D9469" s="1" t="s">
        <v>7029</v>
      </c>
      <c r="E9469" t="s">
        <v>14</v>
      </c>
      <c r="F9469">
        <v>39.091999999999999</v>
      </c>
      <c r="G9469">
        <v>-28.03</v>
      </c>
      <c r="H9469">
        <v>-1</v>
      </c>
      <c r="I9469">
        <v>26.2</v>
      </c>
      <c r="J9469" t="str">
        <f>HYPERLINK("https://climate.onebuilding.org/WMO_Region_6_Europe/PRT_Portugal/AC_Acores/PRT_AC_Graciosa.AP.085155_TMYx.2007-2021.zip")</f>
        <v>https://climate.onebuilding.org/WMO_Region_6_Europe/PRT_Portugal/AC_Acores/PRT_AC_Graciosa.AP.085155_TMYx.2007-2021.zip</v>
      </c>
    </row>
    <row r="9470" spans="1:10" x14ac:dyDescent="0.25">
      <c r="A9470" t="s">
        <v>6999</v>
      </c>
      <c r="B9470" t="s">
        <v>3203</v>
      </c>
      <c r="C9470" t="s">
        <v>7028</v>
      </c>
      <c r="D9470" s="1" t="s">
        <v>7029</v>
      </c>
      <c r="E9470" t="s">
        <v>14</v>
      </c>
      <c r="F9470">
        <v>39.091999999999999</v>
      </c>
      <c r="G9470">
        <v>-28.03</v>
      </c>
      <c r="H9470">
        <v>-1</v>
      </c>
      <c r="I9470">
        <v>26.2</v>
      </c>
      <c r="J9470" t="str">
        <f>HYPERLINK("https://climate.onebuilding.org/WMO_Region_6_Europe/PRT_Portugal/AC_Acores/PRT_AC_Graciosa.AP.085155_TMYx.2009-2023.zip")</f>
        <v>https://climate.onebuilding.org/WMO_Region_6_Europe/PRT_Portugal/AC_Acores/PRT_AC_Graciosa.AP.085155_TMYx.2009-2023.zip</v>
      </c>
    </row>
    <row r="9471" spans="1:10" x14ac:dyDescent="0.25">
      <c r="A9471" t="s">
        <v>6999</v>
      </c>
      <c r="B9471" t="s">
        <v>3203</v>
      </c>
      <c r="C9471" t="s">
        <v>7028</v>
      </c>
      <c r="D9471" s="1" t="s">
        <v>7029</v>
      </c>
      <c r="E9471" t="s">
        <v>14</v>
      </c>
      <c r="F9471">
        <v>39.091999999999999</v>
      </c>
      <c r="G9471">
        <v>-28.03</v>
      </c>
      <c r="H9471">
        <v>-1</v>
      </c>
      <c r="I9471">
        <v>26.2</v>
      </c>
      <c r="J9471" t="str">
        <f>HYPERLINK("https://climate.onebuilding.org/WMO_Region_6_Europe/PRT_Portugal/AC_Acores/PRT_AC_Graciosa.AP.085155_TMYx.zip")</f>
        <v>https://climate.onebuilding.org/WMO_Region_6_Europe/PRT_Portugal/AC_Acores/PRT_AC_Graciosa.AP.085155_TMYx.zip</v>
      </c>
    </row>
    <row r="9472" spans="1:10" x14ac:dyDescent="0.25">
      <c r="A9472" t="s">
        <v>6999</v>
      </c>
      <c r="B9472" t="s">
        <v>2102</v>
      </c>
      <c r="C9472" t="s">
        <v>7030</v>
      </c>
      <c r="D9472" s="1" t="s">
        <v>7031</v>
      </c>
      <c r="E9472" t="s">
        <v>7032</v>
      </c>
      <c r="F9472">
        <v>32.693100000000001</v>
      </c>
      <c r="G9472">
        <v>-16.7761</v>
      </c>
      <c r="H9472">
        <v>0</v>
      </c>
      <c r="I9472">
        <v>58</v>
      </c>
      <c r="J9472" t="str">
        <f>HYPERLINK("https://climate.onebuilding.org/WMO_Region_6_Europe/PRT_Portugal/MD_Madeira/PRT_MD_Madeira.AP.085210_TMYx.2004-2018.zip")</f>
        <v>https://climate.onebuilding.org/WMO_Region_6_Europe/PRT_Portugal/MD_Madeira/PRT_MD_Madeira.AP.085210_TMYx.2004-2018.zip</v>
      </c>
    </row>
    <row r="9473" spans="1:10" x14ac:dyDescent="0.25">
      <c r="A9473" t="s">
        <v>6999</v>
      </c>
      <c r="B9473" t="s">
        <v>2102</v>
      </c>
      <c r="C9473" t="s">
        <v>7030</v>
      </c>
      <c r="D9473" s="1" t="s">
        <v>7031</v>
      </c>
      <c r="E9473" t="s">
        <v>14</v>
      </c>
      <c r="F9473">
        <v>32.693100000000001</v>
      </c>
      <c r="G9473">
        <v>-16.7761</v>
      </c>
      <c r="H9473">
        <v>0</v>
      </c>
      <c r="I9473">
        <v>58</v>
      </c>
      <c r="J9473" t="str">
        <f>HYPERLINK("https://climate.onebuilding.org/WMO_Region_6_Europe/PRT_Portugal/MD_Madeira/PRT_MD_Madeira.AP.085210_TMYx.2007-2021.zip")</f>
        <v>https://climate.onebuilding.org/WMO_Region_6_Europe/PRT_Portugal/MD_Madeira/PRT_MD_Madeira.AP.085210_TMYx.2007-2021.zip</v>
      </c>
    </row>
    <row r="9474" spans="1:10" x14ac:dyDescent="0.25">
      <c r="A9474" t="s">
        <v>6999</v>
      </c>
      <c r="B9474" t="s">
        <v>2102</v>
      </c>
      <c r="C9474" t="s">
        <v>7030</v>
      </c>
      <c r="D9474" s="1" t="s">
        <v>7031</v>
      </c>
      <c r="E9474" t="s">
        <v>14</v>
      </c>
      <c r="F9474">
        <v>32.693100000000001</v>
      </c>
      <c r="G9474">
        <v>-16.7761</v>
      </c>
      <c r="H9474">
        <v>0</v>
      </c>
      <c r="I9474">
        <v>58</v>
      </c>
      <c r="J9474" t="str">
        <f>HYPERLINK("https://climate.onebuilding.org/WMO_Region_6_Europe/PRT_Portugal/MD_Madeira/PRT_MD_Madeira.AP.085210_TMYx.2009-2023.zip")</f>
        <v>https://climate.onebuilding.org/WMO_Region_6_Europe/PRT_Portugal/MD_Madeira/PRT_MD_Madeira.AP.085210_TMYx.2009-2023.zip</v>
      </c>
    </row>
    <row r="9475" spans="1:10" x14ac:dyDescent="0.25">
      <c r="A9475" t="s">
        <v>6999</v>
      </c>
      <c r="B9475" t="s">
        <v>2102</v>
      </c>
      <c r="C9475" t="s">
        <v>7030</v>
      </c>
      <c r="D9475" s="1" t="s">
        <v>7031</v>
      </c>
      <c r="E9475" t="s">
        <v>14</v>
      </c>
      <c r="F9475">
        <v>32.693100000000001</v>
      </c>
      <c r="G9475">
        <v>-16.7761</v>
      </c>
      <c r="H9475">
        <v>0</v>
      </c>
      <c r="I9475">
        <v>58</v>
      </c>
      <c r="J9475" t="str">
        <f>HYPERLINK("https://climate.onebuilding.org/WMO_Region_6_Europe/PRT_Portugal/MD_Madeira/PRT_MD_Madeira.AP.085210_TMYx.zip")</f>
        <v>https://climate.onebuilding.org/WMO_Region_6_Europe/PRT_Portugal/MD_Madeira/PRT_MD_Madeira.AP.085210_TMYx.zip</v>
      </c>
    </row>
    <row r="9476" spans="1:10" x14ac:dyDescent="0.25">
      <c r="A9476" t="s">
        <v>6999</v>
      </c>
      <c r="B9476" t="s">
        <v>2102</v>
      </c>
      <c r="C9476" t="s">
        <v>7033</v>
      </c>
      <c r="D9476" s="1" t="s">
        <v>7034</v>
      </c>
      <c r="E9476" t="s">
        <v>7035</v>
      </c>
      <c r="F9476">
        <v>32.647500000000001</v>
      </c>
      <c r="G9476">
        <v>-16.892499999999998</v>
      </c>
      <c r="H9476">
        <v>0</v>
      </c>
      <c r="I9476">
        <v>56</v>
      </c>
      <c r="J9476" t="str">
        <f>HYPERLINK("https://climate.onebuilding.org/WMO_Region_6_Europe/PRT_Portugal/MD_Madeira/PRT_MD_Funchal.085220_TMYx.2004-2018.zip")</f>
        <v>https://climate.onebuilding.org/WMO_Region_6_Europe/PRT_Portugal/MD_Madeira/PRT_MD_Funchal.085220_TMYx.2004-2018.zip</v>
      </c>
    </row>
    <row r="9477" spans="1:10" x14ac:dyDescent="0.25">
      <c r="A9477" t="s">
        <v>6999</v>
      </c>
      <c r="B9477" t="s">
        <v>2102</v>
      </c>
      <c r="C9477" t="s">
        <v>7033</v>
      </c>
      <c r="D9477" s="1" t="s">
        <v>7034</v>
      </c>
      <c r="E9477" t="s">
        <v>14</v>
      </c>
      <c r="F9477">
        <v>32.647500000000001</v>
      </c>
      <c r="G9477">
        <v>-16.892499999999998</v>
      </c>
      <c r="H9477">
        <v>0</v>
      </c>
      <c r="I9477">
        <v>56</v>
      </c>
      <c r="J9477" t="str">
        <f>HYPERLINK("https://climate.onebuilding.org/WMO_Region_6_Europe/PRT_Portugal/MD_Madeira/PRT_MD_Funchal.085220_TMYx.2007-2021.zip")</f>
        <v>https://climate.onebuilding.org/WMO_Region_6_Europe/PRT_Portugal/MD_Madeira/PRT_MD_Funchal.085220_TMYx.2007-2021.zip</v>
      </c>
    </row>
    <row r="9478" spans="1:10" x14ac:dyDescent="0.25">
      <c r="A9478" t="s">
        <v>6999</v>
      </c>
      <c r="B9478" t="s">
        <v>2102</v>
      </c>
      <c r="C9478" t="s">
        <v>7033</v>
      </c>
      <c r="D9478" s="1" t="s">
        <v>7034</v>
      </c>
      <c r="E9478" t="s">
        <v>14</v>
      </c>
      <c r="F9478">
        <v>32.647500000000001</v>
      </c>
      <c r="G9478">
        <v>-16.892499999999998</v>
      </c>
      <c r="H9478">
        <v>0</v>
      </c>
      <c r="I9478">
        <v>56</v>
      </c>
      <c r="J9478" t="str">
        <f>HYPERLINK("https://climate.onebuilding.org/WMO_Region_6_Europe/PRT_Portugal/MD_Madeira/PRT_MD_Funchal.085220_TMYx.2009-2023.zip")</f>
        <v>https://climate.onebuilding.org/WMO_Region_6_Europe/PRT_Portugal/MD_Madeira/PRT_MD_Funchal.085220_TMYx.2009-2023.zip</v>
      </c>
    </row>
    <row r="9479" spans="1:10" x14ac:dyDescent="0.25">
      <c r="A9479" t="s">
        <v>6999</v>
      </c>
      <c r="B9479" t="s">
        <v>2102</v>
      </c>
      <c r="C9479" t="s">
        <v>7033</v>
      </c>
      <c r="D9479" s="1" t="s">
        <v>7034</v>
      </c>
      <c r="E9479" t="s">
        <v>14</v>
      </c>
      <c r="F9479">
        <v>32.647500000000001</v>
      </c>
      <c r="G9479">
        <v>-16.892499999999998</v>
      </c>
      <c r="H9479">
        <v>0</v>
      </c>
      <c r="I9479">
        <v>56</v>
      </c>
      <c r="J9479" t="str">
        <f>HYPERLINK("https://climate.onebuilding.org/WMO_Region_6_Europe/PRT_Portugal/MD_Madeira/PRT_MD_Funchal.085220_TMYx.zip")</f>
        <v>https://climate.onebuilding.org/WMO_Region_6_Europe/PRT_Portugal/MD_Madeira/PRT_MD_Funchal.085220_TMYx.zip</v>
      </c>
    </row>
    <row r="9480" spans="1:10" x14ac:dyDescent="0.25">
      <c r="A9480" t="s">
        <v>6999</v>
      </c>
      <c r="B9480" t="s">
        <v>2102</v>
      </c>
      <c r="C9480" t="s">
        <v>7036</v>
      </c>
      <c r="D9480" s="1" t="s">
        <v>7037</v>
      </c>
      <c r="E9480" t="s">
        <v>7038</v>
      </c>
      <c r="F9480">
        <v>33.071399999999997</v>
      </c>
      <c r="G9480">
        <v>-16.348600000000001</v>
      </c>
      <c r="H9480">
        <v>0</v>
      </c>
      <c r="I9480">
        <v>82.8</v>
      </c>
      <c r="J9480" t="str">
        <f>HYPERLINK("https://climate.onebuilding.org/WMO_Region_6_Europe/PRT_Portugal/MD_Madeira/PRT_MD_Porto.Santo.AP.085240_TMYx.2004-2018.zip")</f>
        <v>https://climate.onebuilding.org/WMO_Region_6_Europe/PRT_Portugal/MD_Madeira/PRT_MD_Porto.Santo.AP.085240_TMYx.2004-2018.zip</v>
      </c>
    </row>
    <row r="9481" spans="1:10" x14ac:dyDescent="0.25">
      <c r="A9481" t="s">
        <v>6999</v>
      </c>
      <c r="B9481" t="s">
        <v>2102</v>
      </c>
      <c r="C9481" t="s">
        <v>7036</v>
      </c>
      <c r="D9481" s="1" t="s">
        <v>7037</v>
      </c>
      <c r="E9481" t="s">
        <v>14</v>
      </c>
      <c r="F9481">
        <v>33.071399999999997</v>
      </c>
      <c r="G9481">
        <v>-16.348600000000001</v>
      </c>
      <c r="H9481">
        <v>0</v>
      </c>
      <c r="I9481">
        <v>82.8</v>
      </c>
      <c r="J9481" t="str">
        <f>HYPERLINK("https://climate.onebuilding.org/WMO_Region_6_Europe/PRT_Portugal/MD_Madeira/PRT_MD_Porto.Santo.AP.085240_TMYx.2007-2021.zip")</f>
        <v>https://climate.onebuilding.org/WMO_Region_6_Europe/PRT_Portugal/MD_Madeira/PRT_MD_Porto.Santo.AP.085240_TMYx.2007-2021.zip</v>
      </c>
    </row>
    <row r="9482" spans="1:10" x14ac:dyDescent="0.25">
      <c r="A9482" t="s">
        <v>6999</v>
      </c>
      <c r="B9482" t="s">
        <v>2102</v>
      </c>
      <c r="C9482" t="s">
        <v>7036</v>
      </c>
      <c r="D9482" s="1" t="s">
        <v>7037</v>
      </c>
      <c r="E9482" t="s">
        <v>14</v>
      </c>
      <c r="F9482">
        <v>33.071399999999997</v>
      </c>
      <c r="G9482">
        <v>-16.348600000000001</v>
      </c>
      <c r="H9482">
        <v>0</v>
      </c>
      <c r="I9482">
        <v>82.8</v>
      </c>
      <c r="J9482" t="str">
        <f>HYPERLINK("https://climate.onebuilding.org/WMO_Region_6_Europe/PRT_Portugal/MD_Madeira/PRT_MD_Porto.Santo.AP.085240_TMYx.2009-2023.zip")</f>
        <v>https://climate.onebuilding.org/WMO_Region_6_Europe/PRT_Portugal/MD_Madeira/PRT_MD_Porto.Santo.AP.085240_TMYx.2009-2023.zip</v>
      </c>
    </row>
    <row r="9483" spans="1:10" x14ac:dyDescent="0.25">
      <c r="A9483" t="s">
        <v>6999</v>
      </c>
      <c r="B9483" t="s">
        <v>2102</v>
      </c>
      <c r="C9483" t="s">
        <v>7036</v>
      </c>
      <c r="D9483" s="1" t="s">
        <v>7037</v>
      </c>
      <c r="E9483" t="s">
        <v>14</v>
      </c>
      <c r="F9483">
        <v>33.071399999999997</v>
      </c>
      <c r="G9483">
        <v>-16.348600000000001</v>
      </c>
      <c r="H9483">
        <v>0</v>
      </c>
      <c r="I9483">
        <v>82.8</v>
      </c>
      <c r="J9483" t="str">
        <f>HYPERLINK("https://climate.onebuilding.org/WMO_Region_6_Europe/PRT_Portugal/MD_Madeira/PRT_MD_Porto.Santo.AP.085240_TMYx.zip")</f>
        <v>https://climate.onebuilding.org/WMO_Region_6_Europe/PRT_Portugal/MD_Madeira/PRT_MD_Porto.Santo.AP.085240_TMYx.zip</v>
      </c>
    </row>
    <row r="9484" spans="1:10" x14ac:dyDescent="0.25">
      <c r="A9484" t="s">
        <v>6999</v>
      </c>
      <c r="B9484" t="s">
        <v>3040</v>
      </c>
      <c r="C9484" t="s">
        <v>7039</v>
      </c>
      <c r="D9484" s="1" t="s">
        <v>7040</v>
      </c>
      <c r="E9484" t="s">
        <v>7041</v>
      </c>
      <c r="F9484">
        <v>39.361400000000003</v>
      </c>
      <c r="G9484">
        <v>-9.4069000000000003</v>
      </c>
      <c r="H9484">
        <v>0</v>
      </c>
      <c r="I9484">
        <v>34</v>
      </c>
      <c r="J9484" t="str">
        <f>HYPERLINK("https://climate.onebuilding.org/WMO_Region_6_Europe/PRT_Portugal/CN_Centro/PRT_CN_Cabo.Carvoeiro.085310_TMYx.2004-2018.zip")</f>
        <v>https://climate.onebuilding.org/WMO_Region_6_Europe/PRT_Portugal/CN_Centro/PRT_CN_Cabo.Carvoeiro.085310_TMYx.2004-2018.zip</v>
      </c>
    </row>
    <row r="9485" spans="1:10" x14ac:dyDescent="0.25">
      <c r="A9485" t="s">
        <v>6999</v>
      </c>
      <c r="B9485" t="s">
        <v>3040</v>
      </c>
      <c r="C9485" t="s">
        <v>7039</v>
      </c>
      <c r="D9485" s="1" t="s">
        <v>7040</v>
      </c>
      <c r="E9485" t="s">
        <v>14</v>
      </c>
      <c r="F9485">
        <v>39.361400000000003</v>
      </c>
      <c r="G9485">
        <v>-9.4069000000000003</v>
      </c>
      <c r="H9485">
        <v>0</v>
      </c>
      <c r="I9485">
        <v>34</v>
      </c>
      <c r="J9485" t="str">
        <f>HYPERLINK("https://climate.onebuilding.org/WMO_Region_6_Europe/PRT_Portugal/CN_Centro/PRT_CN_Cabo.Carvoeiro.085310_TMYx.2007-2021.zip")</f>
        <v>https://climate.onebuilding.org/WMO_Region_6_Europe/PRT_Portugal/CN_Centro/PRT_CN_Cabo.Carvoeiro.085310_TMYx.2007-2021.zip</v>
      </c>
    </row>
    <row r="9486" spans="1:10" x14ac:dyDescent="0.25">
      <c r="A9486" t="s">
        <v>6999</v>
      </c>
      <c r="B9486" t="s">
        <v>3040</v>
      </c>
      <c r="C9486" t="s">
        <v>7039</v>
      </c>
      <c r="D9486" s="1" t="s">
        <v>7040</v>
      </c>
      <c r="E9486" t="s">
        <v>14</v>
      </c>
      <c r="F9486">
        <v>39.361400000000003</v>
      </c>
      <c r="G9486">
        <v>-9.4069000000000003</v>
      </c>
      <c r="H9486">
        <v>0</v>
      </c>
      <c r="I9486">
        <v>34</v>
      </c>
      <c r="J9486" t="str">
        <f>HYPERLINK("https://climate.onebuilding.org/WMO_Region_6_Europe/PRT_Portugal/CN_Centro/PRT_CN_Cabo.Carvoeiro.085310_TMYx.2009-2023.zip")</f>
        <v>https://climate.onebuilding.org/WMO_Region_6_Europe/PRT_Portugal/CN_Centro/PRT_CN_Cabo.Carvoeiro.085310_TMYx.2009-2023.zip</v>
      </c>
    </row>
    <row r="9487" spans="1:10" x14ac:dyDescent="0.25">
      <c r="A9487" t="s">
        <v>6999</v>
      </c>
      <c r="B9487" t="s">
        <v>3040</v>
      </c>
      <c r="C9487" t="s">
        <v>7039</v>
      </c>
      <c r="D9487" s="1" t="s">
        <v>7040</v>
      </c>
      <c r="E9487" t="s">
        <v>14</v>
      </c>
      <c r="F9487">
        <v>39.361400000000003</v>
      </c>
      <c r="G9487">
        <v>-9.4069000000000003</v>
      </c>
      <c r="H9487">
        <v>0</v>
      </c>
      <c r="I9487">
        <v>34</v>
      </c>
      <c r="J9487" t="str">
        <f>HYPERLINK("https://climate.onebuilding.org/WMO_Region_6_Europe/PRT_Portugal/CN_Centro/PRT_CN_Cabo.Carvoeiro.085310_TMYx.zip")</f>
        <v>https://climate.onebuilding.org/WMO_Region_6_Europe/PRT_Portugal/CN_Centro/PRT_CN_Cabo.Carvoeiro.085310_TMYx.zip</v>
      </c>
    </row>
    <row r="9488" spans="1:10" x14ac:dyDescent="0.25">
      <c r="A9488" t="s">
        <v>6999</v>
      </c>
      <c r="B9488" t="s">
        <v>5472</v>
      </c>
      <c r="C9488" t="s">
        <v>7042</v>
      </c>
      <c r="D9488" s="1" t="s">
        <v>7043</v>
      </c>
      <c r="E9488" t="s">
        <v>7044</v>
      </c>
      <c r="F9488">
        <v>38.834200000000003</v>
      </c>
      <c r="G9488">
        <v>-9.3385999999999996</v>
      </c>
      <c r="H9488">
        <v>0</v>
      </c>
      <c r="I9488">
        <v>130</v>
      </c>
      <c r="J9488" t="str">
        <f>HYPERLINK("https://climate.onebuilding.org/WMO_Region_6_Europe/PRT_Portugal/LB_Lisboa/PRT_LB_Sintra.AB.085320_TMYx.2004-2018.zip")</f>
        <v>https://climate.onebuilding.org/WMO_Region_6_Europe/PRT_Portugal/LB_Lisboa/PRT_LB_Sintra.AB.085320_TMYx.2004-2018.zip</v>
      </c>
    </row>
    <row r="9489" spans="1:10" x14ac:dyDescent="0.25">
      <c r="A9489" t="s">
        <v>6999</v>
      </c>
      <c r="B9489" t="s">
        <v>5472</v>
      </c>
      <c r="C9489" t="s">
        <v>7042</v>
      </c>
      <c r="D9489" s="1" t="s">
        <v>7043</v>
      </c>
      <c r="E9489" t="s">
        <v>14</v>
      </c>
      <c r="F9489">
        <v>38.834200000000003</v>
      </c>
      <c r="G9489">
        <v>-9.3385999999999996</v>
      </c>
      <c r="H9489">
        <v>0</v>
      </c>
      <c r="I9489">
        <v>130</v>
      </c>
      <c r="J9489" t="str">
        <f>HYPERLINK("https://climate.onebuilding.org/WMO_Region_6_Europe/PRT_Portugal/LB_Lisboa/PRT_LB_Sintra.AB.085320_TMYx.2007-2021.zip")</f>
        <v>https://climate.onebuilding.org/WMO_Region_6_Europe/PRT_Portugal/LB_Lisboa/PRT_LB_Sintra.AB.085320_TMYx.2007-2021.zip</v>
      </c>
    </row>
    <row r="9490" spans="1:10" x14ac:dyDescent="0.25">
      <c r="A9490" t="s">
        <v>6999</v>
      </c>
      <c r="B9490" t="s">
        <v>5472</v>
      </c>
      <c r="C9490" t="s">
        <v>7042</v>
      </c>
      <c r="D9490" s="1" t="s">
        <v>7043</v>
      </c>
      <c r="E9490" t="s">
        <v>14</v>
      </c>
      <c r="F9490">
        <v>38.834200000000003</v>
      </c>
      <c r="G9490">
        <v>-9.3385999999999996</v>
      </c>
      <c r="H9490">
        <v>0</v>
      </c>
      <c r="I9490">
        <v>130</v>
      </c>
      <c r="J9490" t="str">
        <f>HYPERLINK("https://climate.onebuilding.org/WMO_Region_6_Europe/PRT_Portugal/LB_Lisboa/PRT_LB_Sintra.AB.085320_TMYx.2009-2023.zip")</f>
        <v>https://climate.onebuilding.org/WMO_Region_6_Europe/PRT_Portugal/LB_Lisboa/PRT_LB_Sintra.AB.085320_TMYx.2009-2023.zip</v>
      </c>
    </row>
    <row r="9491" spans="1:10" x14ac:dyDescent="0.25">
      <c r="A9491" t="s">
        <v>6999</v>
      </c>
      <c r="B9491" t="s">
        <v>5472</v>
      </c>
      <c r="C9491" t="s">
        <v>7042</v>
      </c>
      <c r="D9491" s="1" t="s">
        <v>7043</v>
      </c>
      <c r="E9491" t="s">
        <v>14</v>
      </c>
      <c r="F9491">
        <v>38.834200000000003</v>
      </c>
      <c r="G9491">
        <v>-9.3385999999999996</v>
      </c>
      <c r="H9491">
        <v>0</v>
      </c>
      <c r="I9491">
        <v>130</v>
      </c>
      <c r="J9491" t="str">
        <f>HYPERLINK("https://climate.onebuilding.org/WMO_Region_6_Europe/PRT_Portugal/LB_Lisboa/PRT_LB_Sintra.AB.085320_TMYx.zip")</f>
        <v>https://climate.onebuilding.org/WMO_Region_6_Europe/PRT_Portugal/LB_Lisboa/PRT_LB_Sintra.AB.085320_TMYx.zip</v>
      </c>
    </row>
    <row r="9492" spans="1:10" x14ac:dyDescent="0.25">
      <c r="A9492" t="s">
        <v>6999</v>
      </c>
      <c r="B9492" t="s">
        <v>814</v>
      </c>
      <c r="C9492" t="s">
        <v>7045</v>
      </c>
      <c r="D9492" s="1" t="s">
        <v>7046</v>
      </c>
      <c r="E9492" t="s">
        <v>7047</v>
      </c>
      <c r="F9492">
        <v>37.012799999999999</v>
      </c>
      <c r="G9492">
        <v>-8.9491999999999994</v>
      </c>
      <c r="H9492">
        <v>0</v>
      </c>
      <c r="I9492">
        <v>26</v>
      </c>
      <c r="J9492" t="str">
        <f>HYPERLINK("https://climate.onebuilding.org/WMO_Region_6_Europe/PRT_Portugal/AG_Algarve/PRT_AG_Sagres.085330_TMYx.2004-2018.zip")</f>
        <v>https://climate.onebuilding.org/WMO_Region_6_Europe/PRT_Portugal/AG_Algarve/PRT_AG_Sagres.085330_TMYx.2004-2018.zip</v>
      </c>
    </row>
    <row r="9493" spans="1:10" x14ac:dyDescent="0.25">
      <c r="A9493" t="s">
        <v>6999</v>
      </c>
      <c r="B9493" t="s">
        <v>814</v>
      </c>
      <c r="C9493" t="s">
        <v>7045</v>
      </c>
      <c r="D9493" s="1" t="s">
        <v>7046</v>
      </c>
      <c r="E9493" t="s">
        <v>14</v>
      </c>
      <c r="F9493">
        <v>37.012799999999999</v>
      </c>
      <c r="G9493">
        <v>-8.9491999999999994</v>
      </c>
      <c r="H9493">
        <v>0</v>
      </c>
      <c r="I9493">
        <v>26</v>
      </c>
      <c r="J9493" t="str">
        <f>HYPERLINK("https://climate.onebuilding.org/WMO_Region_6_Europe/PRT_Portugal/AG_Algarve/PRT_AG_Sagres.085330_TMYx.2007-2021.zip")</f>
        <v>https://climate.onebuilding.org/WMO_Region_6_Europe/PRT_Portugal/AG_Algarve/PRT_AG_Sagres.085330_TMYx.2007-2021.zip</v>
      </c>
    </row>
    <row r="9494" spans="1:10" x14ac:dyDescent="0.25">
      <c r="A9494" t="s">
        <v>6999</v>
      </c>
      <c r="B9494" t="s">
        <v>814</v>
      </c>
      <c r="C9494" t="s">
        <v>7045</v>
      </c>
      <c r="D9494" s="1" t="s">
        <v>7046</v>
      </c>
      <c r="E9494" t="s">
        <v>14</v>
      </c>
      <c r="F9494">
        <v>37.012799999999999</v>
      </c>
      <c r="G9494">
        <v>-8.9491999999999994</v>
      </c>
      <c r="H9494">
        <v>0</v>
      </c>
      <c r="I9494">
        <v>26</v>
      </c>
      <c r="J9494" t="str">
        <f>HYPERLINK("https://climate.onebuilding.org/WMO_Region_6_Europe/PRT_Portugal/AG_Algarve/PRT_AG_Sagres.085330_TMYx.2009-2023.zip")</f>
        <v>https://climate.onebuilding.org/WMO_Region_6_Europe/PRT_Portugal/AG_Algarve/PRT_AG_Sagres.085330_TMYx.2009-2023.zip</v>
      </c>
    </row>
    <row r="9495" spans="1:10" x14ac:dyDescent="0.25">
      <c r="A9495" t="s">
        <v>6999</v>
      </c>
      <c r="B9495" t="s">
        <v>814</v>
      </c>
      <c r="C9495" t="s">
        <v>7045</v>
      </c>
      <c r="D9495" s="1" t="s">
        <v>7046</v>
      </c>
      <c r="E9495" t="s">
        <v>14</v>
      </c>
      <c r="F9495">
        <v>37.012799999999999</v>
      </c>
      <c r="G9495">
        <v>-8.9491999999999994</v>
      </c>
      <c r="H9495">
        <v>0</v>
      </c>
      <c r="I9495">
        <v>26</v>
      </c>
      <c r="J9495" t="str">
        <f>HYPERLINK("https://climate.onebuilding.org/WMO_Region_6_Europe/PRT_Portugal/AG_Algarve/PRT_AG_Sagres.085330_TMYx.zip")</f>
        <v>https://climate.onebuilding.org/WMO_Region_6_Europe/PRT_Portugal/AG_Algarve/PRT_AG_Sagres.085330_TMYx.zip</v>
      </c>
    </row>
    <row r="9496" spans="1:10" x14ac:dyDescent="0.25">
      <c r="A9496" t="s">
        <v>6999</v>
      </c>
      <c r="B9496" t="s">
        <v>5472</v>
      </c>
      <c r="C9496" t="s">
        <v>7048</v>
      </c>
      <c r="D9496" s="1" t="s">
        <v>7049</v>
      </c>
      <c r="E9496" t="s">
        <v>7050</v>
      </c>
      <c r="F9496">
        <v>38.704000000000001</v>
      </c>
      <c r="G9496">
        <v>-9.0359999999999996</v>
      </c>
      <c r="H9496">
        <v>0</v>
      </c>
      <c r="I9496">
        <v>14</v>
      </c>
      <c r="J9496" t="str">
        <f>HYPERLINK("https://climate.onebuilding.org/WMO_Region_6_Europe/PRT_Portugal/LB_Lisboa/PRT_LB_Montijo.AB.085340_TMYx.2004-2018.zip")</f>
        <v>https://climate.onebuilding.org/WMO_Region_6_Europe/PRT_Portugal/LB_Lisboa/PRT_LB_Montijo.AB.085340_TMYx.2004-2018.zip</v>
      </c>
    </row>
    <row r="9497" spans="1:10" x14ac:dyDescent="0.25">
      <c r="A9497" t="s">
        <v>6999</v>
      </c>
      <c r="B9497" t="s">
        <v>5472</v>
      </c>
      <c r="C9497" t="s">
        <v>7048</v>
      </c>
      <c r="D9497" s="1" t="s">
        <v>7049</v>
      </c>
      <c r="E9497" t="s">
        <v>14</v>
      </c>
      <c r="F9497">
        <v>38.713900000000002</v>
      </c>
      <c r="G9497">
        <v>-9.0244999999999997</v>
      </c>
      <c r="H9497">
        <v>0</v>
      </c>
      <c r="I9497">
        <v>14</v>
      </c>
      <c r="J9497" t="str">
        <f>HYPERLINK("https://climate.onebuilding.org/WMO_Region_6_Europe/PRT_Portugal/LB_Lisboa/PRT_LB_Montijo.AB.085340_TMYx.2007-2021.zip")</f>
        <v>https://climate.onebuilding.org/WMO_Region_6_Europe/PRT_Portugal/LB_Lisboa/PRT_LB_Montijo.AB.085340_TMYx.2007-2021.zip</v>
      </c>
    </row>
    <row r="9498" spans="1:10" x14ac:dyDescent="0.25">
      <c r="A9498" t="s">
        <v>6999</v>
      </c>
      <c r="B9498" t="s">
        <v>5472</v>
      </c>
      <c r="C9498" t="s">
        <v>7048</v>
      </c>
      <c r="D9498" s="1" t="s">
        <v>7049</v>
      </c>
      <c r="E9498" t="s">
        <v>14</v>
      </c>
      <c r="F9498">
        <v>38.713900000000002</v>
      </c>
      <c r="G9498">
        <v>-9.0244999999999997</v>
      </c>
      <c r="H9498">
        <v>0</v>
      </c>
      <c r="I9498">
        <v>14</v>
      </c>
      <c r="J9498" t="str">
        <f>HYPERLINK("https://climate.onebuilding.org/WMO_Region_6_Europe/PRT_Portugal/LB_Lisboa/PRT_LB_Montijo.AB.085340_TMYx.2009-2023.zip")</f>
        <v>https://climate.onebuilding.org/WMO_Region_6_Europe/PRT_Portugal/LB_Lisboa/PRT_LB_Montijo.AB.085340_TMYx.2009-2023.zip</v>
      </c>
    </row>
    <row r="9499" spans="1:10" x14ac:dyDescent="0.25">
      <c r="A9499" t="s">
        <v>6999</v>
      </c>
      <c r="B9499" t="s">
        <v>5472</v>
      </c>
      <c r="C9499" t="s">
        <v>7048</v>
      </c>
      <c r="D9499" s="1" t="s">
        <v>7049</v>
      </c>
      <c r="E9499" t="s">
        <v>14</v>
      </c>
      <c r="F9499">
        <v>38.713900000000002</v>
      </c>
      <c r="G9499">
        <v>-9.0244999999999997</v>
      </c>
      <c r="H9499">
        <v>0</v>
      </c>
      <c r="I9499">
        <v>14</v>
      </c>
      <c r="J9499" t="str">
        <f>HYPERLINK("https://climate.onebuilding.org/WMO_Region_6_Europe/PRT_Portugal/LB_Lisboa/PRT_LB_Montijo.AB.085340_TMYx.zip")</f>
        <v>https://climate.onebuilding.org/WMO_Region_6_Europe/PRT_Portugal/LB_Lisboa/PRT_LB_Montijo.AB.085340_TMYx.zip</v>
      </c>
    </row>
    <row r="9500" spans="1:10" x14ac:dyDescent="0.25">
      <c r="A9500" t="s">
        <v>6999</v>
      </c>
      <c r="B9500" t="s">
        <v>5472</v>
      </c>
      <c r="C9500" t="s">
        <v>7051</v>
      </c>
      <c r="D9500" s="1" t="s">
        <v>7052</v>
      </c>
      <c r="E9500" t="s">
        <v>7053</v>
      </c>
      <c r="F9500">
        <v>38.719200000000001</v>
      </c>
      <c r="G9500">
        <v>-9.1496999999999993</v>
      </c>
      <c r="H9500">
        <v>0</v>
      </c>
      <c r="I9500">
        <v>77.8</v>
      </c>
      <c r="J9500" t="str">
        <f>HYPERLINK("https://climate.onebuilding.org/WMO_Region_6_Europe/PRT_Portugal/LB_Lisboa/PRT_LB_Lisboa-Geof.085350_TMYx.2004-2018.zip")</f>
        <v>https://climate.onebuilding.org/WMO_Region_6_Europe/PRT_Portugal/LB_Lisboa/PRT_LB_Lisboa-Geof.085350_TMYx.2004-2018.zip</v>
      </c>
    </row>
    <row r="9501" spans="1:10" x14ac:dyDescent="0.25">
      <c r="A9501" t="s">
        <v>6999</v>
      </c>
      <c r="B9501" t="s">
        <v>5472</v>
      </c>
      <c r="C9501" t="s">
        <v>7051</v>
      </c>
      <c r="D9501" s="1" t="s">
        <v>7052</v>
      </c>
      <c r="E9501" t="s">
        <v>14</v>
      </c>
      <c r="F9501">
        <v>38.719200000000001</v>
      </c>
      <c r="G9501">
        <v>-9.1496999999999993</v>
      </c>
      <c r="H9501">
        <v>0</v>
      </c>
      <c r="I9501">
        <v>77.8</v>
      </c>
      <c r="J9501" t="str">
        <f>HYPERLINK("https://climate.onebuilding.org/WMO_Region_6_Europe/PRT_Portugal/LB_Lisboa/PRT_LB_Lisboa-Geof.085350_TMYx.2007-2021.zip")</f>
        <v>https://climate.onebuilding.org/WMO_Region_6_Europe/PRT_Portugal/LB_Lisboa/PRT_LB_Lisboa-Geof.085350_TMYx.2007-2021.zip</v>
      </c>
    </row>
    <row r="9502" spans="1:10" x14ac:dyDescent="0.25">
      <c r="A9502" t="s">
        <v>6999</v>
      </c>
      <c r="B9502" t="s">
        <v>5472</v>
      </c>
      <c r="C9502" t="s">
        <v>7051</v>
      </c>
      <c r="D9502" s="1" t="s">
        <v>7052</v>
      </c>
      <c r="E9502" t="s">
        <v>14</v>
      </c>
      <c r="F9502">
        <v>38.719200000000001</v>
      </c>
      <c r="G9502">
        <v>-9.1496999999999993</v>
      </c>
      <c r="H9502">
        <v>0</v>
      </c>
      <c r="I9502">
        <v>77.8</v>
      </c>
      <c r="J9502" t="str">
        <f>HYPERLINK("https://climate.onebuilding.org/WMO_Region_6_Europe/PRT_Portugal/LB_Lisboa/PRT_LB_Lisboa-Geof.085350_TMYx.2009-2023.zip")</f>
        <v>https://climate.onebuilding.org/WMO_Region_6_Europe/PRT_Portugal/LB_Lisboa/PRT_LB_Lisboa-Geof.085350_TMYx.2009-2023.zip</v>
      </c>
    </row>
    <row r="9503" spans="1:10" x14ac:dyDescent="0.25">
      <c r="A9503" t="s">
        <v>6999</v>
      </c>
      <c r="B9503" t="s">
        <v>5472</v>
      </c>
      <c r="C9503" t="s">
        <v>7051</v>
      </c>
      <c r="D9503" s="1" t="s">
        <v>7052</v>
      </c>
      <c r="E9503" t="s">
        <v>14</v>
      </c>
      <c r="F9503">
        <v>38.719200000000001</v>
      </c>
      <c r="G9503">
        <v>-9.1496999999999993</v>
      </c>
      <c r="H9503">
        <v>0</v>
      </c>
      <c r="I9503">
        <v>77.8</v>
      </c>
      <c r="J9503" t="str">
        <f>HYPERLINK("https://climate.onebuilding.org/WMO_Region_6_Europe/PRT_Portugal/LB_Lisboa/PRT_LB_Lisboa-Geof.085350_TMYx.zip")</f>
        <v>https://climate.onebuilding.org/WMO_Region_6_Europe/PRT_Portugal/LB_Lisboa/PRT_LB_Lisboa-Geof.085350_TMYx.zip</v>
      </c>
    </row>
    <row r="9504" spans="1:10" x14ac:dyDescent="0.25">
      <c r="A9504" t="s">
        <v>6999</v>
      </c>
      <c r="B9504" t="s">
        <v>5472</v>
      </c>
      <c r="C9504" t="s">
        <v>7054</v>
      </c>
      <c r="D9504" s="1" t="s">
        <v>7055</v>
      </c>
      <c r="E9504" t="s">
        <v>7056</v>
      </c>
      <c r="F9504">
        <v>38.7742</v>
      </c>
      <c r="G9504">
        <v>-9.1341999999999999</v>
      </c>
      <c r="H9504">
        <v>0</v>
      </c>
      <c r="I9504">
        <v>123</v>
      </c>
      <c r="J9504" t="str">
        <f>HYPERLINK("https://climate.onebuilding.org/WMO_Region_6_Europe/PRT_Portugal/LB_Lisboa/PRT_LB_Lisboa.Portela.AP.085360_TMYx.2004-2018.zip")</f>
        <v>https://climate.onebuilding.org/WMO_Region_6_Europe/PRT_Portugal/LB_Lisboa/PRT_LB_Lisboa.Portela.AP.085360_TMYx.2004-2018.zip</v>
      </c>
    </row>
    <row r="9505" spans="1:10" x14ac:dyDescent="0.25">
      <c r="A9505" t="s">
        <v>6999</v>
      </c>
      <c r="B9505" t="s">
        <v>5472</v>
      </c>
      <c r="C9505" t="s">
        <v>7054</v>
      </c>
      <c r="D9505" s="1" t="s">
        <v>7055</v>
      </c>
      <c r="E9505" t="s">
        <v>14</v>
      </c>
      <c r="F9505">
        <v>38.780999999999999</v>
      </c>
      <c r="G9505">
        <v>-9.1359999999999992</v>
      </c>
      <c r="H9505">
        <v>0</v>
      </c>
      <c r="I9505">
        <v>123</v>
      </c>
      <c r="J9505" t="str">
        <f>HYPERLINK("https://climate.onebuilding.org/WMO_Region_6_Europe/PRT_Portugal/LB_Lisboa/PRT_LB_Lisboa.Portela.AP.085360_TMYx.2007-2021.zip")</f>
        <v>https://climate.onebuilding.org/WMO_Region_6_Europe/PRT_Portugal/LB_Lisboa/PRT_LB_Lisboa.Portela.AP.085360_TMYx.2007-2021.zip</v>
      </c>
    </row>
    <row r="9506" spans="1:10" x14ac:dyDescent="0.25">
      <c r="A9506" t="s">
        <v>6999</v>
      </c>
      <c r="B9506" t="s">
        <v>5472</v>
      </c>
      <c r="C9506" t="s">
        <v>7054</v>
      </c>
      <c r="D9506" s="1" t="s">
        <v>7055</v>
      </c>
      <c r="E9506" t="s">
        <v>14</v>
      </c>
      <c r="F9506">
        <v>38.780999999999999</v>
      </c>
      <c r="G9506">
        <v>-9.1359999999999992</v>
      </c>
      <c r="H9506">
        <v>0</v>
      </c>
      <c r="I9506">
        <v>123</v>
      </c>
      <c r="J9506" t="str">
        <f>HYPERLINK("https://climate.onebuilding.org/WMO_Region_6_Europe/PRT_Portugal/LB_Lisboa/PRT_LB_Lisboa.Portela.AP.085360_TMYx.2009-2023.zip")</f>
        <v>https://climate.onebuilding.org/WMO_Region_6_Europe/PRT_Portugal/LB_Lisboa/PRT_LB_Lisboa.Portela.AP.085360_TMYx.2009-2023.zip</v>
      </c>
    </row>
    <row r="9507" spans="1:10" x14ac:dyDescent="0.25">
      <c r="A9507" t="s">
        <v>6999</v>
      </c>
      <c r="B9507" t="s">
        <v>5472</v>
      </c>
      <c r="C9507" t="s">
        <v>7054</v>
      </c>
      <c r="D9507" s="1" t="s">
        <v>7055</v>
      </c>
      <c r="E9507" t="s">
        <v>14</v>
      </c>
      <c r="F9507">
        <v>38.780999999999999</v>
      </c>
      <c r="G9507">
        <v>-9.1359999999999992</v>
      </c>
      <c r="H9507">
        <v>0</v>
      </c>
      <c r="I9507">
        <v>123</v>
      </c>
      <c r="J9507" t="str">
        <f>HYPERLINK("https://climate.onebuilding.org/WMO_Region_6_Europe/PRT_Portugal/LB_Lisboa/PRT_LB_Lisboa.Portela.AP.085360_TMYx.zip")</f>
        <v>https://climate.onebuilding.org/WMO_Region_6_Europe/PRT_Portugal/LB_Lisboa/PRT_LB_Lisboa.Portela.AP.085360_TMYx.zip</v>
      </c>
    </row>
    <row r="9508" spans="1:10" x14ac:dyDescent="0.25">
      <c r="A9508" t="s">
        <v>6999</v>
      </c>
      <c r="B9508" t="s">
        <v>5472</v>
      </c>
      <c r="C9508" t="s">
        <v>7057</v>
      </c>
      <c r="D9508" s="1" t="s">
        <v>7058</v>
      </c>
      <c r="E9508" t="s">
        <v>14</v>
      </c>
      <c r="F9508">
        <v>38.883000000000003</v>
      </c>
      <c r="G9508">
        <v>-9.0299999999999994</v>
      </c>
      <c r="H9508">
        <v>0</v>
      </c>
      <c r="I9508">
        <v>3.4</v>
      </c>
      <c r="J9508" t="str">
        <f>HYPERLINK("https://climate.onebuilding.org/WMO_Region_6_Europe/PRT_Portugal/LB_Lisboa/PRT_LB_Alverca.AP.085370_TMYx.2007-2021.zip")</f>
        <v>https://climate.onebuilding.org/WMO_Region_6_Europe/PRT_Portugal/LB_Lisboa/PRT_LB_Alverca.AP.085370_TMYx.2007-2021.zip</v>
      </c>
    </row>
    <row r="9509" spans="1:10" x14ac:dyDescent="0.25">
      <c r="A9509" t="s">
        <v>6999</v>
      </c>
      <c r="B9509" t="s">
        <v>5472</v>
      </c>
      <c r="C9509" t="s">
        <v>7057</v>
      </c>
      <c r="D9509" s="1" t="s">
        <v>7058</v>
      </c>
      <c r="E9509" t="s">
        <v>14</v>
      </c>
      <c r="F9509">
        <v>38.883000000000003</v>
      </c>
      <c r="G9509">
        <v>-9.0299999999999994</v>
      </c>
      <c r="H9509">
        <v>0</v>
      </c>
      <c r="I9509">
        <v>3.4</v>
      </c>
      <c r="J9509" t="str">
        <f>HYPERLINK("https://climate.onebuilding.org/WMO_Region_6_Europe/PRT_Portugal/LB_Lisboa/PRT_LB_Alverca.AP.085370_TMYx.2009-2023.zip")</f>
        <v>https://climate.onebuilding.org/WMO_Region_6_Europe/PRT_Portugal/LB_Lisboa/PRT_LB_Alverca.AP.085370_TMYx.2009-2023.zip</v>
      </c>
    </row>
    <row r="9510" spans="1:10" x14ac:dyDescent="0.25">
      <c r="A9510" t="s">
        <v>6999</v>
      </c>
      <c r="B9510" t="s">
        <v>5472</v>
      </c>
      <c r="C9510" t="s">
        <v>7057</v>
      </c>
      <c r="D9510" s="1" t="s">
        <v>7058</v>
      </c>
      <c r="E9510" t="s">
        <v>14</v>
      </c>
      <c r="F9510">
        <v>38.883000000000003</v>
      </c>
      <c r="G9510">
        <v>-9.0299999999999994</v>
      </c>
      <c r="H9510">
        <v>0</v>
      </c>
      <c r="I9510">
        <v>3.4</v>
      </c>
      <c r="J9510" t="str">
        <f>HYPERLINK("https://climate.onebuilding.org/WMO_Region_6_Europe/PRT_Portugal/LB_Lisboa/PRT_LB_Alverca.AP.085370_TMYx.zip")</f>
        <v>https://climate.onebuilding.org/WMO_Region_6_Europe/PRT_Portugal/LB_Lisboa/PRT_LB_Alverca.AP.085370_TMYx.zip</v>
      </c>
    </row>
    <row r="9511" spans="1:10" x14ac:dyDescent="0.25">
      <c r="A9511" t="s">
        <v>6999</v>
      </c>
      <c r="B9511" t="s">
        <v>3040</v>
      </c>
      <c r="C9511" t="s">
        <v>7059</v>
      </c>
      <c r="D9511" s="1" t="s">
        <v>7060</v>
      </c>
      <c r="E9511" t="s">
        <v>7061</v>
      </c>
      <c r="F9511">
        <v>39.828099999999999</v>
      </c>
      <c r="G9511">
        <v>-8.8827999999999996</v>
      </c>
      <c r="H9511">
        <v>0</v>
      </c>
      <c r="I9511">
        <v>54</v>
      </c>
      <c r="J9511" t="str">
        <f>HYPERLINK("https://climate.onebuilding.org/WMO_Region_6_Europe/PRT_Portugal/CN_Centro/PRT_CN_Monte.Real.AB.085400_TMYx.2004-2018.zip")</f>
        <v>https://climate.onebuilding.org/WMO_Region_6_Europe/PRT_Portugal/CN_Centro/PRT_CN_Monte.Real.AB.085400_TMYx.2004-2018.zip</v>
      </c>
    </row>
    <row r="9512" spans="1:10" x14ac:dyDescent="0.25">
      <c r="A9512" t="s">
        <v>6999</v>
      </c>
      <c r="B9512" t="s">
        <v>3040</v>
      </c>
      <c r="C9512" t="s">
        <v>7059</v>
      </c>
      <c r="D9512" s="1" t="s">
        <v>7060</v>
      </c>
      <c r="E9512" t="s">
        <v>14</v>
      </c>
      <c r="F9512">
        <v>39.828099999999999</v>
      </c>
      <c r="G9512">
        <v>-8.8827999999999996</v>
      </c>
      <c r="H9512">
        <v>0</v>
      </c>
      <c r="I9512">
        <v>54</v>
      </c>
      <c r="J9512" t="str">
        <f>HYPERLINK("https://climate.onebuilding.org/WMO_Region_6_Europe/PRT_Portugal/CN_Centro/PRT_CN_Monte.Real.AB.085400_TMYx.2007-2021.zip")</f>
        <v>https://climate.onebuilding.org/WMO_Region_6_Europe/PRT_Portugal/CN_Centro/PRT_CN_Monte.Real.AB.085400_TMYx.2007-2021.zip</v>
      </c>
    </row>
    <row r="9513" spans="1:10" x14ac:dyDescent="0.25">
      <c r="A9513" t="s">
        <v>6999</v>
      </c>
      <c r="B9513" t="s">
        <v>3040</v>
      </c>
      <c r="C9513" t="s">
        <v>7059</v>
      </c>
      <c r="D9513" s="1" t="s">
        <v>7060</v>
      </c>
      <c r="E9513" t="s">
        <v>14</v>
      </c>
      <c r="F9513">
        <v>39.828099999999999</v>
      </c>
      <c r="G9513">
        <v>-8.8827999999999996</v>
      </c>
      <c r="H9513">
        <v>0</v>
      </c>
      <c r="I9513">
        <v>54</v>
      </c>
      <c r="J9513" t="str">
        <f>HYPERLINK("https://climate.onebuilding.org/WMO_Region_6_Europe/PRT_Portugal/CN_Centro/PRT_CN_Monte.Real.AB.085400_TMYx.2009-2023.zip")</f>
        <v>https://climate.onebuilding.org/WMO_Region_6_Europe/PRT_Portugal/CN_Centro/PRT_CN_Monte.Real.AB.085400_TMYx.2009-2023.zip</v>
      </c>
    </row>
    <row r="9514" spans="1:10" x14ac:dyDescent="0.25">
      <c r="A9514" t="s">
        <v>6999</v>
      </c>
      <c r="B9514" t="s">
        <v>3040</v>
      </c>
      <c r="C9514" t="s">
        <v>7059</v>
      </c>
      <c r="D9514" s="1" t="s">
        <v>7060</v>
      </c>
      <c r="E9514" t="s">
        <v>14</v>
      </c>
      <c r="F9514">
        <v>39.828099999999999</v>
      </c>
      <c r="G9514">
        <v>-8.8827999999999996</v>
      </c>
      <c r="H9514">
        <v>0</v>
      </c>
      <c r="I9514">
        <v>54</v>
      </c>
      <c r="J9514" t="str">
        <f>HYPERLINK("https://climate.onebuilding.org/WMO_Region_6_Europe/PRT_Portugal/CN_Centro/PRT_CN_Monte.Real.AB.085400_TMYx.zip")</f>
        <v>https://climate.onebuilding.org/WMO_Region_6_Europe/PRT_Portugal/CN_Centro/PRT_CN_Monte.Real.AB.085400_TMYx.zip</v>
      </c>
    </row>
    <row r="9515" spans="1:10" x14ac:dyDescent="0.25">
      <c r="A9515" t="s">
        <v>6999</v>
      </c>
      <c r="B9515" t="s">
        <v>5472</v>
      </c>
      <c r="C9515" t="s">
        <v>7062</v>
      </c>
      <c r="D9515" s="1" t="s">
        <v>7063</v>
      </c>
      <c r="E9515" t="s">
        <v>7064</v>
      </c>
      <c r="F9515">
        <v>37.9544</v>
      </c>
      <c r="G9515">
        <v>-8.8383000000000003</v>
      </c>
      <c r="H9515">
        <v>0</v>
      </c>
      <c r="I9515">
        <v>103</v>
      </c>
      <c r="J9515" t="str">
        <f>HYPERLINK("https://climate.onebuilding.org/WMO_Region_6_Europe/PRT_Portugal/LB_Lisboa/PRT_LB_Sines-Montes.Chaos.085410_TMYx.2004-2018.zip")</f>
        <v>https://climate.onebuilding.org/WMO_Region_6_Europe/PRT_Portugal/LB_Lisboa/PRT_LB_Sines-Montes.Chaos.085410_TMYx.2004-2018.zip</v>
      </c>
    </row>
    <row r="9516" spans="1:10" x14ac:dyDescent="0.25">
      <c r="A9516" t="s">
        <v>6999</v>
      </c>
      <c r="B9516" t="s">
        <v>5472</v>
      </c>
      <c r="C9516" t="s">
        <v>7062</v>
      </c>
      <c r="D9516" s="1" t="s">
        <v>7063</v>
      </c>
      <c r="E9516" t="s">
        <v>14</v>
      </c>
      <c r="F9516">
        <v>37.9544</v>
      </c>
      <c r="G9516">
        <v>-8.8383000000000003</v>
      </c>
      <c r="H9516">
        <v>0</v>
      </c>
      <c r="I9516">
        <v>103</v>
      </c>
      <c r="J9516" t="str">
        <f>HYPERLINK("https://climate.onebuilding.org/WMO_Region_6_Europe/PRT_Portugal/LB_Lisboa/PRT_LB_Sines-Montes.Chaos.085410_TMYx.2007-2021.zip")</f>
        <v>https://climate.onebuilding.org/WMO_Region_6_Europe/PRT_Portugal/LB_Lisboa/PRT_LB_Sines-Montes.Chaos.085410_TMYx.2007-2021.zip</v>
      </c>
    </row>
    <row r="9517" spans="1:10" x14ac:dyDescent="0.25">
      <c r="A9517" t="s">
        <v>6999</v>
      </c>
      <c r="B9517" t="s">
        <v>5472</v>
      </c>
      <c r="C9517" t="s">
        <v>7062</v>
      </c>
      <c r="D9517" s="1" t="s">
        <v>7063</v>
      </c>
      <c r="E9517" t="s">
        <v>14</v>
      </c>
      <c r="F9517">
        <v>37.9544</v>
      </c>
      <c r="G9517">
        <v>-8.8383000000000003</v>
      </c>
      <c r="H9517">
        <v>0</v>
      </c>
      <c r="I9517">
        <v>103</v>
      </c>
      <c r="J9517" t="str">
        <f>HYPERLINK("https://climate.onebuilding.org/WMO_Region_6_Europe/PRT_Portugal/LB_Lisboa/PRT_LB_Sines-Montes.Chaos.085410_TMYx.2009-2023.zip")</f>
        <v>https://climate.onebuilding.org/WMO_Region_6_Europe/PRT_Portugal/LB_Lisboa/PRT_LB_Sines-Montes.Chaos.085410_TMYx.2009-2023.zip</v>
      </c>
    </row>
    <row r="9518" spans="1:10" x14ac:dyDescent="0.25">
      <c r="A9518" t="s">
        <v>6999</v>
      </c>
      <c r="B9518" t="s">
        <v>5472</v>
      </c>
      <c r="C9518" t="s">
        <v>7062</v>
      </c>
      <c r="D9518" s="1" t="s">
        <v>7063</v>
      </c>
      <c r="E9518" t="s">
        <v>14</v>
      </c>
      <c r="F9518">
        <v>37.9544</v>
      </c>
      <c r="G9518">
        <v>-8.8383000000000003</v>
      </c>
      <c r="H9518">
        <v>0</v>
      </c>
      <c r="I9518">
        <v>103</v>
      </c>
      <c r="J9518" t="str">
        <f>HYPERLINK("https://climate.onebuilding.org/WMO_Region_6_Europe/PRT_Portugal/LB_Lisboa/PRT_LB_Sines-Montes.Chaos.085410_TMYx.zip")</f>
        <v>https://climate.onebuilding.org/WMO_Region_6_Europe/PRT_Portugal/LB_Lisboa/PRT_LB_Sines-Montes.Chaos.085410_TMYx.zip</v>
      </c>
    </row>
    <row r="9519" spans="1:10" x14ac:dyDescent="0.25">
      <c r="A9519" t="s">
        <v>6999</v>
      </c>
      <c r="B9519" t="s">
        <v>93</v>
      </c>
      <c r="C9519" t="s">
        <v>7065</v>
      </c>
      <c r="D9519" s="1" t="s">
        <v>7066</v>
      </c>
      <c r="E9519" t="s">
        <v>14</v>
      </c>
      <c r="F9519">
        <v>41.695</v>
      </c>
      <c r="G9519">
        <v>-8.83</v>
      </c>
      <c r="H9519">
        <v>0</v>
      </c>
      <c r="I9519">
        <v>18</v>
      </c>
      <c r="J9519" t="str">
        <f>HYPERLINK("https://climate.onebuilding.org/WMO_Region_6_Europe/PRT_Portugal/NO_Norte/PRT_NO_Viana.do.Castelo.085430_TMYx.zip")</f>
        <v>https://climate.onebuilding.org/WMO_Region_6_Europe/PRT_Portugal/NO_Norte/PRT_NO_Viana.do.Castelo.085430_TMYx.zip</v>
      </c>
    </row>
    <row r="9520" spans="1:10" x14ac:dyDescent="0.25">
      <c r="A9520" t="s">
        <v>6999</v>
      </c>
      <c r="B9520" t="s">
        <v>3040</v>
      </c>
      <c r="C9520" t="s">
        <v>7067</v>
      </c>
      <c r="D9520" s="1" t="s">
        <v>7068</v>
      </c>
      <c r="E9520" t="s">
        <v>7069</v>
      </c>
      <c r="F9520">
        <v>40.915799999999997</v>
      </c>
      <c r="G9520">
        <v>-8.6410999999999998</v>
      </c>
      <c r="H9520">
        <v>0</v>
      </c>
      <c r="I9520">
        <v>22</v>
      </c>
      <c r="J9520" t="str">
        <f>HYPERLINK("https://climate.onebuilding.org/WMO_Region_6_Europe/PRT_Portugal/CN_Centro/PRT_CN_Ovar.AB.085440_TMYx.2004-2018.zip")</f>
        <v>https://climate.onebuilding.org/WMO_Region_6_Europe/PRT_Portugal/CN_Centro/PRT_CN_Ovar.AB.085440_TMYx.2004-2018.zip</v>
      </c>
    </row>
    <row r="9521" spans="1:10" x14ac:dyDescent="0.25">
      <c r="A9521" t="s">
        <v>6999</v>
      </c>
      <c r="B9521" t="s">
        <v>3040</v>
      </c>
      <c r="C9521" t="s">
        <v>7067</v>
      </c>
      <c r="D9521" s="1" t="s">
        <v>7068</v>
      </c>
      <c r="E9521" t="s">
        <v>14</v>
      </c>
      <c r="F9521">
        <v>40.915799999999997</v>
      </c>
      <c r="G9521">
        <v>-8.6410999999999998</v>
      </c>
      <c r="H9521">
        <v>0</v>
      </c>
      <c r="I9521">
        <v>22</v>
      </c>
      <c r="J9521" t="str">
        <f>HYPERLINK("https://climate.onebuilding.org/WMO_Region_6_Europe/PRT_Portugal/CN_Centro/PRT_CN_Ovar.AB.085440_TMYx.2007-2021.zip")</f>
        <v>https://climate.onebuilding.org/WMO_Region_6_Europe/PRT_Portugal/CN_Centro/PRT_CN_Ovar.AB.085440_TMYx.2007-2021.zip</v>
      </c>
    </row>
    <row r="9522" spans="1:10" x14ac:dyDescent="0.25">
      <c r="A9522" t="s">
        <v>6999</v>
      </c>
      <c r="B9522" t="s">
        <v>3040</v>
      </c>
      <c r="C9522" t="s">
        <v>7067</v>
      </c>
      <c r="D9522" s="1" t="s">
        <v>7068</v>
      </c>
      <c r="E9522" t="s">
        <v>14</v>
      </c>
      <c r="F9522">
        <v>40.915799999999997</v>
      </c>
      <c r="G9522">
        <v>-8.6410999999999998</v>
      </c>
      <c r="H9522">
        <v>0</v>
      </c>
      <c r="I9522">
        <v>22</v>
      </c>
      <c r="J9522" t="str">
        <f>HYPERLINK("https://climate.onebuilding.org/WMO_Region_6_Europe/PRT_Portugal/CN_Centro/PRT_CN_Ovar.AB.085440_TMYx.2009-2023.zip")</f>
        <v>https://climate.onebuilding.org/WMO_Region_6_Europe/PRT_Portugal/CN_Centro/PRT_CN_Ovar.AB.085440_TMYx.2009-2023.zip</v>
      </c>
    </row>
    <row r="9523" spans="1:10" x14ac:dyDescent="0.25">
      <c r="A9523" t="s">
        <v>6999</v>
      </c>
      <c r="B9523" t="s">
        <v>3040</v>
      </c>
      <c r="C9523" t="s">
        <v>7067</v>
      </c>
      <c r="D9523" s="1" t="s">
        <v>7068</v>
      </c>
      <c r="E9523" t="s">
        <v>14</v>
      </c>
      <c r="F9523">
        <v>40.915799999999997</v>
      </c>
      <c r="G9523">
        <v>-8.6410999999999998</v>
      </c>
      <c r="H9523">
        <v>0</v>
      </c>
      <c r="I9523">
        <v>22</v>
      </c>
      <c r="J9523" t="str">
        <f>HYPERLINK("https://climate.onebuilding.org/WMO_Region_6_Europe/PRT_Portugal/CN_Centro/PRT_CN_Ovar.AB.085440_TMYx.zip")</f>
        <v>https://climate.onebuilding.org/WMO_Region_6_Europe/PRT_Portugal/CN_Centro/PRT_CN_Ovar.AB.085440_TMYx.zip</v>
      </c>
    </row>
    <row r="9524" spans="1:10" x14ac:dyDescent="0.25">
      <c r="A9524" t="s">
        <v>6999</v>
      </c>
      <c r="B9524" t="s">
        <v>93</v>
      </c>
      <c r="C9524" t="s">
        <v>7070</v>
      </c>
      <c r="D9524" s="1" t="s">
        <v>7071</v>
      </c>
      <c r="E9524" t="s">
        <v>7072</v>
      </c>
      <c r="F9524">
        <v>41.247999999999998</v>
      </c>
      <c r="G9524">
        <v>-8.6809999999999992</v>
      </c>
      <c r="H9524">
        <v>0</v>
      </c>
      <c r="I9524">
        <v>69.5</v>
      </c>
      <c r="J9524" t="str">
        <f>HYPERLINK("https://climate.onebuilding.org/WMO_Region_6_Europe/PRT_Portugal/NO_Norte/PRT_NO_Porto-Carneiro.AP.085450_TMYx.2004-2018.zip")</f>
        <v>https://climate.onebuilding.org/WMO_Region_6_Europe/PRT_Portugal/NO_Norte/PRT_NO_Porto-Carneiro.AP.085450_TMYx.2004-2018.zip</v>
      </c>
    </row>
    <row r="9525" spans="1:10" x14ac:dyDescent="0.25">
      <c r="A9525" t="s">
        <v>6999</v>
      </c>
      <c r="B9525" t="s">
        <v>93</v>
      </c>
      <c r="C9525" t="s">
        <v>7070</v>
      </c>
      <c r="D9525" s="1" t="s">
        <v>7071</v>
      </c>
      <c r="E9525" t="s">
        <v>14</v>
      </c>
      <c r="F9525">
        <v>41.232199999999999</v>
      </c>
      <c r="G9525">
        <v>-8.6791999999999998</v>
      </c>
      <c r="H9525">
        <v>0</v>
      </c>
      <c r="I9525">
        <v>69.5</v>
      </c>
      <c r="J9525" t="str">
        <f>HYPERLINK("https://climate.onebuilding.org/WMO_Region_6_Europe/PRT_Portugal/NO_Norte/PRT_NO_Porto-Carneiro.AP.085450_TMYx.2007-2021.zip")</f>
        <v>https://climate.onebuilding.org/WMO_Region_6_Europe/PRT_Portugal/NO_Norte/PRT_NO_Porto-Carneiro.AP.085450_TMYx.2007-2021.zip</v>
      </c>
    </row>
    <row r="9526" spans="1:10" x14ac:dyDescent="0.25">
      <c r="A9526" t="s">
        <v>6999</v>
      </c>
      <c r="B9526" t="s">
        <v>93</v>
      </c>
      <c r="C9526" t="s">
        <v>7070</v>
      </c>
      <c r="D9526" s="1" t="s">
        <v>7071</v>
      </c>
      <c r="E9526" t="s">
        <v>14</v>
      </c>
      <c r="F9526">
        <v>41.232199999999999</v>
      </c>
      <c r="G9526">
        <v>-8.6791999999999998</v>
      </c>
      <c r="H9526">
        <v>0</v>
      </c>
      <c r="I9526">
        <v>69.5</v>
      </c>
      <c r="J9526" t="str">
        <f>HYPERLINK("https://climate.onebuilding.org/WMO_Region_6_Europe/PRT_Portugal/NO_Norte/PRT_NO_Porto-Carneiro.AP.085450_TMYx.2009-2023.zip")</f>
        <v>https://climate.onebuilding.org/WMO_Region_6_Europe/PRT_Portugal/NO_Norte/PRT_NO_Porto-Carneiro.AP.085450_TMYx.2009-2023.zip</v>
      </c>
    </row>
    <row r="9527" spans="1:10" x14ac:dyDescent="0.25">
      <c r="A9527" t="s">
        <v>6999</v>
      </c>
      <c r="B9527" t="s">
        <v>93</v>
      </c>
      <c r="C9527" t="s">
        <v>7070</v>
      </c>
      <c r="D9527" s="1" t="s">
        <v>7071</v>
      </c>
      <c r="E9527" t="s">
        <v>14</v>
      </c>
      <c r="F9527">
        <v>41.232199999999999</v>
      </c>
      <c r="G9527">
        <v>-8.6791999999999998</v>
      </c>
      <c r="H9527">
        <v>0</v>
      </c>
      <c r="I9527">
        <v>69.5</v>
      </c>
      <c r="J9527" t="str">
        <f>HYPERLINK("https://climate.onebuilding.org/WMO_Region_6_Europe/PRT_Portugal/NO_Norte/PRT_NO_Porto-Carneiro.AP.085450_TMYx.zip")</f>
        <v>https://climate.onebuilding.org/WMO_Region_6_Europe/PRT_Portugal/NO_Norte/PRT_NO_Porto-Carneiro.AP.085450_TMYx.zip</v>
      </c>
    </row>
    <row r="9528" spans="1:10" x14ac:dyDescent="0.25">
      <c r="A9528" t="s">
        <v>6999</v>
      </c>
      <c r="B9528" t="s">
        <v>93</v>
      </c>
      <c r="C9528" t="s">
        <v>7073</v>
      </c>
      <c r="D9528" s="1" t="s">
        <v>7074</v>
      </c>
      <c r="E9528" t="s">
        <v>14</v>
      </c>
      <c r="F9528">
        <v>41.138599999999997</v>
      </c>
      <c r="G9528">
        <v>-8.6024999999999991</v>
      </c>
      <c r="H9528">
        <v>0</v>
      </c>
      <c r="I9528">
        <v>100</v>
      </c>
      <c r="J9528" t="str">
        <f>HYPERLINK("https://climate.onebuilding.org/WMO_Region_6_Europe/PRT_Portugal/NO_Norte/PRT_NO_Porto-Serra.do.Pilar.085460_TMYx.zip")</f>
        <v>https://climate.onebuilding.org/WMO_Region_6_Europe/PRT_Portugal/NO_Norte/PRT_NO_Porto-Serra.do.Pilar.085460_TMYx.zip</v>
      </c>
    </row>
    <row r="9529" spans="1:10" x14ac:dyDescent="0.25">
      <c r="A9529" t="s">
        <v>6999</v>
      </c>
      <c r="B9529" t="s">
        <v>3040</v>
      </c>
      <c r="C9529" t="s">
        <v>7075</v>
      </c>
      <c r="D9529" s="1" t="s">
        <v>7076</v>
      </c>
      <c r="E9529" t="s">
        <v>7077</v>
      </c>
      <c r="F9529">
        <v>40.157499999999999</v>
      </c>
      <c r="G9529">
        <v>-8.4686000000000003</v>
      </c>
      <c r="H9529">
        <v>0</v>
      </c>
      <c r="I9529">
        <v>171.8</v>
      </c>
      <c r="J9529" t="str">
        <f>HYPERLINK("https://climate.onebuilding.org/WMO_Region_6_Europe/PRT_Portugal/CN_Centro/PRT_CN_Coimbra.AP.085480_TMYx.2004-2018.zip")</f>
        <v>https://climate.onebuilding.org/WMO_Region_6_Europe/PRT_Portugal/CN_Centro/PRT_CN_Coimbra.AP.085480_TMYx.2004-2018.zip</v>
      </c>
    </row>
    <row r="9530" spans="1:10" x14ac:dyDescent="0.25">
      <c r="A9530" t="s">
        <v>6999</v>
      </c>
      <c r="B9530" t="s">
        <v>3040</v>
      </c>
      <c r="C9530" t="s">
        <v>7075</v>
      </c>
      <c r="D9530" s="1" t="s">
        <v>7076</v>
      </c>
      <c r="E9530" t="s">
        <v>14</v>
      </c>
      <c r="F9530">
        <v>40.157499999999999</v>
      </c>
      <c r="G9530">
        <v>-8.4686000000000003</v>
      </c>
      <c r="H9530">
        <v>0</v>
      </c>
      <c r="I9530">
        <v>171.8</v>
      </c>
      <c r="J9530" t="str">
        <f>HYPERLINK("https://climate.onebuilding.org/WMO_Region_6_Europe/PRT_Portugal/CN_Centro/PRT_CN_Coimbra.AP.085480_TMYx.2007-2021.zip")</f>
        <v>https://climate.onebuilding.org/WMO_Region_6_Europe/PRT_Portugal/CN_Centro/PRT_CN_Coimbra.AP.085480_TMYx.2007-2021.zip</v>
      </c>
    </row>
    <row r="9531" spans="1:10" x14ac:dyDescent="0.25">
      <c r="A9531" t="s">
        <v>6999</v>
      </c>
      <c r="B9531" t="s">
        <v>3040</v>
      </c>
      <c r="C9531" t="s">
        <v>7075</v>
      </c>
      <c r="D9531" s="1" t="s">
        <v>7076</v>
      </c>
      <c r="E9531" t="s">
        <v>14</v>
      </c>
      <c r="F9531">
        <v>40.157499999999999</v>
      </c>
      <c r="G9531">
        <v>-8.4686000000000003</v>
      </c>
      <c r="H9531">
        <v>0</v>
      </c>
      <c r="I9531">
        <v>171.8</v>
      </c>
      <c r="J9531" t="str">
        <f>HYPERLINK("https://climate.onebuilding.org/WMO_Region_6_Europe/PRT_Portugal/CN_Centro/PRT_CN_Coimbra.AP.085480_TMYx.2009-2023.zip")</f>
        <v>https://climate.onebuilding.org/WMO_Region_6_Europe/PRT_Portugal/CN_Centro/PRT_CN_Coimbra.AP.085480_TMYx.2009-2023.zip</v>
      </c>
    </row>
    <row r="9532" spans="1:10" x14ac:dyDescent="0.25">
      <c r="A9532" t="s">
        <v>6999</v>
      </c>
      <c r="B9532" t="s">
        <v>3040</v>
      </c>
      <c r="C9532" t="s">
        <v>7075</v>
      </c>
      <c r="D9532" s="1" t="s">
        <v>7076</v>
      </c>
      <c r="E9532" t="s">
        <v>14</v>
      </c>
      <c r="F9532">
        <v>40.157499999999999</v>
      </c>
      <c r="G9532">
        <v>-8.4686000000000003</v>
      </c>
      <c r="H9532">
        <v>0</v>
      </c>
      <c r="I9532">
        <v>171.8</v>
      </c>
      <c r="J9532" t="str">
        <f>HYPERLINK("https://climate.onebuilding.org/WMO_Region_6_Europe/PRT_Portugal/CN_Centro/PRT_CN_Coimbra.AP.085480_TMYx.zip")</f>
        <v>https://climate.onebuilding.org/WMO_Region_6_Europe/PRT_Portugal/CN_Centro/PRT_CN_Coimbra.AP.085480_TMYx.zip</v>
      </c>
    </row>
    <row r="9533" spans="1:10" x14ac:dyDescent="0.25">
      <c r="A9533" t="s">
        <v>6999</v>
      </c>
      <c r="B9533" t="s">
        <v>3040</v>
      </c>
      <c r="C9533" t="s">
        <v>7078</v>
      </c>
      <c r="D9533" s="1" t="s">
        <v>7079</v>
      </c>
      <c r="E9533" t="s">
        <v>14</v>
      </c>
      <c r="F9533">
        <v>40.213500000000003</v>
      </c>
      <c r="G9533">
        <v>-8.4551999999999996</v>
      </c>
      <c r="H9533">
        <v>0</v>
      </c>
      <c r="I9533">
        <v>140</v>
      </c>
      <c r="J9533" t="str">
        <f>HYPERLINK("https://climate.onebuilding.org/WMO_Region_6_Europe/PRT_Portugal/CN_Centro/PRT_CN_Coimbra.085490_TMYx.zip")</f>
        <v>https://climate.onebuilding.org/WMO_Region_6_Europe/PRT_Portugal/CN_Centro/PRT_CN_Coimbra.085490_TMYx.zip</v>
      </c>
    </row>
    <row r="9534" spans="1:10" x14ac:dyDescent="0.25">
      <c r="A9534" t="s">
        <v>6999</v>
      </c>
      <c r="B9534" t="s">
        <v>93</v>
      </c>
      <c r="C9534" t="s">
        <v>7080</v>
      </c>
      <c r="D9534" s="1" t="s">
        <v>7081</v>
      </c>
      <c r="E9534" t="s">
        <v>7082</v>
      </c>
      <c r="F9534">
        <v>41.648899999999998</v>
      </c>
      <c r="G9534">
        <v>-8.8047000000000004</v>
      </c>
      <c r="H9534">
        <v>0</v>
      </c>
      <c r="I9534">
        <v>48</v>
      </c>
      <c r="J9534" t="str">
        <f>HYPERLINK("https://climate.onebuilding.org/WMO_Region_6_Europe/PRT_Portugal/NO_Norte/PRT_NO_Viana.do.Castelo-Chafe.085510_TMYx.2004-2018.zip")</f>
        <v>https://climate.onebuilding.org/WMO_Region_6_Europe/PRT_Portugal/NO_Norte/PRT_NO_Viana.do.Castelo-Chafe.085510_TMYx.2004-2018.zip</v>
      </c>
    </row>
    <row r="9535" spans="1:10" x14ac:dyDescent="0.25">
      <c r="A9535" t="s">
        <v>6999</v>
      </c>
      <c r="B9535" t="s">
        <v>93</v>
      </c>
      <c r="C9535" t="s">
        <v>7080</v>
      </c>
      <c r="D9535" s="1" t="s">
        <v>7081</v>
      </c>
      <c r="E9535" t="s">
        <v>14</v>
      </c>
      <c r="F9535">
        <v>41.648899999999998</v>
      </c>
      <c r="G9535">
        <v>-8.8047000000000004</v>
      </c>
      <c r="H9535">
        <v>0</v>
      </c>
      <c r="I9535">
        <v>49</v>
      </c>
      <c r="J9535" t="str">
        <f>HYPERLINK("https://climate.onebuilding.org/WMO_Region_6_Europe/PRT_Portugal/NO_Norte/PRT_NO_Viana.do.Castelo-Chafe.085510_TMYx.2007-2021.zip")</f>
        <v>https://climate.onebuilding.org/WMO_Region_6_Europe/PRT_Portugal/NO_Norte/PRT_NO_Viana.do.Castelo-Chafe.085510_TMYx.2007-2021.zip</v>
      </c>
    </row>
    <row r="9536" spans="1:10" x14ac:dyDescent="0.25">
      <c r="A9536" t="s">
        <v>6999</v>
      </c>
      <c r="B9536" t="s">
        <v>93</v>
      </c>
      <c r="C9536" t="s">
        <v>7080</v>
      </c>
      <c r="D9536" s="1" t="s">
        <v>7081</v>
      </c>
      <c r="E9536" t="s">
        <v>14</v>
      </c>
      <c r="F9536">
        <v>41.648899999999998</v>
      </c>
      <c r="G9536">
        <v>-8.8047000000000004</v>
      </c>
      <c r="H9536">
        <v>0</v>
      </c>
      <c r="I9536">
        <v>49</v>
      </c>
      <c r="J9536" t="str">
        <f>HYPERLINK("https://climate.onebuilding.org/WMO_Region_6_Europe/PRT_Portugal/NO_Norte/PRT_NO_Viana.do.Castelo-Chafe.085510_TMYx.2009-2023.zip")</f>
        <v>https://climate.onebuilding.org/WMO_Region_6_Europe/PRT_Portugal/NO_Norte/PRT_NO_Viana.do.Castelo-Chafe.085510_TMYx.2009-2023.zip</v>
      </c>
    </row>
    <row r="9537" spans="1:10" x14ac:dyDescent="0.25">
      <c r="A9537" t="s">
        <v>6999</v>
      </c>
      <c r="B9537" t="s">
        <v>93</v>
      </c>
      <c r="C9537" t="s">
        <v>7080</v>
      </c>
      <c r="D9537" s="1" t="s">
        <v>7081</v>
      </c>
      <c r="E9537" t="s">
        <v>14</v>
      </c>
      <c r="F9537">
        <v>41.648899999999998</v>
      </c>
      <c r="G9537">
        <v>-8.8047000000000004</v>
      </c>
      <c r="H9537">
        <v>0</v>
      </c>
      <c r="I9537">
        <v>49</v>
      </c>
      <c r="J9537" t="str">
        <f>HYPERLINK("https://climate.onebuilding.org/WMO_Region_6_Europe/PRT_Portugal/NO_Norte/PRT_NO_Viana.do.Castelo-Chafe.085510_TMYx.zip")</f>
        <v>https://climate.onebuilding.org/WMO_Region_6_Europe/PRT_Portugal/NO_Norte/PRT_NO_Viana.do.Castelo-Chafe.085510_TMYx.zip</v>
      </c>
    </row>
    <row r="9538" spans="1:10" x14ac:dyDescent="0.25">
      <c r="A9538" t="s">
        <v>6999</v>
      </c>
      <c r="B9538" t="s">
        <v>5472</v>
      </c>
      <c r="C9538" t="s">
        <v>7083</v>
      </c>
      <c r="D9538" s="1" t="s">
        <v>7084</v>
      </c>
      <c r="E9538" t="s">
        <v>14</v>
      </c>
      <c r="F9538">
        <v>39.4758</v>
      </c>
      <c r="G9538">
        <v>-8.375</v>
      </c>
      <c r="H9538">
        <v>0</v>
      </c>
      <c r="I9538">
        <v>80</v>
      </c>
      <c r="J9538" t="str">
        <f>HYPERLINK("https://climate.onebuilding.org/WMO_Region_6_Europe/PRT_Portugal/LB_Lisboa/PRT_LB_Tancos.AP.085520_TMYx.zip")</f>
        <v>https://climate.onebuilding.org/WMO_Region_6_Europe/PRT_Portugal/LB_Lisboa/PRT_LB_Tancos.AP.085520_TMYx.zip</v>
      </c>
    </row>
    <row r="9539" spans="1:10" x14ac:dyDescent="0.25">
      <c r="A9539" t="s">
        <v>6999</v>
      </c>
      <c r="B9539" t="s">
        <v>814</v>
      </c>
      <c r="C9539" t="s">
        <v>7085</v>
      </c>
      <c r="D9539" s="1" t="s">
        <v>7086</v>
      </c>
      <c r="E9539" t="s">
        <v>7087</v>
      </c>
      <c r="F9539">
        <v>37.0167</v>
      </c>
      <c r="G9539">
        <v>-7.9718999999999998</v>
      </c>
      <c r="H9539">
        <v>0</v>
      </c>
      <c r="I9539">
        <v>7.8</v>
      </c>
      <c r="J9539" t="str">
        <f>HYPERLINK("https://climate.onebuilding.org/WMO_Region_6_Europe/PRT_Portugal/AG_Algarve/PRT_AG_Faro.AP.085540_TMYx.2004-2018.zip")</f>
        <v>https://climate.onebuilding.org/WMO_Region_6_Europe/PRT_Portugal/AG_Algarve/PRT_AG_Faro.AP.085540_TMYx.2004-2018.zip</v>
      </c>
    </row>
    <row r="9540" spans="1:10" x14ac:dyDescent="0.25">
      <c r="A9540" t="s">
        <v>6999</v>
      </c>
      <c r="B9540" t="s">
        <v>814</v>
      </c>
      <c r="C9540" t="s">
        <v>7085</v>
      </c>
      <c r="D9540" s="1" t="s">
        <v>7086</v>
      </c>
      <c r="E9540" t="s">
        <v>14</v>
      </c>
      <c r="F9540">
        <v>37.0167</v>
      </c>
      <c r="G9540">
        <v>-7.9718999999999998</v>
      </c>
      <c r="H9540">
        <v>0</v>
      </c>
      <c r="I9540">
        <v>7.8</v>
      </c>
      <c r="J9540" t="str">
        <f>HYPERLINK("https://climate.onebuilding.org/WMO_Region_6_Europe/PRT_Portugal/AG_Algarve/PRT_AG_Faro.AP.085540_TMYx.2007-2021.zip")</f>
        <v>https://climate.onebuilding.org/WMO_Region_6_Europe/PRT_Portugal/AG_Algarve/PRT_AG_Faro.AP.085540_TMYx.2007-2021.zip</v>
      </c>
    </row>
    <row r="9541" spans="1:10" x14ac:dyDescent="0.25">
      <c r="A9541" t="s">
        <v>6999</v>
      </c>
      <c r="B9541" t="s">
        <v>814</v>
      </c>
      <c r="C9541" t="s">
        <v>7085</v>
      </c>
      <c r="D9541" s="1" t="s">
        <v>7086</v>
      </c>
      <c r="E9541" t="s">
        <v>14</v>
      </c>
      <c r="F9541">
        <v>37.0167</v>
      </c>
      <c r="G9541">
        <v>-7.9718999999999998</v>
      </c>
      <c r="H9541">
        <v>0</v>
      </c>
      <c r="I9541">
        <v>7.8</v>
      </c>
      <c r="J9541" t="str">
        <f>HYPERLINK("https://climate.onebuilding.org/WMO_Region_6_Europe/PRT_Portugal/AG_Algarve/PRT_AG_Faro.AP.085540_TMYx.2009-2023.zip")</f>
        <v>https://climate.onebuilding.org/WMO_Region_6_Europe/PRT_Portugal/AG_Algarve/PRT_AG_Faro.AP.085540_TMYx.2009-2023.zip</v>
      </c>
    </row>
    <row r="9542" spans="1:10" x14ac:dyDescent="0.25">
      <c r="A9542" t="s">
        <v>6999</v>
      </c>
      <c r="B9542" t="s">
        <v>814</v>
      </c>
      <c r="C9542" t="s">
        <v>7085</v>
      </c>
      <c r="D9542" s="1" t="s">
        <v>7086</v>
      </c>
      <c r="E9542" t="s">
        <v>14</v>
      </c>
      <c r="F9542">
        <v>37.0167</v>
      </c>
      <c r="G9542">
        <v>-7.9718999999999998</v>
      </c>
      <c r="H9542">
        <v>0</v>
      </c>
      <c r="I9542">
        <v>7.8</v>
      </c>
      <c r="J9542" t="str">
        <f>HYPERLINK("https://climate.onebuilding.org/WMO_Region_6_Europe/PRT_Portugal/AG_Algarve/PRT_AG_Faro.AP.085540_TMYx.zip")</f>
        <v>https://climate.onebuilding.org/WMO_Region_6_Europe/PRT_Portugal/AG_Algarve/PRT_AG_Faro.AP.085540_TMYx.zip</v>
      </c>
    </row>
    <row r="9543" spans="1:10" x14ac:dyDescent="0.25">
      <c r="A9543" t="s">
        <v>6999</v>
      </c>
      <c r="B9543" t="s">
        <v>814</v>
      </c>
      <c r="C9543" t="s">
        <v>7088</v>
      </c>
      <c r="D9543" s="1" t="s">
        <v>7089</v>
      </c>
      <c r="E9543" t="s">
        <v>78</v>
      </c>
      <c r="F9543">
        <v>37.017000000000003</v>
      </c>
      <c r="G9543">
        <v>-7.9169999999999998</v>
      </c>
      <c r="H9543">
        <v>0</v>
      </c>
      <c r="I9543">
        <v>8</v>
      </c>
      <c r="J9543" t="str">
        <f>HYPERLINK("https://climate.onebuilding.org/WMO_Region_6_Europe/PRT_Portugal/AG_Algarve/PRT_AG_Faro.085550_TMYx.2007-2021.zip")</f>
        <v>https://climate.onebuilding.org/WMO_Region_6_Europe/PRT_Portugal/AG_Algarve/PRT_AG_Faro.085550_TMYx.2007-2021.zip</v>
      </c>
    </row>
    <row r="9544" spans="1:10" x14ac:dyDescent="0.25">
      <c r="A9544" t="s">
        <v>6999</v>
      </c>
      <c r="B9544" t="s">
        <v>814</v>
      </c>
      <c r="C9544" t="s">
        <v>7088</v>
      </c>
      <c r="D9544" s="1" t="s">
        <v>7089</v>
      </c>
      <c r="E9544" t="s">
        <v>78</v>
      </c>
      <c r="F9544">
        <v>37.017000000000003</v>
      </c>
      <c r="G9544">
        <v>-7.9169999999999998</v>
      </c>
      <c r="H9544">
        <v>0</v>
      </c>
      <c r="I9544">
        <v>8</v>
      </c>
      <c r="J9544" t="str">
        <f>HYPERLINK("https://climate.onebuilding.org/WMO_Region_6_Europe/PRT_Portugal/AG_Algarve/PRT_AG_Faro.085550_TMYx.2009-2023.zip")</f>
        <v>https://climate.onebuilding.org/WMO_Region_6_Europe/PRT_Portugal/AG_Algarve/PRT_AG_Faro.085550_TMYx.2009-2023.zip</v>
      </c>
    </row>
    <row r="9545" spans="1:10" x14ac:dyDescent="0.25">
      <c r="A9545" t="s">
        <v>6999</v>
      </c>
      <c r="B9545" t="s">
        <v>814</v>
      </c>
      <c r="C9545" t="s">
        <v>7088</v>
      </c>
      <c r="D9545" s="1" t="s">
        <v>7089</v>
      </c>
      <c r="E9545" t="s">
        <v>78</v>
      </c>
      <c r="F9545">
        <v>37.017000000000003</v>
      </c>
      <c r="G9545">
        <v>-7.9169999999999998</v>
      </c>
      <c r="H9545">
        <v>0</v>
      </c>
      <c r="I9545">
        <v>8</v>
      </c>
      <c r="J9545" t="str">
        <f>HYPERLINK("https://climate.onebuilding.org/WMO_Region_6_Europe/PRT_Portugal/AG_Algarve/PRT_AG_Faro.085550_TMYx.zip")</f>
        <v>https://climate.onebuilding.org/WMO_Region_6_Europe/PRT_Portugal/AG_Algarve/PRT_AG_Faro.085550_TMYx.zip</v>
      </c>
    </row>
    <row r="9546" spans="1:10" x14ac:dyDescent="0.25">
      <c r="A9546" t="s">
        <v>6999</v>
      </c>
      <c r="B9546" t="s">
        <v>5165</v>
      </c>
      <c r="C9546" t="s">
        <v>7090</v>
      </c>
      <c r="D9546" s="1" t="s">
        <v>7091</v>
      </c>
      <c r="E9546" t="s">
        <v>14</v>
      </c>
      <c r="F9546">
        <v>38.567</v>
      </c>
      <c r="G9546">
        <v>-7.9</v>
      </c>
      <c r="H9546">
        <v>0</v>
      </c>
      <c r="I9546">
        <v>321</v>
      </c>
      <c r="J9546" t="str">
        <f>HYPERLINK("https://climate.onebuilding.org/WMO_Region_6_Europe/PRT_Portugal/AL_Alentejo/PRT_AL_Evora.085570_TMYx.zip")</f>
        <v>https://climate.onebuilding.org/WMO_Region_6_Europe/PRT_Portugal/AL_Alentejo/PRT_AL_Evora.085570_TMYx.zip</v>
      </c>
    </row>
    <row r="9547" spans="1:10" x14ac:dyDescent="0.25">
      <c r="A9547" t="s">
        <v>6999</v>
      </c>
      <c r="B9547" t="s">
        <v>5165</v>
      </c>
      <c r="C9547" t="s">
        <v>7092</v>
      </c>
      <c r="D9547" s="1" t="s">
        <v>7093</v>
      </c>
      <c r="E9547" t="s">
        <v>7094</v>
      </c>
      <c r="F9547">
        <v>38.536700000000003</v>
      </c>
      <c r="G9547">
        <v>-7.8880999999999997</v>
      </c>
      <c r="H9547">
        <v>0</v>
      </c>
      <c r="I9547">
        <v>245.8</v>
      </c>
      <c r="J9547" t="str">
        <f>HYPERLINK("https://climate.onebuilding.org/WMO_Region_6_Europe/PRT_Portugal/AL_Alentejo/PRT_AL_Evora.AP.085580_TMYx.2004-2018.zip")</f>
        <v>https://climate.onebuilding.org/WMO_Region_6_Europe/PRT_Portugal/AL_Alentejo/PRT_AL_Evora.AP.085580_TMYx.2004-2018.zip</v>
      </c>
    </row>
    <row r="9548" spans="1:10" x14ac:dyDescent="0.25">
      <c r="A9548" t="s">
        <v>6999</v>
      </c>
      <c r="B9548" t="s">
        <v>5165</v>
      </c>
      <c r="C9548" t="s">
        <v>7092</v>
      </c>
      <c r="D9548" s="1" t="s">
        <v>7093</v>
      </c>
      <c r="E9548" t="s">
        <v>14</v>
      </c>
      <c r="F9548">
        <v>38.536700000000003</v>
      </c>
      <c r="G9548">
        <v>-7.8880999999999997</v>
      </c>
      <c r="H9548">
        <v>0</v>
      </c>
      <c r="I9548">
        <v>245.8</v>
      </c>
      <c r="J9548" t="str">
        <f>HYPERLINK("https://climate.onebuilding.org/WMO_Region_6_Europe/PRT_Portugal/AL_Alentejo/PRT_AL_Evora.AP.085580_TMYx.2007-2021.zip")</f>
        <v>https://climate.onebuilding.org/WMO_Region_6_Europe/PRT_Portugal/AL_Alentejo/PRT_AL_Evora.AP.085580_TMYx.2007-2021.zip</v>
      </c>
    </row>
    <row r="9549" spans="1:10" x14ac:dyDescent="0.25">
      <c r="A9549" t="s">
        <v>6999</v>
      </c>
      <c r="B9549" t="s">
        <v>5165</v>
      </c>
      <c r="C9549" t="s">
        <v>7092</v>
      </c>
      <c r="D9549" s="1" t="s">
        <v>7093</v>
      </c>
      <c r="E9549" t="s">
        <v>14</v>
      </c>
      <c r="F9549">
        <v>38.536700000000003</v>
      </c>
      <c r="G9549">
        <v>-7.8880999999999997</v>
      </c>
      <c r="H9549">
        <v>0</v>
      </c>
      <c r="I9549">
        <v>245.8</v>
      </c>
      <c r="J9549" t="str">
        <f>HYPERLINK("https://climate.onebuilding.org/WMO_Region_6_Europe/PRT_Portugal/AL_Alentejo/PRT_AL_Evora.AP.085580_TMYx.2009-2023.zip")</f>
        <v>https://climate.onebuilding.org/WMO_Region_6_Europe/PRT_Portugal/AL_Alentejo/PRT_AL_Evora.AP.085580_TMYx.2009-2023.zip</v>
      </c>
    </row>
    <row r="9550" spans="1:10" x14ac:dyDescent="0.25">
      <c r="A9550" t="s">
        <v>6999</v>
      </c>
      <c r="B9550" t="s">
        <v>5165</v>
      </c>
      <c r="C9550" t="s">
        <v>7092</v>
      </c>
      <c r="D9550" s="1" t="s">
        <v>7093</v>
      </c>
      <c r="E9550" t="s">
        <v>14</v>
      </c>
      <c r="F9550">
        <v>38.536700000000003</v>
      </c>
      <c r="G9550">
        <v>-7.8880999999999997</v>
      </c>
      <c r="H9550">
        <v>0</v>
      </c>
      <c r="I9550">
        <v>245.8</v>
      </c>
      <c r="J9550" t="str">
        <f>HYPERLINK("https://climate.onebuilding.org/WMO_Region_6_Europe/PRT_Portugal/AL_Alentejo/PRT_AL_Evora.AP.085580_TMYx.zip")</f>
        <v>https://climate.onebuilding.org/WMO_Region_6_Europe/PRT_Portugal/AL_Alentejo/PRT_AL_Evora.AP.085580_TMYx.zip</v>
      </c>
    </row>
    <row r="9551" spans="1:10" x14ac:dyDescent="0.25">
      <c r="A9551" t="s">
        <v>6999</v>
      </c>
      <c r="B9551" t="s">
        <v>3040</v>
      </c>
      <c r="C9551" t="s">
        <v>7095</v>
      </c>
      <c r="D9551" s="1" t="s">
        <v>7096</v>
      </c>
      <c r="E9551" t="s">
        <v>7097</v>
      </c>
      <c r="F9551">
        <v>40.715000000000003</v>
      </c>
      <c r="G9551">
        <v>-7.8958000000000004</v>
      </c>
      <c r="H9551">
        <v>0</v>
      </c>
      <c r="I9551">
        <v>644.79999999999995</v>
      </c>
      <c r="J9551" t="str">
        <f>HYPERLINK("https://climate.onebuilding.org/WMO_Region_6_Europe/PRT_Portugal/CN_Centro/PRT_CN_Viseu.AP.085600_TMYx.2004-2018.zip")</f>
        <v>https://climate.onebuilding.org/WMO_Region_6_Europe/PRT_Portugal/CN_Centro/PRT_CN_Viseu.AP.085600_TMYx.2004-2018.zip</v>
      </c>
    </row>
    <row r="9552" spans="1:10" x14ac:dyDescent="0.25">
      <c r="A9552" t="s">
        <v>6999</v>
      </c>
      <c r="B9552" t="s">
        <v>3040</v>
      </c>
      <c r="C9552" t="s">
        <v>7095</v>
      </c>
      <c r="D9552" s="1" t="s">
        <v>7096</v>
      </c>
      <c r="E9552" t="s">
        <v>14</v>
      </c>
      <c r="F9552">
        <v>40.715000000000003</v>
      </c>
      <c r="G9552">
        <v>-7.8958000000000004</v>
      </c>
      <c r="H9552">
        <v>0</v>
      </c>
      <c r="I9552">
        <v>644.79999999999995</v>
      </c>
      <c r="J9552" t="str">
        <f>HYPERLINK("https://climate.onebuilding.org/WMO_Region_6_Europe/PRT_Portugal/CN_Centro/PRT_CN_Viseu.AP.085600_TMYx.2007-2021.zip")</f>
        <v>https://climate.onebuilding.org/WMO_Region_6_Europe/PRT_Portugal/CN_Centro/PRT_CN_Viseu.AP.085600_TMYx.2007-2021.zip</v>
      </c>
    </row>
    <row r="9553" spans="1:10" x14ac:dyDescent="0.25">
      <c r="A9553" t="s">
        <v>6999</v>
      </c>
      <c r="B9553" t="s">
        <v>3040</v>
      </c>
      <c r="C9553" t="s">
        <v>7095</v>
      </c>
      <c r="D9553" s="1" t="s">
        <v>7096</v>
      </c>
      <c r="E9553" t="s">
        <v>14</v>
      </c>
      <c r="F9553">
        <v>40.715000000000003</v>
      </c>
      <c r="G9553">
        <v>-7.8958000000000004</v>
      </c>
      <c r="H9553">
        <v>0</v>
      </c>
      <c r="I9553">
        <v>644.79999999999995</v>
      </c>
      <c r="J9553" t="str">
        <f>HYPERLINK("https://climate.onebuilding.org/WMO_Region_6_Europe/PRT_Portugal/CN_Centro/PRT_CN_Viseu.AP.085600_TMYx.2009-2023.zip")</f>
        <v>https://climate.onebuilding.org/WMO_Region_6_Europe/PRT_Portugal/CN_Centro/PRT_CN_Viseu.AP.085600_TMYx.2009-2023.zip</v>
      </c>
    </row>
    <row r="9554" spans="1:10" x14ac:dyDescent="0.25">
      <c r="A9554" t="s">
        <v>6999</v>
      </c>
      <c r="B9554" t="s">
        <v>3040</v>
      </c>
      <c r="C9554" t="s">
        <v>7095</v>
      </c>
      <c r="D9554" s="1" t="s">
        <v>7096</v>
      </c>
      <c r="E9554" t="s">
        <v>14</v>
      </c>
      <c r="F9554">
        <v>40.715000000000003</v>
      </c>
      <c r="G9554">
        <v>-7.8958000000000004</v>
      </c>
      <c r="H9554">
        <v>0</v>
      </c>
      <c r="I9554">
        <v>644.79999999999995</v>
      </c>
      <c r="J9554" t="str">
        <f>HYPERLINK("https://climate.onebuilding.org/WMO_Region_6_Europe/PRT_Portugal/CN_Centro/PRT_CN_Viseu.AP.085600_TMYx.zip")</f>
        <v>https://climate.onebuilding.org/WMO_Region_6_Europe/PRT_Portugal/CN_Centro/PRT_CN_Viseu.AP.085600_TMYx.zip</v>
      </c>
    </row>
    <row r="9555" spans="1:10" x14ac:dyDescent="0.25">
      <c r="A9555" t="s">
        <v>6999</v>
      </c>
      <c r="B9555" t="s">
        <v>5165</v>
      </c>
      <c r="C9555" t="s">
        <v>7098</v>
      </c>
      <c r="D9555" s="1" t="s">
        <v>7099</v>
      </c>
      <c r="E9555" t="s">
        <v>14</v>
      </c>
      <c r="F9555">
        <v>38.078600000000002</v>
      </c>
      <c r="G9555">
        <v>-7.9267000000000003</v>
      </c>
      <c r="H9555">
        <v>0</v>
      </c>
      <c r="I9555">
        <v>203</v>
      </c>
      <c r="J9555" t="str">
        <f>HYPERLINK("https://climate.onebuilding.org/WMO_Region_6_Europe/PRT_Portugal/AL_Alentejo/PRT_AL_Beja.AP.085610_TMYx.2007-2021.zip")</f>
        <v>https://climate.onebuilding.org/WMO_Region_6_Europe/PRT_Portugal/AL_Alentejo/PRT_AL_Beja.AP.085610_TMYx.2007-2021.zip</v>
      </c>
    </row>
    <row r="9556" spans="1:10" x14ac:dyDescent="0.25">
      <c r="A9556" t="s">
        <v>6999</v>
      </c>
      <c r="B9556" t="s">
        <v>5165</v>
      </c>
      <c r="C9556" t="s">
        <v>7098</v>
      </c>
      <c r="D9556" s="1" t="s">
        <v>7099</v>
      </c>
      <c r="E9556" t="s">
        <v>14</v>
      </c>
      <c r="F9556">
        <v>38.078600000000002</v>
      </c>
      <c r="G9556">
        <v>-7.9267000000000003</v>
      </c>
      <c r="H9556">
        <v>0</v>
      </c>
      <c r="I9556">
        <v>203</v>
      </c>
      <c r="J9556" t="str">
        <f>HYPERLINK("https://climate.onebuilding.org/WMO_Region_6_Europe/PRT_Portugal/AL_Alentejo/PRT_AL_Beja.AP.085610_TMYx.2009-2023.zip")</f>
        <v>https://climate.onebuilding.org/WMO_Region_6_Europe/PRT_Portugal/AL_Alentejo/PRT_AL_Beja.AP.085610_TMYx.2009-2023.zip</v>
      </c>
    </row>
    <row r="9557" spans="1:10" x14ac:dyDescent="0.25">
      <c r="A9557" t="s">
        <v>6999</v>
      </c>
      <c r="B9557" t="s">
        <v>5165</v>
      </c>
      <c r="C9557" t="s">
        <v>7098</v>
      </c>
      <c r="D9557" s="1" t="s">
        <v>7099</v>
      </c>
      <c r="E9557" t="s">
        <v>14</v>
      </c>
      <c r="F9557">
        <v>38.078600000000002</v>
      </c>
      <c r="G9557">
        <v>-7.9267000000000003</v>
      </c>
      <c r="H9557">
        <v>0</v>
      </c>
      <c r="I9557">
        <v>203</v>
      </c>
      <c r="J9557" t="str">
        <f>HYPERLINK("https://climate.onebuilding.org/WMO_Region_6_Europe/PRT_Portugal/AL_Alentejo/PRT_AL_Beja.AP.085610_TMYx.zip")</f>
        <v>https://climate.onebuilding.org/WMO_Region_6_Europe/PRT_Portugal/AL_Alentejo/PRT_AL_Beja.AP.085610_TMYx.zip</v>
      </c>
    </row>
    <row r="9558" spans="1:10" x14ac:dyDescent="0.25">
      <c r="A9558" t="s">
        <v>6999</v>
      </c>
      <c r="B9558" t="s">
        <v>5165</v>
      </c>
      <c r="C9558" t="s">
        <v>7100</v>
      </c>
      <c r="D9558" s="1" t="s">
        <v>7101</v>
      </c>
      <c r="E9558" t="s">
        <v>7102</v>
      </c>
      <c r="F9558">
        <v>38.078600000000002</v>
      </c>
      <c r="G9558">
        <v>-7.9267000000000003</v>
      </c>
      <c r="H9558">
        <v>0</v>
      </c>
      <c r="I9558">
        <v>203</v>
      </c>
      <c r="J9558" t="str">
        <f>HYPERLINK("https://climate.onebuilding.org/WMO_Region_6_Europe/PRT_Portugal/AL_Alentejo/PRT_AL_Beja.085620_TMYx.2004-2018.zip")</f>
        <v>https://climate.onebuilding.org/WMO_Region_6_Europe/PRT_Portugal/AL_Alentejo/PRT_AL_Beja.085620_TMYx.2004-2018.zip</v>
      </c>
    </row>
    <row r="9559" spans="1:10" x14ac:dyDescent="0.25">
      <c r="A9559" t="s">
        <v>6999</v>
      </c>
      <c r="B9559" t="s">
        <v>5165</v>
      </c>
      <c r="C9559" t="s">
        <v>7100</v>
      </c>
      <c r="D9559" s="1" t="s">
        <v>7101</v>
      </c>
      <c r="E9559" t="s">
        <v>14</v>
      </c>
      <c r="F9559">
        <v>38.0259</v>
      </c>
      <c r="G9559">
        <v>-7.8676000000000004</v>
      </c>
      <c r="H9559">
        <v>0</v>
      </c>
      <c r="I9559">
        <v>247</v>
      </c>
      <c r="J9559" t="str">
        <f>HYPERLINK("https://climate.onebuilding.org/WMO_Region_6_Europe/PRT_Portugal/AL_Alentejo/PRT_AL_Beja.085620_TMYx.2007-2021.zip")</f>
        <v>https://climate.onebuilding.org/WMO_Region_6_Europe/PRT_Portugal/AL_Alentejo/PRT_AL_Beja.085620_TMYx.2007-2021.zip</v>
      </c>
    </row>
    <row r="9560" spans="1:10" x14ac:dyDescent="0.25">
      <c r="A9560" t="s">
        <v>6999</v>
      </c>
      <c r="B9560" t="s">
        <v>5165</v>
      </c>
      <c r="C9560" t="s">
        <v>7100</v>
      </c>
      <c r="D9560" s="1" t="s">
        <v>7101</v>
      </c>
      <c r="E9560" t="s">
        <v>14</v>
      </c>
      <c r="F9560">
        <v>38.0259</v>
      </c>
      <c r="G9560">
        <v>-7.8676000000000004</v>
      </c>
      <c r="H9560">
        <v>0</v>
      </c>
      <c r="I9560">
        <v>247</v>
      </c>
      <c r="J9560" t="str">
        <f>HYPERLINK("https://climate.onebuilding.org/WMO_Region_6_Europe/PRT_Portugal/AL_Alentejo/PRT_AL_Beja.085620_TMYx.2009-2023.zip")</f>
        <v>https://climate.onebuilding.org/WMO_Region_6_Europe/PRT_Portugal/AL_Alentejo/PRT_AL_Beja.085620_TMYx.2009-2023.zip</v>
      </c>
    </row>
    <row r="9561" spans="1:10" x14ac:dyDescent="0.25">
      <c r="A9561" t="s">
        <v>6999</v>
      </c>
      <c r="B9561" t="s">
        <v>5165</v>
      </c>
      <c r="C9561" t="s">
        <v>7100</v>
      </c>
      <c r="D9561" s="1" t="s">
        <v>7101</v>
      </c>
      <c r="E9561" t="s">
        <v>14</v>
      </c>
      <c r="F9561">
        <v>38.0259</v>
      </c>
      <c r="G9561">
        <v>-7.8676000000000004</v>
      </c>
      <c r="H9561">
        <v>0</v>
      </c>
      <c r="I9561">
        <v>247</v>
      </c>
      <c r="J9561" t="str">
        <f>HYPERLINK("https://climate.onebuilding.org/WMO_Region_6_Europe/PRT_Portugal/AL_Alentejo/PRT_AL_Beja.085620_TMYx.zip")</f>
        <v>https://climate.onebuilding.org/WMO_Region_6_Europe/PRT_Portugal/AL_Alentejo/PRT_AL_Beja.085620_TMYx.zip</v>
      </c>
    </row>
    <row r="9562" spans="1:10" x14ac:dyDescent="0.25">
      <c r="A9562" t="s">
        <v>6999</v>
      </c>
      <c r="B9562" t="s">
        <v>93</v>
      </c>
      <c r="C9562" t="s">
        <v>7103</v>
      </c>
      <c r="D9562" s="1" t="s">
        <v>7104</v>
      </c>
      <c r="E9562" t="s">
        <v>14</v>
      </c>
      <c r="F9562">
        <v>41.317</v>
      </c>
      <c r="G9562">
        <v>-7.7329999999999997</v>
      </c>
      <c r="H9562">
        <v>0</v>
      </c>
      <c r="I9562">
        <v>481</v>
      </c>
      <c r="J9562" t="str">
        <f>HYPERLINK("https://climate.onebuilding.org/WMO_Region_6_Europe/PRT_Portugal/NO_Norte/PRT_NO_Vila.Real.AP.085660_TMYx.zip")</f>
        <v>https://climate.onebuilding.org/WMO_Region_6_Europe/PRT_Portugal/NO_Norte/PRT_NO_Vila.Real.AP.085660_TMYx.zip</v>
      </c>
    </row>
    <row r="9563" spans="1:10" x14ac:dyDescent="0.25">
      <c r="A9563" t="s">
        <v>6999</v>
      </c>
      <c r="B9563" t="s">
        <v>93</v>
      </c>
      <c r="C9563" t="s">
        <v>7103</v>
      </c>
      <c r="D9563" s="1" t="s">
        <v>7105</v>
      </c>
      <c r="E9563" t="s">
        <v>7106</v>
      </c>
      <c r="F9563">
        <v>41.2742</v>
      </c>
      <c r="G9563">
        <v>-7.7172000000000001</v>
      </c>
      <c r="H9563">
        <v>0</v>
      </c>
      <c r="I9563">
        <v>561.79999999999995</v>
      </c>
      <c r="J9563" t="str">
        <f>HYPERLINK("https://climate.onebuilding.org/WMO_Region_6_Europe/PRT_Portugal/NO_Norte/PRT_NO_Vila.Real.AP.085670_TMYx.2004-2018.zip")</f>
        <v>https://climate.onebuilding.org/WMO_Region_6_Europe/PRT_Portugal/NO_Norte/PRT_NO_Vila.Real.AP.085670_TMYx.2004-2018.zip</v>
      </c>
    </row>
    <row r="9564" spans="1:10" x14ac:dyDescent="0.25">
      <c r="A9564" t="s">
        <v>6999</v>
      </c>
      <c r="B9564" t="s">
        <v>93</v>
      </c>
      <c r="C9564" t="s">
        <v>7103</v>
      </c>
      <c r="D9564" s="1" t="s">
        <v>7105</v>
      </c>
      <c r="E9564" t="s">
        <v>14</v>
      </c>
      <c r="F9564">
        <v>41.2742</v>
      </c>
      <c r="G9564">
        <v>-7.7172000000000001</v>
      </c>
      <c r="H9564">
        <v>0</v>
      </c>
      <c r="I9564">
        <v>561.79999999999995</v>
      </c>
      <c r="J9564" t="str">
        <f>HYPERLINK("https://climate.onebuilding.org/WMO_Region_6_Europe/PRT_Portugal/NO_Norte/PRT_NO_Vila.Real.AP.085670_TMYx.2007-2021.zip")</f>
        <v>https://climate.onebuilding.org/WMO_Region_6_Europe/PRT_Portugal/NO_Norte/PRT_NO_Vila.Real.AP.085670_TMYx.2007-2021.zip</v>
      </c>
    </row>
    <row r="9565" spans="1:10" x14ac:dyDescent="0.25">
      <c r="A9565" t="s">
        <v>6999</v>
      </c>
      <c r="B9565" t="s">
        <v>93</v>
      </c>
      <c r="C9565" t="s">
        <v>7103</v>
      </c>
      <c r="D9565" s="1" t="s">
        <v>7105</v>
      </c>
      <c r="E9565" t="s">
        <v>14</v>
      </c>
      <c r="F9565">
        <v>41.2742</v>
      </c>
      <c r="G9565">
        <v>-7.7172000000000001</v>
      </c>
      <c r="H9565">
        <v>0</v>
      </c>
      <c r="I9565">
        <v>561.79999999999995</v>
      </c>
      <c r="J9565" t="str">
        <f>HYPERLINK("https://climate.onebuilding.org/WMO_Region_6_Europe/PRT_Portugal/NO_Norte/PRT_NO_Vila.Real.AP.085670_TMYx.2009-2023.zip")</f>
        <v>https://climate.onebuilding.org/WMO_Region_6_Europe/PRT_Portugal/NO_Norte/PRT_NO_Vila.Real.AP.085670_TMYx.2009-2023.zip</v>
      </c>
    </row>
    <row r="9566" spans="1:10" x14ac:dyDescent="0.25">
      <c r="A9566" t="s">
        <v>6999</v>
      </c>
      <c r="B9566" t="s">
        <v>93</v>
      </c>
      <c r="C9566" t="s">
        <v>7103</v>
      </c>
      <c r="D9566" s="1" t="s">
        <v>7105</v>
      </c>
      <c r="E9566" t="s">
        <v>14</v>
      </c>
      <c r="F9566">
        <v>41.2742</v>
      </c>
      <c r="G9566">
        <v>-7.7172000000000001</v>
      </c>
      <c r="H9566">
        <v>0</v>
      </c>
      <c r="I9566">
        <v>561.79999999999995</v>
      </c>
      <c r="J9566" t="str">
        <f>HYPERLINK("https://climate.onebuilding.org/WMO_Region_6_Europe/PRT_Portugal/NO_Norte/PRT_NO_Vila.Real.AP.085670_TMYx.zip")</f>
        <v>https://climate.onebuilding.org/WMO_Region_6_Europe/PRT_Portugal/NO_Norte/PRT_NO_Vila.Real.AP.085670_TMYx.zip</v>
      </c>
    </row>
    <row r="9567" spans="1:10" x14ac:dyDescent="0.25">
      <c r="A9567" t="s">
        <v>6999</v>
      </c>
      <c r="B9567" t="s">
        <v>3040</v>
      </c>
      <c r="C9567" t="s">
        <v>7107</v>
      </c>
      <c r="D9567" s="1" t="s">
        <v>7108</v>
      </c>
      <c r="E9567" t="s">
        <v>7109</v>
      </c>
      <c r="F9567">
        <v>40.4114</v>
      </c>
      <c r="G9567">
        <v>-7.5586000000000002</v>
      </c>
      <c r="H9567">
        <v>0</v>
      </c>
      <c r="I9567">
        <v>1381</v>
      </c>
      <c r="J9567" t="str">
        <f>HYPERLINK("https://climate.onebuilding.org/WMO_Region_6_Europe/PRT_Portugal/CN_Centro/PRT_CN_Penhas.Douradas.085680_TMYx.2004-2018.zip")</f>
        <v>https://climate.onebuilding.org/WMO_Region_6_Europe/PRT_Portugal/CN_Centro/PRT_CN_Penhas.Douradas.085680_TMYx.2004-2018.zip</v>
      </c>
    </row>
    <row r="9568" spans="1:10" x14ac:dyDescent="0.25">
      <c r="A9568" t="s">
        <v>6999</v>
      </c>
      <c r="B9568" t="s">
        <v>3040</v>
      </c>
      <c r="C9568" t="s">
        <v>7107</v>
      </c>
      <c r="D9568" s="1" t="s">
        <v>7108</v>
      </c>
      <c r="E9568" t="s">
        <v>14</v>
      </c>
      <c r="F9568">
        <v>40.4114</v>
      </c>
      <c r="G9568">
        <v>-7.5586000000000002</v>
      </c>
      <c r="H9568">
        <v>0</v>
      </c>
      <c r="I9568">
        <v>1381</v>
      </c>
      <c r="J9568" t="str">
        <f>HYPERLINK("https://climate.onebuilding.org/WMO_Region_6_Europe/PRT_Portugal/CN_Centro/PRT_CN_Penhas.Douradas.085680_TMYx.2007-2021.zip")</f>
        <v>https://climate.onebuilding.org/WMO_Region_6_Europe/PRT_Portugal/CN_Centro/PRT_CN_Penhas.Douradas.085680_TMYx.2007-2021.zip</v>
      </c>
    </row>
    <row r="9569" spans="1:10" x14ac:dyDescent="0.25">
      <c r="A9569" t="s">
        <v>6999</v>
      </c>
      <c r="B9569" t="s">
        <v>3040</v>
      </c>
      <c r="C9569" t="s">
        <v>7107</v>
      </c>
      <c r="D9569" s="1" t="s">
        <v>7108</v>
      </c>
      <c r="E9569" t="s">
        <v>14</v>
      </c>
      <c r="F9569">
        <v>40.4114</v>
      </c>
      <c r="G9569">
        <v>-7.5586000000000002</v>
      </c>
      <c r="H9569">
        <v>0</v>
      </c>
      <c r="I9569">
        <v>1381</v>
      </c>
      <c r="J9569" t="str">
        <f>HYPERLINK("https://climate.onebuilding.org/WMO_Region_6_Europe/PRT_Portugal/CN_Centro/PRT_CN_Penhas.Douradas.085680_TMYx.2009-2023.zip")</f>
        <v>https://climate.onebuilding.org/WMO_Region_6_Europe/PRT_Portugal/CN_Centro/PRT_CN_Penhas.Douradas.085680_TMYx.2009-2023.zip</v>
      </c>
    </row>
    <row r="9570" spans="1:10" x14ac:dyDescent="0.25">
      <c r="A9570" t="s">
        <v>6999</v>
      </c>
      <c r="B9570" t="s">
        <v>3040</v>
      </c>
      <c r="C9570" t="s">
        <v>7107</v>
      </c>
      <c r="D9570" s="1" t="s">
        <v>7108</v>
      </c>
      <c r="E9570" t="s">
        <v>14</v>
      </c>
      <c r="F9570">
        <v>40.4114</v>
      </c>
      <c r="G9570">
        <v>-7.5586000000000002</v>
      </c>
      <c r="H9570">
        <v>0</v>
      </c>
      <c r="I9570">
        <v>1381</v>
      </c>
      <c r="J9570" t="str">
        <f>HYPERLINK("https://climate.onebuilding.org/WMO_Region_6_Europe/PRT_Portugal/CN_Centro/PRT_CN_Penhas.Douradas.085680_TMYx.zip")</f>
        <v>https://climate.onebuilding.org/WMO_Region_6_Europe/PRT_Portugal/CN_Centro/PRT_CN_Penhas.Douradas.085680_TMYx.zip</v>
      </c>
    </row>
    <row r="9571" spans="1:10" x14ac:dyDescent="0.25">
      <c r="A9571" t="s">
        <v>6999</v>
      </c>
      <c r="B9571" t="s">
        <v>3040</v>
      </c>
      <c r="C9571" t="s">
        <v>7110</v>
      </c>
      <c r="D9571" s="1" t="s">
        <v>7111</v>
      </c>
      <c r="E9571" t="s">
        <v>7112</v>
      </c>
      <c r="F9571">
        <v>39.839399999999998</v>
      </c>
      <c r="G9571">
        <v>-7.4786000000000001</v>
      </c>
      <c r="H9571">
        <v>0</v>
      </c>
      <c r="I9571">
        <v>386.8</v>
      </c>
      <c r="J9571" t="str">
        <f>HYPERLINK("https://climate.onebuilding.org/WMO_Region_6_Europe/PRT_Portugal/CN_Centro/PRT_CN_Castelo.Branco.085700_TMYx.2004-2018.zip")</f>
        <v>https://climate.onebuilding.org/WMO_Region_6_Europe/PRT_Portugal/CN_Centro/PRT_CN_Castelo.Branco.085700_TMYx.2004-2018.zip</v>
      </c>
    </row>
    <row r="9572" spans="1:10" x14ac:dyDescent="0.25">
      <c r="A9572" t="s">
        <v>6999</v>
      </c>
      <c r="B9572" t="s">
        <v>3040</v>
      </c>
      <c r="C9572" t="s">
        <v>7110</v>
      </c>
      <c r="D9572" s="1" t="s">
        <v>7111</v>
      </c>
      <c r="E9572" t="s">
        <v>14</v>
      </c>
      <c r="F9572">
        <v>39.839399999999998</v>
      </c>
      <c r="G9572">
        <v>-7.4786000000000001</v>
      </c>
      <c r="H9572">
        <v>0</v>
      </c>
      <c r="I9572">
        <v>386.8</v>
      </c>
      <c r="J9572" t="str">
        <f>HYPERLINK("https://climate.onebuilding.org/WMO_Region_6_Europe/PRT_Portugal/CN_Centro/PRT_CN_Castelo.Branco.085700_TMYx.2007-2021.zip")</f>
        <v>https://climate.onebuilding.org/WMO_Region_6_Europe/PRT_Portugal/CN_Centro/PRT_CN_Castelo.Branco.085700_TMYx.2007-2021.zip</v>
      </c>
    </row>
    <row r="9573" spans="1:10" x14ac:dyDescent="0.25">
      <c r="A9573" t="s">
        <v>6999</v>
      </c>
      <c r="B9573" t="s">
        <v>3040</v>
      </c>
      <c r="C9573" t="s">
        <v>7110</v>
      </c>
      <c r="D9573" s="1" t="s">
        <v>7111</v>
      </c>
      <c r="E9573" t="s">
        <v>14</v>
      </c>
      <c r="F9573">
        <v>39.839399999999998</v>
      </c>
      <c r="G9573">
        <v>-7.4786000000000001</v>
      </c>
      <c r="H9573">
        <v>0</v>
      </c>
      <c r="I9573">
        <v>386.8</v>
      </c>
      <c r="J9573" t="str">
        <f>HYPERLINK("https://climate.onebuilding.org/WMO_Region_6_Europe/PRT_Portugal/CN_Centro/PRT_CN_Castelo.Branco.085700_TMYx.2009-2023.zip")</f>
        <v>https://climate.onebuilding.org/WMO_Region_6_Europe/PRT_Portugal/CN_Centro/PRT_CN_Castelo.Branco.085700_TMYx.2009-2023.zip</v>
      </c>
    </row>
    <row r="9574" spans="1:10" x14ac:dyDescent="0.25">
      <c r="A9574" t="s">
        <v>6999</v>
      </c>
      <c r="B9574" t="s">
        <v>3040</v>
      </c>
      <c r="C9574" t="s">
        <v>7110</v>
      </c>
      <c r="D9574" s="1" t="s">
        <v>7111</v>
      </c>
      <c r="E9574" t="s">
        <v>14</v>
      </c>
      <c r="F9574">
        <v>39.839399999999998</v>
      </c>
      <c r="G9574">
        <v>-7.4786000000000001</v>
      </c>
      <c r="H9574">
        <v>0</v>
      </c>
      <c r="I9574">
        <v>386.8</v>
      </c>
      <c r="J9574" t="str">
        <f>HYPERLINK("https://climate.onebuilding.org/WMO_Region_6_Europe/PRT_Portugal/CN_Centro/PRT_CN_Castelo.Branco.085700_TMYx.zip")</f>
        <v>https://climate.onebuilding.org/WMO_Region_6_Europe/PRT_Portugal/CN_Centro/PRT_CN_Castelo.Branco.085700_TMYx.zip</v>
      </c>
    </row>
    <row r="9575" spans="1:10" x14ac:dyDescent="0.25">
      <c r="A9575" t="s">
        <v>6999</v>
      </c>
      <c r="B9575" t="s">
        <v>5165</v>
      </c>
      <c r="C9575" t="s">
        <v>7113</v>
      </c>
      <c r="D9575" s="1" t="s">
        <v>7114</v>
      </c>
      <c r="E9575" t="s">
        <v>7115</v>
      </c>
      <c r="F9575">
        <v>39.294199999999996</v>
      </c>
      <c r="G9575">
        <v>-7.4214000000000002</v>
      </c>
      <c r="H9575">
        <v>0</v>
      </c>
      <c r="I9575">
        <v>590</v>
      </c>
      <c r="J9575" t="str">
        <f>HYPERLINK("https://climate.onebuilding.org/WMO_Region_6_Europe/PRT_Portugal/AL_Alentejo/PRT_AL_Portalegre.085710_TMYx.2004-2018.zip")</f>
        <v>https://climate.onebuilding.org/WMO_Region_6_Europe/PRT_Portugal/AL_Alentejo/PRT_AL_Portalegre.085710_TMYx.2004-2018.zip</v>
      </c>
    </row>
    <row r="9576" spans="1:10" x14ac:dyDescent="0.25">
      <c r="A9576" t="s">
        <v>6999</v>
      </c>
      <c r="B9576" t="s">
        <v>5165</v>
      </c>
      <c r="C9576" t="s">
        <v>7113</v>
      </c>
      <c r="D9576" s="1" t="s">
        <v>7114</v>
      </c>
      <c r="E9576" t="s">
        <v>14</v>
      </c>
      <c r="F9576">
        <v>39.294199999999996</v>
      </c>
      <c r="G9576">
        <v>-7.4214000000000002</v>
      </c>
      <c r="H9576">
        <v>0</v>
      </c>
      <c r="I9576">
        <v>590</v>
      </c>
      <c r="J9576" t="str">
        <f>HYPERLINK("https://climate.onebuilding.org/WMO_Region_6_Europe/PRT_Portugal/AL_Alentejo/PRT_AL_Portalegre.085710_TMYx.2007-2021.zip")</f>
        <v>https://climate.onebuilding.org/WMO_Region_6_Europe/PRT_Portugal/AL_Alentejo/PRT_AL_Portalegre.085710_TMYx.2007-2021.zip</v>
      </c>
    </row>
    <row r="9577" spans="1:10" x14ac:dyDescent="0.25">
      <c r="A9577" t="s">
        <v>6999</v>
      </c>
      <c r="B9577" t="s">
        <v>5165</v>
      </c>
      <c r="C9577" t="s">
        <v>7113</v>
      </c>
      <c r="D9577" s="1" t="s">
        <v>7114</v>
      </c>
      <c r="E9577" t="s">
        <v>14</v>
      </c>
      <c r="F9577">
        <v>39.294199999999996</v>
      </c>
      <c r="G9577">
        <v>-7.4214000000000002</v>
      </c>
      <c r="H9577">
        <v>0</v>
      </c>
      <c r="I9577">
        <v>590</v>
      </c>
      <c r="J9577" t="str">
        <f>HYPERLINK("https://climate.onebuilding.org/WMO_Region_6_Europe/PRT_Portugal/AL_Alentejo/PRT_AL_Portalegre.085710_TMYx.2009-2023.zip")</f>
        <v>https://climate.onebuilding.org/WMO_Region_6_Europe/PRT_Portugal/AL_Alentejo/PRT_AL_Portalegre.085710_TMYx.2009-2023.zip</v>
      </c>
    </row>
    <row r="9578" spans="1:10" x14ac:dyDescent="0.25">
      <c r="A9578" t="s">
        <v>6999</v>
      </c>
      <c r="B9578" t="s">
        <v>5165</v>
      </c>
      <c r="C9578" t="s">
        <v>7113</v>
      </c>
      <c r="D9578" s="1" t="s">
        <v>7114</v>
      </c>
      <c r="E9578" t="s">
        <v>14</v>
      </c>
      <c r="F9578">
        <v>39.294199999999996</v>
      </c>
      <c r="G9578">
        <v>-7.4214000000000002</v>
      </c>
      <c r="H9578">
        <v>0</v>
      </c>
      <c r="I9578">
        <v>590</v>
      </c>
      <c r="J9578" t="str">
        <f>HYPERLINK("https://climate.onebuilding.org/WMO_Region_6_Europe/PRT_Portugal/AL_Alentejo/PRT_AL_Portalegre.085710_TMYx.zip")</f>
        <v>https://climate.onebuilding.org/WMO_Region_6_Europe/PRT_Portugal/AL_Alentejo/PRT_AL_Portalegre.085710_TMYx.zip</v>
      </c>
    </row>
    <row r="9579" spans="1:10" x14ac:dyDescent="0.25">
      <c r="A9579" t="s">
        <v>6999</v>
      </c>
      <c r="B9579" t="s">
        <v>93</v>
      </c>
      <c r="C9579" t="s">
        <v>7116</v>
      </c>
      <c r="D9579" s="1" t="s">
        <v>7117</v>
      </c>
      <c r="E9579" t="s">
        <v>7118</v>
      </c>
      <c r="F9579">
        <v>41.86</v>
      </c>
      <c r="G9579">
        <v>-6.7060000000000004</v>
      </c>
      <c r="H9579">
        <v>0</v>
      </c>
      <c r="I9579">
        <v>690.4</v>
      </c>
      <c r="J9579" t="str">
        <f>HYPERLINK("https://climate.onebuilding.org/WMO_Region_6_Europe/PRT_Portugal/NO_Norte/PRT_NO_Braganca.AP.085750_TMYx.2004-2018.zip")</f>
        <v>https://climate.onebuilding.org/WMO_Region_6_Europe/PRT_Portugal/NO_Norte/PRT_NO_Braganca.AP.085750_TMYx.2004-2018.zip</v>
      </c>
    </row>
    <row r="9580" spans="1:10" x14ac:dyDescent="0.25">
      <c r="A9580" t="s">
        <v>6999</v>
      </c>
      <c r="B9580" t="s">
        <v>93</v>
      </c>
      <c r="C9580" t="s">
        <v>7116</v>
      </c>
      <c r="D9580" s="1" t="s">
        <v>7117</v>
      </c>
      <c r="E9580" t="s">
        <v>14</v>
      </c>
      <c r="F9580">
        <v>41.86</v>
      </c>
      <c r="G9580">
        <v>-6.7060000000000004</v>
      </c>
      <c r="H9580">
        <v>0</v>
      </c>
      <c r="I9580">
        <v>690.4</v>
      </c>
      <c r="J9580" t="str">
        <f>HYPERLINK("https://climate.onebuilding.org/WMO_Region_6_Europe/PRT_Portugal/NO_Norte/PRT_NO_Braganca.AP.085750_TMYx.2007-2021.zip")</f>
        <v>https://climate.onebuilding.org/WMO_Region_6_Europe/PRT_Portugal/NO_Norte/PRT_NO_Braganca.AP.085750_TMYx.2007-2021.zip</v>
      </c>
    </row>
    <row r="9581" spans="1:10" x14ac:dyDescent="0.25">
      <c r="A9581" t="s">
        <v>6999</v>
      </c>
      <c r="B9581" t="s">
        <v>93</v>
      </c>
      <c r="C9581" t="s">
        <v>7116</v>
      </c>
      <c r="D9581" s="1" t="s">
        <v>7117</v>
      </c>
      <c r="E9581" t="s">
        <v>14</v>
      </c>
      <c r="F9581">
        <v>41.86</v>
      </c>
      <c r="G9581">
        <v>-6.7060000000000004</v>
      </c>
      <c r="H9581">
        <v>0</v>
      </c>
      <c r="I9581">
        <v>690.4</v>
      </c>
      <c r="J9581" t="str">
        <f>HYPERLINK("https://climate.onebuilding.org/WMO_Region_6_Europe/PRT_Portugal/NO_Norte/PRT_NO_Braganca.AP.085750_TMYx.2009-2023.zip")</f>
        <v>https://climate.onebuilding.org/WMO_Region_6_Europe/PRT_Portugal/NO_Norte/PRT_NO_Braganca.AP.085750_TMYx.2009-2023.zip</v>
      </c>
    </row>
    <row r="9582" spans="1:10" x14ac:dyDescent="0.25">
      <c r="A9582" t="s">
        <v>6999</v>
      </c>
      <c r="B9582" t="s">
        <v>93</v>
      </c>
      <c r="C9582" t="s">
        <v>7116</v>
      </c>
      <c r="D9582" s="1" t="s">
        <v>7117</v>
      </c>
      <c r="E9582" t="s">
        <v>14</v>
      </c>
      <c r="F9582">
        <v>41.86</v>
      </c>
      <c r="G9582">
        <v>-6.7060000000000004</v>
      </c>
      <c r="H9582">
        <v>0</v>
      </c>
      <c r="I9582">
        <v>690.4</v>
      </c>
      <c r="J9582" t="str">
        <f>HYPERLINK("https://climate.onebuilding.org/WMO_Region_6_Europe/PRT_Portugal/NO_Norte/PRT_NO_Braganca.AP.085750_TMYx.zip")</f>
        <v>https://climate.onebuilding.org/WMO_Region_6_Europe/PRT_Portugal/NO_Norte/PRT_NO_Braganca.AP.085750_TMYx.zip</v>
      </c>
    </row>
    <row r="9583" spans="1:10" x14ac:dyDescent="0.25">
      <c r="A9583" t="s">
        <v>6999</v>
      </c>
      <c r="B9583" t="s">
        <v>5472</v>
      </c>
      <c r="C9583" t="s">
        <v>7119</v>
      </c>
      <c r="D9583" s="1" t="s">
        <v>7120</v>
      </c>
      <c r="E9583" t="s">
        <v>14</v>
      </c>
      <c r="F9583">
        <v>38.766199999999998</v>
      </c>
      <c r="G9583">
        <v>-9.1274999999999995</v>
      </c>
      <c r="H9583">
        <v>0</v>
      </c>
      <c r="I9583">
        <v>104.8</v>
      </c>
      <c r="J9583" t="str">
        <f>HYPERLINK("https://climate.onebuilding.org/WMO_Region_6_Europe/PRT_Portugal/LB_Lisboa/PRT_LB_Lisboa.Gago.Coutinho.085790_TMYx.2007-2021.zip")</f>
        <v>https://climate.onebuilding.org/WMO_Region_6_Europe/PRT_Portugal/LB_Lisboa/PRT_LB_Lisboa.Gago.Coutinho.085790_TMYx.2007-2021.zip</v>
      </c>
    </row>
    <row r="9584" spans="1:10" x14ac:dyDescent="0.25">
      <c r="A9584" t="s">
        <v>6999</v>
      </c>
      <c r="B9584" t="s">
        <v>5472</v>
      </c>
      <c r="C9584" t="s">
        <v>7119</v>
      </c>
      <c r="D9584" s="1" t="s">
        <v>7120</v>
      </c>
      <c r="E9584" t="s">
        <v>14</v>
      </c>
      <c r="F9584">
        <v>38.766199999999998</v>
      </c>
      <c r="G9584">
        <v>-9.1274999999999995</v>
      </c>
      <c r="H9584">
        <v>0</v>
      </c>
      <c r="I9584">
        <v>104.8</v>
      </c>
      <c r="J9584" t="str">
        <f>HYPERLINK("https://climate.onebuilding.org/WMO_Region_6_Europe/PRT_Portugal/LB_Lisboa/PRT_LB_Lisboa.Gago.Coutinho.085790_TMYx.2009-2023.zip")</f>
        <v>https://climate.onebuilding.org/WMO_Region_6_Europe/PRT_Portugal/LB_Lisboa/PRT_LB_Lisboa.Gago.Coutinho.085790_TMYx.2009-2023.zip</v>
      </c>
    </row>
    <row r="9585" spans="1:10" x14ac:dyDescent="0.25">
      <c r="A9585" t="s">
        <v>6999</v>
      </c>
      <c r="B9585" t="s">
        <v>5472</v>
      </c>
      <c r="C9585" t="s">
        <v>7119</v>
      </c>
      <c r="D9585" s="1" t="s">
        <v>7120</v>
      </c>
      <c r="E9585" t="s">
        <v>14</v>
      </c>
      <c r="F9585">
        <v>38.766199999999998</v>
      </c>
      <c r="G9585">
        <v>-9.1274999999999995</v>
      </c>
      <c r="H9585">
        <v>0</v>
      </c>
      <c r="I9585">
        <v>104.8</v>
      </c>
      <c r="J9585" t="str">
        <f>HYPERLINK("https://climate.onebuilding.org/WMO_Region_6_Europe/PRT_Portugal/LB_Lisboa/PRT_LB_Lisboa.Gago.Coutinho.085790_TMYx.zip")</f>
        <v>https://climate.onebuilding.org/WMO_Region_6_Europe/PRT_Portugal/LB_Lisboa/PRT_LB_Lisboa.Gago.Coutinho.085790_TMYx.zip</v>
      </c>
    </row>
    <row r="9586" spans="1:10" x14ac:dyDescent="0.25">
      <c r="A9586" t="s">
        <v>7121</v>
      </c>
      <c r="B9586" t="s">
        <v>7122</v>
      </c>
      <c r="C9586" t="s">
        <v>7123</v>
      </c>
      <c r="D9586">
        <v>402300</v>
      </c>
      <c r="E9586" t="s">
        <v>78</v>
      </c>
      <c r="F9586">
        <v>31.233000000000001</v>
      </c>
      <c r="G9586">
        <v>34.267000000000003</v>
      </c>
      <c r="H9586">
        <v>2</v>
      </c>
      <c r="I9586">
        <v>98</v>
      </c>
      <c r="J9586" t="str">
        <f>HYPERLINK("https://climate.onebuilding.org/WMO_Region_6_Europe/PSE_Palestine/PSE_GZZ_Yasser.Arafat.Intl.AP-Gaza.Intl.AP.402300_TMYx.2007-2021.zip")</f>
        <v>https://climate.onebuilding.org/WMO_Region_6_Europe/PSE_Palestine/PSE_GZZ_Yasser.Arafat.Intl.AP-Gaza.Intl.AP.402300_TMYx.2007-2021.zip</v>
      </c>
    </row>
    <row r="9587" spans="1:10" x14ac:dyDescent="0.25">
      <c r="A9587" t="s">
        <v>7121</v>
      </c>
      <c r="B9587" t="s">
        <v>7122</v>
      </c>
      <c r="C9587" t="s">
        <v>7123</v>
      </c>
      <c r="D9587">
        <v>402300</v>
      </c>
      <c r="E9587" t="s">
        <v>78</v>
      </c>
      <c r="F9587">
        <v>31.233000000000001</v>
      </c>
      <c r="G9587">
        <v>34.267000000000003</v>
      </c>
      <c r="H9587">
        <v>2</v>
      </c>
      <c r="I9587">
        <v>98</v>
      </c>
      <c r="J9587" t="str">
        <f>HYPERLINK("https://climate.onebuilding.org/WMO_Region_6_Europe/PSE_Palestine/PSE_GZZ_Yasser.Arafat.Intl.AP-Gaza.Intl.AP.402300_TMYx.2009-2023.zip")</f>
        <v>https://climate.onebuilding.org/WMO_Region_6_Europe/PSE_Palestine/PSE_GZZ_Yasser.Arafat.Intl.AP-Gaza.Intl.AP.402300_TMYx.2009-2023.zip</v>
      </c>
    </row>
    <row r="9588" spans="1:10" x14ac:dyDescent="0.25">
      <c r="A9588" t="s">
        <v>7121</v>
      </c>
      <c r="B9588" t="s">
        <v>7122</v>
      </c>
      <c r="C9588" t="s">
        <v>7123</v>
      </c>
      <c r="D9588">
        <v>402300</v>
      </c>
      <c r="E9588" t="s">
        <v>78</v>
      </c>
      <c r="F9588">
        <v>31.233000000000001</v>
      </c>
      <c r="G9588">
        <v>34.267000000000003</v>
      </c>
      <c r="H9588">
        <v>2</v>
      </c>
      <c r="I9588">
        <v>98</v>
      </c>
      <c r="J9588" t="str">
        <f>HYPERLINK("https://climate.onebuilding.org/WMO_Region_6_Europe/PSE_Palestine/PSE_GZZ_Yasser.Arafat.Intl.AP-Gaza.Intl.AP.402300_TMYx.zip")</f>
        <v>https://climate.onebuilding.org/WMO_Region_6_Europe/PSE_Palestine/PSE_GZZ_Yasser.Arafat.Intl.AP-Gaza.Intl.AP.402300_TMYx.zip</v>
      </c>
    </row>
    <row r="9589" spans="1:10" x14ac:dyDescent="0.25">
      <c r="A9589" t="s">
        <v>7121</v>
      </c>
      <c r="B9589" t="s">
        <v>7124</v>
      </c>
      <c r="C9589" t="s">
        <v>7125</v>
      </c>
      <c r="D9589">
        <v>402400</v>
      </c>
      <c r="E9589" t="s">
        <v>78</v>
      </c>
      <c r="F9589">
        <v>31.533000000000001</v>
      </c>
      <c r="G9589">
        <v>35.1</v>
      </c>
      <c r="H9589">
        <v>2</v>
      </c>
      <c r="I9589">
        <v>916</v>
      </c>
      <c r="J9589" t="str">
        <f>HYPERLINK("https://climate.onebuilding.org/WMO_Region_6_Europe/PSE_Palestine/PSE_WBK_Hebron.402400_TMYx.2007-2021.zip")</f>
        <v>https://climate.onebuilding.org/WMO_Region_6_Europe/PSE_Palestine/PSE_WBK_Hebron.402400_TMYx.2007-2021.zip</v>
      </c>
    </row>
    <row r="9590" spans="1:10" x14ac:dyDescent="0.25">
      <c r="A9590" t="s">
        <v>7121</v>
      </c>
      <c r="B9590" t="s">
        <v>7124</v>
      </c>
      <c r="C9590" t="s">
        <v>7125</v>
      </c>
      <c r="D9590">
        <v>402400</v>
      </c>
      <c r="E9590" t="s">
        <v>78</v>
      </c>
      <c r="F9590">
        <v>31.533000000000001</v>
      </c>
      <c r="G9590">
        <v>35.1</v>
      </c>
      <c r="H9590">
        <v>2</v>
      </c>
      <c r="I9590">
        <v>916</v>
      </c>
      <c r="J9590" t="str">
        <f>HYPERLINK("https://climate.onebuilding.org/WMO_Region_6_Europe/PSE_Palestine/PSE_WBK_Hebron.402400_TMYx.2009-2023.zip")</f>
        <v>https://climate.onebuilding.org/WMO_Region_6_Europe/PSE_Palestine/PSE_WBK_Hebron.402400_TMYx.2009-2023.zip</v>
      </c>
    </row>
    <row r="9591" spans="1:10" x14ac:dyDescent="0.25">
      <c r="A9591" t="s">
        <v>7121</v>
      </c>
      <c r="B9591" t="s">
        <v>7124</v>
      </c>
      <c r="C9591" t="s">
        <v>7125</v>
      </c>
      <c r="D9591">
        <v>402400</v>
      </c>
      <c r="E9591" t="s">
        <v>78</v>
      </c>
      <c r="F9591">
        <v>31.533000000000001</v>
      </c>
      <c r="G9591">
        <v>35.1</v>
      </c>
      <c r="H9591">
        <v>2</v>
      </c>
      <c r="I9591">
        <v>916</v>
      </c>
      <c r="J9591" t="str">
        <f>HYPERLINK("https://climate.onebuilding.org/WMO_Region_6_Europe/PSE_Palestine/PSE_WBK_Hebron.402400_TMYx.zip")</f>
        <v>https://climate.onebuilding.org/WMO_Region_6_Europe/PSE_Palestine/PSE_WBK_Hebron.402400_TMYx.zip</v>
      </c>
    </row>
    <row r="9592" spans="1:10" x14ac:dyDescent="0.25">
      <c r="A9592" t="s">
        <v>7121</v>
      </c>
      <c r="B9592" t="s">
        <v>7124</v>
      </c>
      <c r="C9592" t="s">
        <v>7126</v>
      </c>
      <c r="D9592">
        <v>402800</v>
      </c>
      <c r="E9592" t="s">
        <v>78</v>
      </c>
      <c r="F9592">
        <v>31.867000000000001</v>
      </c>
      <c r="G9592">
        <v>35.5</v>
      </c>
      <c r="H9592">
        <v>2</v>
      </c>
      <c r="I9592">
        <v>-275</v>
      </c>
      <c r="J9592" t="str">
        <f>HYPERLINK("https://climate.onebuilding.org/WMO_Region_6_Europe/PSE_Palestine/PSE_WBK_Jericho.402800_TMYx.2007-2021.zip")</f>
        <v>https://climate.onebuilding.org/WMO_Region_6_Europe/PSE_Palestine/PSE_WBK_Jericho.402800_TMYx.2007-2021.zip</v>
      </c>
    </row>
    <row r="9593" spans="1:10" x14ac:dyDescent="0.25">
      <c r="A9593" t="s">
        <v>7121</v>
      </c>
      <c r="B9593" t="s">
        <v>7124</v>
      </c>
      <c r="C9593" t="s">
        <v>7126</v>
      </c>
      <c r="D9593">
        <v>402800</v>
      </c>
      <c r="E9593" t="s">
        <v>78</v>
      </c>
      <c r="F9593">
        <v>31.867000000000001</v>
      </c>
      <c r="G9593">
        <v>35.5</v>
      </c>
      <c r="H9593">
        <v>2</v>
      </c>
      <c r="I9593">
        <v>-275</v>
      </c>
      <c r="J9593" t="str">
        <f>HYPERLINK("https://climate.onebuilding.org/WMO_Region_6_Europe/PSE_Palestine/PSE_WBK_Jericho.402800_TMYx.2009-2023.zip")</f>
        <v>https://climate.onebuilding.org/WMO_Region_6_Europe/PSE_Palestine/PSE_WBK_Jericho.402800_TMYx.2009-2023.zip</v>
      </c>
    </row>
    <row r="9594" spans="1:10" x14ac:dyDescent="0.25">
      <c r="A9594" t="s">
        <v>7121</v>
      </c>
      <c r="B9594" t="s">
        <v>7124</v>
      </c>
      <c r="C9594" t="s">
        <v>7126</v>
      </c>
      <c r="D9594">
        <v>402800</v>
      </c>
      <c r="E9594" t="s">
        <v>78</v>
      </c>
      <c r="F9594">
        <v>31.867000000000001</v>
      </c>
      <c r="G9594">
        <v>35.5</v>
      </c>
      <c r="H9594">
        <v>2</v>
      </c>
      <c r="I9594">
        <v>-275</v>
      </c>
      <c r="J9594" t="str">
        <f>HYPERLINK("https://climate.onebuilding.org/WMO_Region_6_Europe/PSE_Palestine/PSE_WBK_Jericho.402800_TMYx.zip")</f>
        <v>https://climate.onebuilding.org/WMO_Region_6_Europe/PSE_Palestine/PSE_WBK_Jericho.402800_TMYx.zip</v>
      </c>
    </row>
    <row r="9595" spans="1:10" x14ac:dyDescent="0.25">
      <c r="A9595" t="s">
        <v>7121</v>
      </c>
      <c r="B9595" t="s">
        <v>7122</v>
      </c>
      <c r="C9595" t="s">
        <v>7127</v>
      </c>
      <c r="D9595">
        <v>623380</v>
      </c>
      <c r="E9595" t="s">
        <v>78</v>
      </c>
      <c r="F9595">
        <v>31.5</v>
      </c>
      <c r="G9595">
        <v>34.450000000000003</v>
      </c>
      <c r="H9595">
        <v>2</v>
      </c>
      <c r="I9595">
        <v>16</v>
      </c>
      <c r="J9595" t="str">
        <f>HYPERLINK("https://climate.onebuilding.org/WMO_Region_6_Europe/PSE_Palestine/PSE_GZZ_Gaza.623380_TMYx.2007-2021.zip")</f>
        <v>https://climate.onebuilding.org/WMO_Region_6_Europe/PSE_Palestine/PSE_GZZ_Gaza.623380_TMYx.2007-2021.zip</v>
      </c>
    </row>
    <row r="9596" spans="1:10" x14ac:dyDescent="0.25">
      <c r="A9596" t="s">
        <v>7121</v>
      </c>
      <c r="B9596" t="s">
        <v>7122</v>
      </c>
      <c r="C9596" t="s">
        <v>7127</v>
      </c>
      <c r="D9596">
        <v>623380</v>
      </c>
      <c r="E9596" t="s">
        <v>78</v>
      </c>
      <c r="F9596">
        <v>31.5</v>
      </c>
      <c r="G9596">
        <v>34.450000000000003</v>
      </c>
      <c r="H9596">
        <v>2</v>
      </c>
      <c r="I9596">
        <v>16</v>
      </c>
      <c r="J9596" t="str">
        <f>HYPERLINK("https://climate.onebuilding.org/WMO_Region_6_Europe/PSE_Palestine/PSE_GZZ_Gaza.623380_TMYx.2009-2023.zip")</f>
        <v>https://climate.onebuilding.org/WMO_Region_6_Europe/PSE_Palestine/PSE_GZZ_Gaza.623380_TMYx.2009-2023.zip</v>
      </c>
    </row>
    <row r="9597" spans="1:10" x14ac:dyDescent="0.25">
      <c r="A9597" t="s">
        <v>7121</v>
      </c>
      <c r="B9597" t="s">
        <v>7122</v>
      </c>
      <c r="C9597" t="s">
        <v>7127</v>
      </c>
      <c r="D9597">
        <v>623380</v>
      </c>
      <c r="E9597" t="s">
        <v>78</v>
      </c>
      <c r="F9597">
        <v>31.5</v>
      </c>
      <c r="G9597">
        <v>34.450000000000003</v>
      </c>
      <c r="H9597">
        <v>2</v>
      </c>
      <c r="I9597">
        <v>16</v>
      </c>
      <c r="J9597" t="str">
        <f>HYPERLINK("https://climate.onebuilding.org/WMO_Region_6_Europe/PSE_Palestine/PSE_GZZ_Gaza.623380_TMYx.zip")</f>
        <v>https://climate.onebuilding.org/WMO_Region_6_Europe/PSE_Palestine/PSE_GZZ_Gaza.623380_TMYx.zip</v>
      </c>
    </row>
    <row r="9598" spans="1:10" x14ac:dyDescent="0.25">
      <c r="A9598" t="s">
        <v>7128</v>
      </c>
      <c r="B9598" t="s">
        <v>2984</v>
      </c>
      <c r="C9598" t="s">
        <v>7129</v>
      </c>
      <c r="D9598">
        <v>150000</v>
      </c>
      <c r="E9598" t="s">
        <v>14</v>
      </c>
      <c r="F9598">
        <v>48.195</v>
      </c>
      <c r="G9598">
        <v>26.573599999999999</v>
      </c>
      <c r="H9598">
        <v>2</v>
      </c>
      <c r="I9598">
        <v>260.2</v>
      </c>
      <c r="J9598" t="str">
        <f>HYPERLINK("https://climate.onebuilding.org/WMO_Region_6_Europe/ROU_Romania/BT_Botosani/ROU_BT_Darabani.150000_TMYx.2007-2021.zip")</f>
        <v>https://climate.onebuilding.org/WMO_Region_6_Europe/ROU_Romania/BT_Botosani/ROU_BT_Darabani.150000_TMYx.2007-2021.zip</v>
      </c>
    </row>
    <row r="9599" spans="1:10" x14ac:dyDescent="0.25">
      <c r="A9599" t="s">
        <v>7128</v>
      </c>
      <c r="B9599" t="s">
        <v>2984</v>
      </c>
      <c r="C9599" t="s">
        <v>7129</v>
      </c>
      <c r="D9599">
        <v>150000</v>
      </c>
      <c r="E9599" t="s">
        <v>14</v>
      </c>
      <c r="F9599">
        <v>48.195</v>
      </c>
      <c r="G9599">
        <v>26.573599999999999</v>
      </c>
      <c r="H9599">
        <v>2</v>
      </c>
      <c r="I9599">
        <v>260.2</v>
      </c>
      <c r="J9599" t="str">
        <f>HYPERLINK("https://climate.onebuilding.org/WMO_Region_6_Europe/ROU_Romania/BT_Botosani/ROU_BT_Darabani.150000_TMYx.2009-2023.zip")</f>
        <v>https://climate.onebuilding.org/WMO_Region_6_Europe/ROU_Romania/BT_Botosani/ROU_BT_Darabani.150000_TMYx.2009-2023.zip</v>
      </c>
    </row>
    <row r="9600" spans="1:10" x14ac:dyDescent="0.25">
      <c r="A9600" t="s">
        <v>7128</v>
      </c>
      <c r="B9600" t="s">
        <v>2984</v>
      </c>
      <c r="C9600" t="s">
        <v>7129</v>
      </c>
      <c r="D9600">
        <v>150000</v>
      </c>
      <c r="E9600" t="s">
        <v>14</v>
      </c>
      <c r="F9600">
        <v>48.195</v>
      </c>
      <c r="G9600">
        <v>26.573599999999999</v>
      </c>
      <c r="H9600">
        <v>2</v>
      </c>
      <c r="I9600">
        <v>260.2</v>
      </c>
      <c r="J9600" t="str">
        <f>HYPERLINK("https://climate.onebuilding.org/WMO_Region_6_Europe/ROU_Romania/BT_Botosani/ROU_BT_Darabani.150000_TMYx.zip")</f>
        <v>https://climate.onebuilding.org/WMO_Region_6_Europe/ROU_Romania/BT_Botosani/ROU_BT_Darabani.150000_TMYx.zip</v>
      </c>
    </row>
    <row r="9601" spans="1:10" x14ac:dyDescent="0.25">
      <c r="A9601" t="s">
        <v>7128</v>
      </c>
      <c r="B9601" t="s">
        <v>7130</v>
      </c>
      <c r="C9601" t="s">
        <v>7131</v>
      </c>
      <c r="D9601">
        <v>150001</v>
      </c>
      <c r="E9601" t="s">
        <v>7132</v>
      </c>
      <c r="F9601">
        <v>45.21</v>
      </c>
      <c r="G9601">
        <v>26.97</v>
      </c>
      <c r="H9601">
        <v>2</v>
      </c>
      <c r="I9601">
        <v>103</v>
      </c>
      <c r="J9601" t="str">
        <f>HYPERLINK("https://climate.onebuilding.org/WMO_Region_6_Europe/ROU_Romania/BZ_Buzau/ROU_BZ_Boboc.AB.150001_TMYx.2004-2018.zip")</f>
        <v>https://climate.onebuilding.org/WMO_Region_6_Europe/ROU_Romania/BZ_Buzau/ROU_BZ_Boboc.AB.150001_TMYx.2004-2018.zip</v>
      </c>
    </row>
    <row r="9602" spans="1:10" x14ac:dyDescent="0.25">
      <c r="A9602" t="s">
        <v>7128</v>
      </c>
      <c r="B9602" t="s">
        <v>7130</v>
      </c>
      <c r="C9602" t="s">
        <v>7131</v>
      </c>
      <c r="D9602">
        <v>150001</v>
      </c>
      <c r="E9602" t="s">
        <v>14</v>
      </c>
      <c r="F9602">
        <v>45.21</v>
      </c>
      <c r="G9602">
        <v>26.97</v>
      </c>
      <c r="H9602">
        <v>2</v>
      </c>
      <c r="I9602">
        <v>103</v>
      </c>
      <c r="J9602" t="str">
        <f>HYPERLINK("https://climate.onebuilding.org/WMO_Region_6_Europe/ROU_Romania/BZ_Buzau/ROU_BZ_Boboc.AB.150001_TMYx.2007-2021.zip")</f>
        <v>https://climate.onebuilding.org/WMO_Region_6_Europe/ROU_Romania/BZ_Buzau/ROU_BZ_Boboc.AB.150001_TMYx.2007-2021.zip</v>
      </c>
    </row>
    <row r="9603" spans="1:10" x14ac:dyDescent="0.25">
      <c r="A9603" t="s">
        <v>7128</v>
      </c>
      <c r="B9603" t="s">
        <v>7130</v>
      </c>
      <c r="C9603" t="s">
        <v>7131</v>
      </c>
      <c r="D9603">
        <v>150001</v>
      </c>
      <c r="E9603" t="s">
        <v>14</v>
      </c>
      <c r="F9603">
        <v>45.21</v>
      </c>
      <c r="G9603">
        <v>26.97</v>
      </c>
      <c r="H9603">
        <v>2</v>
      </c>
      <c r="I9603">
        <v>103</v>
      </c>
      <c r="J9603" t="str">
        <f>HYPERLINK("https://climate.onebuilding.org/WMO_Region_6_Europe/ROU_Romania/BZ_Buzau/ROU_BZ_Boboc.AB.150001_TMYx.2009-2023.zip")</f>
        <v>https://climate.onebuilding.org/WMO_Region_6_Europe/ROU_Romania/BZ_Buzau/ROU_BZ_Boboc.AB.150001_TMYx.2009-2023.zip</v>
      </c>
    </row>
    <row r="9604" spans="1:10" x14ac:dyDescent="0.25">
      <c r="A9604" t="s">
        <v>7128</v>
      </c>
      <c r="B9604" t="s">
        <v>7130</v>
      </c>
      <c r="C9604" t="s">
        <v>7131</v>
      </c>
      <c r="D9604">
        <v>150001</v>
      </c>
      <c r="E9604" t="s">
        <v>14</v>
      </c>
      <c r="F9604">
        <v>45.21</v>
      </c>
      <c r="G9604">
        <v>26.97</v>
      </c>
      <c r="H9604">
        <v>2</v>
      </c>
      <c r="I9604">
        <v>103</v>
      </c>
      <c r="J9604" t="str">
        <f>HYPERLINK("https://climate.onebuilding.org/WMO_Region_6_Europe/ROU_Romania/BZ_Buzau/ROU_BZ_Boboc.AB.150001_TMYx.zip")</f>
        <v>https://climate.onebuilding.org/WMO_Region_6_Europe/ROU_Romania/BZ_Buzau/ROU_BZ_Boboc.AB.150001_TMYx.zip</v>
      </c>
    </row>
    <row r="9605" spans="1:10" x14ac:dyDescent="0.25">
      <c r="A9605" t="s">
        <v>7128</v>
      </c>
      <c r="B9605" t="s">
        <v>7133</v>
      </c>
      <c r="C9605" t="s">
        <v>7134</v>
      </c>
      <c r="D9605">
        <v>150002</v>
      </c>
      <c r="E9605" t="s">
        <v>14</v>
      </c>
      <c r="F9605">
        <v>44.383000000000003</v>
      </c>
      <c r="G9605">
        <v>27.716999999999999</v>
      </c>
      <c r="H9605">
        <v>2</v>
      </c>
      <c r="I9605">
        <v>54</v>
      </c>
      <c r="J9605" t="str">
        <f>HYPERLINK("https://climate.onebuilding.org/WMO_Region_6_Europe/ROU_Romania/IL_Ialomita/ROU_IL_Borcea.Fetesti.AB.150002_TMYx.2007-2021.zip")</f>
        <v>https://climate.onebuilding.org/WMO_Region_6_Europe/ROU_Romania/IL_Ialomita/ROU_IL_Borcea.Fetesti.AB.150002_TMYx.2007-2021.zip</v>
      </c>
    </row>
    <row r="9606" spans="1:10" x14ac:dyDescent="0.25">
      <c r="A9606" t="s">
        <v>7128</v>
      </c>
      <c r="B9606" t="s">
        <v>7133</v>
      </c>
      <c r="C9606" t="s">
        <v>7134</v>
      </c>
      <c r="D9606">
        <v>150002</v>
      </c>
      <c r="E9606" t="s">
        <v>14</v>
      </c>
      <c r="F9606">
        <v>44.383000000000003</v>
      </c>
      <c r="G9606">
        <v>27.716999999999999</v>
      </c>
      <c r="H9606">
        <v>2</v>
      </c>
      <c r="I9606">
        <v>54</v>
      </c>
      <c r="J9606" t="str">
        <f>HYPERLINK("https://climate.onebuilding.org/WMO_Region_6_Europe/ROU_Romania/IL_Ialomita/ROU_IL_Borcea.Fetesti.AB.150002_TMYx.2009-2023.zip")</f>
        <v>https://climate.onebuilding.org/WMO_Region_6_Europe/ROU_Romania/IL_Ialomita/ROU_IL_Borcea.Fetesti.AB.150002_TMYx.2009-2023.zip</v>
      </c>
    </row>
    <row r="9607" spans="1:10" x14ac:dyDescent="0.25">
      <c r="A9607" t="s">
        <v>7128</v>
      </c>
      <c r="B9607" t="s">
        <v>7133</v>
      </c>
      <c r="C9607" t="s">
        <v>7134</v>
      </c>
      <c r="D9607">
        <v>150002</v>
      </c>
      <c r="E9607" t="s">
        <v>14</v>
      </c>
      <c r="F9607">
        <v>44.383000000000003</v>
      </c>
      <c r="G9607">
        <v>27.716999999999999</v>
      </c>
      <c r="H9607">
        <v>2</v>
      </c>
      <c r="I9607">
        <v>54</v>
      </c>
      <c r="J9607" t="str">
        <f>HYPERLINK("https://climate.onebuilding.org/WMO_Region_6_Europe/ROU_Romania/IL_Ialomita/ROU_IL_Borcea.Fetesti.AB.150002_TMYx.zip")</f>
        <v>https://climate.onebuilding.org/WMO_Region_6_Europe/ROU_Romania/IL_Ialomita/ROU_IL_Borcea.Fetesti.AB.150002_TMYx.zip</v>
      </c>
    </row>
    <row r="9608" spans="1:10" x14ac:dyDescent="0.25">
      <c r="A9608" t="s">
        <v>7128</v>
      </c>
      <c r="B9608" t="s">
        <v>7135</v>
      </c>
      <c r="C9608" t="s">
        <v>7136</v>
      </c>
      <c r="D9608">
        <v>150040</v>
      </c>
      <c r="E9608" t="s">
        <v>7137</v>
      </c>
      <c r="F9608">
        <v>47.9392</v>
      </c>
      <c r="G9608">
        <v>23.904399999999999</v>
      </c>
      <c r="H9608">
        <v>2</v>
      </c>
      <c r="I9608">
        <v>276.3</v>
      </c>
      <c r="J9608" t="str">
        <f>HYPERLINK("https://climate.onebuilding.org/WMO_Region_6_Europe/ROU_Romania/MM_Maramures/ROU_MM_Sighetul.Marmatiei.150040_TMYx.2004-2018.zip")</f>
        <v>https://climate.onebuilding.org/WMO_Region_6_Europe/ROU_Romania/MM_Maramures/ROU_MM_Sighetul.Marmatiei.150040_TMYx.2004-2018.zip</v>
      </c>
    </row>
    <row r="9609" spans="1:10" x14ac:dyDescent="0.25">
      <c r="A9609" t="s">
        <v>7128</v>
      </c>
      <c r="B9609" t="s">
        <v>7135</v>
      </c>
      <c r="C9609" t="s">
        <v>7136</v>
      </c>
      <c r="D9609">
        <v>150040</v>
      </c>
      <c r="E9609" t="s">
        <v>14</v>
      </c>
      <c r="F9609">
        <v>47.9392</v>
      </c>
      <c r="G9609">
        <v>23.904399999999999</v>
      </c>
      <c r="H9609">
        <v>2</v>
      </c>
      <c r="I9609">
        <v>276.3</v>
      </c>
      <c r="J9609" t="str">
        <f>HYPERLINK("https://climate.onebuilding.org/WMO_Region_6_Europe/ROU_Romania/MM_Maramures/ROU_MM_Sighetul.Marmatiei.150040_TMYx.2007-2021.zip")</f>
        <v>https://climate.onebuilding.org/WMO_Region_6_Europe/ROU_Romania/MM_Maramures/ROU_MM_Sighetul.Marmatiei.150040_TMYx.2007-2021.zip</v>
      </c>
    </row>
    <row r="9610" spans="1:10" x14ac:dyDescent="0.25">
      <c r="A9610" t="s">
        <v>7128</v>
      </c>
      <c r="B9610" t="s">
        <v>7135</v>
      </c>
      <c r="C9610" t="s">
        <v>7136</v>
      </c>
      <c r="D9610">
        <v>150040</v>
      </c>
      <c r="E9610" t="s">
        <v>14</v>
      </c>
      <c r="F9610">
        <v>47.9392</v>
      </c>
      <c r="G9610">
        <v>23.904399999999999</v>
      </c>
      <c r="H9610">
        <v>2</v>
      </c>
      <c r="I9610">
        <v>276.3</v>
      </c>
      <c r="J9610" t="str">
        <f>HYPERLINK("https://climate.onebuilding.org/WMO_Region_6_Europe/ROU_Romania/MM_Maramures/ROU_MM_Sighetul.Marmatiei.150040_TMYx.2009-2023.zip")</f>
        <v>https://climate.onebuilding.org/WMO_Region_6_Europe/ROU_Romania/MM_Maramures/ROU_MM_Sighetul.Marmatiei.150040_TMYx.2009-2023.zip</v>
      </c>
    </row>
    <row r="9611" spans="1:10" x14ac:dyDescent="0.25">
      <c r="A9611" t="s">
        <v>7128</v>
      </c>
      <c r="B9611" t="s">
        <v>7135</v>
      </c>
      <c r="C9611" t="s">
        <v>7136</v>
      </c>
      <c r="D9611">
        <v>150040</v>
      </c>
      <c r="E9611" t="s">
        <v>14</v>
      </c>
      <c r="F9611">
        <v>47.9392</v>
      </c>
      <c r="G9611">
        <v>23.904399999999999</v>
      </c>
      <c r="H9611">
        <v>2</v>
      </c>
      <c r="I9611">
        <v>276.3</v>
      </c>
      <c r="J9611" t="str">
        <f>HYPERLINK("https://climate.onebuilding.org/WMO_Region_6_Europe/ROU_Romania/MM_Maramures/ROU_MM_Sighetul.Marmatiei.150040_TMYx.zip")</f>
        <v>https://climate.onebuilding.org/WMO_Region_6_Europe/ROU_Romania/MM_Maramures/ROU_MM_Sighetul.Marmatiei.150040_TMYx.zip</v>
      </c>
    </row>
    <row r="9612" spans="1:10" x14ac:dyDescent="0.25">
      <c r="A9612" t="s">
        <v>7128</v>
      </c>
      <c r="B9612" t="s">
        <v>5733</v>
      </c>
      <c r="C9612" t="s">
        <v>7138</v>
      </c>
      <c r="D9612">
        <v>150070</v>
      </c>
      <c r="E9612" t="s">
        <v>14</v>
      </c>
      <c r="F9612">
        <v>47.837800000000001</v>
      </c>
      <c r="G9612">
        <v>25.890599999999999</v>
      </c>
      <c r="H9612">
        <v>2</v>
      </c>
      <c r="I9612">
        <v>390.5</v>
      </c>
      <c r="J9612" t="str">
        <f>HYPERLINK("https://climate.onebuilding.org/WMO_Region_6_Europe/ROU_Romania/SV_Suceava/ROU_SV_Radauti.150070_TMYx.2007-2021.zip")</f>
        <v>https://climate.onebuilding.org/WMO_Region_6_Europe/ROU_Romania/SV_Suceava/ROU_SV_Radauti.150070_TMYx.2007-2021.zip</v>
      </c>
    </row>
    <row r="9613" spans="1:10" x14ac:dyDescent="0.25">
      <c r="A9613" t="s">
        <v>7128</v>
      </c>
      <c r="B9613" t="s">
        <v>5733</v>
      </c>
      <c r="C9613" t="s">
        <v>7138</v>
      </c>
      <c r="D9613">
        <v>150070</v>
      </c>
      <c r="E9613" t="s">
        <v>14</v>
      </c>
      <c r="F9613">
        <v>47.837800000000001</v>
      </c>
      <c r="G9613">
        <v>25.890599999999999</v>
      </c>
      <c r="H9613">
        <v>2</v>
      </c>
      <c r="I9613">
        <v>390.5</v>
      </c>
      <c r="J9613" t="str">
        <f>HYPERLINK("https://climate.onebuilding.org/WMO_Region_6_Europe/ROU_Romania/SV_Suceava/ROU_SV_Radauti.150070_TMYx.2009-2023.zip")</f>
        <v>https://climate.onebuilding.org/WMO_Region_6_Europe/ROU_Romania/SV_Suceava/ROU_SV_Radauti.150070_TMYx.2009-2023.zip</v>
      </c>
    </row>
    <row r="9614" spans="1:10" x14ac:dyDescent="0.25">
      <c r="A9614" t="s">
        <v>7128</v>
      </c>
      <c r="B9614" t="s">
        <v>5733</v>
      </c>
      <c r="C9614" t="s">
        <v>7138</v>
      </c>
      <c r="D9614">
        <v>150070</v>
      </c>
      <c r="E9614" t="s">
        <v>14</v>
      </c>
      <c r="F9614">
        <v>47.837800000000001</v>
      </c>
      <c r="G9614">
        <v>25.890599999999999</v>
      </c>
      <c r="H9614">
        <v>2</v>
      </c>
      <c r="I9614">
        <v>390.5</v>
      </c>
      <c r="J9614" t="str">
        <f>HYPERLINK("https://climate.onebuilding.org/WMO_Region_6_Europe/ROU_Romania/SV_Suceava/ROU_SV_Radauti.150070_TMYx.zip")</f>
        <v>https://climate.onebuilding.org/WMO_Region_6_Europe/ROU_Romania/SV_Suceava/ROU_SV_Radauti.150070_TMYx.zip</v>
      </c>
    </row>
    <row r="9615" spans="1:10" x14ac:dyDescent="0.25">
      <c r="A9615" t="s">
        <v>7128</v>
      </c>
      <c r="B9615" t="s">
        <v>2984</v>
      </c>
      <c r="C9615" t="s">
        <v>7139</v>
      </c>
      <c r="D9615">
        <v>150090</v>
      </c>
      <c r="E9615" t="s">
        <v>14</v>
      </c>
      <c r="F9615">
        <v>47.966999999999999</v>
      </c>
      <c r="G9615">
        <v>26.4</v>
      </c>
      <c r="H9615">
        <v>2</v>
      </c>
      <c r="I9615">
        <v>241</v>
      </c>
      <c r="J9615" t="str">
        <f>HYPERLINK("https://climate.onebuilding.org/WMO_Region_6_Europe/ROU_Romania/BT_Botosani/ROU_BT_Dorohoi.150090_TMYx.zip")</f>
        <v>https://climate.onebuilding.org/WMO_Region_6_Europe/ROU_Romania/BT_Botosani/ROU_BT_Dorohoi.150090_TMYx.zip</v>
      </c>
    </row>
    <row r="9616" spans="1:10" x14ac:dyDescent="0.25">
      <c r="A9616" t="s">
        <v>7128</v>
      </c>
      <c r="B9616" t="s">
        <v>567</v>
      </c>
      <c r="C9616" t="s">
        <v>7140</v>
      </c>
      <c r="D9616">
        <v>150100</v>
      </c>
      <c r="E9616" t="s">
        <v>7141</v>
      </c>
      <c r="F9616">
        <v>47.721400000000003</v>
      </c>
      <c r="G9616">
        <v>22.8872</v>
      </c>
      <c r="H9616">
        <v>2</v>
      </c>
      <c r="I9616">
        <v>124.2</v>
      </c>
      <c r="J9616" t="str">
        <f>HYPERLINK("https://climate.onebuilding.org/WMO_Region_6_Europe/ROU_Romania/SM_Satu_Mare/ROU_SM_Satu.Mare.Intl.AP.150100_TMYx.2004-2018.zip")</f>
        <v>https://climate.onebuilding.org/WMO_Region_6_Europe/ROU_Romania/SM_Satu_Mare/ROU_SM_Satu.Mare.Intl.AP.150100_TMYx.2004-2018.zip</v>
      </c>
    </row>
    <row r="9617" spans="1:10" x14ac:dyDescent="0.25">
      <c r="A9617" t="s">
        <v>7128</v>
      </c>
      <c r="B9617" t="s">
        <v>567</v>
      </c>
      <c r="C9617" t="s">
        <v>7140</v>
      </c>
      <c r="D9617">
        <v>150100</v>
      </c>
      <c r="E9617" t="s">
        <v>14</v>
      </c>
      <c r="F9617">
        <v>47.721400000000003</v>
      </c>
      <c r="G9617">
        <v>22.8872</v>
      </c>
      <c r="H9617">
        <v>2</v>
      </c>
      <c r="I9617">
        <v>124.2</v>
      </c>
      <c r="J9617" t="str">
        <f>HYPERLINK("https://climate.onebuilding.org/WMO_Region_6_Europe/ROU_Romania/SM_Satu_Mare/ROU_SM_Satu.Mare.Intl.AP.150100_TMYx.2007-2021.zip")</f>
        <v>https://climate.onebuilding.org/WMO_Region_6_Europe/ROU_Romania/SM_Satu_Mare/ROU_SM_Satu.Mare.Intl.AP.150100_TMYx.2007-2021.zip</v>
      </c>
    </row>
    <row r="9618" spans="1:10" x14ac:dyDescent="0.25">
      <c r="A9618" t="s">
        <v>7128</v>
      </c>
      <c r="B9618" t="s">
        <v>567</v>
      </c>
      <c r="C9618" t="s">
        <v>7140</v>
      </c>
      <c r="D9618">
        <v>150100</v>
      </c>
      <c r="E9618" t="s">
        <v>14</v>
      </c>
      <c r="F9618">
        <v>47.721400000000003</v>
      </c>
      <c r="G9618">
        <v>22.8872</v>
      </c>
      <c r="H9618">
        <v>2</v>
      </c>
      <c r="I9618">
        <v>124.2</v>
      </c>
      <c r="J9618" t="str">
        <f>HYPERLINK("https://climate.onebuilding.org/WMO_Region_6_Europe/ROU_Romania/SM_Satu_Mare/ROU_SM_Satu.Mare.Intl.AP.150100_TMYx.2009-2023.zip")</f>
        <v>https://climate.onebuilding.org/WMO_Region_6_Europe/ROU_Romania/SM_Satu_Mare/ROU_SM_Satu.Mare.Intl.AP.150100_TMYx.2009-2023.zip</v>
      </c>
    </row>
    <row r="9619" spans="1:10" x14ac:dyDescent="0.25">
      <c r="A9619" t="s">
        <v>7128</v>
      </c>
      <c r="B9619" t="s">
        <v>567</v>
      </c>
      <c r="C9619" t="s">
        <v>7140</v>
      </c>
      <c r="D9619">
        <v>150100</v>
      </c>
      <c r="E9619" t="s">
        <v>14</v>
      </c>
      <c r="F9619">
        <v>47.721400000000003</v>
      </c>
      <c r="G9619">
        <v>22.8872</v>
      </c>
      <c r="H9619">
        <v>2</v>
      </c>
      <c r="I9619">
        <v>124.2</v>
      </c>
      <c r="J9619" t="str">
        <f>HYPERLINK("https://climate.onebuilding.org/WMO_Region_6_Europe/ROU_Romania/SM_Satu_Mare/ROU_SM_Satu.Mare.Intl.AP.150100_TMYx.zip")</f>
        <v>https://climate.onebuilding.org/WMO_Region_6_Europe/ROU_Romania/SM_Satu_Mare/ROU_SM_Satu.Mare.Intl.AP.150100_TMYx.zip</v>
      </c>
    </row>
    <row r="9620" spans="1:10" x14ac:dyDescent="0.25">
      <c r="A9620" t="s">
        <v>7128</v>
      </c>
      <c r="B9620" t="s">
        <v>7135</v>
      </c>
      <c r="C9620" t="s">
        <v>7142</v>
      </c>
      <c r="D9620">
        <v>150140</v>
      </c>
      <c r="E9620" t="s">
        <v>7143</v>
      </c>
      <c r="F9620">
        <v>47.658000000000001</v>
      </c>
      <c r="G9620">
        <v>23.47</v>
      </c>
      <c r="H9620">
        <v>2</v>
      </c>
      <c r="I9620">
        <v>184.1</v>
      </c>
      <c r="J9620" t="str">
        <f>HYPERLINK("https://climate.onebuilding.org/WMO_Region_6_Europe/ROU_Romania/MM_Maramures/ROU_MM_Tautii.Magheraus-Maramures.Intl.AP.150140_TMYx.2004-2018.zip")</f>
        <v>https://climate.onebuilding.org/WMO_Region_6_Europe/ROU_Romania/MM_Maramures/ROU_MM_Tautii.Magheraus-Maramures.Intl.AP.150140_TMYx.2004-2018.zip</v>
      </c>
    </row>
    <row r="9621" spans="1:10" x14ac:dyDescent="0.25">
      <c r="A9621" t="s">
        <v>7128</v>
      </c>
      <c r="B9621" t="s">
        <v>7135</v>
      </c>
      <c r="C9621" t="s">
        <v>7142</v>
      </c>
      <c r="D9621">
        <v>150140</v>
      </c>
      <c r="E9621" t="s">
        <v>14</v>
      </c>
      <c r="F9621">
        <v>47.660800000000002</v>
      </c>
      <c r="G9621">
        <v>23.473299999999998</v>
      </c>
      <c r="H9621">
        <v>2</v>
      </c>
      <c r="I9621">
        <v>184.1</v>
      </c>
      <c r="J9621" t="str">
        <f>HYPERLINK("https://climate.onebuilding.org/WMO_Region_6_Europe/ROU_Romania/MM_Maramures/ROU_MM_Tautii.Magheraus-Maramures.Intl.AP.150140_TMYx.2007-2021.zip")</f>
        <v>https://climate.onebuilding.org/WMO_Region_6_Europe/ROU_Romania/MM_Maramures/ROU_MM_Tautii.Magheraus-Maramures.Intl.AP.150140_TMYx.2007-2021.zip</v>
      </c>
    </row>
    <row r="9622" spans="1:10" x14ac:dyDescent="0.25">
      <c r="A9622" t="s">
        <v>7128</v>
      </c>
      <c r="B9622" t="s">
        <v>7135</v>
      </c>
      <c r="C9622" t="s">
        <v>7142</v>
      </c>
      <c r="D9622">
        <v>150140</v>
      </c>
      <c r="E9622" t="s">
        <v>14</v>
      </c>
      <c r="F9622">
        <v>47.660800000000002</v>
      </c>
      <c r="G9622">
        <v>23.473299999999998</v>
      </c>
      <c r="H9622">
        <v>2</v>
      </c>
      <c r="I9622">
        <v>184.1</v>
      </c>
      <c r="J9622" t="str">
        <f>HYPERLINK("https://climate.onebuilding.org/WMO_Region_6_Europe/ROU_Romania/MM_Maramures/ROU_MM_Tautii.Magheraus-Maramures.Intl.AP.150140_TMYx.2009-2023.zip")</f>
        <v>https://climate.onebuilding.org/WMO_Region_6_Europe/ROU_Romania/MM_Maramures/ROU_MM_Tautii.Magheraus-Maramures.Intl.AP.150140_TMYx.2009-2023.zip</v>
      </c>
    </row>
    <row r="9623" spans="1:10" x14ac:dyDescent="0.25">
      <c r="A9623" t="s">
        <v>7128</v>
      </c>
      <c r="B9623" t="s">
        <v>7135</v>
      </c>
      <c r="C9623" t="s">
        <v>7142</v>
      </c>
      <c r="D9623">
        <v>150140</v>
      </c>
      <c r="E9623" t="s">
        <v>14</v>
      </c>
      <c r="F9623">
        <v>47.660800000000002</v>
      </c>
      <c r="G9623">
        <v>23.473299999999998</v>
      </c>
      <c r="H9623">
        <v>2</v>
      </c>
      <c r="I9623">
        <v>184.1</v>
      </c>
      <c r="J9623" t="str">
        <f>HYPERLINK("https://climate.onebuilding.org/WMO_Region_6_Europe/ROU_Romania/MM_Maramures/ROU_MM_Tautii.Magheraus-Maramures.Intl.AP.150140_TMYx.zip")</f>
        <v>https://climate.onebuilding.org/WMO_Region_6_Europe/ROU_Romania/MM_Maramures/ROU_MM_Tautii.Magheraus-Maramures.Intl.AP.150140_TMYx.zip</v>
      </c>
    </row>
    <row r="9624" spans="1:10" x14ac:dyDescent="0.25">
      <c r="A9624" t="s">
        <v>7128</v>
      </c>
      <c r="B9624" t="s">
        <v>7135</v>
      </c>
      <c r="C9624" t="s">
        <v>7144</v>
      </c>
      <c r="D9624">
        <v>150150</v>
      </c>
      <c r="E9624" t="s">
        <v>7145</v>
      </c>
      <c r="F9624">
        <v>47.776899999999998</v>
      </c>
      <c r="G9624">
        <v>23.9406</v>
      </c>
      <c r="H9624">
        <v>2</v>
      </c>
      <c r="I9624">
        <v>504.3</v>
      </c>
      <c r="J9624" t="str">
        <f>HYPERLINK("https://climate.onebuilding.org/WMO_Region_6_Europe/ROU_Romania/MM_Maramures/ROU_MM_Ocna.Sugatag.150150_TMYx.2004-2018.zip")</f>
        <v>https://climate.onebuilding.org/WMO_Region_6_Europe/ROU_Romania/MM_Maramures/ROU_MM_Ocna.Sugatag.150150_TMYx.2004-2018.zip</v>
      </c>
    </row>
    <row r="9625" spans="1:10" x14ac:dyDescent="0.25">
      <c r="A9625" t="s">
        <v>7128</v>
      </c>
      <c r="B9625" t="s">
        <v>7135</v>
      </c>
      <c r="C9625" t="s">
        <v>7144</v>
      </c>
      <c r="D9625">
        <v>150150</v>
      </c>
      <c r="E9625" t="s">
        <v>14</v>
      </c>
      <c r="F9625">
        <v>47.776899999999998</v>
      </c>
      <c r="G9625">
        <v>23.9406</v>
      </c>
      <c r="H9625">
        <v>2</v>
      </c>
      <c r="I9625">
        <v>504.3</v>
      </c>
      <c r="J9625" t="str">
        <f>HYPERLINK("https://climate.onebuilding.org/WMO_Region_6_Europe/ROU_Romania/MM_Maramures/ROU_MM_Ocna.Sugatag.150150_TMYx.2007-2021.zip")</f>
        <v>https://climate.onebuilding.org/WMO_Region_6_Europe/ROU_Romania/MM_Maramures/ROU_MM_Ocna.Sugatag.150150_TMYx.2007-2021.zip</v>
      </c>
    </row>
    <row r="9626" spans="1:10" x14ac:dyDescent="0.25">
      <c r="A9626" t="s">
        <v>7128</v>
      </c>
      <c r="B9626" t="s">
        <v>7135</v>
      </c>
      <c r="C9626" t="s">
        <v>7144</v>
      </c>
      <c r="D9626">
        <v>150150</v>
      </c>
      <c r="E9626" t="s">
        <v>14</v>
      </c>
      <c r="F9626">
        <v>47.776899999999998</v>
      </c>
      <c r="G9626">
        <v>23.9406</v>
      </c>
      <c r="H9626">
        <v>2</v>
      </c>
      <c r="I9626">
        <v>504.3</v>
      </c>
      <c r="J9626" t="str">
        <f>HYPERLINK("https://climate.onebuilding.org/WMO_Region_6_Europe/ROU_Romania/MM_Maramures/ROU_MM_Ocna.Sugatag.150150_TMYx.2009-2023.zip")</f>
        <v>https://climate.onebuilding.org/WMO_Region_6_Europe/ROU_Romania/MM_Maramures/ROU_MM_Ocna.Sugatag.150150_TMYx.2009-2023.zip</v>
      </c>
    </row>
    <row r="9627" spans="1:10" x14ac:dyDescent="0.25">
      <c r="A9627" t="s">
        <v>7128</v>
      </c>
      <c r="B9627" t="s">
        <v>7135</v>
      </c>
      <c r="C9627" t="s">
        <v>7144</v>
      </c>
      <c r="D9627">
        <v>150150</v>
      </c>
      <c r="E9627" t="s">
        <v>14</v>
      </c>
      <c r="F9627">
        <v>47.776899999999998</v>
      </c>
      <c r="G9627">
        <v>23.9406</v>
      </c>
      <c r="H9627">
        <v>2</v>
      </c>
      <c r="I9627">
        <v>504.3</v>
      </c>
      <c r="J9627" t="str">
        <f>HYPERLINK("https://climate.onebuilding.org/WMO_Region_6_Europe/ROU_Romania/MM_Maramures/ROU_MM_Ocna.Sugatag.150150_TMYx.zip")</f>
        <v>https://climate.onebuilding.org/WMO_Region_6_Europe/ROU_Romania/MM_Maramures/ROU_MM_Ocna.Sugatag.150150_TMYx.zip</v>
      </c>
    </row>
    <row r="9628" spans="1:10" x14ac:dyDescent="0.25">
      <c r="A9628" t="s">
        <v>7128</v>
      </c>
      <c r="B9628" t="s">
        <v>2984</v>
      </c>
      <c r="C9628" t="s">
        <v>7146</v>
      </c>
      <c r="D9628">
        <v>150200</v>
      </c>
      <c r="E9628" t="s">
        <v>7147</v>
      </c>
      <c r="F9628">
        <v>47.735599999999998</v>
      </c>
      <c r="G9628">
        <v>26.645600000000002</v>
      </c>
      <c r="H9628">
        <v>2</v>
      </c>
      <c r="I9628">
        <v>163</v>
      </c>
      <c r="J9628" t="str">
        <f>HYPERLINK("https://climate.onebuilding.org/WMO_Region_6_Europe/ROU_Romania/BT_Botosani/ROU_BT_Botosani.150200_TMYx.2004-2018.zip")</f>
        <v>https://climate.onebuilding.org/WMO_Region_6_Europe/ROU_Romania/BT_Botosani/ROU_BT_Botosani.150200_TMYx.2004-2018.zip</v>
      </c>
    </row>
    <row r="9629" spans="1:10" x14ac:dyDescent="0.25">
      <c r="A9629" t="s">
        <v>7128</v>
      </c>
      <c r="B9629" t="s">
        <v>2984</v>
      </c>
      <c r="C9629" t="s">
        <v>7146</v>
      </c>
      <c r="D9629">
        <v>150200</v>
      </c>
      <c r="E9629" t="s">
        <v>14</v>
      </c>
      <c r="F9629">
        <v>47.735599999999998</v>
      </c>
      <c r="G9629">
        <v>26.645600000000002</v>
      </c>
      <c r="H9629">
        <v>2</v>
      </c>
      <c r="I9629">
        <v>163</v>
      </c>
      <c r="J9629" t="str">
        <f>HYPERLINK("https://climate.onebuilding.org/WMO_Region_6_Europe/ROU_Romania/BT_Botosani/ROU_BT_Botosani.150200_TMYx.2007-2021.zip")</f>
        <v>https://climate.onebuilding.org/WMO_Region_6_Europe/ROU_Romania/BT_Botosani/ROU_BT_Botosani.150200_TMYx.2007-2021.zip</v>
      </c>
    </row>
    <row r="9630" spans="1:10" x14ac:dyDescent="0.25">
      <c r="A9630" t="s">
        <v>7128</v>
      </c>
      <c r="B9630" t="s">
        <v>2984</v>
      </c>
      <c r="C9630" t="s">
        <v>7146</v>
      </c>
      <c r="D9630">
        <v>150200</v>
      </c>
      <c r="E9630" t="s">
        <v>14</v>
      </c>
      <c r="F9630">
        <v>47.735599999999998</v>
      </c>
      <c r="G9630">
        <v>26.645600000000002</v>
      </c>
      <c r="H9630">
        <v>2</v>
      </c>
      <c r="I9630">
        <v>163</v>
      </c>
      <c r="J9630" t="str">
        <f>HYPERLINK("https://climate.onebuilding.org/WMO_Region_6_Europe/ROU_Romania/BT_Botosani/ROU_BT_Botosani.150200_TMYx.2009-2023.zip")</f>
        <v>https://climate.onebuilding.org/WMO_Region_6_Europe/ROU_Romania/BT_Botosani/ROU_BT_Botosani.150200_TMYx.2009-2023.zip</v>
      </c>
    </row>
    <row r="9631" spans="1:10" x14ac:dyDescent="0.25">
      <c r="A9631" t="s">
        <v>7128</v>
      </c>
      <c r="B9631" t="s">
        <v>2984</v>
      </c>
      <c r="C9631" t="s">
        <v>7146</v>
      </c>
      <c r="D9631">
        <v>150200</v>
      </c>
      <c r="E9631" t="s">
        <v>14</v>
      </c>
      <c r="F9631">
        <v>47.735599999999998</v>
      </c>
      <c r="G9631">
        <v>26.645600000000002</v>
      </c>
      <c r="H9631">
        <v>2</v>
      </c>
      <c r="I9631">
        <v>163</v>
      </c>
      <c r="J9631" t="str">
        <f>HYPERLINK("https://climate.onebuilding.org/WMO_Region_6_Europe/ROU_Romania/BT_Botosani/ROU_BT_Botosani.150200_TMYx.zip")</f>
        <v>https://climate.onebuilding.org/WMO_Region_6_Europe/ROU_Romania/BT_Botosani/ROU_BT_Botosani.150200_TMYx.zip</v>
      </c>
    </row>
    <row r="9632" spans="1:10" x14ac:dyDescent="0.25">
      <c r="A9632" t="s">
        <v>7128</v>
      </c>
      <c r="B9632" t="s">
        <v>5733</v>
      </c>
      <c r="C9632" t="s">
        <v>7148</v>
      </c>
      <c r="D9632">
        <v>150230</v>
      </c>
      <c r="E9632" t="s">
        <v>7149</v>
      </c>
      <c r="F9632">
        <v>47.688000000000002</v>
      </c>
      <c r="G9632">
        <v>26.353999999999999</v>
      </c>
      <c r="H9632">
        <v>2</v>
      </c>
      <c r="I9632">
        <v>419.1</v>
      </c>
      <c r="J9632" t="str">
        <f>HYPERLINK("https://climate.onebuilding.org/WMO_Region_6_Europe/ROU_Romania/SV_Suceava/ROU_SV_Suceava.150230_TMYx.2004-2018.zip")</f>
        <v>https://climate.onebuilding.org/WMO_Region_6_Europe/ROU_Romania/SV_Suceava/ROU_SV_Suceava.150230_TMYx.2004-2018.zip</v>
      </c>
    </row>
    <row r="9633" spans="1:10" x14ac:dyDescent="0.25">
      <c r="A9633" t="s">
        <v>7128</v>
      </c>
      <c r="B9633" t="s">
        <v>5733</v>
      </c>
      <c r="C9633" t="s">
        <v>7148</v>
      </c>
      <c r="D9633">
        <v>150230</v>
      </c>
      <c r="E9633" t="s">
        <v>14</v>
      </c>
      <c r="F9633">
        <v>47.632300000000001</v>
      </c>
      <c r="G9633">
        <v>26.2407</v>
      </c>
      <c r="H9633">
        <v>2</v>
      </c>
      <c r="I9633">
        <v>419.1</v>
      </c>
      <c r="J9633" t="str">
        <f>HYPERLINK("https://climate.onebuilding.org/WMO_Region_6_Europe/ROU_Romania/SV_Suceava/ROU_SV_Suceava.150230_TMYx.2007-2021.zip")</f>
        <v>https://climate.onebuilding.org/WMO_Region_6_Europe/ROU_Romania/SV_Suceava/ROU_SV_Suceava.150230_TMYx.2007-2021.zip</v>
      </c>
    </row>
    <row r="9634" spans="1:10" x14ac:dyDescent="0.25">
      <c r="A9634" t="s">
        <v>7128</v>
      </c>
      <c r="B9634" t="s">
        <v>5733</v>
      </c>
      <c r="C9634" t="s">
        <v>7148</v>
      </c>
      <c r="D9634">
        <v>150230</v>
      </c>
      <c r="E9634" t="s">
        <v>14</v>
      </c>
      <c r="F9634">
        <v>47.632300000000001</v>
      </c>
      <c r="G9634">
        <v>26.2407</v>
      </c>
      <c r="H9634">
        <v>2</v>
      </c>
      <c r="I9634">
        <v>419.1</v>
      </c>
      <c r="J9634" t="str">
        <f>HYPERLINK("https://climate.onebuilding.org/WMO_Region_6_Europe/ROU_Romania/SV_Suceava/ROU_SV_Suceava.150230_TMYx.2009-2023.zip")</f>
        <v>https://climate.onebuilding.org/WMO_Region_6_Europe/ROU_Romania/SV_Suceava/ROU_SV_Suceava.150230_TMYx.2009-2023.zip</v>
      </c>
    </row>
    <row r="9635" spans="1:10" x14ac:dyDescent="0.25">
      <c r="A9635" t="s">
        <v>7128</v>
      </c>
      <c r="B9635" t="s">
        <v>5733</v>
      </c>
      <c r="C9635" t="s">
        <v>7148</v>
      </c>
      <c r="D9635">
        <v>150230</v>
      </c>
      <c r="E9635" t="s">
        <v>14</v>
      </c>
      <c r="F9635">
        <v>47.632300000000001</v>
      </c>
      <c r="G9635">
        <v>26.2407</v>
      </c>
      <c r="H9635">
        <v>2</v>
      </c>
      <c r="I9635">
        <v>419.1</v>
      </c>
      <c r="J9635" t="str">
        <f>HYPERLINK("https://climate.onebuilding.org/WMO_Region_6_Europe/ROU_Romania/SV_Suceava/ROU_SV_Suceava.150230_TMYx.zip")</f>
        <v>https://climate.onebuilding.org/WMO_Region_6_Europe/ROU_Romania/SV_Suceava/ROU_SV_Suceava.150230_TMYx.zip</v>
      </c>
    </row>
    <row r="9636" spans="1:10" x14ac:dyDescent="0.25">
      <c r="A9636" t="s">
        <v>7128</v>
      </c>
      <c r="B9636" t="s">
        <v>2984</v>
      </c>
      <c r="C9636" t="s">
        <v>7150</v>
      </c>
      <c r="D9636">
        <v>150250</v>
      </c>
      <c r="E9636" t="s">
        <v>14</v>
      </c>
      <c r="F9636">
        <v>47.8322</v>
      </c>
      <c r="G9636">
        <v>27.2197</v>
      </c>
      <c r="H9636">
        <v>2</v>
      </c>
      <c r="I9636">
        <v>111.2</v>
      </c>
      <c r="J9636" t="str">
        <f>HYPERLINK("https://climate.onebuilding.org/WMO_Region_6_Europe/ROU_Romania/BT_Botosani/ROU_BT_Stanca.Stefanesti.150250_TMYx.2007-2021.zip")</f>
        <v>https://climate.onebuilding.org/WMO_Region_6_Europe/ROU_Romania/BT_Botosani/ROU_BT_Stanca.Stefanesti.150250_TMYx.2007-2021.zip</v>
      </c>
    </row>
    <row r="9637" spans="1:10" x14ac:dyDescent="0.25">
      <c r="A9637" t="s">
        <v>7128</v>
      </c>
      <c r="B9637" t="s">
        <v>2984</v>
      </c>
      <c r="C9637" t="s">
        <v>7150</v>
      </c>
      <c r="D9637">
        <v>150250</v>
      </c>
      <c r="E9637" t="s">
        <v>14</v>
      </c>
      <c r="F9637">
        <v>47.8322</v>
      </c>
      <c r="G9637">
        <v>27.2197</v>
      </c>
      <c r="H9637">
        <v>2</v>
      </c>
      <c r="I9637">
        <v>111.2</v>
      </c>
      <c r="J9637" t="str">
        <f>HYPERLINK("https://climate.onebuilding.org/WMO_Region_6_Europe/ROU_Romania/BT_Botosani/ROU_BT_Stanca.Stefanesti.150250_TMYx.2009-2023.zip")</f>
        <v>https://climate.onebuilding.org/WMO_Region_6_Europe/ROU_Romania/BT_Botosani/ROU_BT_Stanca.Stefanesti.150250_TMYx.2009-2023.zip</v>
      </c>
    </row>
    <row r="9638" spans="1:10" x14ac:dyDescent="0.25">
      <c r="A9638" t="s">
        <v>7128</v>
      </c>
      <c r="B9638" t="s">
        <v>2984</v>
      </c>
      <c r="C9638" t="s">
        <v>7150</v>
      </c>
      <c r="D9638">
        <v>150250</v>
      </c>
      <c r="E9638" t="s">
        <v>14</v>
      </c>
      <c r="F9638">
        <v>47.8322</v>
      </c>
      <c r="G9638">
        <v>27.2197</v>
      </c>
      <c r="H9638">
        <v>2</v>
      </c>
      <c r="I9638">
        <v>111.2</v>
      </c>
      <c r="J9638" t="str">
        <f>HYPERLINK("https://climate.onebuilding.org/WMO_Region_6_Europe/ROU_Romania/BT_Botosani/ROU_BT_Stanca.Stefanesti.150250_TMYx.zip")</f>
        <v>https://climate.onebuilding.org/WMO_Region_6_Europe/ROU_Romania/BT_Botosani/ROU_BT_Stanca.Stefanesti.150250_TMYx.zip</v>
      </c>
    </row>
    <row r="9639" spans="1:10" x14ac:dyDescent="0.25">
      <c r="A9639" t="s">
        <v>7128</v>
      </c>
      <c r="B9639" t="s">
        <v>7135</v>
      </c>
      <c r="C9639" t="s">
        <v>7151</v>
      </c>
      <c r="D9639">
        <v>150320</v>
      </c>
      <c r="E9639" t="s">
        <v>14</v>
      </c>
      <c r="F9639">
        <v>47.582999999999998</v>
      </c>
      <c r="G9639">
        <v>24.667000000000002</v>
      </c>
      <c r="H9639">
        <v>2</v>
      </c>
      <c r="I9639">
        <v>2303</v>
      </c>
      <c r="J9639" t="str">
        <f>HYPERLINK("https://climate.onebuilding.org/WMO_Region_6_Europe/ROU_Romania/MM_Maramures/ROU_MM_Rodnei.Mtn.Rng.Met.Stn.150320_TMYx.zip")</f>
        <v>https://climate.onebuilding.org/WMO_Region_6_Europe/ROU_Romania/MM_Maramures/ROU_MM_Rodnei.Mtn.Rng.Met.Stn.150320_TMYx.zip</v>
      </c>
    </row>
    <row r="9640" spans="1:10" x14ac:dyDescent="0.25">
      <c r="A9640" t="s">
        <v>7128</v>
      </c>
      <c r="B9640" t="s">
        <v>7135</v>
      </c>
      <c r="C9640" t="s">
        <v>7152</v>
      </c>
      <c r="D9640">
        <v>150330</v>
      </c>
      <c r="E9640" t="s">
        <v>14</v>
      </c>
      <c r="F9640">
        <v>47.602499999999999</v>
      </c>
      <c r="G9640">
        <v>24.648900000000001</v>
      </c>
      <c r="H9640">
        <v>2</v>
      </c>
      <c r="I9640">
        <v>1786</v>
      </c>
      <c r="J9640" t="str">
        <f>HYPERLINK("https://climate.onebuilding.org/WMO_Region_6_Europe/ROU_Romania/MM_Maramures/ROU_MM_Iezer.150330_TMYx.2007-2021.zip")</f>
        <v>https://climate.onebuilding.org/WMO_Region_6_Europe/ROU_Romania/MM_Maramures/ROU_MM_Iezer.150330_TMYx.2007-2021.zip</v>
      </c>
    </row>
    <row r="9641" spans="1:10" x14ac:dyDescent="0.25">
      <c r="A9641" t="s">
        <v>7128</v>
      </c>
      <c r="B9641" t="s">
        <v>7135</v>
      </c>
      <c r="C9641" t="s">
        <v>7152</v>
      </c>
      <c r="D9641">
        <v>150330</v>
      </c>
      <c r="E9641" t="s">
        <v>14</v>
      </c>
      <c r="F9641">
        <v>47.602499999999999</v>
      </c>
      <c r="G9641">
        <v>24.648900000000001</v>
      </c>
      <c r="H9641">
        <v>2</v>
      </c>
      <c r="I9641">
        <v>1786</v>
      </c>
      <c r="J9641" t="str">
        <f>HYPERLINK("https://climate.onebuilding.org/WMO_Region_6_Europe/ROU_Romania/MM_Maramures/ROU_MM_Iezer.150330_TMYx.2009-2023.zip")</f>
        <v>https://climate.onebuilding.org/WMO_Region_6_Europe/ROU_Romania/MM_Maramures/ROU_MM_Iezer.150330_TMYx.2009-2023.zip</v>
      </c>
    </row>
    <row r="9642" spans="1:10" x14ac:dyDescent="0.25">
      <c r="A9642" t="s">
        <v>7128</v>
      </c>
      <c r="B9642" t="s">
        <v>7135</v>
      </c>
      <c r="C9642" t="s">
        <v>7152</v>
      </c>
      <c r="D9642">
        <v>150330</v>
      </c>
      <c r="E9642" t="s">
        <v>14</v>
      </c>
      <c r="F9642">
        <v>47.602499999999999</v>
      </c>
      <c r="G9642">
        <v>24.648900000000001</v>
      </c>
      <c r="H9642">
        <v>2</v>
      </c>
      <c r="I9642">
        <v>1786</v>
      </c>
      <c r="J9642" t="str">
        <f>HYPERLINK("https://climate.onebuilding.org/WMO_Region_6_Europe/ROU_Romania/MM_Maramures/ROU_MM_Iezer.150330_TMYx.zip")</f>
        <v>https://climate.onebuilding.org/WMO_Region_6_Europe/ROU_Romania/MM_Maramures/ROU_MM_Iezer.150330_TMYx.zip</v>
      </c>
    </row>
    <row r="9643" spans="1:10" x14ac:dyDescent="0.25">
      <c r="A9643" t="s">
        <v>7128</v>
      </c>
      <c r="B9643" t="s">
        <v>5733</v>
      </c>
      <c r="C9643" t="s">
        <v>7153</v>
      </c>
      <c r="D9643">
        <v>150400</v>
      </c>
      <c r="E9643" t="s">
        <v>14</v>
      </c>
      <c r="F9643">
        <v>47.530799999999999</v>
      </c>
      <c r="G9643">
        <v>25.546800000000001</v>
      </c>
      <c r="H9643">
        <v>2</v>
      </c>
      <c r="I9643">
        <v>660</v>
      </c>
      <c r="J9643" t="str">
        <f>HYPERLINK("https://climate.onebuilding.org/WMO_Region_6_Europe/ROU_Romania/SV_Suceava/ROU_SV_Cimpulung.Moldovenesc.150400_TMYx.zip")</f>
        <v>https://climate.onebuilding.org/WMO_Region_6_Europe/ROU_Romania/SV_Suceava/ROU_SV_Cimpulung.Moldovenesc.150400_TMYx.zip</v>
      </c>
    </row>
    <row r="9644" spans="1:10" x14ac:dyDescent="0.25">
      <c r="A9644" t="s">
        <v>7128</v>
      </c>
      <c r="B9644" t="s">
        <v>2984</v>
      </c>
      <c r="C9644" t="s">
        <v>7154</v>
      </c>
      <c r="D9644">
        <v>150410</v>
      </c>
      <c r="E9644" t="s">
        <v>14</v>
      </c>
      <c r="F9644">
        <v>47.567</v>
      </c>
      <c r="G9644">
        <v>27.2</v>
      </c>
      <c r="H9644">
        <v>2</v>
      </c>
      <c r="I9644">
        <v>61</v>
      </c>
      <c r="J9644" t="str">
        <f>HYPERLINK("https://climate.onebuilding.org/WMO_Region_6_Europe/ROU_Romania/BT_Botosani/ROU_BT_Rauseni.150410_TMYx.zip")</f>
        <v>https://climate.onebuilding.org/WMO_Region_6_Europe/ROU_Romania/BT_Botosani/ROU_BT_Rauseni.150410_TMYx.zip</v>
      </c>
    </row>
    <row r="9645" spans="1:10" x14ac:dyDescent="0.25">
      <c r="A9645" t="s">
        <v>7128</v>
      </c>
      <c r="B9645" t="s">
        <v>7155</v>
      </c>
      <c r="C9645" t="s">
        <v>7156</v>
      </c>
      <c r="D9645">
        <v>150420</v>
      </c>
      <c r="E9645" t="s">
        <v>14</v>
      </c>
      <c r="F9645">
        <v>47.344200000000001</v>
      </c>
      <c r="G9645">
        <v>22.0944</v>
      </c>
      <c r="H9645">
        <v>2</v>
      </c>
      <c r="I9645">
        <v>125.6</v>
      </c>
      <c r="J9645" t="str">
        <f>HYPERLINK("https://climate.onebuilding.org/WMO_Region_6_Europe/ROU_Romania/BH_Bihor/ROU_BH_Sacuieni.150420_TMYx.2007-2021.zip")</f>
        <v>https://climate.onebuilding.org/WMO_Region_6_Europe/ROU_Romania/BH_Bihor/ROU_BH_Sacuieni.150420_TMYx.2007-2021.zip</v>
      </c>
    </row>
    <row r="9646" spans="1:10" x14ac:dyDescent="0.25">
      <c r="A9646" t="s">
        <v>7128</v>
      </c>
      <c r="B9646" t="s">
        <v>7155</v>
      </c>
      <c r="C9646" t="s">
        <v>7156</v>
      </c>
      <c r="D9646">
        <v>150420</v>
      </c>
      <c r="E9646" t="s">
        <v>14</v>
      </c>
      <c r="F9646">
        <v>47.344200000000001</v>
      </c>
      <c r="G9646">
        <v>22.0944</v>
      </c>
      <c r="H9646">
        <v>2</v>
      </c>
      <c r="I9646">
        <v>125.6</v>
      </c>
      <c r="J9646" t="str">
        <f>HYPERLINK("https://climate.onebuilding.org/WMO_Region_6_Europe/ROU_Romania/BH_Bihor/ROU_BH_Sacuieni.150420_TMYx.2009-2023.zip")</f>
        <v>https://climate.onebuilding.org/WMO_Region_6_Europe/ROU_Romania/BH_Bihor/ROU_BH_Sacuieni.150420_TMYx.2009-2023.zip</v>
      </c>
    </row>
    <row r="9647" spans="1:10" x14ac:dyDescent="0.25">
      <c r="A9647" t="s">
        <v>7128</v>
      </c>
      <c r="B9647" t="s">
        <v>7155</v>
      </c>
      <c r="C9647" t="s">
        <v>7156</v>
      </c>
      <c r="D9647">
        <v>150420</v>
      </c>
      <c r="E9647" t="s">
        <v>14</v>
      </c>
      <c r="F9647">
        <v>47.344200000000001</v>
      </c>
      <c r="G9647">
        <v>22.0944</v>
      </c>
      <c r="H9647">
        <v>2</v>
      </c>
      <c r="I9647">
        <v>125.6</v>
      </c>
      <c r="J9647" t="str">
        <f>HYPERLINK("https://climate.onebuilding.org/WMO_Region_6_Europe/ROU_Romania/BH_Bihor/ROU_BH_Sacuieni.150420_TMYx.zip")</f>
        <v>https://climate.onebuilding.org/WMO_Region_6_Europe/ROU_Romania/BH_Bihor/ROU_BH_Sacuieni.150420_TMYx.zip</v>
      </c>
    </row>
    <row r="9648" spans="1:10" x14ac:dyDescent="0.25">
      <c r="A9648" t="s">
        <v>7128</v>
      </c>
      <c r="B9648" t="s">
        <v>567</v>
      </c>
      <c r="C9648" t="s">
        <v>7157</v>
      </c>
      <c r="D9648">
        <v>150440</v>
      </c>
      <c r="E9648" t="s">
        <v>14</v>
      </c>
      <c r="F9648">
        <v>47.454999999999998</v>
      </c>
      <c r="G9648">
        <v>22.7836</v>
      </c>
      <c r="H9648">
        <v>2</v>
      </c>
      <c r="I9648">
        <v>161</v>
      </c>
      <c r="J9648" t="str">
        <f>HYPERLINK("https://climate.onebuilding.org/WMO_Region_6_Europe/ROU_Romania/SM_Satu_Mare/ROU_SM_Supuru.de.Jos.150440_TMYx.2007-2021.zip")</f>
        <v>https://climate.onebuilding.org/WMO_Region_6_Europe/ROU_Romania/SM_Satu_Mare/ROU_SM_Supuru.de.Jos.150440_TMYx.2007-2021.zip</v>
      </c>
    </row>
    <row r="9649" spans="1:10" x14ac:dyDescent="0.25">
      <c r="A9649" t="s">
        <v>7128</v>
      </c>
      <c r="B9649" t="s">
        <v>567</v>
      </c>
      <c r="C9649" t="s">
        <v>7157</v>
      </c>
      <c r="D9649">
        <v>150440</v>
      </c>
      <c r="E9649" t="s">
        <v>14</v>
      </c>
      <c r="F9649">
        <v>47.454999999999998</v>
      </c>
      <c r="G9649">
        <v>22.7836</v>
      </c>
      <c r="H9649">
        <v>2</v>
      </c>
      <c r="I9649">
        <v>161</v>
      </c>
      <c r="J9649" t="str">
        <f>HYPERLINK("https://climate.onebuilding.org/WMO_Region_6_Europe/ROU_Romania/SM_Satu_Mare/ROU_SM_Supuru.de.Jos.150440_TMYx.2009-2023.zip")</f>
        <v>https://climate.onebuilding.org/WMO_Region_6_Europe/ROU_Romania/SM_Satu_Mare/ROU_SM_Supuru.de.Jos.150440_TMYx.2009-2023.zip</v>
      </c>
    </row>
    <row r="9650" spans="1:10" x14ac:dyDescent="0.25">
      <c r="A9650" t="s">
        <v>7128</v>
      </c>
      <c r="B9650" t="s">
        <v>567</v>
      </c>
      <c r="C9650" t="s">
        <v>7157</v>
      </c>
      <c r="D9650">
        <v>150440</v>
      </c>
      <c r="E9650" t="s">
        <v>14</v>
      </c>
      <c r="F9650">
        <v>47.454999999999998</v>
      </c>
      <c r="G9650">
        <v>22.7836</v>
      </c>
      <c r="H9650">
        <v>2</v>
      </c>
      <c r="I9650">
        <v>161</v>
      </c>
      <c r="J9650" t="str">
        <f>HYPERLINK("https://climate.onebuilding.org/WMO_Region_6_Europe/ROU_Romania/SM_Satu_Mare/ROU_SM_Supuru.de.Jos.150440_TMYx.zip")</f>
        <v>https://climate.onebuilding.org/WMO_Region_6_Europe/ROU_Romania/SM_Satu_Mare/ROU_SM_Supuru.de.Jos.150440_TMYx.zip</v>
      </c>
    </row>
    <row r="9651" spans="1:10" x14ac:dyDescent="0.25">
      <c r="A9651" t="s">
        <v>7128</v>
      </c>
      <c r="B9651" t="s">
        <v>7135</v>
      </c>
      <c r="C9651" t="s">
        <v>7158</v>
      </c>
      <c r="D9651">
        <v>150470</v>
      </c>
      <c r="E9651" t="s">
        <v>14</v>
      </c>
      <c r="F9651">
        <v>47.439700000000002</v>
      </c>
      <c r="G9651">
        <v>23.872199999999999</v>
      </c>
      <c r="H9651">
        <v>2</v>
      </c>
      <c r="I9651">
        <v>365</v>
      </c>
      <c r="J9651" t="str">
        <f>HYPERLINK("https://climate.onebuilding.org/WMO_Region_6_Europe/ROU_Romania/MM_Maramures/ROU_MM_Targu.Lapus.150470_TMYx.2007-2021.zip")</f>
        <v>https://climate.onebuilding.org/WMO_Region_6_Europe/ROU_Romania/MM_Maramures/ROU_MM_Targu.Lapus.150470_TMYx.2007-2021.zip</v>
      </c>
    </row>
    <row r="9652" spans="1:10" x14ac:dyDescent="0.25">
      <c r="A9652" t="s">
        <v>7128</v>
      </c>
      <c r="B9652" t="s">
        <v>7135</v>
      </c>
      <c r="C9652" t="s">
        <v>7158</v>
      </c>
      <c r="D9652">
        <v>150470</v>
      </c>
      <c r="E9652" t="s">
        <v>14</v>
      </c>
      <c r="F9652">
        <v>47.439700000000002</v>
      </c>
      <c r="G9652">
        <v>23.872199999999999</v>
      </c>
      <c r="H9652">
        <v>2</v>
      </c>
      <c r="I9652">
        <v>365</v>
      </c>
      <c r="J9652" t="str">
        <f>HYPERLINK("https://climate.onebuilding.org/WMO_Region_6_Europe/ROU_Romania/MM_Maramures/ROU_MM_Targu.Lapus.150470_TMYx.2009-2023.zip")</f>
        <v>https://climate.onebuilding.org/WMO_Region_6_Europe/ROU_Romania/MM_Maramures/ROU_MM_Targu.Lapus.150470_TMYx.2009-2023.zip</v>
      </c>
    </row>
    <row r="9653" spans="1:10" x14ac:dyDescent="0.25">
      <c r="A9653" t="s">
        <v>7128</v>
      </c>
      <c r="B9653" t="s">
        <v>7135</v>
      </c>
      <c r="C9653" t="s">
        <v>7158</v>
      </c>
      <c r="D9653">
        <v>150470</v>
      </c>
      <c r="E9653" t="s">
        <v>14</v>
      </c>
      <c r="F9653">
        <v>47.439700000000002</v>
      </c>
      <c r="G9653">
        <v>23.872199999999999</v>
      </c>
      <c r="H9653">
        <v>2</v>
      </c>
      <c r="I9653">
        <v>365</v>
      </c>
      <c r="J9653" t="str">
        <f>HYPERLINK("https://climate.onebuilding.org/WMO_Region_6_Europe/ROU_Romania/MM_Maramures/ROU_MM_Targu.Lapus.150470_TMYx.zip")</f>
        <v>https://climate.onebuilding.org/WMO_Region_6_Europe/ROU_Romania/MM_Maramures/ROU_MM_Targu.Lapus.150470_TMYx.zip</v>
      </c>
    </row>
    <row r="9654" spans="1:10" x14ac:dyDescent="0.25">
      <c r="A9654" t="s">
        <v>7128</v>
      </c>
      <c r="B9654" t="s">
        <v>5733</v>
      </c>
      <c r="C9654" t="s">
        <v>7159</v>
      </c>
      <c r="D9654">
        <v>150520</v>
      </c>
      <c r="E9654" t="s">
        <v>14</v>
      </c>
      <c r="F9654">
        <v>47.45</v>
      </c>
      <c r="G9654">
        <v>25.567</v>
      </c>
      <c r="H9654">
        <v>2</v>
      </c>
      <c r="I9654">
        <v>1574</v>
      </c>
      <c r="J9654" t="str">
        <f>HYPERLINK("https://climate.onebuilding.org/WMO_Region_6_Europe/ROU_Romania/SV_Suceava/ROU_SV_Rarau.Mtn.150520_TMYx.zip")</f>
        <v>https://climate.onebuilding.org/WMO_Region_6_Europe/ROU_Romania/SV_Suceava/ROU_SV_Rarau.Mtn.150520_TMYx.zip</v>
      </c>
    </row>
    <row r="9655" spans="1:10" x14ac:dyDescent="0.25">
      <c r="A9655" t="s">
        <v>7128</v>
      </c>
      <c r="B9655" t="s">
        <v>5733</v>
      </c>
      <c r="C9655" t="s">
        <v>7160</v>
      </c>
      <c r="D9655">
        <v>150550</v>
      </c>
      <c r="E9655" t="s">
        <v>14</v>
      </c>
      <c r="F9655">
        <v>47.466999999999999</v>
      </c>
      <c r="G9655">
        <v>26.25</v>
      </c>
      <c r="H9655">
        <v>2</v>
      </c>
      <c r="I9655">
        <v>340</v>
      </c>
      <c r="J9655" t="str">
        <f>HYPERLINK("https://climate.onebuilding.org/WMO_Region_6_Europe/ROU_Romania/SV_Suceava/ROU_SV_Radaseni.150550_TMYx.zip")</f>
        <v>https://climate.onebuilding.org/WMO_Region_6_Europe/ROU_Romania/SV_Suceava/ROU_SV_Radaseni.150550_TMYx.zip</v>
      </c>
    </row>
    <row r="9656" spans="1:10" x14ac:dyDescent="0.25">
      <c r="A9656" t="s">
        <v>7128</v>
      </c>
      <c r="B9656" t="s">
        <v>4919</v>
      </c>
      <c r="C9656" t="s">
        <v>7161</v>
      </c>
      <c r="D9656">
        <v>150560</v>
      </c>
      <c r="E9656" t="s">
        <v>14</v>
      </c>
      <c r="F9656">
        <v>47.3583</v>
      </c>
      <c r="G9656">
        <v>26.925599999999999</v>
      </c>
      <c r="H9656">
        <v>2</v>
      </c>
      <c r="I9656">
        <v>290.2</v>
      </c>
      <c r="J9656" t="str">
        <f>HYPERLINK("https://climate.onebuilding.org/WMO_Region_6_Europe/ROU_Romania/IS_Iasi/ROU_IS_Cotnari.150560_TMYx.2007-2021.zip")</f>
        <v>https://climate.onebuilding.org/WMO_Region_6_Europe/ROU_Romania/IS_Iasi/ROU_IS_Cotnari.150560_TMYx.2007-2021.zip</v>
      </c>
    </row>
    <row r="9657" spans="1:10" x14ac:dyDescent="0.25">
      <c r="A9657" t="s">
        <v>7128</v>
      </c>
      <c r="B9657" t="s">
        <v>4919</v>
      </c>
      <c r="C9657" t="s">
        <v>7161</v>
      </c>
      <c r="D9657">
        <v>150560</v>
      </c>
      <c r="E9657" t="s">
        <v>14</v>
      </c>
      <c r="F9657">
        <v>47.3583</v>
      </c>
      <c r="G9657">
        <v>26.925599999999999</v>
      </c>
      <c r="H9657">
        <v>2</v>
      </c>
      <c r="I9657">
        <v>290.2</v>
      </c>
      <c r="J9657" t="str">
        <f>HYPERLINK("https://climate.onebuilding.org/WMO_Region_6_Europe/ROU_Romania/IS_Iasi/ROU_IS_Cotnari.150560_TMYx.2009-2023.zip")</f>
        <v>https://climate.onebuilding.org/WMO_Region_6_Europe/ROU_Romania/IS_Iasi/ROU_IS_Cotnari.150560_TMYx.2009-2023.zip</v>
      </c>
    </row>
    <row r="9658" spans="1:10" x14ac:dyDescent="0.25">
      <c r="A9658" t="s">
        <v>7128</v>
      </c>
      <c r="B9658" t="s">
        <v>4919</v>
      </c>
      <c r="C9658" t="s">
        <v>7161</v>
      </c>
      <c r="D9658">
        <v>150560</v>
      </c>
      <c r="E9658" t="s">
        <v>14</v>
      </c>
      <c r="F9658">
        <v>47.3583</v>
      </c>
      <c r="G9658">
        <v>26.925599999999999</v>
      </c>
      <c r="H9658">
        <v>2</v>
      </c>
      <c r="I9658">
        <v>290.2</v>
      </c>
      <c r="J9658" t="str">
        <f>HYPERLINK("https://climate.onebuilding.org/WMO_Region_6_Europe/ROU_Romania/IS_Iasi/ROU_IS_Cotnari.150560_TMYx.zip")</f>
        <v>https://climate.onebuilding.org/WMO_Region_6_Europe/ROU_Romania/IS_Iasi/ROU_IS_Cotnari.150560_TMYx.zip</v>
      </c>
    </row>
    <row r="9659" spans="1:10" x14ac:dyDescent="0.25">
      <c r="A9659" t="s">
        <v>7128</v>
      </c>
      <c r="B9659" t="s">
        <v>7162</v>
      </c>
      <c r="C9659" t="s">
        <v>7163</v>
      </c>
      <c r="D9659">
        <v>150630</v>
      </c>
      <c r="E9659" t="s">
        <v>14</v>
      </c>
      <c r="F9659">
        <v>47.195</v>
      </c>
      <c r="G9659">
        <v>23.046700000000001</v>
      </c>
      <c r="H9659">
        <v>2</v>
      </c>
      <c r="I9659">
        <v>296.2</v>
      </c>
      <c r="J9659" t="str">
        <f>HYPERLINK("https://climate.onebuilding.org/WMO_Region_6_Europe/ROU_Romania/SJ_Salaj/ROU_SJ_Zalau.150630_TMYx.2007-2021.zip")</f>
        <v>https://climate.onebuilding.org/WMO_Region_6_Europe/ROU_Romania/SJ_Salaj/ROU_SJ_Zalau.150630_TMYx.2007-2021.zip</v>
      </c>
    </row>
    <row r="9660" spans="1:10" x14ac:dyDescent="0.25">
      <c r="A9660" t="s">
        <v>7128</v>
      </c>
      <c r="B9660" t="s">
        <v>7162</v>
      </c>
      <c r="C9660" t="s">
        <v>7163</v>
      </c>
      <c r="D9660">
        <v>150630</v>
      </c>
      <c r="E9660" t="s">
        <v>14</v>
      </c>
      <c r="F9660">
        <v>47.195</v>
      </c>
      <c r="G9660">
        <v>23.046700000000001</v>
      </c>
      <c r="H9660">
        <v>2</v>
      </c>
      <c r="I9660">
        <v>296.2</v>
      </c>
      <c r="J9660" t="str">
        <f>HYPERLINK("https://climate.onebuilding.org/WMO_Region_6_Europe/ROU_Romania/SJ_Salaj/ROU_SJ_Zalau.150630_TMYx.2009-2023.zip")</f>
        <v>https://climate.onebuilding.org/WMO_Region_6_Europe/ROU_Romania/SJ_Salaj/ROU_SJ_Zalau.150630_TMYx.2009-2023.zip</v>
      </c>
    </row>
    <row r="9661" spans="1:10" x14ac:dyDescent="0.25">
      <c r="A9661" t="s">
        <v>7128</v>
      </c>
      <c r="B9661" t="s">
        <v>7162</v>
      </c>
      <c r="C9661" t="s">
        <v>7163</v>
      </c>
      <c r="D9661">
        <v>150630</v>
      </c>
      <c r="E9661" t="s">
        <v>14</v>
      </c>
      <c r="F9661">
        <v>47.195</v>
      </c>
      <c r="G9661">
        <v>23.046700000000001</v>
      </c>
      <c r="H9661">
        <v>2</v>
      </c>
      <c r="I9661">
        <v>296.2</v>
      </c>
      <c r="J9661" t="str">
        <f>HYPERLINK("https://climate.onebuilding.org/WMO_Region_6_Europe/ROU_Romania/SJ_Salaj/ROU_SJ_Zalau.150630_TMYx.zip")</f>
        <v>https://climate.onebuilding.org/WMO_Region_6_Europe/ROU_Romania/SJ_Salaj/ROU_SJ_Zalau.150630_TMYx.zip</v>
      </c>
    </row>
    <row r="9662" spans="1:10" x14ac:dyDescent="0.25">
      <c r="A9662" t="s">
        <v>7128</v>
      </c>
      <c r="B9662" t="s">
        <v>5733</v>
      </c>
      <c r="C9662" t="s">
        <v>7164</v>
      </c>
      <c r="D9662">
        <v>150690</v>
      </c>
      <c r="E9662" t="s">
        <v>14</v>
      </c>
      <c r="F9662">
        <v>47.3247</v>
      </c>
      <c r="G9662">
        <v>25.134499999999999</v>
      </c>
      <c r="H9662">
        <v>2</v>
      </c>
      <c r="I9662">
        <v>924.2</v>
      </c>
      <c r="J9662" t="str">
        <f>HYPERLINK("https://climate.onebuilding.org/WMO_Region_6_Europe/ROU_Romania/SV_Suceava/ROU_SV_Poiana.Stampei.150690_TMYx.2007-2021.zip")</f>
        <v>https://climate.onebuilding.org/WMO_Region_6_Europe/ROU_Romania/SV_Suceava/ROU_SV_Poiana.Stampei.150690_TMYx.2007-2021.zip</v>
      </c>
    </row>
    <row r="9663" spans="1:10" x14ac:dyDescent="0.25">
      <c r="A9663" t="s">
        <v>7128</v>
      </c>
      <c r="B9663" t="s">
        <v>5733</v>
      </c>
      <c r="C9663" t="s">
        <v>7164</v>
      </c>
      <c r="D9663">
        <v>150690</v>
      </c>
      <c r="E9663" t="s">
        <v>14</v>
      </c>
      <c r="F9663">
        <v>47.3247</v>
      </c>
      <c r="G9663">
        <v>25.134499999999999</v>
      </c>
      <c r="H9663">
        <v>2</v>
      </c>
      <c r="I9663">
        <v>924.2</v>
      </c>
      <c r="J9663" t="str">
        <f>HYPERLINK("https://climate.onebuilding.org/WMO_Region_6_Europe/ROU_Romania/SV_Suceava/ROU_SV_Poiana.Stampei.150690_TMYx.2009-2023.zip")</f>
        <v>https://climate.onebuilding.org/WMO_Region_6_Europe/ROU_Romania/SV_Suceava/ROU_SV_Poiana.Stampei.150690_TMYx.2009-2023.zip</v>
      </c>
    </row>
    <row r="9664" spans="1:10" x14ac:dyDescent="0.25">
      <c r="A9664" t="s">
        <v>7128</v>
      </c>
      <c r="B9664" t="s">
        <v>5733</v>
      </c>
      <c r="C9664" t="s">
        <v>7164</v>
      </c>
      <c r="D9664">
        <v>150690</v>
      </c>
      <c r="E9664" t="s">
        <v>14</v>
      </c>
      <c r="F9664">
        <v>47.3247</v>
      </c>
      <c r="G9664">
        <v>25.134499999999999</v>
      </c>
      <c r="H9664">
        <v>2</v>
      </c>
      <c r="I9664">
        <v>924.2</v>
      </c>
      <c r="J9664" t="str">
        <f>HYPERLINK("https://climate.onebuilding.org/WMO_Region_6_Europe/ROU_Romania/SV_Suceava/ROU_SV_Poiana.Stampei.150690_TMYx.zip")</f>
        <v>https://climate.onebuilding.org/WMO_Region_6_Europe/ROU_Romania/SV_Suceava/ROU_SV_Poiana.Stampei.150690_TMYx.zip</v>
      </c>
    </row>
    <row r="9665" spans="1:10" x14ac:dyDescent="0.25">
      <c r="A9665" t="s">
        <v>7128</v>
      </c>
      <c r="B9665" t="s">
        <v>7165</v>
      </c>
      <c r="C9665" t="s">
        <v>7166</v>
      </c>
      <c r="D9665">
        <v>150730</v>
      </c>
      <c r="E9665" t="s">
        <v>14</v>
      </c>
      <c r="F9665">
        <v>47.212200000000003</v>
      </c>
      <c r="G9665">
        <v>26.379200000000001</v>
      </c>
      <c r="H9665">
        <v>2</v>
      </c>
      <c r="I9665">
        <v>388.2</v>
      </c>
      <c r="J9665" t="str">
        <f>HYPERLINK("https://climate.onebuilding.org/WMO_Region_6_Europe/ROU_Romania/NT_Neamt/ROU_NT_Targu.Neamt.150730_TMYx.2007-2021.zip")</f>
        <v>https://climate.onebuilding.org/WMO_Region_6_Europe/ROU_Romania/NT_Neamt/ROU_NT_Targu.Neamt.150730_TMYx.2007-2021.zip</v>
      </c>
    </row>
    <row r="9666" spans="1:10" x14ac:dyDescent="0.25">
      <c r="A9666" t="s">
        <v>7128</v>
      </c>
      <c r="B9666" t="s">
        <v>7165</v>
      </c>
      <c r="C9666" t="s">
        <v>7166</v>
      </c>
      <c r="D9666">
        <v>150730</v>
      </c>
      <c r="E9666" t="s">
        <v>14</v>
      </c>
      <c r="F9666">
        <v>47.212200000000003</v>
      </c>
      <c r="G9666">
        <v>26.379200000000001</v>
      </c>
      <c r="H9666">
        <v>2</v>
      </c>
      <c r="I9666">
        <v>388.2</v>
      </c>
      <c r="J9666" t="str">
        <f>HYPERLINK("https://climate.onebuilding.org/WMO_Region_6_Europe/ROU_Romania/NT_Neamt/ROU_NT_Targu.Neamt.150730_TMYx.2009-2023.zip")</f>
        <v>https://climate.onebuilding.org/WMO_Region_6_Europe/ROU_Romania/NT_Neamt/ROU_NT_Targu.Neamt.150730_TMYx.2009-2023.zip</v>
      </c>
    </row>
    <row r="9667" spans="1:10" x14ac:dyDescent="0.25">
      <c r="A9667" t="s">
        <v>7128</v>
      </c>
      <c r="B9667" t="s">
        <v>7165</v>
      </c>
      <c r="C9667" t="s">
        <v>7166</v>
      </c>
      <c r="D9667">
        <v>150730</v>
      </c>
      <c r="E9667" t="s">
        <v>14</v>
      </c>
      <c r="F9667">
        <v>47.212200000000003</v>
      </c>
      <c r="G9667">
        <v>26.379200000000001</v>
      </c>
      <c r="H9667">
        <v>2</v>
      </c>
      <c r="I9667">
        <v>388.2</v>
      </c>
      <c r="J9667" t="str">
        <f>HYPERLINK("https://climate.onebuilding.org/WMO_Region_6_Europe/ROU_Romania/NT_Neamt/ROU_NT_Targu.Neamt.150730_TMYx.zip")</f>
        <v>https://climate.onebuilding.org/WMO_Region_6_Europe/ROU_Romania/NT_Neamt/ROU_NT_Targu.Neamt.150730_TMYx.zip</v>
      </c>
    </row>
    <row r="9668" spans="1:10" x14ac:dyDescent="0.25">
      <c r="A9668" t="s">
        <v>7128</v>
      </c>
      <c r="B9668" t="s">
        <v>4919</v>
      </c>
      <c r="C9668" t="s">
        <v>7167</v>
      </c>
      <c r="D9668">
        <v>150750</v>
      </c>
      <c r="E9668" t="s">
        <v>14</v>
      </c>
      <c r="F9668">
        <v>47.216999999999999</v>
      </c>
      <c r="G9668">
        <v>27.266999999999999</v>
      </c>
      <c r="H9668">
        <v>2</v>
      </c>
      <c r="I9668">
        <v>90</v>
      </c>
      <c r="J9668" t="str">
        <f>HYPERLINK("https://climate.onebuilding.org/WMO_Region_6_Europe/ROU_Romania/IS_Iasi/ROU_IS_Podu.Iloaiei.150750_TMYx.zip")</f>
        <v>https://climate.onebuilding.org/WMO_Region_6_Europe/ROU_Romania/IS_Iasi/ROU_IS_Podu.Iloaiei.150750_TMYx.zip</v>
      </c>
    </row>
    <row r="9669" spans="1:10" x14ac:dyDescent="0.25">
      <c r="A9669" t="s">
        <v>7128</v>
      </c>
      <c r="B9669" t="s">
        <v>7155</v>
      </c>
      <c r="C9669" t="s">
        <v>7168</v>
      </c>
      <c r="D9669">
        <v>150800</v>
      </c>
      <c r="E9669" t="s">
        <v>7169</v>
      </c>
      <c r="F9669">
        <v>47.035800000000002</v>
      </c>
      <c r="G9669">
        <v>21.895800000000001</v>
      </c>
      <c r="H9669">
        <v>2</v>
      </c>
      <c r="I9669">
        <v>137.19999999999999</v>
      </c>
      <c r="J9669" t="str">
        <f>HYPERLINK("https://climate.onebuilding.org/WMO_Region_6_Europe/ROU_Romania/BH_Bihor/ROU_BH_Oradea.AP.150800_TMYx.2004-2018.zip")</f>
        <v>https://climate.onebuilding.org/WMO_Region_6_Europe/ROU_Romania/BH_Bihor/ROU_BH_Oradea.AP.150800_TMYx.2004-2018.zip</v>
      </c>
    </row>
    <row r="9670" spans="1:10" x14ac:dyDescent="0.25">
      <c r="A9670" t="s">
        <v>7128</v>
      </c>
      <c r="B9670" t="s">
        <v>7155</v>
      </c>
      <c r="C9670" t="s">
        <v>7168</v>
      </c>
      <c r="D9670">
        <v>150800</v>
      </c>
      <c r="E9670" t="s">
        <v>14</v>
      </c>
      <c r="F9670">
        <v>47.035800000000002</v>
      </c>
      <c r="G9670">
        <v>21.895800000000001</v>
      </c>
      <c r="H9670">
        <v>2</v>
      </c>
      <c r="I9670">
        <v>137.19999999999999</v>
      </c>
      <c r="J9670" t="str">
        <f>HYPERLINK("https://climate.onebuilding.org/WMO_Region_6_Europe/ROU_Romania/BH_Bihor/ROU_BH_Oradea.AP.150800_TMYx.2007-2021.zip")</f>
        <v>https://climate.onebuilding.org/WMO_Region_6_Europe/ROU_Romania/BH_Bihor/ROU_BH_Oradea.AP.150800_TMYx.2007-2021.zip</v>
      </c>
    </row>
    <row r="9671" spans="1:10" x14ac:dyDescent="0.25">
      <c r="A9671" t="s">
        <v>7128</v>
      </c>
      <c r="B9671" t="s">
        <v>7155</v>
      </c>
      <c r="C9671" t="s">
        <v>7168</v>
      </c>
      <c r="D9671">
        <v>150800</v>
      </c>
      <c r="E9671" t="s">
        <v>14</v>
      </c>
      <c r="F9671">
        <v>47.035800000000002</v>
      </c>
      <c r="G9671">
        <v>21.895800000000001</v>
      </c>
      <c r="H9671">
        <v>2</v>
      </c>
      <c r="I9671">
        <v>137.19999999999999</v>
      </c>
      <c r="J9671" t="str">
        <f>HYPERLINK("https://climate.onebuilding.org/WMO_Region_6_Europe/ROU_Romania/BH_Bihor/ROU_BH_Oradea.AP.150800_TMYx.2009-2023.zip")</f>
        <v>https://climate.onebuilding.org/WMO_Region_6_Europe/ROU_Romania/BH_Bihor/ROU_BH_Oradea.AP.150800_TMYx.2009-2023.zip</v>
      </c>
    </row>
    <row r="9672" spans="1:10" x14ac:dyDescent="0.25">
      <c r="A9672" t="s">
        <v>7128</v>
      </c>
      <c r="B9672" t="s">
        <v>7155</v>
      </c>
      <c r="C9672" t="s">
        <v>7168</v>
      </c>
      <c r="D9672">
        <v>150800</v>
      </c>
      <c r="E9672" t="s">
        <v>14</v>
      </c>
      <c r="F9672">
        <v>47.035800000000002</v>
      </c>
      <c r="G9672">
        <v>21.895800000000001</v>
      </c>
      <c r="H9672">
        <v>2</v>
      </c>
      <c r="I9672">
        <v>137.19999999999999</v>
      </c>
      <c r="J9672" t="str">
        <f>HYPERLINK("https://climate.onebuilding.org/WMO_Region_6_Europe/ROU_Romania/BH_Bihor/ROU_BH_Oradea.AP.150800_TMYx.zip")</f>
        <v>https://climate.onebuilding.org/WMO_Region_6_Europe/ROU_Romania/BH_Bihor/ROU_BH_Oradea.AP.150800_TMYx.zip</v>
      </c>
    </row>
    <row r="9673" spans="1:10" x14ac:dyDescent="0.25">
      <c r="A9673" t="s">
        <v>7128</v>
      </c>
      <c r="B9673" t="s">
        <v>7170</v>
      </c>
      <c r="C9673" t="s">
        <v>7171</v>
      </c>
      <c r="D9673">
        <v>150830</v>
      </c>
      <c r="E9673" t="s">
        <v>14</v>
      </c>
      <c r="F9673">
        <v>47.128100000000003</v>
      </c>
      <c r="G9673">
        <v>23.898900000000001</v>
      </c>
      <c r="H9673">
        <v>2</v>
      </c>
      <c r="I9673">
        <v>233.2</v>
      </c>
      <c r="J9673" t="str">
        <f>HYPERLINK("https://climate.onebuilding.org/WMO_Region_6_Europe/ROU_Romania/CJ_Cluj/ROU_CJ_Dej.150830_TMYx.2007-2021.zip")</f>
        <v>https://climate.onebuilding.org/WMO_Region_6_Europe/ROU_Romania/CJ_Cluj/ROU_CJ_Dej.150830_TMYx.2007-2021.zip</v>
      </c>
    </row>
    <row r="9674" spans="1:10" x14ac:dyDescent="0.25">
      <c r="A9674" t="s">
        <v>7128</v>
      </c>
      <c r="B9674" t="s">
        <v>7170</v>
      </c>
      <c r="C9674" t="s">
        <v>7171</v>
      </c>
      <c r="D9674">
        <v>150830</v>
      </c>
      <c r="E9674" t="s">
        <v>14</v>
      </c>
      <c r="F9674">
        <v>47.128100000000003</v>
      </c>
      <c r="G9674">
        <v>23.898900000000001</v>
      </c>
      <c r="H9674">
        <v>2</v>
      </c>
      <c r="I9674">
        <v>233.2</v>
      </c>
      <c r="J9674" t="str">
        <f>HYPERLINK("https://climate.onebuilding.org/WMO_Region_6_Europe/ROU_Romania/CJ_Cluj/ROU_CJ_Dej.150830_TMYx.2009-2023.zip")</f>
        <v>https://climate.onebuilding.org/WMO_Region_6_Europe/ROU_Romania/CJ_Cluj/ROU_CJ_Dej.150830_TMYx.2009-2023.zip</v>
      </c>
    </row>
    <row r="9675" spans="1:10" x14ac:dyDescent="0.25">
      <c r="A9675" t="s">
        <v>7128</v>
      </c>
      <c r="B9675" t="s">
        <v>7170</v>
      </c>
      <c r="C9675" t="s">
        <v>7171</v>
      </c>
      <c r="D9675">
        <v>150830</v>
      </c>
      <c r="E9675" t="s">
        <v>14</v>
      </c>
      <c r="F9675">
        <v>47.128100000000003</v>
      </c>
      <c r="G9675">
        <v>23.898900000000001</v>
      </c>
      <c r="H9675">
        <v>2</v>
      </c>
      <c r="I9675">
        <v>233.2</v>
      </c>
      <c r="J9675" t="str">
        <f>HYPERLINK("https://climate.onebuilding.org/WMO_Region_6_Europe/ROU_Romania/CJ_Cluj/ROU_CJ_Dej.150830_TMYx.zip")</f>
        <v>https://climate.onebuilding.org/WMO_Region_6_Europe/ROU_Romania/CJ_Cluj/ROU_CJ_Dej.150830_TMYx.zip</v>
      </c>
    </row>
    <row r="9676" spans="1:10" x14ac:dyDescent="0.25">
      <c r="A9676" t="s">
        <v>7128</v>
      </c>
      <c r="B9676" t="s">
        <v>7172</v>
      </c>
      <c r="C9676" t="s">
        <v>7173</v>
      </c>
      <c r="D9676">
        <v>150850</v>
      </c>
      <c r="E9676" t="s">
        <v>14</v>
      </c>
      <c r="F9676">
        <v>47.1492</v>
      </c>
      <c r="G9676">
        <v>24.5139</v>
      </c>
      <c r="H9676">
        <v>2</v>
      </c>
      <c r="I9676">
        <v>367.2</v>
      </c>
      <c r="J9676" t="str">
        <f>HYPERLINK("https://climate.onebuilding.org/WMO_Region_6_Europe/ROU_Romania/BN_Bistrita-Nasaud/ROU_BN_Bistrita.150850_TMYx.2007-2021.zip")</f>
        <v>https://climate.onebuilding.org/WMO_Region_6_Europe/ROU_Romania/BN_Bistrita-Nasaud/ROU_BN_Bistrita.150850_TMYx.2007-2021.zip</v>
      </c>
    </row>
    <row r="9677" spans="1:10" x14ac:dyDescent="0.25">
      <c r="A9677" t="s">
        <v>7128</v>
      </c>
      <c r="B9677" t="s">
        <v>7172</v>
      </c>
      <c r="C9677" t="s">
        <v>7173</v>
      </c>
      <c r="D9677">
        <v>150850</v>
      </c>
      <c r="E9677" t="s">
        <v>14</v>
      </c>
      <c r="F9677">
        <v>47.1492</v>
      </c>
      <c r="G9677">
        <v>24.5139</v>
      </c>
      <c r="H9677">
        <v>2</v>
      </c>
      <c r="I9677">
        <v>367.2</v>
      </c>
      <c r="J9677" t="str">
        <f>HYPERLINK("https://climate.onebuilding.org/WMO_Region_6_Europe/ROU_Romania/BN_Bistrita-Nasaud/ROU_BN_Bistrita.150850_TMYx.2009-2023.zip")</f>
        <v>https://climate.onebuilding.org/WMO_Region_6_Europe/ROU_Romania/BN_Bistrita-Nasaud/ROU_BN_Bistrita.150850_TMYx.2009-2023.zip</v>
      </c>
    </row>
    <row r="9678" spans="1:10" x14ac:dyDescent="0.25">
      <c r="A9678" t="s">
        <v>7128</v>
      </c>
      <c r="B9678" t="s">
        <v>7172</v>
      </c>
      <c r="C9678" t="s">
        <v>7173</v>
      </c>
      <c r="D9678">
        <v>150850</v>
      </c>
      <c r="E9678" t="s">
        <v>14</v>
      </c>
      <c r="F9678">
        <v>47.1492</v>
      </c>
      <c r="G9678">
        <v>24.5139</v>
      </c>
      <c r="H9678">
        <v>2</v>
      </c>
      <c r="I9678">
        <v>367.2</v>
      </c>
      <c r="J9678" t="str">
        <f>HYPERLINK("https://climate.onebuilding.org/WMO_Region_6_Europe/ROU_Romania/BN_Bistrita-Nasaud/ROU_BN_Bistrita.150850_TMYx.zip")</f>
        <v>https://climate.onebuilding.org/WMO_Region_6_Europe/ROU_Romania/BN_Bistrita-Nasaud/ROU_BN_Bistrita.150850_TMYx.zip</v>
      </c>
    </row>
    <row r="9679" spans="1:10" x14ac:dyDescent="0.25">
      <c r="A9679" t="s">
        <v>7128</v>
      </c>
      <c r="B9679" t="s">
        <v>5733</v>
      </c>
      <c r="C9679" t="s">
        <v>7174</v>
      </c>
      <c r="D9679">
        <v>150880</v>
      </c>
      <c r="E9679" t="s">
        <v>14</v>
      </c>
      <c r="F9679">
        <v>47.097999999999999</v>
      </c>
      <c r="G9679">
        <v>25.246099999999998</v>
      </c>
      <c r="H9679">
        <v>2</v>
      </c>
      <c r="I9679">
        <v>2021</v>
      </c>
      <c r="J9679" t="str">
        <f>HYPERLINK("https://climate.onebuilding.org/WMO_Region_6_Europe/ROU_Romania/SV_Suceava/ROU_SV_Retitis-Calimani.Natl.Park-Carpathian.Mtns.150880_TMYx.2007-2021.zip")</f>
        <v>https://climate.onebuilding.org/WMO_Region_6_Europe/ROU_Romania/SV_Suceava/ROU_SV_Retitis-Calimani.Natl.Park-Carpathian.Mtns.150880_TMYx.2007-2021.zip</v>
      </c>
    </row>
    <row r="9680" spans="1:10" x14ac:dyDescent="0.25">
      <c r="A9680" t="s">
        <v>7128</v>
      </c>
      <c r="B9680" t="s">
        <v>5733</v>
      </c>
      <c r="C9680" t="s">
        <v>7174</v>
      </c>
      <c r="D9680">
        <v>150880</v>
      </c>
      <c r="E9680" t="s">
        <v>14</v>
      </c>
      <c r="F9680">
        <v>47.097999999999999</v>
      </c>
      <c r="G9680">
        <v>25.246099999999998</v>
      </c>
      <c r="H9680">
        <v>2</v>
      </c>
      <c r="I9680">
        <v>2021</v>
      </c>
      <c r="J9680" t="str">
        <f>HYPERLINK("https://climate.onebuilding.org/WMO_Region_6_Europe/ROU_Romania/SV_Suceava/ROU_SV_Retitis-Calimani.Natl.Park-Carpathian.Mtns.150880_TMYx.2009-2023.zip")</f>
        <v>https://climate.onebuilding.org/WMO_Region_6_Europe/ROU_Romania/SV_Suceava/ROU_SV_Retitis-Calimani.Natl.Park-Carpathian.Mtns.150880_TMYx.2009-2023.zip</v>
      </c>
    </row>
    <row r="9681" spans="1:10" x14ac:dyDescent="0.25">
      <c r="A9681" t="s">
        <v>7128</v>
      </c>
      <c r="B9681" t="s">
        <v>5733</v>
      </c>
      <c r="C9681" t="s">
        <v>7174</v>
      </c>
      <c r="D9681">
        <v>150880</v>
      </c>
      <c r="E9681" t="s">
        <v>14</v>
      </c>
      <c r="F9681">
        <v>47.097999999999999</v>
      </c>
      <c r="G9681">
        <v>25.246099999999998</v>
      </c>
      <c r="H9681">
        <v>2</v>
      </c>
      <c r="I9681">
        <v>2021</v>
      </c>
      <c r="J9681" t="str">
        <f>HYPERLINK("https://climate.onebuilding.org/WMO_Region_6_Europe/ROU_Romania/SV_Suceava/ROU_SV_Retitis-Calimani.Natl.Park-Carpathian.Mtns.150880_TMYx.zip")</f>
        <v>https://climate.onebuilding.org/WMO_Region_6_Europe/ROU_Romania/SV_Suceava/ROU_SV_Retitis-Calimani.Natl.Park-Carpathian.Mtns.150880_TMYx.zip</v>
      </c>
    </row>
    <row r="9682" spans="1:10" x14ac:dyDescent="0.25">
      <c r="A9682" t="s">
        <v>7128</v>
      </c>
      <c r="B9682" t="s">
        <v>7165</v>
      </c>
      <c r="C9682" t="s">
        <v>7175</v>
      </c>
      <c r="D9682">
        <v>150890</v>
      </c>
      <c r="E9682" t="s">
        <v>14</v>
      </c>
      <c r="F9682">
        <v>47.044899999999998</v>
      </c>
      <c r="G9682">
        <v>25.9618</v>
      </c>
      <c r="H9682">
        <v>2</v>
      </c>
      <c r="I9682">
        <v>554</v>
      </c>
      <c r="J9682" t="str">
        <f>HYPERLINK("https://climate.onebuilding.org/WMO_Region_6_Europe/ROU_Romania/NT_Neamt/ROU_NT_Ceahlau.150890_TMYx.zip")</f>
        <v>https://climate.onebuilding.org/WMO_Region_6_Europe/ROU_Romania/NT_Neamt/ROU_NT_Ceahlau.150890_TMYx.zip</v>
      </c>
    </row>
    <row r="9683" spans="1:10" x14ac:dyDescent="0.25">
      <c r="A9683" t="s">
        <v>7128</v>
      </c>
      <c r="B9683" t="s">
        <v>4919</v>
      </c>
      <c r="C9683" t="s">
        <v>7176</v>
      </c>
      <c r="D9683">
        <v>150900</v>
      </c>
      <c r="E9683" t="s">
        <v>7177</v>
      </c>
      <c r="F9683">
        <v>47.1633</v>
      </c>
      <c r="G9683">
        <v>27.627199999999998</v>
      </c>
      <c r="H9683">
        <v>2</v>
      </c>
      <c r="I9683">
        <v>75.7</v>
      </c>
      <c r="J9683" t="str">
        <f>HYPERLINK("https://climate.onebuilding.org/WMO_Region_6_Europe/ROU_Romania/IS_Iasi/ROU_IS_Iasi.Intl.AP.150900_TMYx.2004-2018.zip")</f>
        <v>https://climate.onebuilding.org/WMO_Region_6_Europe/ROU_Romania/IS_Iasi/ROU_IS_Iasi.Intl.AP.150900_TMYx.2004-2018.zip</v>
      </c>
    </row>
    <row r="9684" spans="1:10" x14ac:dyDescent="0.25">
      <c r="A9684" t="s">
        <v>7128</v>
      </c>
      <c r="B9684" t="s">
        <v>4919</v>
      </c>
      <c r="C9684" t="s">
        <v>7176</v>
      </c>
      <c r="D9684">
        <v>150900</v>
      </c>
      <c r="E9684" t="s">
        <v>14</v>
      </c>
      <c r="F9684">
        <v>47.1633</v>
      </c>
      <c r="G9684">
        <v>27.627199999999998</v>
      </c>
      <c r="H9684">
        <v>2</v>
      </c>
      <c r="I9684">
        <v>75.7</v>
      </c>
      <c r="J9684" t="str">
        <f>HYPERLINK("https://climate.onebuilding.org/WMO_Region_6_Europe/ROU_Romania/IS_Iasi/ROU_IS_Iasi.Intl.AP.150900_TMYx.2007-2021.zip")</f>
        <v>https://climate.onebuilding.org/WMO_Region_6_Europe/ROU_Romania/IS_Iasi/ROU_IS_Iasi.Intl.AP.150900_TMYx.2007-2021.zip</v>
      </c>
    </row>
    <row r="9685" spans="1:10" x14ac:dyDescent="0.25">
      <c r="A9685" t="s">
        <v>7128</v>
      </c>
      <c r="B9685" t="s">
        <v>4919</v>
      </c>
      <c r="C9685" t="s">
        <v>7176</v>
      </c>
      <c r="D9685">
        <v>150900</v>
      </c>
      <c r="E9685" t="s">
        <v>14</v>
      </c>
      <c r="F9685">
        <v>47.1633</v>
      </c>
      <c r="G9685">
        <v>27.627199999999998</v>
      </c>
      <c r="H9685">
        <v>2</v>
      </c>
      <c r="I9685">
        <v>75.7</v>
      </c>
      <c r="J9685" t="str">
        <f>HYPERLINK("https://climate.onebuilding.org/WMO_Region_6_Europe/ROU_Romania/IS_Iasi/ROU_IS_Iasi.Intl.AP.150900_TMYx.2009-2023.zip")</f>
        <v>https://climate.onebuilding.org/WMO_Region_6_Europe/ROU_Romania/IS_Iasi/ROU_IS_Iasi.Intl.AP.150900_TMYx.2009-2023.zip</v>
      </c>
    </row>
    <row r="9686" spans="1:10" x14ac:dyDescent="0.25">
      <c r="A9686" t="s">
        <v>7128</v>
      </c>
      <c r="B9686" t="s">
        <v>4919</v>
      </c>
      <c r="C9686" t="s">
        <v>7176</v>
      </c>
      <c r="D9686">
        <v>150900</v>
      </c>
      <c r="E9686" t="s">
        <v>14</v>
      </c>
      <c r="F9686">
        <v>47.1633</v>
      </c>
      <c r="G9686">
        <v>27.627199999999998</v>
      </c>
      <c r="H9686">
        <v>2</v>
      </c>
      <c r="I9686">
        <v>75.7</v>
      </c>
      <c r="J9686" t="str">
        <f>HYPERLINK("https://climate.onebuilding.org/WMO_Region_6_Europe/ROU_Romania/IS_Iasi/ROU_IS_Iasi.Intl.AP.150900_TMYx.zip")</f>
        <v>https://climate.onebuilding.org/WMO_Region_6_Europe/ROU_Romania/IS_Iasi/ROU_IS_Iasi.Intl.AP.150900_TMYx.zip</v>
      </c>
    </row>
    <row r="9687" spans="1:10" x14ac:dyDescent="0.25">
      <c r="A9687" t="s">
        <v>7128</v>
      </c>
      <c r="B9687" t="s">
        <v>4919</v>
      </c>
      <c r="C9687" t="s">
        <v>7178</v>
      </c>
      <c r="D9687">
        <v>150940</v>
      </c>
      <c r="E9687" t="s">
        <v>14</v>
      </c>
      <c r="F9687">
        <v>47.012500000000003</v>
      </c>
      <c r="G9687">
        <v>27.5825</v>
      </c>
      <c r="H9687">
        <v>2</v>
      </c>
      <c r="I9687">
        <v>400</v>
      </c>
      <c r="J9687" t="str">
        <f>HYPERLINK("https://climate.onebuilding.org/WMO_Region_6_Europe/ROU_Romania/IS_Iasi/ROU_IS_Barnova.150940_TMYx.2007-2021.zip")</f>
        <v>https://climate.onebuilding.org/WMO_Region_6_Europe/ROU_Romania/IS_Iasi/ROU_IS_Barnova.150940_TMYx.2007-2021.zip</v>
      </c>
    </row>
    <row r="9688" spans="1:10" x14ac:dyDescent="0.25">
      <c r="A9688" t="s">
        <v>7128</v>
      </c>
      <c r="B9688" t="s">
        <v>4919</v>
      </c>
      <c r="C9688" t="s">
        <v>7178</v>
      </c>
      <c r="D9688">
        <v>150940</v>
      </c>
      <c r="E9688" t="s">
        <v>14</v>
      </c>
      <c r="F9688">
        <v>47.012500000000003</v>
      </c>
      <c r="G9688">
        <v>27.5825</v>
      </c>
      <c r="H9688">
        <v>2</v>
      </c>
      <c r="I9688">
        <v>400</v>
      </c>
      <c r="J9688" t="str">
        <f>HYPERLINK("https://climate.onebuilding.org/WMO_Region_6_Europe/ROU_Romania/IS_Iasi/ROU_IS_Barnova.150940_TMYx.2009-2023.zip")</f>
        <v>https://climate.onebuilding.org/WMO_Region_6_Europe/ROU_Romania/IS_Iasi/ROU_IS_Barnova.150940_TMYx.2009-2023.zip</v>
      </c>
    </row>
    <row r="9689" spans="1:10" x14ac:dyDescent="0.25">
      <c r="A9689" t="s">
        <v>7128</v>
      </c>
      <c r="B9689" t="s">
        <v>4919</v>
      </c>
      <c r="C9689" t="s">
        <v>7178</v>
      </c>
      <c r="D9689">
        <v>150940</v>
      </c>
      <c r="E9689" t="s">
        <v>14</v>
      </c>
      <c r="F9689">
        <v>47.012500000000003</v>
      </c>
      <c r="G9689">
        <v>27.5825</v>
      </c>
      <c r="H9689">
        <v>2</v>
      </c>
      <c r="I9689">
        <v>400</v>
      </c>
      <c r="J9689" t="str">
        <f>HYPERLINK("https://climate.onebuilding.org/WMO_Region_6_Europe/ROU_Romania/IS_Iasi/ROU_IS_Barnova.150940_TMYx.zip")</f>
        <v>https://climate.onebuilding.org/WMO_Region_6_Europe/ROU_Romania/IS_Iasi/ROU_IS_Barnova.150940_TMYx.zip</v>
      </c>
    </row>
    <row r="9690" spans="1:10" x14ac:dyDescent="0.25">
      <c r="A9690" t="s">
        <v>7128</v>
      </c>
      <c r="B9690" t="s">
        <v>7155</v>
      </c>
      <c r="C9690" t="s">
        <v>7179</v>
      </c>
      <c r="D9690">
        <v>150950</v>
      </c>
      <c r="E9690" t="s">
        <v>14</v>
      </c>
      <c r="F9690">
        <v>46.993600000000001</v>
      </c>
      <c r="G9690">
        <v>22.590299999999999</v>
      </c>
      <c r="H9690">
        <v>2</v>
      </c>
      <c r="I9690">
        <v>334.2</v>
      </c>
      <c r="J9690" t="str">
        <f>HYPERLINK("https://climate.onebuilding.org/WMO_Region_6_Europe/ROU_Romania/BH_Bihor/ROU_BH_Borod.150950_TMYx.2007-2021.zip")</f>
        <v>https://climate.onebuilding.org/WMO_Region_6_Europe/ROU_Romania/BH_Bihor/ROU_BH_Borod.150950_TMYx.2007-2021.zip</v>
      </c>
    </row>
    <row r="9691" spans="1:10" x14ac:dyDescent="0.25">
      <c r="A9691" t="s">
        <v>7128</v>
      </c>
      <c r="B9691" t="s">
        <v>7155</v>
      </c>
      <c r="C9691" t="s">
        <v>7179</v>
      </c>
      <c r="D9691">
        <v>150950</v>
      </c>
      <c r="E9691" t="s">
        <v>14</v>
      </c>
      <c r="F9691">
        <v>46.993600000000001</v>
      </c>
      <c r="G9691">
        <v>22.590299999999999</v>
      </c>
      <c r="H9691">
        <v>2</v>
      </c>
      <c r="I9691">
        <v>334.2</v>
      </c>
      <c r="J9691" t="str">
        <f>HYPERLINK("https://climate.onebuilding.org/WMO_Region_6_Europe/ROU_Romania/BH_Bihor/ROU_BH_Borod.150950_TMYx.2009-2023.zip")</f>
        <v>https://climate.onebuilding.org/WMO_Region_6_Europe/ROU_Romania/BH_Bihor/ROU_BH_Borod.150950_TMYx.2009-2023.zip</v>
      </c>
    </row>
    <row r="9692" spans="1:10" x14ac:dyDescent="0.25">
      <c r="A9692" t="s">
        <v>7128</v>
      </c>
      <c r="B9692" t="s">
        <v>7155</v>
      </c>
      <c r="C9692" t="s">
        <v>7179</v>
      </c>
      <c r="D9692">
        <v>150950</v>
      </c>
      <c r="E9692" t="s">
        <v>14</v>
      </c>
      <c r="F9692">
        <v>46.993600000000001</v>
      </c>
      <c r="G9692">
        <v>22.590299999999999</v>
      </c>
      <c r="H9692">
        <v>2</v>
      </c>
      <c r="I9692">
        <v>334.2</v>
      </c>
      <c r="J9692" t="str">
        <f>HYPERLINK("https://climate.onebuilding.org/WMO_Region_6_Europe/ROU_Romania/BH_Bihor/ROU_BH_Borod.150950_TMYx.zip")</f>
        <v>https://climate.onebuilding.org/WMO_Region_6_Europe/ROU_Romania/BH_Bihor/ROU_BH_Borod.150950_TMYx.zip</v>
      </c>
    </row>
    <row r="9693" spans="1:10" x14ac:dyDescent="0.25">
      <c r="A9693" t="s">
        <v>7128</v>
      </c>
      <c r="B9693" t="s">
        <v>7170</v>
      </c>
      <c r="C9693" t="s">
        <v>7180</v>
      </c>
      <c r="D9693">
        <v>150990</v>
      </c>
      <c r="E9693" t="s">
        <v>14</v>
      </c>
      <c r="F9693">
        <v>46.857199999999999</v>
      </c>
      <c r="G9693">
        <v>23.032499999999999</v>
      </c>
      <c r="H9693">
        <v>2</v>
      </c>
      <c r="I9693">
        <v>561</v>
      </c>
      <c r="J9693" t="str">
        <f>HYPERLINK("https://climate.onebuilding.org/WMO_Region_6_Europe/ROU_Romania/CJ_Cluj/ROU_CJ_Huedin.150990_TMYx.2007-2021.zip")</f>
        <v>https://climate.onebuilding.org/WMO_Region_6_Europe/ROU_Romania/CJ_Cluj/ROU_CJ_Huedin.150990_TMYx.2007-2021.zip</v>
      </c>
    </row>
    <row r="9694" spans="1:10" x14ac:dyDescent="0.25">
      <c r="A9694" t="s">
        <v>7128</v>
      </c>
      <c r="B9694" t="s">
        <v>7170</v>
      </c>
      <c r="C9694" t="s">
        <v>7180</v>
      </c>
      <c r="D9694">
        <v>150990</v>
      </c>
      <c r="E9694" t="s">
        <v>14</v>
      </c>
      <c r="F9694">
        <v>46.857199999999999</v>
      </c>
      <c r="G9694">
        <v>23.032499999999999</v>
      </c>
      <c r="H9694">
        <v>2</v>
      </c>
      <c r="I9694">
        <v>561</v>
      </c>
      <c r="J9694" t="str">
        <f>HYPERLINK("https://climate.onebuilding.org/WMO_Region_6_Europe/ROU_Romania/CJ_Cluj/ROU_CJ_Huedin.150990_TMYx.2009-2023.zip")</f>
        <v>https://climate.onebuilding.org/WMO_Region_6_Europe/ROU_Romania/CJ_Cluj/ROU_CJ_Huedin.150990_TMYx.2009-2023.zip</v>
      </c>
    </row>
    <row r="9695" spans="1:10" x14ac:dyDescent="0.25">
      <c r="A9695" t="s">
        <v>7128</v>
      </c>
      <c r="B9695" t="s">
        <v>7170</v>
      </c>
      <c r="C9695" t="s">
        <v>7180</v>
      </c>
      <c r="D9695">
        <v>150990</v>
      </c>
      <c r="E9695" t="s">
        <v>14</v>
      </c>
      <c r="F9695">
        <v>46.857199999999999</v>
      </c>
      <c r="G9695">
        <v>23.032499999999999</v>
      </c>
      <c r="H9695">
        <v>2</v>
      </c>
      <c r="I9695">
        <v>561</v>
      </c>
      <c r="J9695" t="str">
        <f>HYPERLINK("https://climate.onebuilding.org/WMO_Region_6_Europe/ROU_Romania/CJ_Cluj/ROU_CJ_Huedin.150990_TMYx.zip")</f>
        <v>https://climate.onebuilding.org/WMO_Region_6_Europe/ROU_Romania/CJ_Cluj/ROU_CJ_Huedin.150990_TMYx.zip</v>
      </c>
    </row>
    <row r="9696" spans="1:10" x14ac:dyDescent="0.25">
      <c r="A9696" t="s">
        <v>7128</v>
      </c>
      <c r="B9696" t="s">
        <v>632</v>
      </c>
      <c r="C9696" t="s">
        <v>7181</v>
      </c>
      <c r="D9696">
        <v>151070</v>
      </c>
      <c r="E9696" t="s">
        <v>14</v>
      </c>
      <c r="F9696">
        <v>46.926400000000001</v>
      </c>
      <c r="G9696">
        <v>25.36</v>
      </c>
      <c r="H9696">
        <v>2</v>
      </c>
      <c r="I9696">
        <v>688.2</v>
      </c>
      <c r="J9696" t="str">
        <f>HYPERLINK("https://climate.onebuilding.org/WMO_Region_6_Europe/ROU_Romania/HR_Harghita/ROU_HR_Toplita.151070_TMYx.2007-2021.zip")</f>
        <v>https://climate.onebuilding.org/WMO_Region_6_Europe/ROU_Romania/HR_Harghita/ROU_HR_Toplita.151070_TMYx.2007-2021.zip</v>
      </c>
    </row>
    <row r="9697" spans="1:10" x14ac:dyDescent="0.25">
      <c r="A9697" t="s">
        <v>7128</v>
      </c>
      <c r="B9697" t="s">
        <v>632</v>
      </c>
      <c r="C9697" t="s">
        <v>7181</v>
      </c>
      <c r="D9697">
        <v>151070</v>
      </c>
      <c r="E9697" t="s">
        <v>14</v>
      </c>
      <c r="F9697">
        <v>46.926400000000001</v>
      </c>
      <c r="G9697">
        <v>25.36</v>
      </c>
      <c r="H9697">
        <v>2</v>
      </c>
      <c r="I9697">
        <v>688.2</v>
      </c>
      <c r="J9697" t="str">
        <f>HYPERLINK("https://climate.onebuilding.org/WMO_Region_6_Europe/ROU_Romania/HR_Harghita/ROU_HR_Toplita.151070_TMYx.2009-2023.zip")</f>
        <v>https://climate.onebuilding.org/WMO_Region_6_Europe/ROU_Romania/HR_Harghita/ROU_HR_Toplita.151070_TMYx.2009-2023.zip</v>
      </c>
    </row>
    <row r="9698" spans="1:10" x14ac:dyDescent="0.25">
      <c r="A9698" t="s">
        <v>7128</v>
      </c>
      <c r="B9698" t="s">
        <v>632</v>
      </c>
      <c r="C9698" t="s">
        <v>7181</v>
      </c>
      <c r="D9698">
        <v>151070</v>
      </c>
      <c r="E9698" t="s">
        <v>14</v>
      </c>
      <c r="F9698">
        <v>46.926400000000001</v>
      </c>
      <c r="G9698">
        <v>25.36</v>
      </c>
      <c r="H9698">
        <v>2</v>
      </c>
      <c r="I9698">
        <v>688.2</v>
      </c>
      <c r="J9698" t="str">
        <f>HYPERLINK("https://climate.onebuilding.org/WMO_Region_6_Europe/ROU_Romania/HR_Harghita/ROU_HR_Toplita.151070_TMYx.zip")</f>
        <v>https://climate.onebuilding.org/WMO_Region_6_Europe/ROU_Romania/HR_Harghita/ROU_HR_Toplita.151070_TMYx.zip</v>
      </c>
    </row>
    <row r="9699" spans="1:10" x14ac:dyDescent="0.25">
      <c r="A9699" t="s">
        <v>7128</v>
      </c>
      <c r="B9699" t="s">
        <v>7165</v>
      </c>
      <c r="C9699" t="s">
        <v>7182</v>
      </c>
      <c r="D9699">
        <v>151080</v>
      </c>
      <c r="E9699" t="s">
        <v>7183</v>
      </c>
      <c r="F9699">
        <v>46.977499999999999</v>
      </c>
      <c r="G9699">
        <v>25.95</v>
      </c>
      <c r="H9699">
        <v>2</v>
      </c>
      <c r="I9699">
        <v>1898</v>
      </c>
      <c r="J9699" t="str">
        <f>HYPERLINK("https://climate.onebuilding.org/WMO_Region_6_Europe/ROU_Romania/NT_Neamt/ROU_NT_Ceahlau.Natl.Park-Carpathian.Mtns.151080_TMYx.2004-2018.zip")</f>
        <v>https://climate.onebuilding.org/WMO_Region_6_Europe/ROU_Romania/NT_Neamt/ROU_NT_Ceahlau.Natl.Park-Carpathian.Mtns.151080_TMYx.2004-2018.zip</v>
      </c>
    </row>
    <row r="9700" spans="1:10" x14ac:dyDescent="0.25">
      <c r="A9700" t="s">
        <v>7128</v>
      </c>
      <c r="B9700" t="s">
        <v>7165</v>
      </c>
      <c r="C9700" t="s">
        <v>7182</v>
      </c>
      <c r="D9700">
        <v>151080</v>
      </c>
      <c r="E9700" t="s">
        <v>14</v>
      </c>
      <c r="F9700">
        <v>46.977499999999999</v>
      </c>
      <c r="G9700">
        <v>25.95</v>
      </c>
      <c r="H9700">
        <v>2</v>
      </c>
      <c r="I9700">
        <v>1898</v>
      </c>
      <c r="J9700" t="str">
        <f>HYPERLINK("https://climate.onebuilding.org/WMO_Region_6_Europe/ROU_Romania/NT_Neamt/ROU_NT_Ceahlau.Natl.Park-Carpathian.Mtns.151080_TMYx.2007-2021.zip")</f>
        <v>https://climate.onebuilding.org/WMO_Region_6_Europe/ROU_Romania/NT_Neamt/ROU_NT_Ceahlau.Natl.Park-Carpathian.Mtns.151080_TMYx.2007-2021.zip</v>
      </c>
    </row>
    <row r="9701" spans="1:10" x14ac:dyDescent="0.25">
      <c r="A9701" t="s">
        <v>7128</v>
      </c>
      <c r="B9701" t="s">
        <v>7165</v>
      </c>
      <c r="C9701" t="s">
        <v>7182</v>
      </c>
      <c r="D9701">
        <v>151080</v>
      </c>
      <c r="E9701" t="s">
        <v>14</v>
      </c>
      <c r="F9701">
        <v>46.977499999999999</v>
      </c>
      <c r="G9701">
        <v>25.95</v>
      </c>
      <c r="H9701">
        <v>2</v>
      </c>
      <c r="I9701">
        <v>1898</v>
      </c>
      <c r="J9701" t="str">
        <f>HYPERLINK("https://climate.onebuilding.org/WMO_Region_6_Europe/ROU_Romania/NT_Neamt/ROU_NT_Ceahlau.Natl.Park-Carpathian.Mtns.151080_TMYx.2009-2023.zip")</f>
        <v>https://climate.onebuilding.org/WMO_Region_6_Europe/ROU_Romania/NT_Neamt/ROU_NT_Ceahlau.Natl.Park-Carpathian.Mtns.151080_TMYx.2009-2023.zip</v>
      </c>
    </row>
    <row r="9702" spans="1:10" x14ac:dyDescent="0.25">
      <c r="A9702" t="s">
        <v>7128</v>
      </c>
      <c r="B9702" t="s">
        <v>7165</v>
      </c>
      <c r="C9702" t="s">
        <v>7182</v>
      </c>
      <c r="D9702">
        <v>151080</v>
      </c>
      <c r="E9702" t="s">
        <v>14</v>
      </c>
      <c r="F9702">
        <v>46.977499999999999</v>
      </c>
      <c r="G9702">
        <v>25.95</v>
      </c>
      <c r="H9702">
        <v>2</v>
      </c>
      <c r="I9702">
        <v>1898</v>
      </c>
      <c r="J9702" t="str">
        <f>HYPERLINK("https://climate.onebuilding.org/WMO_Region_6_Europe/ROU_Romania/NT_Neamt/ROU_NT_Ceahlau.Natl.Park-Carpathian.Mtns.151080_TMYx.zip")</f>
        <v>https://climate.onebuilding.org/WMO_Region_6_Europe/ROU_Romania/NT_Neamt/ROU_NT_Ceahlau.Natl.Park-Carpathian.Mtns.151080_TMYx.zip</v>
      </c>
    </row>
    <row r="9703" spans="1:10" x14ac:dyDescent="0.25">
      <c r="A9703" t="s">
        <v>7128</v>
      </c>
      <c r="B9703" t="s">
        <v>7165</v>
      </c>
      <c r="C9703" t="s">
        <v>7184</v>
      </c>
      <c r="D9703">
        <v>151090</v>
      </c>
      <c r="E9703" t="s">
        <v>14</v>
      </c>
      <c r="F9703">
        <v>46.933599999999998</v>
      </c>
      <c r="G9703">
        <v>26.389399999999998</v>
      </c>
      <c r="H9703">
        <v>2</v>
      </c>
      <c r="I9703">
        <v>361.6</v>
      </c>
      <c r="J9703" t="str">
        <f>HYPERLINK("https://climate.onebuilding.org/WMO_Region_6_Europe/ROU_Romania/NT_Neamt/ROU_NT_Piatra.Neamt.151090_TMYx.2007-2021.zip")</f>
        <v>https://climate.onebuilding.org/WMO_Region_6_Europe/ROU_Romania/NT_Neamt/ROU_NT_Piatra.Neamt.151090_TMYx.2007-2021.zip</v>
      </c>
    </row>
    <row r="9704" spans="1:10" x14ac:dyDescent="0.25">
      <c r="A9704" t="s">
        <v>7128</v>
      </c>
      <c r="B9704" t="s">
        <v>7165</v>
      </c>
      <c r="C9704" t="s">
        <v>7184</v>
      </c>
      <c r="D9704">
        <v>151090</v>
      </c>
      <c r="E9704" t="s">
        <v>14</v>
      </c>
      <c r="F9704">
        <v>46.933599999999998</v>
      </c>
      <c r="G9704">
        <v>26.389399999999998</v>
      </c>
      <c r="H9704">
        <v>2</v>
      </c>
      <c r="I9704">
        <v>361.6</v>
      </c>
      <c r="J9704" t="str">
        <f>HYPERLINK("https://climate.onebuilding.org/WMO_Region_6_Europe/ROU_Romania/NT_Neamt/ROU_NT_Piatra.Neamt.151090_TMYx.2009-2023.zip")</f>
        <v>https://climate.onebuilding.org/WMO_Region_6_Europe/ROU_Romania/NT_Neamt/ROU_NT_Piatra.Neamt.151090_TMYx.2009-2023.zip</v>
      </c>
    </row>
    <row r="9705" spans="1:10" x14ac:dyDescent="0.25">
      <c r="A9705" t="s">
        <v>7128</v>
      </c>
      <c r="B9705" t="s">
        <v>7165</v>
      </c>
      <c r="C9705" t="s">
        <v>7184</v>
      </c>
      <c r="D9705">
        <v>151090</v>
      </c>
      <c r="E9705" t="s">
        <v>14</v>
      </c>
      <c r="F9705">
        <v>46.933599999999998</v>
      </c>
      <c r="G9705">
        <v>26.389399999999998</v>
      </c>
      <c r="H9705">
        <v>2</v>
      </c>
      <c r="I9705">
        <v>361.6</v>
      </c>
      <c r="J9705" t="str">
        <f>HYPERLINK("https://climate.onebuilding.org/WMO_Region_6_Europe/ROU_Romania/NT_Neamt/ROU_NT_Piatra.Neamt.151090_TMYx.zip")</f>
        <v>https://climate.onebuilding.org/WMO_Region_6_Europe/ROU_Romania/NT_Neamt/ROU_NT_Piatra.Neamt.151090_TMYx.zip</v>
      </c>
    </row>
    <row r="9706" spans="1:10" x14ac:dyDescent="0.25">
      <c r="A9706" t="s">
        <v>7128</v>
      </c>
      <c r="B9706" t="s">
        <v>7165</v>
      </c>
      <c r="C9706" t="s">
        <v>7185</v>
      </c>
      <c r="D9706">
        <v>151110</v>
      </c>
      <c r="E9706" t="s">
        <v>14</v>
      </c>
      <c r="F9706">
        <v>46.969200000000001</v>
      </c>
      <c r="G9706">
        <v>26.911899999999999</v>
      </c>
      <c r="H9706">
        <v>2</v>
      </c>
      <c r="I9706">
        <v>217.4</v>
      </c>
      <c r="J9706" t="str">
        <f>HYPERLINK("https://climate.onebuilding.org/WMO_Region_6_Europe/ROU_Romania/NT_Neamt/ROU_NT_Roman.151110_TMYx.2007-2021.zip")</f>
        <v>https://climate.onebuilding.org/WMO_Region_6_Europe/ROU_Romania/NT_Neamt/ROU_NT_Roman.151110_TMYx.2007-2021.zip</v>
      </c>
    </row>
    <row r="9707" spans="1:10" x14ac:dyDescent="0.25">
      <c r="A9707" t="s">
        <v>7128</v>
      </c>
      <c r="B9707" t="s">
        <v>7165</v>
      </c>
      <c r="C9707" t="s">
        <v>7185</v>
      </c>
      <c r="D9707">
        <v>151110</v>
      </c>
      <c r="E9707" t="s">
        <v>14</v>
      </c>
      <c r="F9707">
        <v>46.969200000000001</v>
      </c>
      <c r="G9707">
        <v>26.911899999999999</v>
      </c>
      <c r="H9707">
        <v>2</v>
      </c>
      <c r="I9707">
        <v>217.4</v>
      </c>
      <c r="J9707" t="str">
        <f>HYPERLINK("https://climate.onebuilding.org/WMO_Region_6_Europe/ROU_Romania/NT_Neamt/ROU_NT_Roman.151110_TMYx.2009-2023.zip")</f>
        <v>https://climate.onebuilding.org/WMO_Region_6_Europe/ROU_Romania/NT_Neamt/ROU_NT_Roman.151110_TMYx.2009-2023.zip</v>
      </c>
    </row>
    <row r="9708" spans="1:10" x14ac:dyDescent="0.25">
      <c r="A9708" t="s">
        <v>7128</v>
      </c>
      <c r="B9708" t="s">
        <v>7165</v>
      </c>
      <c r="C9708" t="s">
        <v>7185</v>
      </c>
      <c r="D9708">
        <v>151110</v>
      </c>
      <c r="E9708" t="s">
        <v>14</v>
      </c>
      <c r="F9708">
        <v>46.969200000000001</v>
      </c>
      <c r="G9708">
        <v>26.911899999999999</v>
      </c>
      <c r="H9708">
        <v>2</v>
      </c>
      <c r="I9708">
        <v>217.4</v>
      </c>
      <c r="J9708" t="str">
        <f>HYPERLINK("https://climate.onebuilding.org/WMO_Region_6_Europe/ROU_Romania/NT_Neamt/ROU_NT_Roman.151110_TMYx.zip")</f>
        <v>https://climate.onebuilding.org/WMO_Region_6_Europe/ROU_Romania/NT_Neamt/ROU_NT_Roman.151110_TMYx.zip</v>
      </c>
    </row>
    <row r="9709" spans="1:10" x14ac:dyDescent="0.25">
      <c r="A9709" t="s">
        <v>7128</v>
      </c>
      <c r="B9709" t="s">
        <v>954</v>
      </c>
      <c r="C9709" t="s">
        <v>7186</v>
      </c>
      <c r="D9709">
        <v>151130</v>
      </c>
      <c r="E9709" t="s">
        <v>14</v>
      </c>
      <c r="F9709">
        <v>46.838099999999997</v>
      </c>
      <c r="G9709">
        <v>27.4422</v>
      </c>
      <c r="H9709">
        <v>2</v>
      </c>
      <c r="I9709">
        <v>131.4</v>
      </c>
      <c r="J9709" t="str">
        <f>HYPERLINK("https://climate.onebuilding.org/WMO_Region_6_Europe/ROU_Romania/VS_Vaslui/ROU_VS_Negresti.151130_TMYx.2007-2021.zip")</f>
        <v>https://climate.onebuilding.org/WMO_Region_6_Europe/ROU_Romania/VS_Vaslui/ROU_VS_Negresti.151130_TMYx.2007-2021.zip</v>
      </c>
    </row>
    <row r="9710" spans="1:10" x14ac:dyDescent="0.25">
      <c r="A9710" t="s">
        <v>7128</v>
      </c>
      <c r="B9710" t="s">
        <v>954</v>
      </c>
      <c r="C9710" t="s">
        <v>7186</v>
      </c>
      <c r="D9710">
        <v>151130</v>
      </c>
      <c r="E9710" t="s">
        <v>14</v>
      </c>
      <c r="F9710">
        <v>46.838099999999997</v>
      </c>
      <c r="G9710">
        <v>27.4422</v>
      </c>
      <c r="H9710">
        <v>2</v>
      </c>
      <c r="I9710">
        <v>131.4</v>
      </c>
      <c r="J9710" t="str">
        <f>HYPERLINK("https://climate.onebuilding.org/WMO_Region_6_Europe/ROU_Romania/VS_Vaslui/ROU_VS_Negresti.151130_TMYx.2009-2023.zip")</f>
        <v>https://climate.onebuilding.org/WMO_Region_6_Europe/ROU_Romania/VS_Vaslui/ROU_VS_Negresti.151130_TMYx.2009-2023.zip</v>
      </c>
    </row>
    <row r="9711" spans="1:10" x14ac:dyDescent="0.25">
      <c r="A9711" t="s">
        <v>7128</v>
      </c>
      <c r="B9711" t="s">
        <v>954</v>
      </c>
      <c r="C9711" t="s">
        <v>7186</v>
      </c>
      <c r="D9711">
        <v>151130</v>
      </c>
      <c r="E9711" t="s">
        <v>14</v>
      </c>
      <c r="F9711">
        <v>46.838099999999997</v>
      </c>
      <c r="G9711">
        <v>27.4422</v>
      </c>
      <c r="H9711">
        <v>2</v>
      </c>
      <c r="I9711">
        <v>131.4</v>
      </c>
      <c r="J9711" t="str">
        <f>HYPERLINK("https://climate.onebuilding.org/WMO_Region_6_Europe/ROU_Romania/VS_Vaslui/ROU_VS_Negresti.151130_TMYx.zip")</f>
        <v>https://climate.onebuilding.org/WMO_Region_6_Europe/ROU_Romania/VS_Vaslui/ROU_VS_Negresti.151130_TMYx.zip</v>
      </c>
    </row>
    <row r="9712" spans="1:10" x14ac:dyDescent="0.25">
      <c r="A9712" t="s">
        <v>7128</v>
      </c>
      <c r="B9712" t="s">
        <v>7155</v>
      </c>
      <c r="C9712" t="s">
        <v>7187</v>
      </c>
      <c r="D9712">
        <v>151170</v>
      </c>
      <c r="E9712" t="s">
        <v>14</v>
      </c>
      <c r="F9712">
        <v>46.788600000000002</v>
      </c>
      <c r="G9712">
        <v>22.112200000000001</v>
      </c>
      <c r="H9712">
        <v>2</v>
      </c>
      <c r="I9712">
        <v>165</v>
      </c>
      <c r="J9712" t="str">
        <f>HYPERLINK("https://climate.onebuilding.org/WMO_Region_6_Europe/ROU_Romania/BH_Bihor/ROU_BH_Holod.151170_TMYx.2007-2021.zip")</f>
        <v>https://climate.onebuilding.org/WMO_Region_6_Europe/ROU_Romania/BH_Bihor/ROU_BH_Holod.151170_TMYx.2007-2021.zip</v>
      </c>
    </row>
    <row r="9713" spans="1:10" x14ac:dyDescent="0.25">
      <c r="A9713" t="s">
        <v>7128</v>
      </c>
      <c r="B9713" t="s">
        <v>7155</v>
      </c>
      <c r="C9713" t="s">
        <v>7187</v>
      </c>
      <c r="D9713">
        <v>151170</v>
      </c>
      <c r="E9713" t="s">
        <v>14</v>
      </c>
      <c r="F9713">
        <v>46.788600000000002</v>
      </c>
      <c r="G9713">
        <v>22.112200000000001</v>
      </c>
      <c r="H9713">
        <v>2</v>
      </c>
      <c r="I9713">
        <v>165</v>
      </c>
      <c r="J9713" t="str">
        <f>HYPERLINK("https://climate.onebuilding.org/WMO_Region_6_Europe/ROU_Romania/BH_Bihor/ROU_BH_Holod.151170_TMYx.2009-2023.zip")</f>
        <v>https://climate.onebuilding.org/WMO_Region_6_Europe/ROU_Romania/BH_Bihor/ROU_BH_Holod.151170_TMYx.2009-2023.zip</v>
      </c>
    </row>
    <row r="9714" spans="1:10" x14ac:dyDescent="0.25">
      <c r="A9714" t="s">
        <v>7128</v>
      </c>
      <c r="B9714" t="s">
        <v>7155</v>
      </c>
      <c r="C9714" t="s">
        <v>7187</v>
      </c>
      <c r="D9714">
        <v>151170</v>
      </c>
      <c r="E9714" t="s">
        <v>14</v>
      </c>
      <c r="F9714">
        <v>46.788600000000002</v>
      </c>
      <c r="G9714">
        <v>22.112200000000001</v>
      </c>
      <c r="H9714">
        <v>2</v>
      </c>
      <c r="I9714">
        <v>165</v>
      </c>
      <c r="J9714" t="str">
        <f>HYPERLINK("https://climate.onebuilding.org/WMO_Region_6_Europe/ROU_Romania/BH_Bihor/ROU_BH_Holod.151170_TMYx.zip")</f>
        <v>https://climate.onebuilding.org/WMO_Region_6_Europe/ROU_Romania/BH_Bihor/ROU_BH_Holod.151170_TMYx.zip</v>
      </c>
    </row>
    <row r="9715" spans="1:10" x14ac:dyDescent="0.25">
      <c r="A9715" t="s">
        <v>7128</v>
      </c>
      <c r="B9715" t="s">
        <v>7155</v>
      </c>
      <c r="C9715" t="s">
        <v>7188</v>
      </c>
      <c r="D9715">
        <v>151180</v>
      </c>
      <c r="E9715" t="s">
        <v>14</v>
      </c>
      <c r="F9715">
        <v>46.689700000000002</v>
      </c>
      <c r="G9715">
        <v>22.6233</v>
      </c>
      <c r="H9715">
        <v>2</v>
      </c>
      <c r="I9715">
        <v>1109.2</v>
      </c>
      <c r="J9715" t="str">
        <f>HYPERLINK("https://climate.onebuilding.org/WMO_Region_6_Europe/ROU_Romania/BH_Bihor/ROU_BH_Stana.de.Vale.Resort.151180_TMYx.2007-2021.zip")</f>
        <v>https://climate.onebuilding.org/WMO_Region_6_Europe/ROU_Romania/BH_Bihor/ROU_BH_Stana.de.Vale.Resort.151180_TMYx.2007-2021.zip</v>
      </c>
    </row>
    <row r="9716" spans="1:10" x14ac:dyDescent="0.25">
      <c r="A9716" t="s">
        <v>7128</v>
      </c>
      <c r="B9716" t="s">
        <v>7155</v>
      </c>
      <c r="C9716" t="s">
        <v>7188</v>
      </c>
      <c r="D9716">
        <v>151180</v>
      </c>
      <c r="E9716" t="s">
        <v>14</v>
      </c>
      <c r="F9716">
        <v>46.689700000000002</v>
      </c>
      <c r="G9716">
        <v>22.6233</v>
      </c>
      <c r="H9716">
        <v>2</v>
      </c>
      <c r="I9716">
        <v>1109.2</v>
      </c>
      <c r="J9716" t="str">
        <f>HYPERLINK("https://climate.onebuilding.org/WMO_Region_6_Europe/ROU_Romania/BH_Bihor/ROU_BH_Stana.de.Vale.Resort.151180_TMYx.2009-2023.zip")</f>
        <v>https://climate.onebuilding.org/WMO_Region_6_Europe/ROU_Romania/BH_Bihor/ROU_BH_Stana.de.Vale.Resort.151180_TMYx.2009-2023.zip</v>
      </c>
    </row>
    <row r="9717" spans="1:10" x14ac:dyDescent="0.25">
      <c r="A9717" t="s">
        <v>7128</v>
      </c>
      <c r="B9717" t="s">
        <v>7155</v>
      </c>
      <c r="C9717" t="s">
        <v>7188</v>
      </c>
      <c r="D9717">
        <v>151180</v>
      </c>
      <c r="E9717" t="s">
        <v>14</v>
      </c>
      <c r="F9717">
        <v>46.689700000000002</v>
      </c>
      <c r="G9717">
        <v>22.6233</v>
      </c>
      <c r="H9717">
        <v>2</v>
      </c>
      <c r="I9717">
        <v>1109.2</v>
      </c>
      <c r="J9717" t="str">
        <f>HYPERLINK("https://climate.onebuilding.org/WMO_Region_6_Europe/ROU_Romania/BH_Bihor/ROU_BH_Stana.de.Vale.Resort.151180_TMYx.zip")</f>
        <v>https://climate.onebuilding.org/WMO_Region_6_Europe/ROU_Romania/BH_Bihor/ROU_BH_Stana.de.Vale.Resort.151180_TMYx.zip</v>
      </c>
    </row>
    <row r="9718" spans="1:10" x14ac:dyDescent="0.25">
      <c r="A9718" t="s">
        <v>7128</v>
      </c>
      <c r="B9718" t="s">
        <v>7170</v>
      </c>
      <c r="C9718" t="s">
        <v>7189</v>
      </c>
      <c r="D9718">
        <v>151190</v>
      </c>
      <c r="E9718" t="s">
        <v>14</v>
      </c>
      <c r="F9718">
        <v>46.7592</v>
      </c>
      <c r="G9718">
        <v>22.7942</v>
      </c>
      <c r="H9718">
        <v>2</v>
      </c>
      <c r="I9718">
        <v>1837</v>
      </c>
      <c r="J9718" t="str">
        <f>HYPERLINK("https://climate.onebuilding.org/WMO_Region_6_Europe/ROU_Romania/CJ_Cluj/ROU_CJ_Vladeasa.Met.Stn.151190_TMYx.2007-2021.zip")</f>
        <v>https://climate.onebuilding.org/WMO_Region_6_Europe/ROU_Romania/CJ_Cluj/ROU_CJ_Vladeasa.Met.Stn.151190_TMYx.2007-2021.zip</v>
      </c>
    </row>
    <row r="9719" spans="1:10" x14ac:dyDescent="0.25">
      <c r="A9719" t="s">
        <v>7128</v>
      </c>
      <c r="B9719" t="s">
        <v>7170</v>
      </c>
      <c r="C9719" t="s">
        <v>7189</v>
      </c>
      <c r="D9719">
        <v>151190</v>
      </c>
      <c r="E9719" t="s">
        <v>14</v>
      </c>
      <c r="F9719">
        <v>46.7592</v>
      </c>
      <c r="G9719">
        <v>22.7942</v>
      </c>
      <c r="H9719">
        <v>2</v>
      </c>
      <c r="I9719">
        <v>1837</v>
      </c>
      <c r="J9719" t="str">
        <f>HYPERLINK("https://climate.onebuilding.org/WMO_Region_6_Europe/ROU_Romania/CJ_Cluj/ROU_CJ_Vladeasa.Met.Stn.151190_TMYx.2009-2023.zip")</f>
        <v>https://climate.onebuilding.org/WMO_Region_6_Europe/ROU_Romania/CJ_Cluj/ROU_CJ_Vladeasa.Met.Stn.151190_TMYx.2009-2023.zip</v>
      </c>
    </row>
    <row r="9720" spans="1:10" x14ac:dyDescent="0.25">
      <c r="A9720" t="s">
        <v>7128</v>
      </c>
      <c r="B9720" t="s">
        <v>7170</v>
      </c>
      <c r="C9720" t="s">
        <v>7189</v>
      </c>
      <c r="D9720">
        <v>151190</v>
      </c>
      <c r="E9720" t="s">
        <v>14</v>
      </c>
      <c r="F9720">
        <v>46.7592</v>
      </c>
      <c r="G9720">
        <v>22.7942</v>
      </c>
      <c r="H9720">
        <v>2</v>
      </c>
      <c r="I9720">
        <v>1837</v>
      </c>
      <c r="J9720" t="str">
        <f>HYPERLINK("https://climate.onebuilding.org/WMO_Region_6_Europe/ROU_Romania/CJ_Cluj/ROU_CJ_Vladeasa.Met.Stn.151190_TMYx.zip")</f>
        <v>https://climate.onebuilding.org/WMO_Region_6_Europe/ROU_Romania/CJ_Cluj/ROU_CJ_Vladeasa.Met.Stn.151190_TMYx.zip</v>
      </c>
    </row>
    <row r="9721" spans="1:10" x14ac:dyDescent="0.25">
      <c r="A9721" t="s">
        <v>7128</v>
      </c>
      <c r="B9721" t="s">
        <v>7170</v>
      </c>
      <c r="C9721" t="s">
        <v>7190</v>
      </c>
      <c r="D9721">
        <v>151200</v>
      </c>
      <c r="E9721" t="s">
        <v>7191</v>
      </c>
      <c r="F9721">
        <v>46.784999999999997</v>
      </c>
      <c r="G9721">
        <v>23.686</v>
      </c>
      <c r="H9721">
        <v>2</v>
      </c>
      <c r="I9721">
        <v>315.8</v>
      </c>
      <c r="J9721" t="str">
        <f>HYPERLINK("https://climate.onebuilding.org/WMO_Region_6_Europe/ROU_Romania/CJ_Cluj/ROU_CJ_Cluj.Napoca.151200_TMYx.2004-2018.zip")</f>
        <v>https://climate.onebuilding.org/WMO_Region_6_Europe/ROU_Romania/CJ_Cluj/ROU_CJ_Cluj.Napoca.151200_TMYx.2004-2018.zip</v>
      </c>
    </row>
    <row r="9722" spans="1:10" x14ac:dyDescent="0.25">
      <c r="A9722" t="s">
        <v>7128</v>
      </c>
      <c r="B9722" t="s">
        <v>7170</v>
      </c>
      <c r="C9722" t="s">
        <v>7190</v>
      </c>
      <c r="D9722">
        <v>151200</v>
      </c>
      <c r="E9722" t="s">
        <v>14</v>
      </c>
      <c r="F9722">
        <v>46.777799999999999</v>
      </c>
      <c r="G9722">
        <v>23.571400000000001</v>
      </c>
      <c r="H9722">
        <v>2</v>
      </c>
      <c r="I9722">
        <v>315.8</v>
      </c>
      <c r="J9722" t="str">
        <f>HYPERLINK("https://climate.onebuilding.org/WMO_Region_6_Europe/ROU_Romania/CJ_Cluj/ROU_CJ_Cluj.Napoca.151200_TMYx.2007-2021.zip")</f>
        <v>https://climate.onebuilding.org/WMO_Region_6_Europe/ROU_Romania/CJ_Cluj/ROU_CJ_Cluj.Napoca.151200_TMYx.2007-2021.zip</v>
      </c>
    </row>
    <row r="9723" spans="1:10" x14ac:dyDescent="0.25">
      <c r="A9723" t="s">
        <v>7128</v>
      </c>
      <c r="B9723" t="s">
        <v>7170</v>
      </c>
      <c r="C9723" t="s">
        <v>7190</v>
      </c>
      <c r="D9723">
        <v>151200</v>
      </c>
      <c r="E9723" t="s">
        <v>14</v>
      </c>
      <c r="F9723">
        <v>46.777799999999999</v>
      </c>
      <c r="G9723">
        <v>23.571400000000001</v>
      </c>
      <c r="H9723">
        <v>2</v>
      </c>
      <c r="I9723">
        <v>315.8</v>
      </c>
      <c r="J9723" t="str">
        <f>HYPERLINK("https://climate.onebuilding.org/WMO_Region_6_Europe/ROU_Romania/CJ_Cluj/ROU_CJ_Cluj.Napoca.151200_TMYx.2009-2023.zip")</f>
        <v>https://climate.onebuilding.org/WMO_Region_6_Europe/ROU_Romania/CJ_Cluj/ROU_CJ_Cluj.Napoca.151200_TMYx.2009-2023.zip</v>
      </c>
    </row>
    <row r="9724" spans="1:10" x14ac:dyDescent="0.25">
      <c r="A9724" t="s">
        <v>7128</v>
      </c>
      <c r="B9724" t="s">
        <v>7170</v>
      </c>
      <c r="C9724" t="s">
        <v>7190</v>
      </c>
      <c r="D9724">
        <v>151200</v>
      </c>
      <c r="E9724" t="s">
        <v>14</v>
      </c>
      <c r="F9724">
        <v>46.777799999999999</v>
      </c>
      <c r="G9724">
        <v>23.571400000000001</v>
      </c>
      <c r="H9724">
        <v>2</v>
      </c>
      <c r="I9724">
        <v>315.8</v>
      </c>
      <c r="J9724" t="str">
        <f>HYPERLINK("https://climate.onebuilding.org/WMO_Region_6_Europe/ROU_Romania/CJ_Cluj/ROU_CJ_Cluj.Napoca.151200_TMYx.zip")</f>
        <v>https://climate.onebuilding.org/WMO_Region_6_Europe/ROU_Romania/CJ_Cluj/ROU_CJ_Cluj.Napoca.151200_TMYx.zip</v>
      </c>
    </row>
    <row r="9725" spans="1:10" x14ac:dyDescent="0.25">
      <c r="A9725" t="s">
        <v>7128</v>
      </c>
      <c r="B9725" t="s">
        <v>7192</v>
      </c>
      <c r="C9725" t="s">
        <v>7193</v>
      </c>
      <c r="D9725">
        <v>151230</v>
      </c>
      <c r="E9725" t="s">
        <v>14</v>
      </c>
      <c r="F9725">
        <v>46.747500000000002</v>
      </c>
      <c r="G9725">
        <v>24.159700000000001</v>
      </c>
      <c r="H9725">
        <v>2</v>
      </c>
      <c r="I9725">
        <v>400.2</v>
      </c>
      <c r="J9725" t="str">
        <f>HYPERLINK("https://climate.onebuilding.org/WMO_Region_6_Europe/ROU_Romania/MS_Mures/ROU_MS_Sarmasu.151230_TMYx.2007-2021.zip")</f>
        <v>https://climate.onebuilding.org/WMO_Region_6_Europe/ROU_Romania/MS_Mures/ROU_MS_Sarmasu.151230_TMYx.2007-2021.zip</v>
      </c>
    </row>
    <row r="9726" spans="1:10" x14ac:dyDescent="0.25">
      <c r="A9726" t="s">
        <v>7128</v>
      </c>
      <c r="B9726" t="s">
        <v>7192</v>
      </c>
      <c r="C9726" t="s">
        <v>7193</v>
      </c>
      <c r="D9726">
        <v>151230</v>
      </c>
      <c r="E9726" t="s">
        <v>14</v>
      </c>
      <c r="F9726">
        <v>46.747500000000002</v>
      </c>
      <c r="G9726">
        <v>24.159700000000001</v>
      </c>
      <c r="H9726">
        <v>2</v>
      </c>
      <c r="I9726">
        <v>400.2</v>
      </c>
      <c r="J9726" t="str">
        <f>HYPERLINK("https://climate.onebuilding.org/WMO_Region_6_Europe/ROU_Romania/MS_Mures/ROU_MS_Sarmasu.151230_TMYx.2009-2023.zip")</f>
        <v>https://climate.onebuilding.org/WMO_Region_6_Europe/ROU_Romania/MS_Mures/ROU_MS_Sarmasu.151230_TMYx.2009-2023.zip</v>
      </c>
    </row>
    <row r="9727" spans="1:10" x14ac:dyDescent="0.25">
      <c r="A9727" t="s">
        <v>7128</v>
      </c>
      <c r="B9727" t="s">
        <v>7192</v>
      </c>
      <c r="C9727" t="s">
        <v>7193</v>
      </c>
      <c r="D9727">
        <v>151230</v>
      </c>
      <c r="E9727" t="s">
        <v>14</v>
      </c>
      <c r="F9727">
        <v>46.747500000000002</v>
      </c>
      <c r="G9727">
        <v>24.159700000000001</v>
      </c>
      <c r="H9727">
        <v>2</v>
      </c>
      <c r="I9727">
        <v>400.2</v>
      </c>
      <c r="J9727" t="str">
        <f>HYPERLINK("https://climate.onebuilding.org/WMO_Region_6_Europe/ROU_Romania/MS_Mures/ROU_MS_Sarmasu.151230_TMYx.zip")</f>
        <v>https://climate.onebuilding.org/WMO_Region_6_Europe/ROU_Romania/MS_Mures/ROU_MS_Sarmasu.151230_TMYx.zip</v>
      </c>
    </row>
    <row r="9728" spans="1:10" x14ac:dyDescent="0.25">
      <c r="A9728" t="s">
        <v>7128</v>
      </c>
      <c r="B9728" t="s">
        <v>7192</v>
      </c>
      <c r="C9728" t="s">
        <v>7194</v>
      </c>
      <c r="D9728">
        <v>151240</v>
      </c>
      <c r="E9728" t="s">
        <v>14</v>
      </c>
      <c r="F9728">
        <v>46.886099999999999</v>
      </c>
      <c r="G9728">
        <v>24.645299999999999</v>
      </c>
      <c r="H9728">
        <v>2</v>
      </c>
      <c r="I9728">
        <v>450.2</v>
      </c>
      <c r="J9728" t="str">
        <f>HYPERLINK("https://climate.onebuilding.org/WMO_Region_6_Europe/ROU_Romania/MS_Mures/ROU_MS_Batos.151240_TMYx.2007-2021.zip")</f>
        <v>https://climate.onebuilding.org/WMO_Region_6_Europe/ROU_Romania/MS_Mures/ROU_MS_Batos.151240_TMYx.2007-2021.zip</v>
      </c>
    </row>
    <row r="9729" spans="1:10" x14ac:dyDescent="0.25">
      <c r="A9729" t="s">
        <v>7128</v>
      </c>
      <c r="B9729" t="s">
        <v>7192</v>
      </c>
      <c r="C9729" t="s">
        <v>7194</v>
      </c>
      <c r="D9729">
        <v>151240</v>
      </c>
      <c r="E9729" t="s">
        <v>14</v>
      </c>
      <c r="F9729">
        <v>46.886099999999999</v>
      </c>
      <c r="G9729">
        <v>24.645299999999999</v>
      </c>
      <c r="H9729">
        <v>2</v>
      </c>
      <c r="I9729">
        <v>450.2</v>
      </c>
      <c r="J9729" t="str">
        <f>HYPERLINK("https://climate.onebuilding.org/WMO_Region_6_Europe/ROU_Romania/MS_Mures/ROU_MS_Batos.151240_TMYx.2009-2023.zip")</f>
        <v>https://climate.onebuilding.org/WMO_Region_6_Europe/ROU_Romania/MS_Mures/ROU_MS_Batos.151240_TMYx.2009-2023.zip</v>
      </c>
    </row>
    <row r="9730" spans="1:10" x14ac:dyDescent="0.25">
      <c r="A9730" t="s">
        <v>7128</v>
      </c>
      <c r="B9730" t="s">
        <v>7192</v>
      </c>
      <c r="C9730" t="s">
        <v>7194</v>
      </c>
      <c r="D9730">
        <v>151240</v>
      </c>
      <c r="E9730" t="s">
        <v>14</v>
      </c>
      <c r="F9730">
        <v>46.886099999999999</v>
      </c>
      <c r="G9730">
        <v>24.645299999999999</v>
      </c>
      <c r="H9730">
        <v>2</v>
      </c>
      <c r="I9730">
        <v>450.2</v>
      </c>
      <c r="J9730" t="str">
        <f>HYPERLINK("https://climate.onebuilding.org/WMO_Region_6_Europe/ROU_Romania/MS_Mures/ROU_MS_Batos.151240_TMYx.zip")</f>
        <v>https://climate.onebuilding.org/WMO_Region_6_Europe/ROU_Romania/MS_Mures/ROU_MS_Batos.151240_TMYx.zip</v>
      </c>
    </row>
    <row r="9731" spans="1:10" x14ac:dyDescent="0.25">
      <c r="A9731" t="s">
        <v>7128</v>
      </c>
      <c r="B9731" t="s">
        <v>632</v>
      </c>
      <c r="C9731" t="s">
        <v>7195</v>
      </c>
      <c r="D9731">
        <v>151270</v>
      </c>
      <c r="E9731" t="s">
        <v>14</v>
      </c>
      <c r="F9731">
        <v>46.705800000000004</v>
      </c>
      <c r="G9731">
        <v>25.512499999999999</v>
      </c>
      <c r="H9731">
        <v>2</v>
      </c>
      <c r="I9731">
        <v>751.3</v>
      </c>
      <c r="J9731" t="str">
        <f>HYPERLINK("https://climate.onebuilding.org/WMO_Region_6_Europe/ROU_Romania/HR_Harghita/ROU_HR_Joseni.151270_TMYx.2007-2021.zip")</f>
        <v>https://climate.onebuilding.org/WMO_Region_6_Europe/ROU_Romania/HR_Harghita/ROU_HR_Joseni.151270_TMYx.2007-2021.zip</v>
      </c>
    </row>
    <row r="9732" spans="1:10" x14ac:dyDescent="0.25">
      <c r="A9732" t="s">
        <v>7128</v>
      </c>
      <c r="B9732" t="s">
        <v>632</v>
      </c>
      <c r="C9732" t="s">
        <v>7195</v>
      </c>
      <c r="D9732">
        <v>151270</v>
      </c>
      <c r="E9732" t="s">
        <v>14</v>
      </c>
      <c r="F9732">
        <v>46.705800000000004</v>
      </c>
      <c r="G9732">
        <v>25.512499999999999</v>
      </c>
      <c r="H9732">
        <v>2</v>
      </c>
      <c r="I9732">
        <v>751.3</v>
      </c>
      <c r="J9732" t="str">
        <f>HYPERLINK("https://climate.onebuilding.org/WMO_Region_6_Europe/ROU_Romania/HR_Harghita/ROU_HR_Joseni.151270_TMYx.2009-2023.zip")</f>
        <v>https://climate.onebuilding.org/WMO_Region_6_Europe/ROU_Romania/HR_Harghita/ROU_HR_Joseni.151270_TMYx.2009-2023.zip</v>
      </c>
    </row>
    <row r="9733" spans="1:10" x14ac:dyDescent="0.25">
      <c r="A9733" t="s">
        <v>7128</v>
      </c>
      <c r="B9733" t="s">
        <v>632</v>
      </c>
      <c r="C9733" t="s">
        <v>7195</v>
      </c>
      <c r="D9733">
        <v>151270</v>
      </c>
      <c r="E9733" t="s">
        <v>14</v>
      </c>
      <c r="F9733">
        <v>46.705800000000004</v>
      </c>
      <c r="G9733">
        <v>25.512499999999999</v>
      </c>
      <c r="H9733">
        <v>2</v>
      </c>
      <c r="I9733">
        <v>751.3</v>
      </c>
      <c r="J9733" t="str">
        <f>HYPERLINK("https://climate.onebuilding.org/WMO_Region_6_Europe/ROU_Romania/HR_Harghita/ROU_HR_Joseni.151270_TMYx.zip")</f>
        <v>https://climate.onebuilding.org/WMO_Region_6_Europe/ROU_Romania/HR_Harghita/ROU_HR_Joseni.151270_TMYx.zip</v>
      </c>
    </row>
    <row r="9734" spans="1:10" x14ac:dyDescent="0.25">
      <c r="A9734" t="s">
        <v>7128</v>
      </c>
      <c r="B9734" t="s">
        <v>5453</v>
      </c>
      <c r="C9734" t="s">
        <v>7196</v>
      </c>
      <c r="D9734">
        <v>151320</v>
      </c>
      <c r="E9734" t="s">
        <v>14</v>
      </c>
      <c r="F9734">
        <v>46.683799999999998</v>
      </c>
      <c r="G9734">
        <v>27.221499999999999</v>
      </c>
      <c r="H9734">
        <v>2</v>
      </c>
      <c r="I9734">
        <v>251</v>
      </c>
      <c r="J9734" t="str">
        <f>HYPERLINK("https://climate.onebuilding.org/WMO_Region_6_Europe/ROU_Romania/BC_Bacau/ROU_BC_Plopana.151320_TMYx.zip")</f>
        <v>https://climate.onebuilding.org/WMO_Region_6_Europe/ROU_Romania/BC_Bacau/ROU_BC_Plopana.151320_TMYx.zip</v>
      </c>
    </row>
    <row r="9735" spans="1:10" x14ac:dyDescent="0.25">
      <c r="A9735" t="s">
        <v>7128</v>
      </c>
      <c r="B9735" t="s">
        <v>954</v>
      </c>
      <c r="C9735" t="s">
        <v>7197</v>
      </c>
      <c r="D9735">
        <v>151340</v>
      </c>
      <c r="E9735" t="s">
        <v>14</v>
      </c>
      <c r="F9735">
        <v>46.683</v>
      </c>
      <c r="G9735">
        <v>28.067</v>
      </c>
      <c r="H9735">
        <v>2</v>
      </c>
      <c r="I9735">
        <v>98</v>
      </c>
      <c r="J9735" t="str">
        <f>HYPERLINK("https://climate.onebuilding.org/WMO_Region_6_Europe/ROU_Romania/VS_Vaslui/ROU_VS_Husi.151340_TMYx.zip")</f>
        <v>https://climate.onebuilding.org/WMO_Region_6_Europe/ROU_Romania/VS_Vaslui/ROU_VS_Husi.151340_TMYx.zip</v>
      </c>
    </row>
    <row r="9736" spans="1:10" x14ac:dyDescent="0.25">
      <c r="A9736" t="s">
        <v>7128</v>
      </c>
      <c r="B9736" t="s">
        <v>2038</v>
      </c>
      <c r="C9736" t="s">
        <v>7198</v>
      </c>
      <c r="D9736">
        <v>151360</v>
      </c>
      <c r="E9736" t="s">
        <v>14</v>
      </c>
      <c r="F9736">
        <v>46.518599999999999</v>
      </c>
      <c r="G9736">
        <v>21.541699999999999</v>
      </c>
      <c r="H9736">
        <v>2</v>
      </c>
      <c r="I9736">
        <v>97.2</v>
      </c>
      <c r="J9736" t="str">
        <f>HYPERLINK("https://climate.onebuilding.org/WMO_Region_6_Europe/ROU_Romania/AR_Arad/ROU_AR_Chisineu-Cris.151360_TMYx.2007-2021.zip")</f>
        <v>https://climate.onebuilding.org/WMO_Region_6_Europe/ROU_Romania/AR_Arad/ROU_AR_Chisineu-Cris.151360_TMYx.2007-2021.zip</v>
      </c>
    </row>
    <row r="9737" spans="1:10" x14ac:dyDescent="0.25">
      <c r="A9737" t="s">
        <v>7128</v>
      </c>
      <c r="B9737" t="s">
        <v>2038</v>
      </c>
      <c r="C9737" t="s">
        <v>7198</v>
      </c>
      <c r="D9737">
        <v>151360</v>
      </c>
      <c r="E9737" t="s">
        <v>14</v>
      </c>
      <c r="F9737">
        <v>46.518599999999999</v>
      </c>
      <c r="G9737">
        <v>21.541699999999999</v>
      </c>
      <c r="H9737">
        <v>2</v>
      </c>
      <c r="I9737">
        <v>97.2</v>
      </c>
      <c r="J9737" t="str">
        <f>HYPERLINK("https://climate.onebuilding.org/WMO_Region_6_Europe/ROU_Romania/AR_Arad/ROU_AR_Chisineu-Cris.151360_TMYx.2009-2023.zip")</f>
        <v>https://climate.onebuilding.org/WMO_Region_6_Europe/ROU_Romania/AR_Arad/ROU_AR_Chisineu-Cris.151360_TMYx.2009-2023.zip</v>
      </c>
    </row>
    <row r="9738" spans="1:10" x14ac:dyDescent="0.25">
      <c r="A9738" t="s">
        <v>7128</v>
      </c>
      <c r="B9738" t="s">
        <v>2038</v>
      </c>
      <c r="C9738" t="s">
        <v>7198</v>
      </c>
      <c r="D9738">
        <v>151360</v>
      </c>
      <c r="E9738" t="s">
        <v>14</v>
      </c>
      <c r="F9738">
        <v>46.518599999999999</v>
      </c>
      <c r="G9738">
        <v>21.541699999999999</v>
      </c>
      <c r="H9738">
        <v>2</v>
      </c>
      <c r="I9738">
        <v>97.2</v>
      </c>
      <c r="J9738" t="str">
        <f>HYPERLINK("https://climate.onebuilding.org/WMO_Region_6_Europe/ROU_Romania/AR_Arad/ROU_AR_Chisineu-Cris.151360_TMYx.zip")</f>
        <v>https://climate.onebuilding.org/WMO_Region_6_Europe/ROU_Romania/AR_Arad/ROU_AR_Chisineu-Cris.151360_TMYx.zip</v>
      </c>
    </row>
    <row r="9739" spans="1:10" x14ac:dyDescent="0.25">
      <c r="A9739" t="s">
        <v>7128</v>
      </c>
      <c r="B9739" t="s">
        <v>7155</v>
      </c>
      <c r="C9739" t="s">
        <v>7199</v>
      </c>
      <c r="D9739">
        <v>151380</v>
      </c>
      <c r="E9739" t="s">
        <v>14</v>
      </c>
      <c r="F9739">
        <v>46.6447</v>
      </c>
      <c r="G9739">
        <v>22.171099999999999</v>
      </c>
      <c r="H9739">
        <v>2</v>
      </c>
      <c r="I9739">
        <v>587.5</v>
      </c>
      <c r="J9739" t="str">
        <f>HYPERLINK("https://climate.onebuilding.org/WMO_Region_6_Europe/ROU_Romania/BH_Bihor/ROU_BH_Dumbravita.de.Codru.151380_TMYx.2007-2021.zip")</f>
        <v>https://climate.onebuilding.org/WMO_Region_6_Europe/ROU_Romania/BH_Bihor/ROU_BH_Dumbravita.de.Codru.151380_TMYx.2007-2021.zip</v>
      </c>
    </row>
    <row r="9740" spans="1:10" x14ac:dyDescent="0.25">
      <c r="A9740" t="s">
        <v>7128</v>
      </c>
      <c r="B9740" t="s">
        <v>7155</v>
      </c>
      <c r="C9740" t="s">
        <v>7199</v>
      </c>
      <c r="D9740">
        <v>151380</v>
      </c>
      <c r="E9740" t="s">
        <v>14</v>
      </c>
      <c r="F9740">
        <v>46.6447</v>
      </c>
      <c r="G9740">
        <v>22.171099999999999</v>
      </c>
      <c r="H9740">
        <v>2</v>
      </c>
      <c r="I9740">
        <v>587.5</v>
      </c>
      <c r="J9740" t="str">
        <f>HYPERLINK("https://climate.onebuilding.org/WMO_Region_6_Europe/ROU_Romania/BH_Bihor/ROU_BH_Dumbravita.de.Codru.151380_TMYx.2009-2023.zip")</f>
        <v>https://climate.onebuilding.org/WMO_Region_6_Europe/ROU_Romania/BH_Bihor/ROU_BH_Dumbravita.de.Codru.151380_TMYx.2009-2023.zip</v>
      </c>
    </row>
    <row r="9741" spans="1:10" x14ac:dyDescent="0.25">
      <c r="A9741" t="s">
        <v>7128</v>
      </c>
      <c r="B9741" t="s">
        <v>7155</v>
      </c>
      <c r="C9741" t="s">
        <v>7199</v>
      </c>
      <c r="D9741">
        <v>151380</v>
      </c>
      <c r="E9741" t="s">
        <v>14</v>
      </c>
      <c r="F9741">
        <v>46.6447</v>
      </c>
      <c r="G9741">
        <v>22.171099999999999</v>
      </c>
      <c r="H9741">
        <v>2</v>
      </c>
      <c r="I9741">
        <v>587.5</v>
      </c>
      <c r="J9741" t="str">
        <f>HYPERLINK("https://climate.onebuilding.org/WMO_Region_6_Europe/ROU_Romania/BH_Bihor/ROU_BH_Dumbravita.de.Codru.151380_TMYx.zip")</f>
        <v>https://climate.onebuilding.org/WMO_Region_6_Europe/ROU_Romania/BH_Bihor/ROU_BH_Dumbravita.de.Codru.151380_TMYx.zip</v>
      </c>
    </row>
    <row r="9742" spans="1:10" x14ac:dyDescent="0.25">
      <c r="A9742" t="s">
        <v>7128</v>
      </c>
      <c r="B9742" t="s">
        <v>7170</v>
      </c>
      <c r="C9742" t="s">
        <v>7200</v>
      </c>
      <c r="D9742">
        <v>151430</v>
      </c>
      <c r="E9742" t="s">
        <v>14</v>
      </c>
      <c r="F9742">
        <v>46.582999999999998</v>
      </c>
      <c r="G9742">
        <v>23.7911</v>
      </c>
      <c r="H9742">
        <v>2</v>
      </c>
      <c r="I9742">
        <v>428.2</v>
      </c>
      <c r="J9742" t="str">
        <f>HYPERLINK("https://climate.onebuilding.org/WMO_Region_6_Europe/ROU_Romania/CJ_Cluj/ROU_CJ_Turda.151430_TMYx.2007-2021.zip")</f>
        <v>https://climate.onebuilding.org/WMO_Region_6_Europe/ROU_Romania/CJ_Cluj/ROU_CJ_Turda.151430_TMYx.2007-2021.zip</v>
      </c>
    </row>
    <row r="9743" spans="1:10" x14ac:dyDescent="0.25">
      <c r="A9743" t="s">
        <v>7128</v>
      </c>
      <c r="B9743" t="s">
        <v>7170</v>
      </c>
      <c r="C9743" t="s">
        <v>7200</v>
      </c>
      <c r="D9743">
        <v>151430</v>
      </c>
      <c r="E9743" t="s">
        <v>14</v>
      </c>
      <c r="F9743">
        <v>46.582999999999998</v>
      </c>
      <c r="G9743">
        <v>23.7911</v>
      </c>
      <c r="H9743">
        <v>2</v>
      </c>
      <c r="I9743">
        <v>428.2</v>
      </c>
      <c r="J9743" t="str">
        <f>HYPERLINK("https://climate.onebuilding.org/WMO_Region_6_Europe/ROU_Romania/CJ_Cluj/ROU_CJ_Turda.151430_TMYx.2009-2023.zip")</f>
        <v>https://climate.onebuilding.org/WMO_Region_6_Europe/ROU_Romania/CJ_Cluj/ROU_CJ_Turda.151430_TMYx.2009-2023.zip</v>
      </c>
    </row>
    <row r="9744" spans="1:10" x14ac:dyDescent="0.25">
      <c r="A9744" t="s">
        <v>7128</v>
      </c>
      <c r="B9744" t="s">
        <v>7170</v>
      </c>
      <c r="C9744" t="s">
        <v>7200</v>
      </c>
      <c r="D9744">
        <v>151430</v>
      </c>
      <c r="E9744" t="s">
        <v>14</v>
      </c>
      <c r="F9744">
        <v>46.582999999999998</v>
      </c>
      <c r="G9744">
        <v>23.7911</v>
      </c>
      <c r="H9744">
        <v>2</v>
      </c>
      <c r="I9744">
        <v>428.2</v>
      </c>
      <c r="J9744" t="str">
        <f>HYPERLINK("https://climate.onebuilding.org/WMO_Region_6_Europe/ROU_Romania/CJ_Cluj/ROU_CJ_Turda.151430_TMYx.zip")</f>
        <v>https://climate.onebuilding.org/WMO_Region_6_Europe/ROU_Romania/CJ_Cluj/ROU_CJ_Turda.151430_TMYx.zip</v>
      </c>
    </row>
    <row r="9745" spans="1:10" x14ac:dyDescent="0.25">
      <c r="A9745" t="s">
        <v>7128</v>
      </c>
      <c r="B9745" t="s">
        <v>7192</v>
      </c>
      <c r="C9745" t="s">
        <v>7201</v>
      </c>
      <c r="D9745">
        <v>151450</v>
      </c>
      <c r="E9745" t="s">
        <v>7202</v>
      </c>
      <c r="F9745">
        <v>46.468000000000004</v>
      </c>
      <c r="G9745">
        <v>24.413</v>
      </c>
      <c r="H9745">
        <v>2</v>
      </c>
      <c r="I9745">
        <v>293.5</v>
      </c>
      <c r="J9745" t="str">
        <f>HYPERLINK("https://climate.onebuilding.org/WMO_Region_6_Europe/ROU_Romania/MS_Mures/ROU_MS_Targu.Mures.151450_TMYx.2004-2018.zip")</f>
        <v>https://climate.onebuilding.org/WMO_Region_6_Europe/ROU_Romania/MS_Mures/ROU_MS_Targu.Mures.151450_TMYx.2004-2018.zip</v>
      </c>
    </row>
    <row r="9746" spans="1:10" x14ac:dyDescent="0.25">
      <c r="A9746" t="s">
        <v>7128</v>
      </c>
      <c r="B9746" t="s">
        <v>7192</v>
      </c>
      <c r="C9746" t="s">
        <v>7201</v>
      </c>
      <c r="D9746">
        <v>151450</v>
      </c>
      <c r="E9746" t="s">
        <v>14</v>
      </c>
      <c r="F9746">
        <v>46.528100000000002</v>
      </c>
      <c r="G9746">
        <v>24.5227</v>
      </c>
      <c r="H9746">
        <v>2</v>
      </c>
      <c r="I9746">
        <v>293.5</v>
      </c>
      <c r="J9746" t="str">
        <f>HYPERLINK("https://climate.onebuilding.org/WMO_Region_6_Europe/ROU_Romania/MS_Mures/ROU_MS_Targu.Mures.151450_TMYx.2007-2021.zip")</f>
        <v>https://climate.onebuilding.org/WMO_Region_6_Europe/ROU_Romania/MS_Mures/ROU_MS_Targu.Mures.151450_TMYx.2007-2021.zip</v>
      </c>
    </row>
    <row r="9747" spans="1:10" x14ac:dyDescent="0.25">
      <c r="A9747" t="s">
        <v>7128</v>
      </c>
      <c r="B9747" t="s">
        <v>7192</v>
      </c>
      <c r="C9747" t="s">
        <v>7201</v>
      </c>
      <c r="D9747">
        <v>151450</v>
      </c>
      <c r="E9747" t="s">
        <v>14</v>
      </c>
      <c r="F9747">
        <v>46.528100000000002</v>
      </c>
      <c r="G9747">
        <v>24.5227</v>
      </c>
      <c r="H9747">
        <v>2</v>
      </c>
      <c r="I9747">
        <v>293.5</v>
      </c>
      <c r="J9747" t="str">
        <f>HYPERLINK("https://climate.onebuilding.org/WMO_Region_6_Europe/ROU_Romania/MS_Mures/ROU_MS_Targu.Mures.151450_TMYx.2009-2023.zip")</f>
        <v>https://climate.onebuilding.org/WMO_Region_6_Europe/ROU_Romania/MS_Mures/ROU_MS_Targu.Mures.151450_TMYx.2009-2023.zip</v>
      </c>
    </row>
    <row r="9748" spans="1:10" x14ac:dyDescent="0.25">
      <c r="A9748" t="s">
        <v>7128</v>
      </c>
      <c r="B9748" t="s">
        <v>7192</v>
      </c>
      <c r="C9748" t="s">
        <v>7201</v>
      </c>
      <c r="D9748">
        <v>151450</v>
      </c>
      <c r="E9748" t="s">
        <v>14</v>
      </c>
      <c r="F9748">
        <v>46.528100000000002</v>
      </c>
      <c r="G9748">
        <v>24.5227</v>
      </c>
      <c r="H9748">
        <v>2</v>
      </c>
      <c r="I9748">
        <v>293.5</v>
      </c>
      <c r="J9748" t="str">
        <f>HYPERLINK("https://climate.onebuilding.org/WMO_Region_6_Europe/ROU_Romania/MS_Mures/ROU_MS_Targu.Mures.151450_TMYx.zip")</f>
        <v>https://climate.onebuilding.org/WMO_Region_6_Europe/ROU_Romania/MS_Mures/ROU_MS_Targu.Mures.151450_TMYx.zip</v>
      </c>
    </row>
    <row r="9749" spans="1:10" x14ac:dyDescent="0.25">
      <c r="A9749" t="s">
        <v>7128</v>
      </c>
      <c r="B9749" t="s">
        <v>632</v>
      </c>
      <c r="C9749" t="s">
        <v>7203</v>
      </c>
      <c r="D9749">
        <v>151480</v>
      </c>
      <c r="E9749" t="s">
        <v>14</v>
      </c>
      <c r="F9749">
        <v>46.648899999999998</v>
      </c>
      <c r="G9749">
        <v>25.296399999999998</v>
      </c>
      <c r="H9749">
        <v>2</v>
      </c>
      <c r="I9749">
        <v>1283.9000000000001</v>
      </c>
      <c r="J9749" t="str">
        <f>HYPERLINK("https://climate.onebuilding.org/WMO_Region_6_Europe/ROU_Romania/HR_Harghita/ROU_HR_Bucin.Ski.Resort.151480_TMYx.2007-2021.zip")</f>
        <v>https://climate.onebuilding.org/WMO_Region_6_Europe/ROU_Romania/HR_Harghita/ROU_HR_Bucin.Ski.Resort.151480_TMYx.2007-2021.zip</v>
      </c>
    </row>
    <row r="9750" spans="1:10" x14ac:dyDescent="0.25">
      <c r="A9750" t="s">
        <v>7128</v>
      </c>
      <c r="B9750" t="s">
        <v>632</v>
      </c>
      <c r="C9750" t="s">
        <v>7203</v>
      </c>
      <c r="D9750">
        <v>151480</v>
      </c>
      <c r="E9750" t="s">
        <v>14</v>
      </c>
      <c r="F9750">
        <v>46.648899999999998</v>
      </c>
      <c r="G9750">
        <v>25.296399999999998</v>
      </c>
      <c r="H9750">
        <v>2</v>
      </c>
      <c r="I9750">
        <v>1283.9000000000001</v>
      </c>
      <c r="J9750" t="str">
        <f>HYPERLINK("https://climate.onebuilding.org/WMO_Region_6_Europe/ROU_Romania/HR_Harghita/ROU_HR_Bucin.Ski.Resort.151480_TMYx.2009-2023.zip")</f>
        <v>https://climate.onebuilding.org/WMO_Region_6_Europe/ROU_Romania/HR_Harghita/ROU_HR_Bucin.Ski.Resort.151480_TMYx.2009-2023.zip</v>
      </c>
    </row>
    <row r="9751" spans="1:10" x14ac:dyDescent="0.25">
      <c r="A9751" t="s">
        <v>7128</v>
      </c>
      <c r="B9751" t="s">
        <v>632</v>
      </c>
      <c r="C9751" t="s">
        <v>7203</v>
      </c>
      <c r="D9751">
        <v>151480</v>
      </c>
      <c r="E9751" t="s">
        <v>14</v>
      </c>
      <c r="F9751">
        <v>46.648899999999998</v>
      </c>
      <c r="G9751">
        <v>25.296399999999998</v>
      </c>
      <c r="H9751">
        <v>2</v>
      </c>
      <c r="I9751">
        <v>1283.9000000000001</v>
      </c>
      <c r="J9751" t="str">
        <f>HYPERLINK("https://climate.onebuilding.org/WMO_Region_6_Europe/ROU_Romania/HR_Harghita/ROU_HR_Bucin.Ski.Resort.151480_TMYx.zip")</f>
        <v>https://climate.onebuilding.org/WMO_Region_6_Europe/ROU_Romania/HR_Harghita/ROU_HR_Bucin.Ski.Resort.151480_TMYx.zip</v>
      </c>
    </row>
    <row r="9752" spans="1:10" x14ac:dyDescent="0.25">
      <c r="A9752" t="s">
        <v>7128</v>
      </c>
      <c r="B9752" t="s">
        <v>5453</v>
      </c>
      <c r="C9752" t="s">
        <v>7204</v>
      </c>
      <c r="D9752">
        <v>151500</v>
      </c>
      <c r="E9752" t="s">
        <v>7205</v>
      </c>
      <c r="F9752">
        <v>46.521999999999998</v>
      </c>
      <c r="G9752">
        <v>26.91</v>
      </c>
      <c r="H9752">
        <v>2</v>
      </c>
      <c r="I9752">
        <v>185</v>
      </c>
      <c r="J9752" t="str">
        <f>HYPERLINK("https://climate.onebuilding.org/WMO_Region_6_Europe/ROU_Romania/BC_Bacau/ROU_BC_Bacau.151500_TMYx.2004-2018.zip")</f>
        <v>https://climate.onebuilding.org/WMO_Region_6_Europe/ROU_Romania/BC_Bacau/ROU_BC_Bacau.151500_TMYx.2004-2018.zip</v>
      </c>
    </row>
    <row r="9753" spans="1:10" x14ac:dyDescent="0.25">
      <c r="A9753" t="s">
        <v>7128</v>
      </c>
      <c r="B9753" t="s">
        <v>5453</v>
      </c>
      <c r="C9753" t="s">
        <v>7204</v>
      </c>
      <c r="D9753">
        <v>151500</v>
      </c>
      <c r="E9753" t="s">
        <v>14</v>
      </c>
      <c r="F9753">
        <v>46.5578</v>
      </c>
      <c r="G9753">
        <v>26.896699999999999</v>
      </c>
      <c r="H9753">
        <v>2</v>
      </c>
      <c r="I9753">
        <v>185</v>
      </c>
      <c r="J9753" t="str">
        <f>HYPERLINK("https://climate.onebuilding.org/WMO_Region_6_Europe/ROU_Romania/BC_Bacau/ROU_BC_Bacau.151500_TMYx.2007-2021.zip")</f>
        <v>https://climate.onebuilding.org/WMO_Region_6_Europe/ROU_Romania/BC_Bacau/ROU_BC_Bacau.151500_TMYx.2007-2021.zip</v>
      </c>
    </row>
    <row r="9754" spans="1:10" x14ac:dyDescent="0.25">
      <c r="A9754" t="s">
        <v>7128</v>
      </c>
      <c r="B9754" t="s">
        <v>5453</v>
      </c>
      <c r="C9754" t="s">
        <v>7204</v>
      </c>
      <c r="D9754">
        <v>151500</v>
      </c>
      <c r="E9754" t="s">
        <v>14</v>
      </c>
      <c r="F9754">
        <v>46.5578</v>
      </c>
      <c r="G9754">
        <v>26.896699999999999</v>
      </c>
      <c r="H9754">
        <v>2</v>
      </c>
      <c r="I9754">
        <v>185</v>
      </c>
      <c r="J9754" t="str">
        <f>HYPERLINK("https://climate.onebuilding.org/WMO_Region_6_Europe/ROU_Romania/BC_Bacau/ROU_BC_Bacau.151500_TMYx.2009-2023.zip")</f>
        <v>https://climate.onebuilding.org/WMO_Region_6_Europe/ROU_Romania/BC_Bacau/ROU_BC_Bacau.151500_TMYx.2009-2023.zip</v>
      </c>
    </row>
    <row r="9755" spans="1:10" x14ac:dyDescent="0.25">
      <c r="A9755" t="s">
        <v>7128</v>
      </c>
      <c r="B9755" t="s">
        <v>5453</v>
      </c>
      <c r="C9755" t="s">
        <v>7204</v>
      </c>
      <c r="D9755">
        <v>151500</v>
      </c>
      <c r="E9755" t="s">
        <v>14</v>
      </c>
      <c r="F9755">
        <v>46.5578</v>
      </c>
      <c r="G9755">
        <v>26.896699999999999</v>
      </c>
      <c r="H9755">
        <v>2</v>
      </c>
      <c r="I9755">
        <v>185</v>
      </c>
      <c r="J9755" t="str">
        <f>HYPERLINK("https://climate.onebuilding.org/WMO_Region_6_Europe/ROU_Romania/BC_Bacau/ROU_BC_Bacau.151500_TMYx.zip")</f>
        <v>https://climate.onebuilding.org/WMO_Region_6_Europe/ROU_Romania/BC_Bacau/ROU_BC_Bacau.151500_TMYx.zip</v>
      </c>
    </row>
    <row r="9756" spans="1:10" x14ac:dyDescent="0.25">
      <c r="A9756" t="s">
        <v>7128</v>
      </c>
      <c r="B9756" t="s">
        <v>954</v>
      </c>
      <c r="C9756" t="s">
        <v>7206</v>
      </c>
      <c r="D9756">
        <v>151540</v>
      </c>
      <c r="E9756" t="s">
        <v>14</v>
      </c>
      <c r="F9756">
        <v>46.646099999999997</v>
      </c>
      <c r="G9756">
        <v>27.714500000000001</v>
      </c>
      <c r="H9756">
        <v>2</v>
      </c>
      <c r="I9756">
        <v>117.2</v>
      </c>
      <c r="J9756" t="str">
        <f>HYPERLINK("https://climate.onebuilding.org/WMO_Region_6_Europe/ROU_Romania/VS_Vaslui/ROU_VS_Vaslui.151540_TMYx.2007-2021.zip")</f>
        <v>https://climate.onebuilding.org/WMO_Region_6_Europe/ROU_Romania/VS_Vaslui/ROU_VS_Vaslui.151540_TMYx.2007-2021.zip</v>
      </c>
    </row>
    <row r="9757" spans="1:10" x14ac:dyDescent="0.25">
      <c r="A9757" t="s">
        <v>7128</v>
      </c>
      <c r="B9757" t="s">
        <v>954</v>
      </c>
      <c r="C9757" t="s">
        <v>7206</v>
      </c>
      <c r="D9757">
        <v>151540</v>
      </c>
      <c r="E9757" t="s">
        <v>14</v>
      </c>
      <c r="F9757">
        <v>46.646099999999997</v>
      </c>
      <c r="G9757">
        <v>27.714500000000001</v>
      </c>
      <c r="H9757">
        <v>2</v>
      </c>
      <c r="I9757">
        <v>117.2</v>
      </c>
      <c r="J9757" t="str">
        <f>HYPERLINK("https://climate.onebuilding.org/WMO_Region_6_Europe/ROU_Romania/VS_Vaslui/ROU_VS_Vaslui.151540_TMYx.2009-2023.zip")</f>
        <v>https://climate.onebuilding.org/WMO_Region_6_Europe/ROU_Romania/VS_Vaslui/ROU_VS_Vaslui.151540_TMYx.2009-2023.zip</v>
      </c>
    </row>
    <row r="9758" spans="1:10" x14ac:dyDescent="0.25">
      <c r="A9758" t="s">
        <v>7128</v>
      </c>
      <c r="B9758" t="s">
        <v>954</v>
      </c>
      <c r="C9758" t="s">
        <v>7206</v>
      </c>
      <c r="D9758">
        <v>151540</v>
      </c>
      <c r="E9758" t="s">
        <v>14</v>
      </c>
      <c r="F9758">
        <v>46.646099999999997</v>
      </c>
      <c r="G9758">
        <v>27.714500000000001</v>
      </c>
      <c r="H9758">
        <v>2</v>
      </c>
      <c r="I9758">
        <v>117.2</v>
      </c>
      <c r="J9758" t="str">
        <f>HYPERLINK("https://climate.onebuilding.org/WMO_Region_6_Europe/ROU_Romania/VS_Vaslui/ROU_VS_Vaslui.151540_TMYx.zip")</f>
        <v>https://climate.onebuilding.org/WMO_Region_6_Europe/ROU_Romania/VS_Vaslui/ROU_VS_Vaslui.151540_TMYx.zip</v>
      </c>
    </row>
    <row r="9759" spans="1:10" x14ac:dyDescent="0.25">
      <c r="A9759" t="s">
        <v>7128</v>
      </c>
      <c r="B9759" t="s">
        <v>2038</v>
      </c>
      <c r="C9759" t="s">
        <v>7207</v>
      </c>
      <c r="D9759">
        <v>151580</v>
      </c>
      <c r="E9759" t="s">
        <v>14</v>
      </c>
      <c r="F9759">
        <v>46.4</v>
      </c>
      <c r="G9759">
        <v>21.65</v>
      </c>
      <c r="H9759">
        <v>2</v>
      </c>
      <c r="I9759">
        <v>112</v>
      </c>
      <c r="J9759" t="str">
        <f>HYPERLINK("https://climate.onebuilding.org/WMO_Region_6_Europe/ROU_Romania/AR_Arad/ROU_AR_Zarand.151580_TMYx.zip")</f>
        <v>https://climate.onebuilding.org/WMO_Region_6_Europe/ROU_Romania/AR_Arad/ROU_AR_Zarand.151580_TMYx.zip</v>
      </c>
    </row>
    <row r="9760" spans="1:10" x14ac:dyDescent="0.25">
      <c r="A9760" t="s">
        <v>7128</v>
      </c>
      <c r="B9760" t="s">
        <v>2038</v>
      </c>
      <c r="C9760" t="s">
        <v>7208</v>
      </c>
      <c r="D9760">
        <v>151590</v>
      </c>
      <c r="E9760" t="s">
        <v>14</v>
      </c>
      <c r="F9760">
        <v>46.383000000000003</v>
      </c>
      <c r="G9760">
        <v>21.817</v>
      </c>
      <c r="H9760">
        <v>2</v>
      </c>
      <c r="I9760">
        <v>697</v>
      </c>
      <c r="J9760" t="str">
        <f>HYPERLINK("https://climate.onebuilding.org/WMO_Region_6_Europe/ROU_Romania/AR_Arad/ROU_AR_Mocrea.151590_TMYx.zip")</f>
        <v>https://climate.onebuilding.org/WMO_Region_6_Europe/ROU_Romania/AR_Arad/ROU_AR_Mocrea.151590_TMYx.zip</v>
      </c>
    </row>
    <row r="9761" spans="1:10" x14ac:dyDescent="0.25">
      <c r="A9761" t="s">
        <v>7128</v>
      </c>
      <c r="B9761" t="s">
        <v>7155</v>
      </c>
      <c r="C9761" t="s">
        <v>7209</v>
      </c>
      <c r="D9761">
        <v>151600</v>
      </c>
      <c r="E9761" t="s">
        <v>14</v>
      </c>
      <c r="F9761">
        <v>46.528100000000002</v>
      </c>
      <c r="G9761">
        <v>22.4664</v>
      </c>
      <c r="H9761">
        <v>2</v>
      </c>
      <c r="I9761">
        <v>279.3</v>
      </c>
      <c r="J9761" t="str">
        <f>HYPERLINK("https://climate.onebuilding.org/WMO_Region_6_Europe/ROU_Romania/BH_Bihor/ROU_BH_Stei.151600_TMYx.2007-2021.zip")</f>
        <v>https://climate.onebuilding.org/WMO_Region_6_Europe/ROU_Romania/BH_Bihor/ROU_BH_Stei.151600_TMYx.2007-2021.zip</v>
      </c>
    </row>
    <row r="9762" spans="1:10" x14ac:dyDescent="0.25">
      <c r="A9762" t="s">
        <v>7128</v>
      </c>
      <c r="B9762" t="s">
        <v>7155</v>
      </c>
      <c r="C9762" t="s">
        <v>7209</v>
      </c>
      <c r="D9762">
        <v>151600</v>
      </c>
      <c r="E9762" t="s">
        <v>14</v>
      </c>
      <c r="F9762">
        <v>46.528100000000002</v>
      </c>
      <c r="G9762">
        <v>22.4664</v>
      </c>
      <c r="H9762">
        <v>2</v>
      </c>
      <c r="I9762">
        <v>279.3</v>
      </c>
      <c r="J9762" t="str">
        <f>HYPERLINK("https://climate.onebuilding.org/WMO_Region_6_Europe/ROU_Romania/BH_Bihor/ROU_BH_Stei.151600_TMYx.2009-2023.zip")</f>
        <v>https://climate.onebuilding.org/WMO_Region_6_Europe/ROU_Romania/BH_Bihor/ROU_BH_Stei.151600_TMYx.2009-2023.zip</v>
      </c>
    </row>
    <row r="9763" spans="1:10" x14ac:dyDescent="0.25">
      <c r="A9763" t="s">
        <v>7128</v>
      </c>
      <c r="B9763" t="s">
        <v>7155</v>
      </c>
      <c r="C9763" t="s">
        <v>7209</v>
      </c>
      <c r="D9763">
        <v>151600</v>
      </c>
      <c r="E9763" t="s">
        <v>14</v>
      </c>
      <c r="F9763">
        <v>46.528100000000002</v>
      </c>
      <c r="G9763">
        <v>22.4664</v>
      </c>
      <c r="H9763">
        <v>2</v>
      </c>
      <c r="I9763">
        <v>279.3</v>
      </c>
      <c r="J9763" t="str">
        <f>HYPERLINK("https://climate.onebuilding.org/WMO_Region_6_Europe/ROU_Romania/BH_Bihor/ROU_BH_Stei.151600_TMYx.zip")</f>
        <v>https://climate.onebuilding.org/WMO_Region_6_Europe/ROU_Romania/BH_Bihor/ROU_BH_Stei.151600_TMYx.zip</v>
      </c>
    </row>
    <row r="9764" spans="1:10" x14ac:dyDescent="0.25">
      <c r="A9764" t="s">
        <v>7128</v>
      </c>
      <c r="B9764" t="s">
        <v>5397</v>
      </c>
      <c r="C9764" t="s">
        <v>7210</v>
      </c>
      <c r="D9764">
        <v>151620</v>
      </c>
      <c r="E9764" t="s">
        <v>14</v>
      </c>
      <c r="F9764">
        <v>46.363900000000001</v>
      </c>
      <c r="G9764">
        <v>23.040299999999998</v>
      </c>
      <c r="H9764">
        <v>2</v>
      </c>
      <c r="I9764">
        <v>592.20000000000005</v>
      </c>
      <c r="J9764" t="str">
        <f>HYPERLINK("https://climate.onebuilding.org/WMO_Region_6_Europe/ROU_Romania/AB_Alba/ROU_AB_Campeni.151620_TMYx.2007-2021.zip")</f>
        <v>https://climate.onebuilding.org/WMO_Region_6_Europe/ROU_Romania/AB_Alba/ROU_AB_Campeni.151620_TMYx.2007-2021.zip</v>
      </c>
    </row>
    <row r="9765" spans="1:10" x14ac:dyDescent="0.25">
      <c r="A9765" t="s">
        <v>7128</v>
      </c>
      <c r="B9765" t="s">
        <v>5397</v>
      </c>
      <c r="C9765" t="s">
        <v>7210</v>
      </c>
      <c r="D9765">
        <v>151620</v>
      </c>
      <c r="E9765" t="s">
        <v>14</v>
      </c>
      <c r="F9765">
        <v>46.363900000000001</v>
      </c>
      <c r="G9765">
        <v>23.040299999999998</v>
      </c>
      <c r="H9765">
        <v>2</v>
      </c>
      <c r="I9765">
        <v>592.20000000000005</v>
      </c>
      <c r="J9765" t="str">
        <f>HYPERLINK("https://climate.onebuilding.org/WMO_Region_6_Europe/ROU_Romania/AB_Alba/ROU_AB_Campeni.151620_TMYx.2009-2023.zip")</f>
        <v>https://climate.onebuilding.org/WMO_Region_6_Europe/ROU_Romania/AB_Alba/ROU_AB_Campeni.151620_TMYx.2009-2023.zip</v>
      </c>
    </row>
    <row r="9766" spans="1:10" x14ac:dyDescent="0.25">
      <c r="A9766" t="s">
        <v>7128</v>
      </c>
      <c r="B9766" t="s">
        <v>5397</v>
      </c>
      <c r="C9766" t="s">
        <v>7210</v>
      </c>
      <c r="D9766">
        <v>151620</v>
      </c>
      <c r="E9766" t="s">
        <v>14</v>
      </c>
      <c r="F9766">
        <v>46.363900000000001</v>
      </c>
      <c r="G9766">
        <v>23.040299999999998</v>
      </c>
      <c r="H9766">
        <v>2</v>
      </c>
      <c r="I9766">
        <v>592.20000000000005</v>
      </c>
      <c r="J9766" t="str">
        <f>HYPERLINK("https://climate.onebuilding.org/WMO_Region_6_Europe/ROU_Romania/AB_Alba/ROU_AB_Campeni.151620_TMYx.zip")</f>
        <v>https://climate.onebuilding.org/WMO_Region_6_Europe/ROU_Romania/AB_Alba/ROU_AB_Campeni.151620_TMYx.zip</v>
      </c>
    </row>
    <row r="9767" spans="1:10" x14ac:dyDescent="0.25">
      <c r="A9767" t="s">
        <v>7128</v>
      </c>
      <c r="B9767" t="s">
        <v>7170</v>
      </c>
      <c r="C9767" t="s">
        <v>7211</v>
      </c>
      <c r="D9767">
        <v>151630</v>
      </c>
      <c r="E9767" t="s">
        <v>7212</v>
      </c>
      <c r="F9767">
        <v>46.535600000000002</v>
      </c>
      <c r="G9767">
        <v>23.310300000000002</v>
      </c>
      <c r="H9767">
        <v>2</v>
      </c>
      <c r="I9767">
        <v>1356</v>
      </c>
      <c r="J9767" t="str">
        <f>HYPERLINK("https://climate.onebuilding.org/WMO_Region_6_Europe/ROU_Romania/CJ_Cluj/ROU_CJ_Baisoara.Mtn.Resort.151630_TMYx.2004-2018.zip")</f>
        <v>https://climate.onebuilding.org/WMO_Region_6_Europe/ROU_Romania/CJ_Cluj/ROU_CJ_Baisoara.Mtn.Resort.151630_TMYx.2004-2018.zip</v>
      </c>
    </row>
    <row r="9768" spans="1:10" x14ac:dyDescent="0.25">
      <c r="A9768" t="s">
        <v>7128</v>
      </c>
      <c r="B9768" t="s">
        <v>7170</v>
      </c>
      <c r="C9768" t="s">
        <v>7211</v>
      </c>
      <c r="D9768">
        <v>151630</v>
      </c>
      <c r="E9768" t="s">
        <v>14</v>
      </c>
      <c r="F9768">
        <v>46.535600000000002</v>
      </c>
      <c r="G9768">
        <v>23.310300000000002</v>
      </c>
      <c r="H9768">
        <v>2</v>
      </c>
      <c r="I9768">
        <v>1356</v>
      </c>
      <c r="J9768" t="str">
        <f>HYPERLINK("https://climate.onebuilding.org/WMO_Region_6_Europe/ROU_Romania/CJ_Cluj/ROU_CJ_Baisoara.Mtn.Resort.151630_TMYx.2007-2021.zip")</f>
        <v>https://climate.onebuilding.org/WMO_Region_6_Europe/ROU_Romania/CJ_Cluj/ROU_CJ_Baisoara.Mtn.Resort.151630_TMYx.2007-2021.zip</v>
      </c>
    </row>
    <row r="9769" spans="1:10" x14ac:dyDescent="0.25">
      <c r="A9769" t="s">
        <v>7128</v>
      </c>
      <c r="B9769" t="s">
        <v>7170</v>
      </c>
      <c r="C9769" t="s">
        <v>7211</v>
      </c>
      <c r="D9769">
        <v>151630</v>
      </c>
      <c r="E9769" t="s">
        <v>14</v>
      </c>
      <c r="F9769">
        <v>46.535600000000002</v>
      </c>
      <c r="G9769">
        <v>23.310300000000002</v>
      </c>
      <c r="H9769">
        <v>2</v>
      </c>
      <c r="I9769">
        <v>1356</v>
      </c>
      <c r="J9769" t="str">
        <f>HYPERLINK("https://climate.onebuilding.org/WMO_Region_6_Europe/ROU_Romania/CJ_Cluj/ROU_CJ_Baisoara.Mtn.Resort.151630_TMYx.2009-2023.zip")</f>
        <v>https://climate.onebuilding.org/WMO_Region_6_Europe/ROU_Romania/CJ_Cluj/ROU_CJ_Baisoara.Mtn.Resort.151630_TMYx.2009-2023.zip</v>
      </c>
    </row>
    <row r="9770" spans="1:10" x14ac:dyDescent="0.25">
      <c r="A9770" t="s">
        <v>7128</v>
      </c>
      <c r="B9770" t="s">
        <v>7170</v>
      </c>
      <c r="C9770" t="s">
        <v>7211</v>
      </c>
      <c r="D9770">
        <v>151630</v>
      </c>
      <c r="E9770" t="s">
        <v>14</v>
      </c>
      <c r="F9770">
        <v>46.535600000000002</v>
      </c>
      <c r="G9770">
        <v>23.310300000000002</v>
      </c>
      <c r="H9770">
        <v>2</v>
      </c>
      <c r="I9770">
        <v>1356</v>
      </c>
      <c r="J9770" t="str">
        <f>HYPERLINK("https://climate.onebuilding.org/WMO_Region_6_Europe/ROU_Romania/CJ_Cluj/ROU_CJ_Baisoara.Mtn.Resort.151630_TMYx.zip")</f>
        <v>https://climate.onebuilding.org/WMO_Region_6_Europe/ROU_Romania/CJ_Cluj/ROU_CJ_Baisoara.Mtn.Resort.151630_TMYx.zip</v>
      </c>
    </row>
    <row r="9771" spans="1:10" x14ac:dyDescent="0.25">
      <c r="A9771" t="s">
        <v>7128</v>
      </c>
      <c r="B9771" t="s">
        <v>7192</v>
      </c>
      <c r="C9771" t="s">
        <v>7213</v>
      </c>
      <c r="D9771">
        <v>151650</v>
      </c>
      <c r="E9771" t="s">
        <v>14</v>
      </c>
      <c r="F9771">
        <v>46.36</v>
      </c>
      <c r="G9771">
        <v>24.226099999999999</v>
      </c>
      <c r="H9771">
        <v>2</v>
      </c>
      <c r="I9771">
        <v>524.29999999999995</v>
      </c>
      <c r="J9771" t="str">
        <f>HYPERLINK("https://climate.onebuilding.org/WMO_Region_6_Europe/ROU_Romania/MS_Mures/ROU_MS_Tarnaveni.151650_TMYx.2007-2021.zip")</f>
        <v>https://climate.onebuilding.org/WMO_Region_6_Europe/ROU_Romania/MS_Mures/ROU_MS_Tarnaveni.151650_TMYx.2007-2021.zip</v>
      </c>
    </row>
    <row r="9772" spans="1:10" x14ac:dyDescent="0.25">
      <c r="A9772" t="s">
        <v>7128</v>
      </c>
      <c r="B9772" t="s">
        <v>7192</v>
      </c>
      <c r="C9772" t="s">
        <v>7213</v>
      </c>
      <c r="D9772">
        <v>151650</v>
      </c>
      <c r="E9772" t="s">
        <v>14</v>
      </c>
      <c r="F9772">
        <v>46.36</v>
      </c>
      <c r="G9772">
        <v>24.226099999999999</v>
      </c>
      <c r="H9772">
        <v>2</v>
      </c>
      <c r="I9772">
        <v>524.29999999999995</v>
      </c>
      <c r="J9772" t="str">
        <f>HYPERLINK("https://climate.onebuilding.org/WMO_Region_6_Europe/ROU_Romania/MS_Mures/ROU_MS_Tarnaveni.151650_TMYx.2009-2023.zip")</f>
        <v>https://climate.onebuilding.org/WMO_Region_6_Europe/ROU_Romania/MS_Mures/ROU_MS_Tarnaveni.151650_TMYx.2009-2023.zip</v>
      </c>
    </row>
    <row r="9773" spans="1:10" x14ac:dyDescent="0.25">
      <c r="A9773" t="s">
        <v>7128</v>
      </c>
      <c r="B9773" t="s">
        <v>7192</v>
      </c>
      <c r="C9773" t="s">
        <v>7213</v>
      </c>
      <c r="D9773">
        <v>151650</v>
      </c>
      <c r="E9773" t="s">
        <v>14</v>
      </c>
      <c r="F9773">
        <v>46.36</v>
      </c>
      <c r="G9773">
        <v>24.226099999999999</v>
      </c>
      <c r="H9773">
        <v>2</v>
      </c>
      <c r="I9773">
        <v>524.29999999999995</v>
      </c>
      <c r="J9773" t="str">
        <f>HYPERLINK("https://climate.onebuilding.org/WMO_Region_6_Europe/ROU_Romania/MS_Mures/ROU_MS_Tarnaveni.151650_TMYx.zip")</f>
        <v>https://climate.onebuilding.org/WMO_Region_6_Europe/ROU_Romania/MS_Mures/ROU_MS_Tarnaveni.151650_TMYx.zip</v>
      </c>
    </row>
    <row r="9774" spans="1:10" x14ac:dyDescent="0.25">
      <c r="A9774" t="s">
        <v>7128</v>
      </c>
      <c r="B9774" t="s">
        <v>632</v>
      </c>
      <c r="C9774" t="s">
        <v>7214</v>
      </c>
      <c r="D9774">
        <v>151680</v>
      </c>
      <c r="E9774" t="s">
        <v>14</v>
      </c>
      <c r="F9774">
        <v>46.296700000000001</v>
      </c>
      <c r="G9774">
        <v>25.291699999999999</v>
      </c>
      <c r="H9774">
        <v>2</v>
      </c>
      <c r="I9774">
        <v>525</v>
      </c>
      <c r="J9774" t="str">
        <f>HYPERLINK("https://climate.onebuilding.org/WMO_Region_6_Europe/ROU_Romania/HR_Harghita/ROU_HR_Odorheiul.Secuiesc.151680_TMYx.2007-2021.zip")</f>
        <v>https://climate.onebuilding.org/WMO_Region_6_Europe/ROU_Romania/HR_Harghita/ROU_HR_Odorheiul.Secuiesc.151680_TMYx.2007-2021.zip</v>
      </c>
    </row>
    <row r="9775" spans="1:10" x14ac:dyDescent="0.25">
      <c r="A9775" t="s">
        <v>7128</v>
      </c>
      <c r="B9775" t="s">
        <v>632</v>
      </c>
      <c r="C9775" t="s">
        <v>7214</v>
      </c>
      <c r="D9775">
        <v>151680</v>
      </c>
      <c r="E9775" t="s">
        <v>14</v>
      </c>
      <c r="F9775">
        <v>46.296700000000001</v>
      </c>
      <c r="G9775">
        <v>25.291699999999999</v>
      </c>
      <c r="H9775">
        <v>2</v>
      </c>
      <c r="I9775">
        <v>525</v>
      </c>
      <c r="J9775" t="str">
        <f>HYPERLINK("https://climate.onebuilding.org/WMO_Region_6_Europe/ROU_Romania/HR_Harghita/ROU_HR_Odorheiul.Secuiesc.151680_TMYx.2009-2023.zip")</f>
        <v>https://climate.onebuilding.org/WMO_Region_6_Europe/ROU_Romania/HR_Harghita/ROU_HR_Odorheiul.Secuiesc.151680_TMYx.2009-2023.zip</v>
      </c>
    </row>
    <row r="9776" spans="1:10" x14ac:dyDescent="0.25">
      <c r="A9776" t="s">
        <v>7128</v>
      </c>
      <c r="B9776" t="s">
        <v>632</v>
      </c>
      <c r="C9776" t="s">
        <v>7214</v>
      </c>
      <c r="D9776">
        <v>151680</v>
      </c>
      <c r="E9776" t="s">
        <v>14</v>
      </c>
      <c r="F9776">
        <v>46.296700000000001</v>
      </c>
      <c r="G9776">
        <v>25.291699999999999</v>
      </c>
      <c r="H9776">
        <v>2</v>
      </c>
      <c r="I9776">
        <v>525</v>
      </c>
      <c r="J9776" t="str">
        <f>HYPERLINK("https://climate.onebuilding.org/WMO_Region_6_Europe/ROU_Romania/HR_Harghita/ROU_HR_Odorheiul.Secuiesc.151680_TMYx.zip")</f>
        <v>https://climate.onebuilding.org/WMO_Region_6_Europe/ROU_Romania/HR_Harghita/ROU_HR_Odorheiul.Secuiesc.151680_TMYx.zip</v>
      </c>
    </row>
    <row r="9777" spans="1:10" x14ac:dyDescent="0.25">
      <c r="A9777" t="s">
        <v>7128</v>
      </c>
      <c r="B9777" t="s">
        <v>632</v>
      </c>
      <c r="C9777" t="s">
        <v>7215</v>
      </c>
      <c r="D9777">
        <v>151700</v>
      </c>
      <c r="E9777" t="s">
        <v>7216</v>
      </c>
      <c r="F9777">
        <v>46.371400000000001</v>
      </c>
      <c r="G9777">
        <v>25.772500000000001</v>
      </c>
      <c r="H9777">
        <v>2</v>
      </c>
      <c r="I9777">
        <v>662.2</v>
      </c>
      <c r="J9777" t="str">
        <f>HYPERLINK("https://climate.onebuilding.org/WMO_Region_6_Europe/ROU_Romania/HR_Harghita/ROU_HR_Miercurea.Ciuc.151700_TMYx.2004-2018.zip")</f>
        <v>https://climate.onebuilding.org/WMO_Region_6_Europe/ROU_Romania/HR_Harghita/ROU_HR_Miercurea.Ciuc.151700_TMYx.2004-2018.zip</v>
      </c>
    </row>
    <row r="9778" spans="1:10" x14ac:dyDescent="0.25">
      <c r="A9778" t="s">
        <v>7128</v>
      </c>
      <c r="B9778" t="s">
        <v>632</v>
      </c>
      <c r="C9778" t="s">
        <v>7215</v>
      </c>
      <c r="D9778">
        <v>151700</v>
      </c>
      <c r="E9778" t="s">
        <v>14</v>
      </c>
      <c r="F9778">
        <v>46.371400000000001</v>
      </c>
      <c r="G9778">
        <v>25.772500000000001</v>
      </c>
      <c r="H9778">
        <v>2</v>
      </c>
      <c r="I9778">
        <v>662.2</v>
      </c>
      <c r="J9778" t="str">
        <f>HYPERLINK("https://climate.onebuilding.org/WMO_Region_6_Europe/ROU_Romania/HR_Harghita/ROU_HR_Miercurea.Ciuc.151700_TMYx.2007-2021.zip")</f>
        <v>https://climate.onebuilding.org/WMO_Region_6_Europe/ROU_Romania/HR_Harghita/ROU_HR_Miercurea.Ciuc.151700_TMYx.2007-2021.zip</v>
      </c>
    </row>
    <row r="9779" spans="1:10" x14ac:dyDescent="0.25">
      <c r="A9779" t="s">
        <v>7128</v>
      </c>
      <c r="B9779" t="s">
        <v>632</v>
      </c>
      <c r="C9779" t="s">
        <v>7215</v>
      </c>
      <c r="D9779">
        <v>151700</v>
      </c>
      <c r="E9779" t="s">
        <v>14</v>
      </c>
      <c r="F9779">
        <v>46.371400000000001</v>
      </c>
      <c r="G9779">
        <v>25.772500000000001</v>
      </c>
      <c r="H9779">
        <v>2</v>
      </c>
      <c r="I9779">
        <v>662.2</v>
      </c>
      <c r="J9779" t="str">
        <f>HYPERLINK("https://climate.onebuilding.org/WMO_Region_6_Europe/ROU_Romania/HR_Harghita/ROU_HR_Miercurea.Ciuc.151700_TMYx.2009-2023.zip")</f>
        <v>https://climate.onebuilding.org/WMO_Region_6_Europe/ROU_Romania/HR_Harghita/ROU_HR_Miercurea.Ciuc.151700_TMYx.2009-2023.zip</v>
      </c>
    </row>
    <row r="9780" spans="1:10" x14ac:dyDescent="0.25">
      <c r="A9780" t="s">
        <v>7128</v>
      </c>
      <c r="B9780" t="s">
        <v>632</v>
      </c>
      <c r="C9780" t="s">
        <v>7215</v>
      </c>
      <c r="D9780">
        <v>151700</v>
      </c>
      <c r="E9780" t="s">
        <v>14</v>
      </c>
      <c r="F9780">
        <v>46.371400000000001</v>
      </c>
      <c r="G9780">
        <v>25.772500000000001</v>
      </c>
      <c r="H9780">
        <v>2</v>
      </c>
      <c r="I9780">
        <v>662.2</v>
      </c>
      <c r="J9780" t="str">
        <f>HYPERLINK("https://climate.onebuilding.org/WMO_Region_6_Europe/ROU_Romania/HR_Harghita/ROU_HR_Miercurea.Ciuc.151700_TMYx.zip")</f>
        <v>https://climate.onebuilding.org/WMO_Region_6_Europe/ROU_Romania/HR_Harghita/ROU_HR_Miercurea.Ciuc.151700_TMYx.zip</v>
      </c>
    </row>
    <row r="9781" spans="1:10" x14ac:dyDescent="0.25">
      <c r="A9781" t="s">
        <v>7128</v>
      </c>
      <c r="B9781" t="s">
        <v>5453</v>
      </c>
      <c r="C9781" t="s">
        <v>7217</v>
      </c>
      <c r="D9781">
        <v>151740</v>
      </c>
      <c r="E9781" t="s">
        <v>14</v>
      </c>
      <c r="F9781">
        <v>46.479300000000002</v>
      </c>
      <c r="G9781">
        <v>27.259399999999999</v>
      </c>
      <c r="H9781">
        <v>2</v>
      </c>
      <c r="I9781">
        <v>207</v>
      </c>
      <c r="J9781" t="str">
        <f>HYPERLINK("https://climate.onebuilding.org/WMO_Region_6_Europe/ROU_Romania/BC_Bacau/ROU_BC_Oncesti.151740_TMYx.zip")</f>
        <v>https://climate.onebuilding.org/WMO_Region_6_Europe/ROU_Romania/BC_Bacau/ROU_BC_Oncesti.151740_TMYx.zip</v>
      </c>
    </row>
    <row r="9782" spans="1:10" x14ac:dyDescent="0.25">
      <c r="A9782" t="s">
        <v>7128</v>
      </c>
      <c r="B9782" t="s">
        <v>2038</v>
      </c>
      <c r="C9782" t="s">
        <v>7218</v>
      </c>
      <c r="D9782">
        <v>151790</v>
      </c>
      <c r="E9782" t="s">
        <v>14</v>
      </c>
      <c r="F9782">
        <v>46.264699999999998</v>
      </c>
      <c r="G9782">
        <v>21.662800000000001</v>
      </c>
      <c r="H9782">
        <v>2</v>
      </c>
      <c r="I9782">
        <v>474.2</v>
      </c>
      <c r="J9782" t="str">
        <f>HYPERLINK("https://climate.onebuilding.org/WMO_Region_6_Europe/ROU_Romania/AR_Arad/ROU_AR_Siria.151790_TMYx.2007-2021.zip")</f>
        <v>https://climate.onebuilding.org/WMO_Region_6_Europe/ROU_Romania/AR_Arad/ROU_AR_Siria.151790_TMYx.2007-2021.zip</v>
      </c>
    </row>
    <row r="9783" spans="1:10" x14ac:dyDescent="0.25">
      <c r="A9783" t="s">
        <v>7128</v>
      </c>
      <c r="B9783" t="s">
        <v>2038</v>
      </c>
      <c r="C9783" t="s">
        <v>7218</v>
      </c>
      <c r="D9783">
        <v>151790</v>
      </c>
      <c r="E9783" t="s">
        <v>14</v>
      </c>
      <c r="F9783">
        <v>46.264699999999998</v>
      </c>
      <c r="G9783">
        <v>21.662800000000001</v>
      </c>
      <c r="H9783">
        <v>2</v>
      </c>
      <c r="I9783">
        <v>474.2</v>
      </c>
      <c r="J9783" t="str">
        <f>HYPERLINK("https://climate.onebuilding.org/WMO_Region_6_Europe/ROU_Romania/AR_Arad/ROU_AR_Siria.151790_TMYx.2009-2023.zip")</f>
        <v>https://climate.onebuilding.org/WMO_Region_6_Europe/ROU_Romania/AR_Arad/ROU_AR_Siria.151790_TMYx.2009-2023.zip</v>
      </c>
    </row>
    <row r="9784" spans="1:10" x14ac:dyDescent="0.25">
      <c r="A9784" t="s">
        <v>7128</v>
      </c>
      <c r="B9784" t="s">
        <v>2038</v>
      </c>
      <c r="C9784" t="s">
        <v>7218</v>
      </c>
      <c r="D9784">
        <v>151790</v>
      </c>
      <c r="E9784" t="s">
        <v>14</v>
      </c>
      <c r="F9784">
        <v>46.264699999999998</v>
      </c>
      <c r="G9784">
        <v>21.662800000000001</v>
      </c>
      <c r="H9784">
        <v>2</v>
      </c>
      <c r="I9784">
        <v>474.2</v>
      </c>
      <c r="J9784" t="str">
        <f>HYPERLINK("https://climate.onebuilding.org/WMO_Region_6_Europe/ROU_Romania/AR_Arad/ROU_AR_Siria.151790_TMYx.zip")</f>
        <v>https://climate.onebuilding.org/WMO_Region_6_Europe/ROU_Romania/AR_Arad/ROU_AR_Siria.151790_TMYx.zip</v>
      </c>
    </row>
    <row r="9785" spans="1:10" x14ac:dyDescent="0.25">
      <c r="A9785" t="s">
        <v>7128</v>
      </c>
      <c r="B9785" t="s">
        <v>2038</v>
      </c>
      <c r="C9785" t="s">
        <v>7219</v>
      </c>
      <c r="D9785">
        <v>151820</v>
      </c>
      <c r="E9785" t="s">
        <v>14</v>
      </c>
      <c r="F9785">
        <v>46.279200000000003</v>
      </c>
      <c r="G9785">
        <v>22.333300000000001</v>
      </c>
      <c r="H9785">
        <v>2</v>
      </c>
      <c r="I9785">
        <v>178.2</v>
      </c>
      <c r="J9785" t="str">
        <f>HYPERLINK("https://climate.onebuilding.org/WMO_Region_6_Europe/ROU_Romania/AR_Arad/ROU_AR_Gurahont.151820_TMYx.2007-2021.zip")</f>
        <v>https://climate.onebuilding.org/WMO_Region_6_Europe/ROU_Romania/AR_Arad/ROU_AR_Gurahont.151820_TMYx.2007-2021.zip</v>
      </c>
    </row>
    <row r="9786" spans="1:10" x14ac:dyDescent="0.25">
      <c r="A9786" t="s">
        <v>7128</v>
      </c>
      <c r="B9786" t="s">
        <v>2038</v>
      </c>
      <c r="C9786" t="s">
        <v>7219</v>
      </c>
      <c r="D9786">
        <v>151820</v>
      </c>
      <c r="E9786" t="s">
        <v>14</v>
      </c>
      <c r="F9786">
        <v>46.279200000000003</v>
      </c>
      <c r="G9786">
        <v>22.333300000000001</v>
      </c>
      <c r="H9786">
        <v>2</v>
      </c>
      <c r="I9786">
        <v>178.2</v>
      </c>
      <c r="J9786" t="str">
        <f>HYPERLINK("https://climate.onebuilding.org/WMO_Region_6_Europe/ROU_Romania/AR_Arad/ROU_AR_Gurahont.151820_TMYx.2009-2023.zip")</f>
        <v>https://climate.onebuilding.org/WMO_Region_6_Europe/ROU_Romania/AR_Arad/ROU_AR_Gurahont.151820_TMYx.2009-2023.zip</v>
      </c>
    </row>
    <row r="9787" spans="1:10" x14ac:dyDescent="0.25">
      <c r="A9787" t="s">
        <v>7128</v>
      </c>
      <c r="B9787" t="s">
        <v>2038</v>
      </c>
      <c r="C9787" t="s">
        <v>7219</v>
      </c>
      <c r="D9787">
        <v>151820</v>
      </c>
      <c r="E9787" t="s">
        <v>14</v>
      </c>
      <c r="F9787">
        <v>46.279200000000003</v>
      </c>
      <c r="G9787">
        <v>22.333300000000001</v>
      </c>
      <c r="H9787">
        <v>2</v>
      </c>
      <c r="I9787">
        <v>178.2</v>
      </c>
      <c r="J9787" t="str">
        <f>HYPERLINK("https://climate.onebuilding.org/WMO_Region_6_Europe/ROU_Romania/AR_Arad/ROU_AR_Gurahont.151820_TMYx.zip")</f>
        <v>https://climate.onebuilding.org/WMO_Region_6_Europe/ROU_Romania/AR_Arad/ROU_AR_Gurahont.151820_TMYx.zip</v>
      </c>
    </row>
    <row r="9788" spans="1:10" x14ac:dyDescent="0.25">
      <c r="A9788" t="s">
        <v>7128</v>
      </c>
      <c r="B9788" t="s">
        <v>5397</v>
      </c>
      <c r="C9788" t="s">
        <v>7220</v>
      </c>
      <c r="D9788">
        <v>151840</v>
      </c>
      <c r="E9788" t="s">
        <v>14</v>
      </c>
      <c r="F9788">
        <v>46.317500000000003</v>
      </c>
      <c r="G9788">
        <v>23.139199999999999</v>
      </c>
      <c r="H9788">
        <v>2</v>
      </c>
      <c r="I9788">
        <v>1197.2</v>
      </c>
      <c r="J9788" t="str">
        <f>HYPERLINK("https://climate.onebuilding.org/WMO_Region_6_Europe/ROU_Romania/AB_Alba/ROU_AB_Rosia.Montana.151840_TMYx.2007-2021.zip")</f>
        <v>https://climate.onebuilding.org/WMO_Region_6_Europe/ROU_Romania/AB_Alba/ROU_AB_Rosia.Montana.151840_TMYx.2007-2021.zip</v>
      </c>
    </row>
    <row r="9789" spans="1:10" x14ac:dyDescent="0.25">
      <c r="A9789" t="s">
        <v>7128</v>
      </c>
      <c r="B9789" t="s">
        <v>5397</v>
      </c>
      <c r="C9789" t="s">
        <v>7220</v>
      </c>
      <c r="D9789">
        <v>151840</v>
      </c>
      <c r="E9789" t="s">
        <v>14</v>
      </c>
      <c r="F9789">
        <v>46.317500000000003</v>
      </c>
      <c r="G9789">
        <v>23.139199999999999</v>
      </c>
      <c r="H9789">
        <v>2</v>
      </c>
      <c r="I9789">
        <v>1197.2</v>
      </c>
      <c r="J9789" t="str">
        <f>HYPERLINK("https://climate.onebuilding.org/WMO_Region_6_Europe/ROU_Romania/AB_Alba/ROU_AB_Rosia.Montana.151840_TMYx.2009-2023.zip")</f>
        <v>https://climate.onebuilding.org/WMO_Region_6_Europe/ROU_Romania/AB_Alba/ROU_AB_Rosia.Montana.151840_TMYx.2009-2023.zip</v>
      </c>
    </row>
    <row r="9790" spans="1:10" x14ac:dyDescent="0.25">
      <c r="A9790" t="s">
        <v>7128</v>
      </c>
      <c r="B9790" t="s">
        <v>5397</v>
      </c>
      <c r="C9790" t="s">
        <v>7220</v>
      </c>
      <c r="D9790">
        <v>151840</v>
      </c>
      <c r="E9790" t="s">
        <v>14</v>
      </c>
      <c r="F9790">
        <v>46.317500000000003</v>
      </c>
      <c r="G9790">
        <v>23.139199999999999</v>
      </c>
      <c r="H9790">
        <v>2</v>
      </c>
      <c r="I9790">
        <v>1197.2</v>
      </c>
      <c r="J9790" t="str">
        <f>HYPERLINK("https://climate.onebuilding.org/WMO_Region_6_Europe/ROU_Romania/AB_Alba/ROU_AB_Rosia.Montana.151840_TMYx.zip")</f>
        <v>https://climate.onebuilding.org/WMO_Region_6_Europe/ROU_Romania/AB_Alba/ROU_AB_Rosia.Montana.151840_TMYx.zip</v>
      </c>
    </row>
    <row r="9791" spans="1:10" x14ac:dyDescent="0.25">
      <c r="A9791" t="s">
        <v>7128</v>
      </c>
      <c r="B9791" t="s">
        <v>4949</v>
      </c>
      <c r="C9791" t="s">
        <v>7221</v>
      </c>
      <c r="D9791">
        <v>151890</v>
      </c>
      <c r="E9791" t="s">
        <v>14</v>
      </c>
      <c r="F9791">
        <v>46.227800000000002</v>
      </c>
      <c r="G9791">
        <v>24.591699999999999</v>
      </c>
      <c r="H9791">
        <v>2</v>
      </c>
      <c r="I9791">
        <v>319.10000000000002</v>
      </c>
      <c r="J9791" t="str">
        <f>HYPERLINK("https://climate.onebuilding.org/WMO_Region_6_Europe/ROU_Romania/SB_Sibiu/ROU_SB_Dumbraveni.151890_TMYx.2007-2021.zip")</f>
        <v>https://climate.onebuilding.org/WMO_Region_6_Europe/ROU_Romania/SB_Sibiu/ROU_SB_Dumbraveni.151890_TMYx.2007-2021.zip</v>
      </c>
    </row>
    <row r="9792" spans="1:10" x14ac:dyDescent="0.25">
      <c r="A9792" t="s">
        <v>7128</v>
      </c>
      <c r="B9792" t="s">
        <v>4949</v>
      </c>
      <c r="C9792" t="s">
        <v>7221</v>
      </c>
      <c r="D9792">
        <v>151890</v>
      </c>
      <c r="E9792" t="s">
        <v>14</v>
      </c>
      <c r="F9792">
        <v>46.227800000000002</v>
      </c>
      <c r="G9792">
        <v>24.591699999999999</v>
      </c>
      <c r="H9792">
        <v>2</v>
      </c>
      <c r="I9792">
        <v>319.10000000000002</v>
      </c>
      <c r="J9792" t="str">
        <f>HYPERLINK("https://climate.onebuilding.org/WMO_Region_6_Europe/ROU_Romania/SB_Sibiu/ROU_SB_Dumbraveni.151890_TMYx.2009-2023.zip")</f>
        <v>https://climate.onebuilding.org/WMO_Region_6_Europe/ROU_Romania/SB_Sibiu/ROU_SB_Dumbraveni.151890_TMYx.2009-2023.zip</v>
      </c>
    </row>
    <row r="9793" spans="1:10" x14ac:dyDescent="0.25">
      <c r="A9793" t="s">
        <v>7128</v>
      </c>
      <c r="B9793" t="s">
        <v>4949</v>
      </c>
      <c r="C9793" t="s">
        <v>7221</v>
      </c>
      <c r="D9793">
        <v>151890</v>
      </c>
      <c r="E9793" t="s">
        <v>14</v>
      </c>
      <c r="F9793">
        <v>46.227800000000002</v>
      </c>
      <c r="G9793">
        <v>24.591699999999999</v>
      </c>
      <c r="H9793">
        <v>2</v>
      </c>
      <c r="I9793">
        <v>319.10000000000002</v>
      </c>
      <c r="J9793" t="str">
        <f>HYPERLINK("https://climate.onebuilding.org/WMO_Region_6_Europe/ROU_Romania/SB_Sibiu/ROU_SB_Dumbraveni.151890_TMYx.zip")</f>
        <v>https://climate.onebuilding.org/WMO_Region_6_Europe/ROU_Romania/SB_Sibiu/ROU_SB_Dumbraveni.151890_TMYx.zip</v>
      </c>
    </row>
    <row r="9794" spans="1:10" x14ac:dyDescent="0.25">
      <c r="A9794" t="s">
        <v>7128</v>
      </c>
      <c r="B9794" t="s">
        <v>5453</v>
      </c>
      <c r="C9794" t="s">
        <v>7222</v>
      </c>
      <c r="D9794">
        <v>151940</v>
      </c>
      <c r="E9794" t="s">
        <v>14</v>
      </c>
      <c r="F9794">
        <v>46.272799999999997</v>
      </c>
      <c r="G9794">
        <v>26.641100000000002</v>
      </c>
      <c r="H9794">
        <v>2</v>
      </c>
      <c r="I9794">
        <v>243.3</v>
      </c>
      <c r="J9794" t="str">
        <f>HYPERLINK("https://climate.onebuilding.org/WMO_Region_6_Europe/ROU_Romania/BC_Bacau/ROU_BC_Targu.Ocna.151940_TMYx.2007-2021.zip")</f>
        <v>https://climate.onebuilding.org/WMO_Region_6_Europe/ROU_Romania/BC_Bacau/ROU_BC_Targu.Ocna.151940_TMYx.2007-2021.zip</v>
      </c>
    </row>
    <row r="9795" spans="1:10" x14ac:dyDescent="0.25">
      <c r="A9795" t="s">
        <v>7128</v>
      </c>
      <c r="B9795" t="s">
        <v>5453</v>
      </c>
      <c r="C9795" t="s">
        <v>7222</v>
      </c>
      <c r="D9795">
        <v>151940</v>
      </c>
      <c r="E9795" t="s">
        <v>14</v>
      </c>
      <c r="F9795">
        <v>46.272799999999997</v>
      </c>
      <c r="G9795">
        <v>26.641100000000002</v>
      </c>
      <c r="H9795">
        <v>2</v>
      </c>
      <c r="I9795">
        <v>243.3</v>
      </c>
      <c r="J9795" t="str">
        <f>HYPERLINK("https://climate.onebuilding.org/WMO_Region_6_Europe/ROU_Romania/BC_Bacau/ROU_BC_Targu.Ocna.151940_TMYx.2009-2023.zip")</f>
        <v>https://climate.onebuilding.org/WMO_Region_6_Europe/ROU_Romania/BC_Bacau/ROU_BC_Targu.Ocna.151940_TMYx.2009-2023.zip</v>
      </c>
    </row>
    <row r="9796" spans="1:10" x14ac:dyDescent="0.25">
      <c r="A9796" t="s">
        <v>7128</v>
      </c>
      <c r="B9796" t="s">
        <v>5453</v>
      </c>
      <c r="C9796" t="s">
        <v>7222</v>
      </c>
      <c r="D9796">
        <v>151940</v>
      </c>
      <c r="E9796" t="s">
        <v>14</v>
      </c>
      <c r="F9796">
        <v>46.272799999999997</v>
      </c>
      <c r="G9796">
        <v>26.641100000000002</v>
      </c>
      <c r="H9796">
        <v>2</v>
      </c>
      <c r="I9796">
        <v>243.3</v>
      </c>
      <c r="J9796" t="str">
        <f>HYPERLINK("https://climate.onebuilding.org/WMO_Region_6_Europe/ROU_Romania/BC_Bacau/ROU_BC_Targu.Ocna.151940_TMYx.zip")</f>
        <v>https://climate.onebuilding.org/WMO_Region_6_Europe/ROU_Romania/BC_Bacau/ROU_BC_Targu.Ocna.151940_TMYx.zip</v>
      </c>
    </row>
    <row r="9797" spans="1:10" x14ac:dyDescent="0.25">
      <c r="A9797" t="s">
        <v>7128</v>
      </c>
      <c r="B9797" t="s">
        <v>954</v>
      </c>
      <c r="C9797" t="s">
        <v>7223</v>
      </c>
      <c r="D9797">
        <v>151970</v>
      </c>
      <c r="E9797" t="s">
        <v>14</v>
      </c>
      <c r="F9797">
        <v>46.2331</v>
      </c>
      <c r="G9797">
        <v>27.644400000000001</v>
      </c>
      <c r="H9797">
        <v>2</v>
      </c>
      <c r="I9797">
        <v>173</v>
      </c>
      <c r="J9797" t="str">
        <f>HYPERLINK("https://climate.onebuilding.org/WMO_Region_6_Europe/ROU_Romania/VS_Vaslui/ROU_VS_Barlad.151970_TMYx.2007-2021.zip")</f>
        <v>https://climate.onebuilding.org/WMO_Region_6_Europe/ROU_Romania/VS_Vaslui/ROU_VS_Barlad.151970_TMYx.2007-2021.zip</v>
      </c>
    </row>
    <row r="9798" spans="1:10" x14ac:dyDescent="0.25">
      <c r="A9798" t="s">
        <v>7128</v>
      </c>
      <c r="B9798" t="s">
        <v>954</v>
      </c>
      <c r="C9798" t="s">
        <v>7223</v>
      </c>
      <c r="D9798">
        <v>151970</v>
      </c>
      <c r="E9798" t="s">
        <v>14</v>
      </c>
      <c r="F9798">
        <v>46.2331</v>
      </c>
      <c r="G9798">
        <v>27.644400000000001</v>
      </c>
      <c r="H9798">
        <v>2</v>
      </c>
      <c r="I9798">
        <v>173</v>
      </c>
      <c r="J9798" t="str">
        <f>HYPERLINK("https://climate.onebuilding.org/WMO_Region_6_Europe/ROU_Romania/VS_Vaslui/ROU_VS_Barlad.151970_TMYx.2009-2023.zip")</f>
        <v>https://climate.onebuilding.org/WMO_Region_6_Europe/ROU_Romania/VS_Vaslui/ROU_VS_Barlad.151970_TMYx.2009-2023.zip</v>
      </c>
    </row>
    <row r="9799" spans="1:10" x14ac:dyDescent="0.25">
      <c r="A9799" t="s">
        <v>7128</v>
      </c>
      <c r="B9799" t="s">
        <v>954</v>
      </c>
      <c r="C9799" t="s">
        <v>7223</v>
      </c>
      <c r="D9799">
        <v>151970</v>
      </c>
      <c r="E9799" t="s">
        <v>14</v>
      </c>
      <c r="F9799">
        <v>46.2331</v>
      </c>
      <c r="G9799">
        <v>27.644400000000001</v>
      </c>
      <c r="H9799">
        <v>2</v>
      </c>
      <c r="I9799">
        <v>173</v>
      </c>
      <c r="J9799" t="str">
        <f>HYPERLINK("https://climate.onebuilding.org/WMO_Region_6_Europe/ROU_Romania/VS_Vaslui/ROU_VS_Barlad.151970_TMYx.zip")</f>
        <v>https://climate.onebuilding.org/WMO_Region_6_Europe/ROU_Romania/VS_Vaslui/ROU_VS_Barlad.151970_TMYx.zip</v>
      </c>
    </row>
    <row r="9800" spans="1:10" x14ac:dyDescent="0.25">
      <c r="A9800" t="s">
        <v>7128</v>
      </c>
      <c r="B9800" t="s">
        <v>7224</v>
      </c>
      <c r="C9800" t="s">
        <v>7225</v>
      </c>
      <c r="D9800">
        <v>151990</v>
      </c>
      <c r="E9800" t="s">
        <v>14</v>
      </c>
      <c r="F9800">
        <v>46.071399999999997</v>
      </c>
      <c r="G9800">
        <v>20.601700000000001</v>
      </c>
      <c r="H9800">
        <v>2</v>
      </c>
      <c r="I9800">
        <v>86.2</v>
      </c>
      <c r="J9800" t="str">
        <f>HYPERLINK("https://climate.onebuilding.org/WMO_Region_6_Europe/ROU_Romania/TM_Timis/ROU_TM_Sannicolau.Mare.151990_TMYx.2007-2021.zip")</f>
        <v>https://climate.onebuilding.org/WMO_Region_6_Europe/ROU_Romania/TM_Timis/ROU_TM_Sannicolau.Mare.151990_TMYx.2007-2021.zip</v>
      </c>
    </row>
    <row r="9801" spans="1:10" x14ac:dyDescent="0.25">
      <c r="A9801" t="s">
        <v>7128</v>
      </c>
      <c r="B9801" t="s">
        <v>7224</v>
      </c>
      <c r="C9801" t="s">
        <v>7225</v>
      </c>
      <c r="D9801">
        <v>151990</v>
      </c>
      <c r="E9801" t="s">
        <v>14</v>
      </c>
      <c r="F9801">
        <v>46.071399999999997</v>
      </c>
      <c r="G9801">
        <v>20.601700000000001</v>
      </c>
      <c r="H9801">
        <v>2</v>
      </c>
      <c r="I9801">
        <v>86.2</v>
      </c>
      <c r="J9801" t="str">
        <f>HYPERLINK("https://climate.onebuilding.org/WMO_Region_6_Europe/ROU_Romania/TM_Timis/ROU_TM_Sannicolau.Mare.151990_TMYx.2009-2023.zip")</f>
        <v>https://climate.onebuilding.org/WMO_Region_6_Europe/ROU_Romania/TM_Timis/ROU_TM_Sannicolau.Mare.151990_TMYx.2009-2023.zip</v>
      </c>
    </row>
    <row r="9802" spans="1:10" x14ac:dyDescent="0.25">
      <c r="A9802" t="s">
        <v>7128</v>
      </c>
      <c r="B9802" t="s">
        <v>7224</v>
      </c>
      <c r="C9802" t="s">
        <v>7225</v>
      </c>
      <c r="D9802">
        <v>151990</v>
      </c>
      <c r="E9802" t="s">
        <v>14</v>
      </c>
      <c r="F9802">
        <v>46.071399999999997</v>
      </c>
      <c r="G9802">
        <v>20.601700000000001</v>
      </c>
      <c r="H9802">
        <v>2</v>
      </c>
      <c r="I9802">
        <v>86.2</v>
      </c>
      <c r="J9802" t="str">
        <f>HYPERLINK("https://climate.onebuilding.org/WMO_Region_6_Europe/ROU_Romania/TM_Timis/ROU_TM_Sannicolau.Mare.151990_TMYx.zip")</f>
        <v>https://climate.onebuilding.org/WMO_Region_6_Europe/ROU_Romania/TM_Timis/ROU_TM_Sannicolau.Mare.151990_TMYx.zip</v>
      </c>
    </row>
    <row r="9803" spans="1:10" x14ac:dyDescent="0.25">
      <c r="A9803" t="s">
        <v>7128</v>
      </c>
      <c r="B9803" t="s">
        <v>2038</v>
      </c>
      <c r="C9803" t="s">
        <v>7226</v>
      </c>
      <c r="D9803">
        <v>152000</v>
      </c>
      <c r="E9803" t="s">
        <v>7227</v>
      </c>
      <c r="F9803">
        <v>46.177</v>
      </c>
      <c r="G9803">
        <v>21.3536</v>
      </c>
      <c r="H9803">
        <v>2</v>
      </c>
      <c r="I9803">
        <v>108</v>
      </c>
      <c r="J9803" t="str">
        <f>HYPERLINK("https://climate.onebuilding.org/WMO_Region_6_Europe/ROU_Romania/AR_Arad/ROU_AR_Arad.152000_TMYx.2004-2018.zip")</f>
        <v>https://climate.onebuilding.org/WMO_Region_6_Europe/ROU_Romania/AR_Arad/ROU_AR_Arad.152000_TMYx.2004-2018.zip</v>
      </c>
    </row>
    <row r="9804" spans="1:10" x14ac:dyDescent="0.25">
      <c r="A9804" t="s">
        <v>7128</v>
      </c>
      <c r="B9804" t="s">
        <v>2038</v>
      </c>
      <c r="C9804" t="s">
        <v>7226</v>
      </c>
      <c r="D9804">
        <v>152000</v>
      </c>
      <c r="E9804" t="s">
        <v>14</v>
      </c>
      <c r="F9804">
        <v>46.133600000000001</v>
      </c>
      <c r="G9804">
        <v>21.3536</v>
      </c>
      <c r="H9804">
        <v>2</v>
      </c>
      <c r="I9804">
        <v>118</v>
      </c>
      <c r="J9804" t="str">
        <f>HYPERLINK("https://climate.onebuilding.org/WMO_Region_6_Europe/ROU_Romania/AR_Arad/ROU_AR_Arad.152000_TMYx.2007-2021.zip")</f>
        <v>https://climate.onebuilding.org/WMO_Region_6_Europe/ROU_Romania/AR_Arad/ROU_AR_Arad.152000_TMYx.2007-2021.zip</v>
      </c>
    </row>
    <row r="9805" spans="1:10" x14ac:dyDescent="0.25">
      <c r="A9805" t="s">
        <v>7128</v>
      </c>
      <c r="B9805" t="s">
        <v>2038</v>
      </c>
      <c r="C9805" t="s">
        <v>7226</v>
      </c>
      <c r="D9805">
        <v>152000</v>
      </c>
      <c r="E9805" t="s">
        <v>14</v>
      </c>
      <c r="F9805">
        <v>46.133600000000001</v>
      </c>
      <c r="G9805">
        <v>21.3536</v>
      </c>
      <c r="H9805">
        <v>2</v>
      </c>
      <c r="I9805">
        <v>118</v>
      </c>
      <c r="J9805" t="str">
        <f>HYPERLINK("https://climate.onebuilding.org/WMO_Region_6_Europe/ROU_Romania/AR_Arad/ROU_AR_Arad.152000_TMYx.2009-2023.zip")</f>
        <v>https://climate.onebuilding.org/WMO_Region_6_Europe/ROU_Romania/AR_Arad/ROU_AR_Arad.152000_TMYx.2009-2023.zip</v>
      </c>
    </row>
    <row r="9806" spans="1:10" x14ac:dyDescent="0.25">
      <c r="A9806" t="s">
        <v>7128</v>
      </c>
      <c r="B9806" t="s">
        <v>2038</v>
      </c>
      <c r="C9806" t="s">
        <v>7226</v>
      </c>
      <c r="D9806">
        <v>152000</v>
      </c>
      <c r="E9806" t="s">
        <v>14</v>
      </c>
      <c r="F9806">
        <v>46.133600000000001</v>
      </c>
      <c r="G9806">
        <v>21.3536</v>
      </c>
      <c r="H9806">
        <v>2</v>
      </c>
      <c r="I9806">
        <v>118</v>
      </c>
      <c r="J9806" t="str">
        <f>HYPERLINK("https://climate.onebuilding.org/WMO_Region_6_Europe/ROU_Romania/AR_Arad/ROU_AR_Arad.152000_TMYx.zip")</f>
        <v>https://climate.onebuilding.org/WMO_Region_6_Europe/ROU_Romania/AR_Arad/ROU_AR_Arad.152000_TMYx.zip</v>
      </c>
    </row>
    <row r="9807" spans="1:10" x14ac:dyDescent="0.25">
      <c r="A9807" t="s">
        <v>7128</v>
      </c>
      <c r="B9807" t="s">
        <v>2038</v>
      </c>
      <c r="C9807" t="s">
        <v>7228</v>
      </c>
      <c r="D9807">
        <v>152040</v>
      </c>
      <c r="E9807" t="s">
        <v>14</v>
      </c>
      <c r="F9807">
        <v>46.019199999999998</v>
      </c>
      <c r="G9807">
        <v>22.1508</v>
      </c>
      <c r="H9807">
        <v>2</v>
      </c>
      <c r="I9807">
        <v>157</v>
      </c>
      <c r="J9807" t="str">
        <f>HYPERLINK("https://climate.onebuilding.org/WMO_Region_6_Europe/ROU_Romania/AR_Arad/ROU_AR_Varadia.de.Mures.152040_TMYx.2007-2021.zip")</f>
        <v>https://climate.onebuilding.org/WMO_Region_6_Europe/ROU_Romania/AR_Arad/ROU_AR_Varadia.de.Mures.152040_TMYx.2007-2021.zip</v>
      </c>
    </row>
    <row r="9808" spans="1:10" x14ac:dyDescent="0.25">
      <c r="A9808" t="s">
        <v>7128</v>
      </c>
      <c r="B9808" t="s">
        <v>2038</v>
      </c>
      <c r="C9808" t="s">
        <v>7228</v>
      </c>
      <c r="D9808">
        <v>152040</v>
      </c>
      <c r="E9808" t="s">
        <v>14</v>
      </c>
      <c r="F9808">
        <v>46.019199999999998</v>
      </c>
      <c r="G9808">
        <v>22.1508</v>
      </c>
      <c r="H9808">
        <v>2</v>
      </c>
      <c r="I9808">
        <v>157</v>
      </c>
      <c r="J9808" t="str">
        <f>HYPERLINK("https://climate.onebuilding.org/WMO_Region_6_Europe/ROU_Romania/AR_Arad/ROU_AR_Varadia.de.Mures.152040_TMYx.2009-2023.zip")</f>
        <v>https://climate.onebuilding.org/WMO_Region_6_Europe/ROU_Romania/AR_Arad/ROU_AR_Varadia.de.Mures.152040_TMYx.2009-2023.zip</v>
      </c>
    </row>
    <row r="9809" spans="1:10" x14ac:dyDescent="0.25">
      <c r="A9809" t="s">
        <v>7128</v>
      </c>
      <c r="B9809" t="s">
        <v>2038</v>
      </c>
      <c r="C9809" t="s">
        <v>7228</v>
      </c>
      <c r="D9809">
        <v>152040</v>
      </c>
      <c r="E9809" t="s">
        <v>14</v>
      </c>
      <c r="F9809">
        <v>46.019199999999998</v>
      </c>
      <c r="G9809">
        <v>22.1508</v>
      </c>
      <c r="H9809">
        <v>2</v>
      </c>
      <c r="I9809">
        <v>157</v>
      </c>
      <c r="J9809" t="str">
        <f>HYPERLINK("https://climate.onebuilding.org/WMO_Region_6_Europe/ROU_Romania/AR_Arad/ROU_AR_Varadia.de.Mures.152040_TMYx.zip")</f>
        <v>https://climate.onebuilding.org/WMO_Region_6_Europe/ROU_Romania/AR_Arad/ROU_AR_Varadia.de.Mures.152040_TMYx.zip</v>
      </c>
    </row>
    <row r="9810" spans="1:10" x14ac:dyDescent="0.25">
      <c r="A9810" t="s">
        <v>7128</v>
      </c>
      <c r="B9810" t="s">
        <v>7229</v>
      </c>
      <c r="C9810" t="s">
        <v>7230</v>
      </c>
      <c r="D9810">
        <v>152060</v>
      </c>
      <c r="E9810" t="s">
        <v>14</v>
      </c>
      <c r="F9810">
        <v>46.169400000000003</v>
      </c>
      <c r="G9810">
        <v>22.726099999999999</v>
      </c>
      <c r="H9810">
        <v>2</v>
      </c>
      <c r="I9810">
        <v>274.2</v>
      </c>
      <c r="J9810" t="str">
        <f>HYPERLINK("https://climate.onebuilding.org/WMO_Region_6_Europe/ROU_Romania/HD_Hunedoara/ROU_HD_Tebea.152060_TMYx.2007-2021.zip")</f>
        <v>https://climate.onebuilding.org/WMO_Region_6_Europe/ROU_Romania/HD_Hunedoara/ROU_HD_Tebea.152060_TMYx.2007-2021.zip</v>
      </c>
    </row>
    <row r="9811" spans="1:10" x14ac:dyDescent="0.25">
      <c r="A9811" t="s">
        <v>7128</v>
      </c>
      <c r="B9811" t="s">
        <v>7229</v>
      </c>
      <c r="C9811" t="s">
        <v>7230</v>
      </c>
      <c r="D9811">
        <v>152060</v>
      </c>
      <c r="E9811" t="s">
        <v>14</v>
      </c>
      <c r="F9811">
        <v>46.169400000000003</v>
      </c>
      <c r="G9811">
        <v>22.726099999999999</v>
      </c>
      <c r="H9811">
        <v>2</v>
      </c>
      <c r="I9811">
        <v>274.2</v>
      </c>
      <c r="J9811" t="str">
        <f>HYPERLINK("https://climate.onebuilding.org/WMO_Region_6_Europe/ROU_Romania/HD_Hunedoara/ROU_HD_Tebea.152060_TMYx.2009-2023.zip")</f>
        <v>https://climate.onebuilding.org/WMO_Region_6_Europe/ROU_Romania/HD_Hunedoara/ROU_HD_Tebea.152060_TMYx.2009-2023.zip</v>
      </c>
    </row>
    <row r="9812" spans="1:10" x14ac:dyDescent="0.25">
      <c r="A9812" t="s">
        <v>7128</v>
      </c>
      <c r="B9812" t="s">
        <v>7229</v>
      </c>
      <c r="C9812" t="s">
        <v>7230</v>
      </c>
      <c r="D9812">
        <v>152060</v>
      </c>
      <c r="E9812" t="s">
        <v>14</v>
      </c>
      <c r="F9812">
        <v>46.169400000000003</v>
      </c>
      <c r="G9812">
        <v>22.726099999999999</v>
      </c>
      <c r="H9812">
        <v>2</v>
      </c>
      <c r="I9812">
        <v>274.2</v>
      </c>
      <c r="J9812" t="str">
        <f>HYPERLINK("https://climate.onebuilding.org/WMO_Region_6_Europe/ROU_Romania/HD_Hunedoara/ROU_HD_Tebea.152060_TMYx.zip")</f>
        <v>https://climate.onebuilding.org/WMO_Region_6_Europe/ROU_Romania/HD_Hunedoara/ROU_HD_Tebea.152060_TMYx.zip</v>
      </c>
    </row>
    <row r="9813" spans="1:10" x14ac:dyDescent="0.25">
      <c r="A9813" t="s">
        <v>7128</v>
      </c>
      <c r="B9813" t="s">
        <v>5397</v>
      </c>
      <c r="C9813" t="s">
        <v>7231</v>
      </c>
      <c r="D9813">
        <v>152080</v>
      </c>
      <c r="E9813" t="s">
        <v>14</v>
      </c>
      <c r="F9813">
        <v>46.063899999999997</v>
      </c>
      <c r="G9813">
        <v>23.563300000000002</v>
      </c>
      <c r="H9813">
        <v>2</v>
      </c>
      <c r="I9813">
        <v>247</v>
      </c>
      <c r="J9813" t="str">
        <f>HYPERLINK("https://climate.onebuilding.org/WMO_Region_6_Europe/ROU_Romania/AB_Alba/ROU_AB_Alba.Iulia.152080_TMYx.2007-2021.zip")</f>
        <v>https://climate.onebuilding.org/WMO_Region_6_Europe/ROU_Romania/AB_Alba/ROU_AB_Alba.Iulia.152080_TMYx.2007-2021.zip</v>
      </c>
    </row>
    <row r="9814" spans="1:10" x14ac:dyDescent="0.25">
      <c r="A9814" t="s">
        <v>7128</v>
      </c>
      <c r="B9814" t="s">
        <v>5397</v>
      </c>
      <c r="C9814" t="s">
        <v>7231</v>
      </c>
      <c r="D9814">
        <v>152080</v>
      </c>
      <c r="E9814" t="s">
        <v>14</v>
      </c>
      <c r="F9814">
        <v>46.063899999999997</v>
      </c>
      <c r="G9814">
        <v>23.563300000000002</v>
      </c>
      <c r="H9814">
        <v>2</v>
      </c>
      <c r="I9814">
        <v>247</v>
      </c>
      <c r="J9814" t="str">
        <f>HYPERLINK("https://climate.onebuilding.org/WMO_Region_6_Europe/ROU_Romania/AB_Alba/ROU_AB_Alba.Iulia.152080_TMYx.2009-2023.zip")</f>
        <v>https://climate.onebuilding.org/WMO_Region_6_Europe/ROU_Romania/AB_Alba/ROU_AB_Alba.Iulia.152080_TMYx.2009-2023.zip</v>
      </c>
    </row>
    <row r="9815" spans="1:10" x14ac:dyDescent="0.25">
      <c r="A9815" t="s">
        <v>7128</v>
      </c>
      <c r="B9815" t="s">
        <v>5397</v>
      </c>
      <c r="C9815" t="s">
        <v>7231</v>
      </c>
      <c r="D9815">
        <v>152080</v>
      </c>
      <c r="E9815" t="s">
        <v>14</v>
      </c>
      <c r="F9815">
        <v>46.063899999999997</v>
      </c>
      <c r="G9815">
        <v>23.563300000000002</v>
      </c>
      <c r="H9815">
        <v>2</v>
      </c>
      <c r="I9815">
        <v>247</v>
      </c>
      <c r="J9815" t="str">
        <f>HYPERLINK("https://climate.onebuilding.org/WMO_Region_6_Europe/ROU_Romania/AB_Alba/ROU_AB_Alba.Iulia.152080_TMYx.zip")</f>
        <v>https://climate.onebuilding.org/WMO_Region_6_Europe/ROU_Romania/AB_Alba/ROU_AB_Alba.Iulia.152080_TMYx.zip</v>
      </c>
    </row>
    <row r="9816" spans="1:10" x14ac:dyDescent="0.25">
      <c r="A9816" t="s">
        <v>7128</v>
      </c>
      <c r="B9816" t="s">
        <v>5397</v>
      </c>
      <c r="C9816" t="s">
        <v>7232</v>
      </c>
      <c r="D9816">
        <v>152090</v>
      </c>
      <c r="E9816" t="s">
        <v>14</v>
      </c>
      <c r="F9816">
        <v>46.1783</v>
      </c>
      <c r="G9816">
        <v>23.935300000000002</v>
      </c>
      <c r="H9816">
        <v>2</v>
      </c>
      <c r="I9816">
        <v>334</v>
      </c>
      <c r="J9816" t="str">
        <f>HYPERLINK("https://climate.onebuilding.org/WMO_Region_6_Europe/ROU_Romania/AB_Alba/ROU_AB_Blaj.152090_TMYx.2007-2021.zip")</f>
        <v>https://climate.onebuilding.org/WMO_Region_6_Europe/ROU_Romania/AB_Alba/ROU_AB_Blaj.152090_TMYx.2007-2021.zip</v>
      </c>
    </row>
    <row r="9817" spans="1:10" x14ac:dyDescent="0.25">
      <c r="A9817" t="s">
        <v>7128</v>
      </c>
      <c r="B9817" t="s">
        <v>5397</v>
      </c>
      <c r="C9817" t="s">
        <v>7232</v>
      </c>
      <c r="D9817">
        <v>152090</v>
      </c>
      <c r="E9817" t="s">
        <v>14</v>
      </c>
      <c r="F9817">
        <v>46.1783</v>
      </c>
      <c r="G9817">
        <v>23.935300000000002</v>
      </c>
      <c r="H9817">
        <v>2</v>
      </c>
      <c r="I9817">
        <v>334</v>
      </c>
      <c r="J9817" t="str">
        <f>HYPERLINK("https://climate.onebuilding.org/WMO_Region_6_Europe/ROU_Romania/AB_Alba/ROU_AB_Blaj.152090_TMYx.2009-2023.zip")</f>
        <v>https://climate.onebuilding.org/WMO_Region_6_Europe/ROU_Romania/AB_Alba/ROU_AB_Blaj.152090_TMYx.2009-2023.zip</v>
      </c>
    </row>
    <row r="9818" spans="1:10" x14ac:dyDescent="0.25">
      <c r="A9818" t="s">
        <v>7128</v>
      </c>
      <c r="B9818" t="s">
        <v>5397</v>
      </c>
      <c r="C9818" t="s">
        <v>7232</v>
      </c>
      <c r="D9818">
        <v>152090</v>
      </c>
      <c r="E9818" t="s">
        <v>14</v>
      </c>
      <c r="F9818">
        <v>46.1783</v>
      </c>
      <c r="G9818">
        <v>23.935300000000002</v>
      </c>
      <c r="H9818">
        <v>2</v>
      </c>
      <c r="I9818">
        <v>334</v>
      </c>
      <c r="J9818" t="str">
        <f>HYPERLINK("https://climate.onebuilding.org/WMO_Region_6_Europe/ROU_Romania/AB_Alba/ROU_AB_Blaj.152090_TMYx.zip")</f>
        <v>https://climate.onebuilding.org/WMO_Region_6_Europe/ROU_Romania/AB_Alba/ROU_AB_Blaj.152090_TMYx.zip</v>
      </c>
    </row>
    <row r="9819" spans="1:10" x14ac:dyDescent="0.25">
      <c r="A9819" t="s">
        <v>7128</v>
      </c>
      <c r="B9819" t="s">
        <v>7233</v>
      </c>
      <c r="C9819" t="s">
        <v>7234</v>
      </c>
      <c r="D9819">
        <v>152120</v>
      </c>
      <c r="E9819" t="s">
        <v>14</v>
      </c>
      <c r="F9819">
        <v>46.043700000000001</v>
      </c>
      <c r="G9819">
        <v>25.2819</v>
      </c>
      <c r="H9819">
        <v>2</v>
      </c>
      <c r="I9819">
        <v>451</v>
      </c>
      <c r="J9819" t="str">
        <f>HYPERLINK("https://climate.onebuilding.org/WMO_Region_6_Europe/ROU_Romania/BV_Brasov/ROU_BV_Homorod.152120_TMYx.zip")</f>
        <v>https://climate.onebuilding.org/WMO_Region_6_Europe/ROU_Romania/BV_Brasov/ROU_BV_Homorod.152120_TMYx.zip</v>
      </c>
    </row>
    <row r="9820" spans="1:10" x14ac:dyDescent="0.25">
      <c r="A9820" t="s">
        <v>7128</v>
      </c>
      <c r="B9820" t="s">
        <v>7235</v>
      </c>
      <c r="C9820" t="s">
        <v>7236</v>
      </c>
      <c r="D9820">
        <v>152150</v>
      </c>
      <c r="E9820" t="s">
        <v>14</v>
      </c>
      <c r="F9820">
        <v>46.080800000000004</v>
      </c>
      <c r="G9820">
        <v>25.595800000000001</v>
      </c>
      <c r="H9820">
        <v>2</v>
      </c>
      <c r="I9820">
        <v>509</v>
      </c>
      <c r="J9820" t="str">
        <f>HYPERLINK("https://climate.onebuilding.org/WMO_Region_6_Europe/ROU_Romania/CV_Covasna/ROU_CV_Baraolt.152150_TMYx.2007-2021.zip")</f>
        <v>https://climate.onebuilding.org/WMO_Region_6_Europe/ROU_Romania/CV_Covasna/ROU_CV_Baraolt.152150_TMYx.2007-2021.zip</v>
      </c>
    </row>
    <row r="9821" spans="1:10" x14ac:dyDescent="0.25">
      <c r="A9821" t="s">
        <v>7128</v>
      </c>
      <c r="B9821" t="s">
        <v>7235</v>
      </c>
      <c r="C9821" t="s">
        <v>7236</v>
      </c>
      <c r="D9821">
        <v>152150</v>
      </c>
      <c r="E9821" t="s">
        <v>14</v>
      </c>
      <c r="F9821">
        <v>46.080800000000004</v>
      </c>
      <c r="G9821">
        <v>25.595800000000001</v>
      </c>
      <c r="H9821">
        <v>2</v>
      </c>
      <c r="I9821">
        <v>509</v>
      </c>
      <c r="J9821" t="str">
        <f>HYPERLINK("https://climate.onebuilding.org/WMO_Region_6_Europe/ROU_Romania/CV_Covasna/ROU_CV_Baraolt.152150_TMYx.2009-2023.zip")</f>
        <v>https://climate.onebuilding.org/WMO_Region_6_Europe/ROU_Romania/CV_Covasna/ROU_CV_Baraolt.152150_TMYx.2009-2023.zip</v>
      </c>
    </row>
    <row r="9822" spans="1:10" x14ac:dyDescent="0.25">
      <c r="A9822" t="s">
        <v>7128</v>
      </c>
      <c r="B9822" t="s">
        <v>7235</v>
      </c>
      <c r="C9822" t="s">
        <v>7236</v>
      </c>
      <c r="D9822">
        <v>152150</v>
      </c>
      <c r="E9822" t="s">
        <v>14</v>
      </c>
      <c r="F9822">
        <v>46.080800000000004</v>
      </c>
      <c r="G9822">
        <v>25.595800000000001</v>
      </c>
      <c r="H9822">
        <v>2</v>
      </c>
      <c r="I9822">
        <v>509</v>
      </c>
      <c r="J9822" t="str">
        <f>HYPERLINK("https://climate.onebuilding.org/WMO_Region_6_Europe/ROU_Romania/CV_Covasna/ROU_CV_Baraolt.152150_TMYx.zip")</f>
        <v>https://climate.onebuilding.org/WMO_Region_6_Europe/ROU_Romania/CV_Covasna/ROU_CV_Baraolt.152150_TMYx.zip</v>
      </c>
    </row>
    <row r="9823" spans="1:10" x14ac:dyDescent="0.25">
      <c r="A9823" t="s">
        <v>7128</v>
      </c>
      <c r="B9823" t="s">
        <v>7235</v>
      </c>
      <c r="C9823" t="s">
        <v>7237</v>
      </c>
      <c r="D9823">
        <v>152170</v>
      </c>
      <c r="E9823" t="s">
        <v>14</v>
      </c>
      <c r="F9823">
        <v>45.992800000000003</v>
      </c>
      <c r="G9823">
        <v>26.114999999999998</v>
      </c>
      <c r="H9823">
        <v>2</v>
      </c>
      <c r="I9823">
        <v>570</v>
      </c>
      <c r="J9823" t="str">
        <f>HYPERLINK("https://climate.onebuilding.org/WMO_Region_6_Europe/ROU_Romania/CV_Covasna/ROU_CV_Targu.Secuiesc.152170_TMYx.2007-2021.zip")</f>
        <v>https://climate.onebuilding.org/WMO_Region_6_Europe/ROU_Romania/CV_Covasna/ROU_CV_Targu.Secuiesc.152170_TMYx.2007-2021.zip</v>
      </c>
    </row>
    <row r="9824" spans="1:10" x14ac:dyDescent="0.25">
      <c r="A9824" t="s">
        <v>7128</v>
      </c>
      <c r="B9824" t="s">
        <v>7235</v>
      </c>
      <c r="C9824" t="s">
        <v>7237</v>
      </c>
      <c r="D9824">
        <v>152170</v>
      </c>
      <c r="E9824" t="s">
        <v>14</v>
      </c>
      <c r="F9824">
        <v>45.992800000000003</v>
      </c>
      <c r="G9824">
        <v>26.114999999999998</v>
      </c>
      <c r="H9824">
        <v>2</v>
      </c>
      <c r="I9824">
        <v>570</v>
      </c>
      <c r="J9824" t="str">
        <f>HYPERLINK("https://climate.onebuilding.org/WMO_Region_6_Europe/ROU_Romania/CV_Covasna/ROU_CV_Targu.Secuiesc.152170_TMYx.2009-2023.zip")</f>
        <v>https://climate.onebuilding.org/WMO_Region_6_Europe/ROU_Romania/CV_Covasna/ROU_CV_Targu.Secuiesc.152170_TMYx.2009-2023.zip</v>
      </c>
    </row>
    <row r="9825" spans="1:10" x14ac:dyDescent="0.25">
      <c r="A9825" t="s">
        <v>7128</v>
      </c>
      <c r="B9825" t="s">
        <v>7235</v>
      </c>
      <c r="C9825" t="s">
        <v>7237</v>
      </c>
      <c r="D9825">
        <v>152170</v>
      </c>
      <c r="E9825" t="s">
        <v>14</v>
      </c>
      <c r="F9825">
        <v>45.992800000000003</v>
      </c>
      <c r="G9825">
        <v>26.114999999999998</v>
      </c>
      <c r="H9825">
        <v>2</v>
      </c>
      <c r="I9825">
        <v>570</v>
      </c>
      <c r="J9825" t="str">
        <f>HYPERLINK("https://climate.onebuilding.org/WMO_Region_6_Europe/ROU_Romania/CV_Covasna/ROU_CV_Targu.Secuiesc.152170_TMYx.zip")</f>
        <v>https://climate.onebuilding.org/WMO_Region_6_Europe/ROU_Romania/CV_Covasna/ROU_CV_Targu.Secuiesc.152170_TMYx.zip</v>
      </c>
    </row>
    <row r="9826" spans="1:10" x14ac:dyDescent="0.25">
      <c r="A9826" t="s">
        <v>7128</v>
      </c>
      <c r="B9826" t="s">
        <v>518</v>
      </c>
      <c r="C9826" t="s">
        <v>7238</v>
      </c>
      <c r="D9826">
        <v>152190</v>
      </c>
      <c r="E9826" t="s">
        <v>14</v>
      </c>
      <c r="F9826">
        <v>46.104700000000001</v>
      </c>
      <c r="G9826">
        <v>27.170300000000001</v>
      </c>
      <c r="H9826">
        <v>2</v>
      </c>
      <c r="I9826">
        <v>102</v>
      </c>
      <c r="J9826" t="str">
        <f>HYPERLINK("https://climate.onebuilding.org/WMO_Region_6_Europe/ROU_Romania/VN_Vrancea/ROU_VN_Adjud.152190_TMYx.2007-2021.zip")</f>
        <v>https://climate.onebuilding.org/WMO_Region_6_Europe/ROU_Romania/VN_Vrancea/ROU_VN_Adjud.152190_TMYx.2007-2021.zip</v>
      </c>
    </row>
    <row r="9827" spans="1:10" x14ac:dyDescent="0.25">
      <c r="A9827" t="s">
        <v>7128</v>
      </c>
      <c r="B9827" t="s">
        <v>518</v>
      </c>
      <c r="C9827" t="s">
        <v>7238</v>
      </c>
      <c r="D9827">
        <v>152190</v>
      </c>
      <c r="E9827" t="s">
        <v>14</v>
      </c>
      <c r="F9827">
        <v>46.104700000000001</v>
      </c>
      <c r="G9827">
        <v>27.170300000000001</v>
      </c>
      <c r="H9827">
        <v>2</v>
      </c>
      <c r="I9827">
        <v>102</v>
      </c>
      <c r="J9827" t="str">
        <f>HYPERLINK("https://climate.onebuilding.org/WMO_Region_6_Europe/ROU_Romania/VN_Vrancea/ROU_VN_Adjud.152190_TMYx.2009-2023.zip")</f>
        <v>https://climate.onebuilding.org/WMO_Region_6_Europe/ROU_Romania/VN_Vrancea/ROU_VN_Adjud.152190_TMYx.2009-2023.zip</v>
      </c>
    </row>
    <row r="9828" spans="1:10" x14ac:dyDescent="0.25">
      <c r="A9828" t="s">
        <v>7128</v>
      </c>
      <c r="B9828" t="s">
        <v>518</v>
      </c>
      <c r="C9828" t="s">
        <v>7238</v>
      </c>
      <c r="D9828">
        <v>152190</v>
      </c>
      <c r="E9828" t="s">
        <v>14</v>
      </c>
      <c r="F9828">
        <v>46.104700000000001</v>
      </c>
      <c r="G9828">
        <v>27.170300000000001</v>
      </c>
      <c r="H9828">
        <v>2</v>
      </c>
      <c r="I9828">
        <v>102</v>
      </c>
      <c r="J9828" t="str">
        <f>HYPERLINK("https://climate.onebuilding.org/WMO_Region_6_Europe/ROU_Romania/VN_Vrancea/ROU_VN_Adjud.152190_TMYx.zip")</f>
        <v>https://climate.onebuilding.org/WMO_Region_6_Europe/ROU_Romania/VN_Vrancea/ROU_VN_Adjud.152190_TMYx.zip</v>
      </c>
    </row>
    <row r="9829" spans="1:10" x14ac:dyDescent="0.25">
      <c r="A9829" t="s">
        <v>7128</v>
      </c>
      <c r="B9829" t="s">
        <v>903</v>
      </c>
      <c r="C9829" t="s">
        <v>7239</v>
      </c>
      <c r="D9829">
        <v>152210</v>
      </c>
      <c r="E9829" t="s">
        <v>14</v>
      </c>
      <c r="F9829">
        <v>46.033000000000001</v>
      </c>
      <c r="G9829">
        <v>27.917000000000002</v>
      </c>
      <c r="H9829">
        <v>2</v>
      </c>
      <c r="I9829">
        <v>214</v>
      </c>
      <c r="J9829" t="str">
        <f>HYPERLINK("https://climate.onebuilding.org/WMO_Region_6_Europe/ROU_Romania/GL_Galati/ROU_GL_Balintesti.152210_TMYx.zip")</f>
        <v>https://climate.onebuilding.org/WMO_Region_6_Europe/ROU_Romania/GL_Galati/ROU_GL_Balintesti.152210_TMYx.zip</v>
      </c>
    </row>
    <row r="9830" spans="1:10" x14ac:dyDescent="0.25">
      <c r="A9830" t="s">
        <v>7128</v>
      </c>
      <c r="B9830" t="s">
        <v>7229</v>
      </c>
      <c r="C9830" t="s">
        <v>7240</v>
      </c>
      <c r="D9830">
        <v>152300</v>
      </c>
      <c r="E9830" t="s">
        <v>7241</v>
      </c>
      <c r="F9830">
        <v>45.865000000000002</v>
      </c>
      <c r="G9830">
        <v>22.898900000000001</v>
      </c>
      <c r="H9830">
        <v>2</v>
      </c>
      <c r="I9830">
        <v>241.2</v>
      </c>
      <c r="J9830" t="str">
        <f>HYPERLINK("https://climate.onebuilding.org/WMO_Region_6_Europe/ROU_Romania/HD_Hunedoara/ROU_HD_Deva.152300_TMYx.2004-2018.zip")</f>
        <v>https://climate.onebuilding.org/WMO_Region_6_Europe/ROU_Romania/HD_Hunedoara/ROU_HD_Deva.152300_TMYx.2004-2018.zip</v>
      </c>
    </row>
    <row r="9831" spans="1:10" x14ac:dyDescent="0.25">
      <c r="A9831" t="s">
        <v>7128</v>
      </c>
      <c r="B9831" t="s">
        <v>7229</v>
      </c>
      <c r="C9831" t="s">
        <v>7240</v>
      </c>
      <c r="D9831">
        <v>152300</v>
      </c>
      <c r="E9831" t="s">
        <v>14</v>
      </c>
      <c r="F9831">
        <v>45.865000000000002</v>
      </c>
      <c r="G9831">
        <v>22.898900000000001</v>
      </c>
      <c r="H9831">
        <v>2</v>
      </c>
      <c r="I9831">
        <v>241.2</v>
      </c>
      <c r="J9831" t="str">
        <f>HYPERLINK("https://climate.onebuilding.org/WMO_Region_6_Europe/ROU_Romania/HD_Hunedoara/ROU_HD_Deva.152300_TMYx.2007-2021.zip")</f>
        <v>https://climate.onebuilding.org/WMO_Region_6_Europe/ROU_Romania/HD_Hunedoara/ROU_HD_Deva.152300_TMYx.2007-2021.zip</v>
      </c>
    </row>
    <row r="9832" spans="1:10" x14ac:dyDescent="0.25">
      <c r="A9832" t="s">
        <v>7128</v>
      </c>
      <c r="B9832" t="s">
        <v>7229</v>
      </c>
      <c r="C9832" t="s">
        <v>7240</v>
      </c>
      <c r="D9832">
        <v>152300</v>
      </c>
      <c r="E9832" t="s">
        <v>14</v>
      </c>
      <c r="F9832">
        <v>45.865000000000002</v>
      </c>
      <c r="G9832">
        <v>22.898900000000001</v>
      </c>
      <c r="H9832">
        <v>2</v>
      </c>
      <c r="I9832">
        <v>241.2</v>
      </c>
      <c r="J9832" t="str">
        <f>HYPERLINK("https://climate.onebuilding.org/WMO_Region_6_Europe/ROU_Romania/HD_Hunedoara/ROU_HD_Deva.152300_TMYx.2009-2023.zip")</f>
        <v>https://climate.onebuilding.org/WMO_Region_6_Europe/ROU_Romania/HD_Hunedoara/ROU_HD_Deva.152300_TMYx.2009-2023.zip</v>
      </c>
    </row>
    <row r="9833" spans="1:10" x14ac:dyDescent="0.25">
      <c r="A9833" t="s">
        <v>7128</v>
      </c>
      <c r="B9833" t="s">
        <v>7229</v>
      </c>
      <c r="C9833" t="s">
        <v>7240</v>
      </c>
      <c r="D9833">
        <v>152300</v>
      </c>
      <c r="E9833" t="s">
        <v>14</v>
      </c>
      <c r="F9833">
        <v>45.865000000000002</v>
      </c>
      <c r="G9833">
        <v>22.898900000000001</v>
      </c>
      <c r="H9833">
        <v>2</v>
      </c>
      <c r="I9833">
        <v>241.2</v>
      </c>
      <c r="J9833" t="str">
        <f>HYPERLINK("https://climate.onebuilding.org/WMO_Region_6_Europe/ROU_Romania/HD_Hunedoara/ROU_HD_Deva.152300_TMYx.zip")</f>
        <v>https://climate.onebuilding.org/WMO_Region_6_Europe/ROU_Romania/HD_Hunedoara/ROU_HD_Deva.152300_TMYx.zip</v>
      </c>
    </row>
    <row r="9834" spans="1:10" x14ac:dyDescent="0.25">
      <c r="A9834" t="s">
        <v>7128</v>
      </c>
      <c r="B9834" t="s">
        <v>5397</v>
      </c>
      <c r="C9834" t="s">
        <v>7242</v>
      </c>
      <c r="D9834">
        <v>152310</v>
      </c>
      <c r="E9834" t="s">
        <v>14</v>
      </c>
      <c r="F9834">
        <v>45.9636</v>
      </c>
      <c r="G9834">
        <v>23.533100000000001</v>
      </c>
      <c r="H9834">
        <v>2</v>
      </c>
      <c r="I9834">
        <v>272.2</v>
      </c>
      <c r="J9834" t="str">
        <f>HYPERLINK("https://climate.onebuilding.org/WMO_Region_6_Europe/ROU_Romania/AB_Alba/ROU_AB_Sebes.152310_TMYx.2007-2021.zip")</f>
        <v>https://climate.onebuilding.org/WMO_Region_6_Europe/ROU_Romania/AB_Alba/ROU_AB_Sebes.152310_TMYx.2007-2021.zip</v>
      </c>
    </row>
    <row r="9835" spans="1:10" x14ac:dyDescent="0.25">
      <c r="A9835" t="s">
        <v>7128</v>
      </c>
      <c r="B9835" t="s">
        <v>5397</v>
      </c>
      <c r="C9835" t="s">
        <v>7242</v>
      </c>
      <c r="D9835">
        <v>152310</v>
      </c>
      <c r="E9835" t="s">
        <v>14</v>
      </c>
      <c r="F9835">
        <v>45.9636</v>
      </c>
      <c r="G9835">
        <v>23.533100000000001</v>
      </c>
      <c r="H9835">
        <v>2</v>
      </c>
      <c r="I9835">
        <v>272.2</v>
      </c>
      <c r="J9835" t="str">
        <f>HYPERLINK("https://climate.onebuilding.org/WMO_Region_6_Europe/ROU_Romania/AB_Alba/ROU_AB_Sebes.152310_TMYx.2009-2023.zip")</f>
        <v>https://climate.onebuilding.org/WMO_Region_6_Europe/ROU_Romania/AB_Alba/ROU_AB_Sebes.152310_TMYx.2009-2023.zip</v>
      </c>
    </row>
    <row r="9836" spans="1:10" x14ac:dyDescent="0.25">
      <c r="A9836" t="s">
        <v>7128</v>
      </c>
      <c r="B9836" t="s">
        <v>5397</v>
      </c>
      <c r="C9836" t="s">
        <v>7242</v>
      </c>
      <c r="D9836">
        <v>152310</v>
      </c>
      <c r="E9836" t="s">
        <v>14</v>
      </c>
      <c r="F9836">
        <v>45.9636</v>
      </c>
      <c r="G9836">
        <v>23.533100000000001</v>
      </c>
      <c r="H9836">
        <v>2</v>
      </c>
      <c r="I9836">
        <v>272.2</v>
      </c>
      <c r="J9836" t="str">
        <f>HYPERLINK("https://climate.onebuilding.org/WMO_Region_6_Europe/ROU_Romania/AB_Alba/ROU_AB_Sebes.152310_TMYx.zip")</f>
        <v>https://climate.onebuilding.org/WMO_Region_6_Europe/ROU_Romania/AB_Alba/ROU_AB_Sebes.152310_TMYx.zip</v>
      </c>
    </row>
    <row r="9837" spans="1:10" x14ac:dyDescent="0.25">
      <c r="A9837" t="s">
        <v>7128</v>
      </c>
      <c r="B9837" t="s">
        <v>7172</v>
      </c>
      <c r="C9837" t="s">
        <v>7243</v>
      </c>
      <c r="D9837">
        <v>152350</v>
      </c>
      <c r="E9837" t="s">
        <v>14</v>
      </c>
      <c r="F9837">
        <v>45.836399999999998</v>
      </c>
      <c r="G9837">
        <v>24.935300000000002</v>
      </c>
      <c r="H9837">
        <v>2</v>
      </c>
      <c r="I9837">
        <v>429.2</v>
      </c>
      <c r="J9837" t="str">
        <f>HYPERLINK("https://climate.onebuilding.org/WMO_Region_6_Europe/ROU_Romania/BN_Bistrita-Nasaud/ROU_BN_Fagaras.152350_TMYx.2007-2021.zip")</f>
        <v>https://climate.onebuilding.org/WMO_Region_6_Europe/ROU_Romania/BN_Bistrita-Nasaud/ROU_BN_Fagaras.152350_TMYx.2007-2021.zip</v>
      </c>
    </row>
    <row r="9838" spans="1:10" x14ac:dyDescent="0.25">
      <c r="A9838" t="s">
        <v>7128</v>
      </c>
      <c r="B9838" t="s">
        <v>7172</v>
      </c>
      <c r="C9838" t="s">
        <v>7243</v>
      </c>
      <c r="D9838">
        <v>152350</v>
      </c>
      <c r="E9838" t="s">
        <v>14</v>
      </c>
      <c r="F9838">
        <v>45.836399999999998</v>
      </c>
      <c r="G9838">
        <v>24.935300000000002</v>
      </c>
      <c r="H9838">
        <v>2</v>
      </c>
      <c r="I9838">
        <v>429.2</v>
      </c>
      <c r="J9838" t="str">
        <f>HYPERLINK("https://climate.onebuilding.org/WMO_Region_6_Europe/ROU_Romania/BN_Bistrita-Nasaud/ROU_BN_Fagaras.152350_TMYx.2009-2023.zip")</f>
        <v>https://climate.onebuilding.org/WMO_Region_6_Europe/ROU_Romania/BN_Bistrita-Nasaud/ROU_BN_Fagaras.152350_TMYx.2009-2023.zip</v>
      </c>
    </row>
    <row r="9839" spans="1:10" x14ac:dyDescent="0.25">
      <c r="A9839" t="s">
        <v>7128</v>
      </c>
      <c r="B9839" t="s">
        <v>7172</v>
      </c>
      <c r="C9839" t="s">
        <v>7243</v>
      </c>
      <c r="D9839">
        <v>152350</v>
      </c>
      <c r="E9839" t="s">
        <v>14</v>
      </c>
      <c r="F9839">
        <v>45.836399999999998</v>
      </c>
      <c r="G9839">
        <v>24.935300000000002</v>
      </c>
      <c r="H9839">
        <v>2</v>
      </c>
      <c r="I9839">
        <v>429.2</v>
      </c>
      <c r="J9839" t="str">
        <f>HYPERLINK("https://climate.onebuilding.org/WMO_Region_6_Europe/ROU_Romania/BN_Bistrita-Nasaud/ROU_BN_Fagaras.152350_TMYx.zip")</f>
        <v>https://climate.onebuilding.org/WMO_Region_6_Europe/ROU_Romania/BN_Bistrita-Nasaud/ROU_BN_Fagaras.152350_TMYx.zip</v>
      </c>
    </row>
    <row r="9840" spans="1:10" x14ac:dyDescent="0.25">
      <c r="A9840" t="s">
        <v>7128</v>
      </c>
      <c r="B9840" t="s">
        <v>7235</v>
      </c>
      <c r="C9840" t="s">
        <v>7244</v>
      </c>
      <c r="D9840">
        <v>152380</v>
      </c>
      <c r="E9840" t="s">
        <v>14</v>
      </c>
      <c r="F9840">
        <v>45.871699999999997</v>
      </c>
      <c r="G9840">
        <v>25.802199999999999</v>
      </c>
      <c r="H9840">
        <v>2</v>
      </c>
      <c r="I9840">
        <v>524.20000000000005</v>
      </c>
      <c r="J9840" t="str">
        <f>HYPERLINK("https://climate.onebuilding.org/WMO_Region_6_Europe/ROU_Romania/CV_Covasna/ROU_CV_Sfantu.Gheorghe.152380_TMYx.2007-2021.zip")</f>
        <v>https://climate.onebuilding.org/WMO_Region_6_Europe/ROU_Romania/CV_Covasna/ROU_CV_Sfantu.Gheorghe.152380_TMYx.2007-2021.zip</v>
      </c>
    </row>
    <row r="9841" spans="1:10" x14ac:dyDescent="0.25">
      <c r="A9841" t="s">
        <v>7128</v>
      </c>
      <c r="B9841" t="s">
        <v>7235</v>
      </c>
      <c r="C9841" t="s">
        <v>7244</v>
      </c>
      <c r="D9841">
        <v>152380</v>
      </c>
      <c r="E9841" t="s">
        <v>14</v>
      </c>
      <c r="F9841">
        <v>45.871699999999997</v>
      </c>
      <c r="G9841">
        <v>25.802199999999999</v>
      </c>
      <c r="H9841">
        <v>2</v>
      </c>
      <c r="I9841">
        <v>524.20000000000005</v>
      </c>
      <c r="J9841" t="str">
        <f>HYPERLINK("https://climate.onebuilding.org/WMO_Region_6_Europe/ROU_Romania/CV_Covasna/ROU_CV_Sfantu.Gheorghe.152380_TMYx.2009-2023.zip")</f>
        <v>https://climate.onebuilding.org/WMO_Region_6_Europe/ROU_Romania/CV_Covasna/ROU_CV_Sfantu.Gheorghe.152380_TMYx.2009-2023.zip</v>
      </c>
    </row>
    <row r="9842" spans="1:10" x14ac:dyDescent="0.25">
      <c r="A9842" t="s">
        <v>7128</v>
      </c>
      <c r="B9842" t="s">
        <v>7235</v>
      </c>
      <c r="C9842" t="s">
        <v>7244</v>
      </c>
      <c r="D9842">
        <v>152380</v>
      </c>
      <c r="E9842" t="s">
        <v>14</v>
      </c>
      <c r="F9842">
        <v>45.871699999999997</v>
      </c>
      <c r="G9842">
        <v>25.802199999999999</v>
      </c>
      <c r="H9842">
        <v>2</v>
      </c>
      <c r="I9842">
        <v>524.20000000000005</v>
      </c>
      <c r="J9842" t="str">
        <f>HYPERLINK("https://climate.onebuilding.org/WMO_Region_6_Europe/ROU_Romania/CV_Covasna/ROU_CV_Sfantu.Gheorghe.152380_TMYx.zip")</f>
        <v>https://climate.onebuilding.org/WMO_Region_6_Europe/ROU_Romania/CV_Covasna/ROU_CV_Sfantu.Gheorghe.152380_TMYx.zip</v>
      </c>
    </row>
    <row r="9843" spans="1:10" x14ac:dyDescent="0.25">
      <c r="A9843" t="s">
        <v>7128</v>
      </c>
      <c r="B9843" t="s">
        <v>518</v>
      </c>
      <c r="C9843" t="s">
        <v>7245</v>
      </c>
      <c r="D9843">
        <v>152410</v>
      </c>
      <c r="E9843" t="s">
        <v>14</v>
      </c>
      <c r="F9843">
        <v>45.917000000000002</v>
      </c>
      <c r="G9843">
        <v>26.667000000000002</v>
      </c>
      <c r="H9843">
        <v>2</v>
      </c>
      <c r="I9843">
        <v>563</v>
      </c>
      <c r="J9843" t="str">
        <f>HYPERLINK("https://climate.onebuilding.org/WMO_Region_6_Europe/ROU_Romania/VN_Vrancea/ROU_VN_Tulnici.152410_TMYx.zip")</f>
        <v>https://climate.onebuilding.org/WMO_Region_6_Europe/ROU_Romania/VN_Vrancea/ROU_VN_Tulnici.152410_TMYx.zip</v>
      </c>
    </row>
    <row r="9844" spans="1:10" x14ac:dyDescent="0.25">
      <c r="A9844" t="s">
        <v>7128</v>
      </c>
      <c r="B9844" t="s">
        <v>7224</v>
      </c>
      <c r="C9844" t="s">
        <v>7246</v>
      </c>
      <c r="D9844">
        <v>152450</v>
      </c>
      <c r="E9844" t="s">
        <v>14</v>
      </c>
      <c r="F9844">
        <v>45.780799999999999</v>
      </c>
      <c r="G9844">
        <v>20.702200000000001</v>
      </c>
      <c r="H9844">
        <v>2</v>
      </c>
      <c r="I9844">
        <v>80.3</v>
      </c>
      <c r="J9844" t="str">
        <f>HYPERLINK("https://climate.onebuilding.org/WMO_Region_6_Europe/ROU_Romania/TM_Timis/ROU_TM_Jimbolia.152450_TMYx.2007-2021.zip")</f>
        <v>https://climate.onebuilding.org/WMO_Region_6_Europe/ROU_Romania/TM_Timis/ROU_TM_Jimbolia.152450_TMYx.2007-2021.zip</v>
      </c>
    </row>
    <row r="9845" spans="1:10" x14ac:dyDescent="0.25">
      <c r="A9845" t="s">
        <v>7128</v>
      </c>
      <c r="B9845" t="s">
        <v>7224</v>
      </c>
      <c r="C9845" t="s">
        <v>7246</v>
      </c>
      <c r="D9845">
        <v>152450</v>
      </c>
      <c r="E9845" t="s">
        <v>14</v>
      </c>
      <c r="F9845">
        <v>45.780799999999999</v>
      </c>
      <c r="G9845">
        <v>20.702200000000001</v>
      </c>
      <c r="H9845">
        <v>2</v>
      </c>
      <c r="I9845">
        <v>80.3</v>
      </c>
      <c r="J9845" t="str">
        <f>HYPERLINK("https://climate.onebuilding.org/WMO_Region_6_Europe/ROU_Romania/TM_Timis/ROU_TM_Jimbolia.152450_TMYx.2009-2023.zip")</f>
        <v>https://climate.onebuilding.org/WMO_Region_6_Europe/ROU_Romania/TM_Timis/ROU_TM_Jimbolia.152450_TMYx.2009-2023.zip</v>
      </c>
    </row>
    <row r="9846" spans="1:10" x14ac:dyDescent="0.25">
      <c r="A9846" t="s">
        <v>7128</v>
      </c>
      <c r="B9846" t="s">
        <v>7224</v>
      </c>
      <c r="C9846" t="s">
        <v>7246</v>
      </c>
      <c r="D9846">
        <v>152450</v>
      </c>
      <c r="E9846" t="s">
        <v>14</v>
      </c>
      <c r="F9846">
        <v>45.780799999999999</v>
      </c>
      <c r="G9846">
        <v>20.702200000000001</v>
      </c>
      <c r="H9846">
        <v>2</v>
      </c>
      <c r="I9846">
        <v>80.3</v>
      </c>
      <c r="J9846" t="str">
        <f>HYPERLINK("https://climate.onebuilding.org/WMO_Region_6_Europe/ROU_Romania/TM_Timis/ROU_TM_Jimbolia.152450_TMYx.zip")</f>
        <v>https://climate.onebuilding.org/WMO_Region_6_Europe/ROU_Romania/TM_Timis/ROU_TM_Jimbolia.152450_TMYx.zip</v>
      </c>
    </row>
    <row r="9847" spans="1:10" x14ac:dyDescent="0.25">
      <c r="A9847" t="s">
        <v>7128</v>
      </c>
      <c r="B9847" t="s">
        <v>7224</v>
      </c>
      <c r="C9847" t="s">
        <v>7247</v>
      </c>
      <c r="D9847">
        <v>152470</v>
      </c>
      <c r="E9847" t="s">
        <v>7248</v>
      </c>
      <c r="F9847">
        <v>45.81</v>
      </c>
      <c r="G9847">
        <v>21.338000000000001</v>
      </c>
      <c r="H9847">
        <v>2</v>
      </c>
      <c r="I9847">
        <v>106</v>
      </c>
      <c r="J9847" t="str">
        <f>HYPERLINK("https://climate.onebuilding.org/WMO_Region_6_Europe/ROU_Romania/TM_Timis/ROU_TM_Timisoara.152470_TMYx.2004-2018.zip")</f>
        <v>https://climate.onebuilding.org/WMO_Region_6_Europe/ROU_Romania/TM_Timis/ROU_TM_Timisoara.152470_TMYx.2004-2018.zip</v>
      </c>
    </row>
    <row r="9848" spans="1:10" x14ac:dyDescent="0.25">
      <c r="A9848" t="s">
        <v>7128</v>
      </c>
      <c r="B9848" t="s">
        <v>7224</v>
      </c>
      <c r="C9848" t="s">
        <v>7247</v>
      </c>
      <c r="D9848">
        <v>152470</v>
      </c>
      <c r="E9848" t="s">
        <v>14</v>
      </c>
      <c r="F9848">
        <v>45.771099999999997</v>
      </c>
      <c r="G9848">
        <v>21.258099999999999</v>
      </c>
      <c r="H9848">
        <v>2</v>
      </c>
      <c r="I9848">
        <v>106</v>
      </c>
      <c r="J9848" t="str">
        <f>HYPERLINK("https://climate.onebuilding.org/WMO_Region_6_Europe/ROU_Romania/TM_Timis/ROU_TM_Timisoara.152470_TMYx.2007-2021.zip")</f>
        <v>https://climate.onebuilding.org/WMO_Region_6_Europe/ROU_Romania/TM_Timis/ROU_TM_Timisoara.152470_TMYx.2007-2021.zip</v>
      </c>
    </row>
    <row r="9849" spans="1:10" x14ac:dyDescent="0.25">
      <c r="A9849" t="s">
        <v>7128</v>
      </c>
      <c r="B9849" t="s">
        <v>7224</v>
      </c>
      <c r="C9849" t="s">
        <v>7247</v>
      </c>
      <c r="D9849">
        <v>152470</v>
      </c>
      <c r="E9849" t="s">
        <v>14</v>
      </c>
      <c r="F9849">
        <v>45.771099999999997</v>
      </c>
      <c r="G9849">
        <v>21.258099999999999</v>
      </c>
      <c r="H9849">
        <v>2</v>
      </c>
      <c r="I9849">
        <v>106</v>
      </c>
      <c r="J9849" t="str">
        <f>HYPERLINK("https://climate.onebuilding.org/WMO_Region_6_Europe/ROU_Romania/TM_Timis/ROU_TM_Timisoara.152470_TMYx.2009-2023.zip")</f>
        <v>https://climate.onebuilding.org/WMO_Region_6_Europe/ROU_Romania/TM_Timis/ROU_TM_Timisoara.152470_TMYx.2009-2023.zip</v>
      </c>
    </row>
    <row r="9850" spans="1:10" x14ac:dyDescent="0.25">
      <c r="A9850" t="s">
        <v>7128</v>
      </c>
      <c r="B9850" t="s">
        <v>7224</v>
      </c>
      <c r="C9850" t="s">
        <v>7247</v>
      </c>
      <c r="D9850">
        <v>152470</v>
      </c>
      <c r="E9850" t="s">
        <v>14</v>
      </c>
      <c r="F9850">
        <v>45.771099999999997</v>
      </c>
      <c r="G9850">
        <v>21.258099999999999</v>
      </c>
      <c r="H9850">
        <v>2</v>
      </c>
      <c r="I9850">
        <v>106</v>
      </c>
      <c r="J9850" t="str">
        <f>HYPERLINK("https://climate.onebuilding.org/WMO_Region_6_Europe/ROU_Romania/TM_Timis/ROU_TM_Timisoara.152470_TMYx.zip")</f>
        <v>https://climate.onebuilding.org/WMO_Region_6_Europe/ROU_Romania/TM_Timis/ROU_TM_Timisoara.152470_TMYx.zip</v>
      </c>
    </row>
    <row r="9851" spans="1:10" x14ac:dyDescent="0.25">
      <c r="A9851" t="s">
        <v>7128</v>
      </c>
      <c r="B9851" t="s">
        <v>4949</v>
      </c>
      <c r="C9851" t="s">
        <v>7249</v>
      </c>
      <c r="D9851">
        <v>152540</v>
      </c>
      <c r="E9851" t="s">
        <v>14</v>
      </c>
      <c r="F9851">
        <v>45.657200000000003</v>
      </c>
      <c r="G9851">
        <v>23.932500000000001</v>
      </c>
      <c r="H9851">
        <v>2</v>
      </c>
      <c r="I9851">
        <v>1454.2</v>
      </c>
      <c r="J9851" t="str">
        <f>HYPERLINK("https://climate.onebuilding.org/WMO_Region_6_Europe/ROU_Romania/SB_Sibiu/ROU_SB_Paltinis.152540_TMYx.2007-2021.zip")</f>
        <v>https://climate.onebuilding.org/WMO_Region_6_Europe/ROU_Romania/SB_Sibiu/ROU_SB_Paltinis.152540_TMYx.2007-2021.zip</v>
      </c>
    </row>
    <row r="9852" spans="1:10" x14ac:dyDescent="0.25">
      <c r="A9852" t="s">
        <v>7128</v>
      </c>
      <c r="B9852" t="s">
        <v>4949</v>
      </c>
      <c r="C9852" t="s">
        <v>7249</v>
      </c>
      <c r="D9852">
        <v>152540</v>
      </c>
      <c r="E9852" t="s">
        <v>14</v>
      </c>
      <c r="F9852">
        <v>45.657200000000003</v>
      </c>
      <c r="G9852">
        <v>23.932500000000001</v>
      </c>
      <c r="H9852">
        <v>2</v>
      </c>
      <c r="I9852">
        <v>1454.2</v>
      </c>
      <c r="J9852" t="str">
        <f>HYPERLINK("https://climate.onebuilding.org/WMO_Region_6_Europe/ROU_Romania/SB_Sibiu/ROU_SB_Paltinis.152540_TMYx.2009-2023.zip")</f>
        <v>https://climate.onebuilding.org/WMO_Region_6_Europe/ROU_Romania/SB_Sibiu/ROU_SB_Paltinis.152540_TMYx.2009-2023.zip</v>
      </c>
    </row>
    <row r="9853" spans="1:10" x14ac:dyDescent="0.25">
      <c r="A9853" t="s">
        <v>7128</v>
      </c>
      <c r="B9853" t="s">
        <v>4949</v>
      </c>
      <c r="C9853" t="s">
        <v>7249</v>
      </c>
      <c r="D9853">
        <v>152540</v>
      </c>
      <c r="E9853" t="s">
        <v>14</v>
      </c>
      <c r="F9853">
        <v>45.657200000000003</v>
      </c>
      <c r="G9853">
        <v>23.932500000000001</v>
      </c>
      <c r="H9853">
        <v>2</v>
      </c>
      <c r="I9853">
        <v>1454.2</v>
      </c>
      <c r="J9853" t="str">
        <f>HYPERLINK("https://climate.onebuilding.org/WMO_Region_6_Europe/ROU_Romania/SB_Sibiu/ROU_SB_Paltinis.152540_TMYx.zip")</f>
        <v>https://climate.onebuilding.org/WMO_Region_6_Europe/ROU_Romania/SB_Sibiu/ROU_SB_Paltinis.152540_TMYx.zip</v>
      </c>
    </row>
    <row r="9854" spans="1:10" x14ac:dyDescent="0.25">
      <c r="A9854" t="s">
        <v>7128</v>
      </c>
      <c r="B9854" t="s">
        <v>4949</v>
      </c>
      <c r="C9854" t="s">
        <v>7250</v>
      </c>
      <c r="D9854">
        <v>152600</v>
      </c>
      <c r="E9854" t="s">
        <v>7251</v>
      </c>
      <c r="F9854">
        <v>45.789400000000001</v>
      </c>
      <c r="G9854">
        <v>24.0914</v>
      </c>
      <c r="H9854">
        <v>2</v>
      </c>
      <c r="I9854">
        <v>444.3</v>
      </c>
      <c r="J9854" t="str">
        <f>HYPERLINK("https://climate.onebuilding.org/WMO_Region_6_Europe/ROU_Romania/SB_Sibiu/ROU_SB_Sibiu.Intl.AP.152600_TMYx.2004-2018.zip")</f>
        <v>https://climate.onebuilding.org/WMO_Region_6_Europe/ROU_Romania/SB_Sibiu/ROU_SB_Sibiu.Intl.AP.152600_TMYx.2004-2018.zip</v>
      </c>
    </row>
    <row r="9855" spans="1:10" x14ac:dyDescent="0.25">
      <c r="A9855" t="s">
        <v>7128</v>
      </c>
      <c r="B9855" t="s">
        <v>4949</v>
      </c>
      <c r="C9855" t="s">
        <v>7250</v>
      </c>
      <c r="D9855">
        <v>152600</v>
      </c>
      <c r="E9855" t="s">
        <v>14</v>
      </c>
      <c r="F9855">
        <v>45.789400000000001</v>
      </c>
      <c r="G9855">
        <v>24.0914</v>
      </c>
      <c r="H9855">
        <v>2</v>
      </c>
      <c r="I9855">
        <v>444.3</v>
      </c>
      <c r="J9855" t="str">
        <f>HYPERLINK("https://climate.onebuilding.org/WMO_Region_6_Europe/ROU_Romania/SB_Sibiu/ROU_SB_Sibiu.Intl.AP.152600_TMYx.2007-2021.zip")</f>
        <v>https://climate.onebuilding.org/WMO_Region_6_Europe/ROU_Romania/SB_Sibiu/ROU_SB_Sibiu.Intl.AP.152600_TMYx.2007-2021.zip</v>
      </c>
    </row>
    <row r="9856" spans="1:10" x14ac:dyDescent="0.25">
      <c r="A9856" t="s">
        <v>7128</v>
      </c>
      <c r="B9856" t="s">
        <v>4949</v>
      </c>
      <c r="C9856" t="s">
        <v>7250</v>
      </c>
      <c r="D9856">
        <v>152600</v>
      </c>
      <c r="E9856" t="s">
        <v>14</v>
      </c>
      <c r="F9856">
        <v>45.789400000000001</v>
      </c>
      <c r="G9856">
        <v>24.0914</v>
      </c>
      <c r="H9856">
        <v>2</v>
      </c>
      <c r="I9856">
        <v>444.3</v>
      </c>
      <c r="J9856" t="str">
        <f>HYPERLINK("https://climate.onebuilding.org/WMO_Region_6_Europe/ROU_Romania/SB_Sibiu/ROU_SB_Sibiu.Intl.AP.152600_TMYx.2009-2023.zip")</f>
        <v>https://climate.onebuilding.org/WMO_Region_6_Europe/ROU_Romania/SB_Sibiu/ROU_SB_Sibiu.Intl.AP.152600_TMYx.2009-2023.zip</v>
      </c>
    </row>
    <row r="9857" spans="1:10" x14ac:dyDescent="0.25">
      <c r="A9857" t="s">
        <v>7128</v>
      </c>
      <c r="B9857" t="s">
        <v>4949</v>
      </c>
      <c r="C9857" t="s">
        <v>7250</v>
      </c>
      <c r="D9857">
        <v>152600</v>
      </c>
      <c r="E9857" t="s">
        <v>14</v>
      </c>
      <c r="F9857">
        <v>45.789400000000001</v>
      </c>
      <c r="G9857">
        <v>24.0914</v>
      </c>
      <c r="H9857">
        <v>2</v>
      </c>
      <c r="I9857">
        <v>444.3</v>
      </c>
      <c r="J9857" t="str">
        <f>HYPERLINK("https://climate.onebuilding.org/WMO_Region_6_Europe/ROU_Romania/SB_Sibiu/ROU_SB_Sibiu.Intl.AP.152600_TMYx.zip")</f>
        <v>https://climate.onebuilding.org/WMO_Region_6_Europe/ROU_Romania/SB_Sibiu/ROU_SB_Sibiu.Intl.AP.152600_TMYx.zip</v>
      </c>
    </row>
    <row r="9858" spans="1:10" x14ac:dyDescent="0.25">
      <c r="A9858" t="s">
        <v>7128</v>
      </c>
      <c r="B9858" t="s">
        <v>7235</v>
      </c>
      <c r="C9858" t="s">
        <v>7252</v>
      </c>
      <c r="D9858">
        <v>152610</v>
      </c>
      <c r="E9858" t="s">
        <v>14</v>
      </c>
      <c r="F9858">
        <v>45.668300000000002</v>
      </c>
      <c r="G9858">
        <v>26.056699999999999</v>
      </c>
      <c r="H9858">
        <v>2</v>
      </c>
      <c r="I9858">
        <v>710</v>
      </c>
      <c r="J9858" t="str">
        <f>HYPERLINK("https://climate.onebuilding.org/WMO_Region_6_Europe/ROU_Romania/CV_Covasna/ROU_CV_Intorsura.Buzaului.152610_TMYx.2007-2021.zip")</f>
        <v>https://climate.onebuilding.org/WMO_Region_6_Europe/ROU_Romania/CV_Covasna/ROU_CV_Intorsura.Buzaului.152610_TMYx.2007-2021.zip</v>
      </c>
    </row>
    <row r="9859" spans="1:10" x14ac:dyDescent="0.25">
      <c r="A9859" t="s">
        <v>7128</v>
      </c>
      <c r="B9859" t="s">
        <v>7235</v>
      </c>
      <c r="C9859" t="s">
        <v>7252</v>
      </c>
      <c r="D9859">
        <v>152610</v>
      </c>
      <c r="E9859" t="s">
        <v>14</v>
      </c>
      <c r="F9859">
        <v>45.668300000000002</v>
      </c>
      <c r="G9859">
        <v>26.056699999999999</v>
      </c>
      <c r="H9859">
        <v>2</v>
      </c>
      <c r="I9859">
        <v>710</v>
      </c>
      <c r="J9859" t="str">
        <f>HYPERLINK("https://climate.onebuilding.org/WMO_Region_6_Europe/ROU_Romania/CV_Covasna/ROU_CV_Intorsura.Buzaului.152610_TMYx.2009-2023.zip")</f>
        <v>https://climate.onebuilding.org/WMO_Region_6_Europe/ROU_Romania/CV_Covasna/ROU_CV_Intorsura.Buzaului.152610_TMYx.2009-2023.zip</v>
      </c>
    </row>
    <row r="9860" spans="1:10" x14ac:dyDescent="0.25">
      <c r="A9860" t="s">
        <v>7128</v>
      </c>
      <c r="B9860" t="s">
        <v>7235</v>
      </c>
      <c r="C9860" t="s">
        <v>7252</v>
      </c>
      <c r="D9860">
        <v>152610</v>
      </c>
      <c r="E9860" t="s">
        <v>14</v>
      </c>
      <c r="F9860">
        <v>45.668300000000002</v>
      </c>
      <c r="G9860">
        <v>26.056699999999999</v>
      </c>
      <c r="H9860">
        <v>2</v>
      </c>
      <c r="I9860">
        <v>710</v>
      </c>
      <c r="J9860" t="str">
        <f>HYPERLINK("https://climate.onebuilding.org/WMO_Region_6_Europe/ROU_Romania/CV_Covasna/ROU_CV_Intorsura.Buzaului.152610_TMYx.zip")</f>
        <v>https://climate.onebuilding.org/WMO_Region_6_Europe/ROU_Romania/CV_Covasna/ROU_CV_Intorsura.Buzaului.152610_TMYx.zip</v>
      </c>
    </row>
    <row r="9861" spans="1:10" x14ac:dyDescent="0.25">
      <c r="A9861" t="s">
        <v>7128</v>
      </c>
      <c r="B9861" t="s">
        <v>7235</v>
      </c>
      <c r="C9861" t="s">
        <v>7253</v>
      </c>
      <c r="D9861">
        <v>152620</v>
      </c>
      <c r="E9861" t="s">
        <v>14</v>
      </c>
      <c r="F9861">
        <v>45.823900000000002</v>
      </c>
      <c r="G9861">
        <v>26.375599999999999</v>
      </c>
      <c r="H9861">
        <v>2</v>
      </c>
      <c r="I9861">
        <v>1777.8</v>
      </c>
      <c r="J9861" t="str">
        <f>HYPERLINK("https://climate.onebuilding.org/WMO_Region_6_Europe/ROU_Romania/CV_Covasna/ROU_CV_Lacauti.152620_TMYx.2007-2021.zip")</f>
        <v>https://climate.onebuilding.org/WMO_Region_6_Europe/ROU_Romania/CV_Covasna/ROU_CV_Lacauti.152620_TMYx.2007-2021.zip</v>
      </c>
    </row>
    <row r="9862" spans="1:10" x14ac:dyDescent="0.25">
      <c r="A9862" t="s">
        <v>7128</v>
      </c>
      <c r="B9862" t="s">
        <v>7235</v>
      </c>
      <c r="C9862" t="s">
        <v>7253</v>
      </c>
      <c r="D9862">
        <v>152620</v>
      </c>
      <c r="E9862" t="s">
        <v>14</v>
      </c>
      <c r="F9862">
        <v>45.823900000000002</v>
      </c>
      <c r="G9862">
        <v>26.375599999999999</v>
      </c>
      <c r="H9862">
        <v>2</v>
      </c>
      <c r="I9862">
        <v>1777.8</v>
      </c>
      <c r="J9862" t="str">
        <f>HYPERLINK("https://climate.onebuilding.org/WMO_Region_6_Europe/ROU_Romania/CV_Covasna/ROU_CV_Lacauti.152620_TMYx.2009-2023.zip")</f>
        <v>https://climate.onebuilding.org/WMO_Region_6_Europe/ROU_Romania/CV_Covasna/ROU_CV_Lacauti.152620_TMYx.2009-2023.zip</v>
      </c>
    </row>
    <row r="9863" spans="1:10" x14ac:dyDescent="0.25">
      <c r="A9863" t="s">
        <v>7128</v>
      </c>
      <c r="B9863" t="s">
        <v>7235</v>
      </c>
      <c r="C9863" t="s">
        <v>7253</v>
      </c>
      <c r="D9863">
        <v>152620</v>
      </c>
      <c r="E9863" t="s">
        <v>14</v>
      </c>
      <c r="F9863">
        <v>45.823900000000002</v>
      </c>
      <c r="G9863">
        <v>26.375599999999999</v>
      </c>
      <c r="H9863">
        <v>2</v>
      </c>
      <c r="I9863">
        <v>1777.8</v>
      </c>
      <c r="J9863" t="str">
        <f>HYPERLINK("https://climate.onebuilding.org/WMO_Region_6_Europe/ROU_Romania/CV_Covasna/ROU_CV_Lacauti.152620_TMYx.zip")</f>
        <v>https://climate.onebuilding.org/WMO_Region_6_Europe/ROU_Romania/CV_Covasna/ROU_CV_Lacauti.152620_TMYx.zip</v>
      </c>
    </row>
    <row r="9864" spans="1:10" x14ac:dyDescent="0.25">
      <c r="A9864" t="s">
        <v>7128</v>
      </c>
      <c r="B9864" t="s">
        <v>518</v>
      </c>
      <c r="C9864" t="s">
        <v>7254</v>
      </c>
      <c r="D9864">
        <v>152640</v>
      </c>
      <c r="E9864" t="s">
        <v>14</v>
      </c>
      <c r="F9864">
        <v>45.6875</v>
      </c>
      <c r="G9864">
        <v>27.1997</v>
      </c>
      <c r="H9864">
        <v>2</v>
      </c>
      <c r="I9864">
        <v>59</v>
      </c>
      <c r="J9864" t="str">
        <f>HYPERLINK("https://climate.onebuilding.org/WMO_Region_6_Europe/ROU_Romania/VN_Vrancea/ROU_VN_Focsani.152640_TMYx.2007-2021.zip")</f>
        <v>https://climate.onebuilding.org/WMO_Region_6_Europe/ROU_Romania/VN_Vrancea/ROU_VN_Focsani.152640_TMYx.2007-2021.zip</v>
      </c>
    </row>
    <row r="9865" spans="1:10" x14ac:dyDescent="0.25">
      <c r="A9865" t="s">
        <v>7128</v>
      </c>
      <c r="B9865" t="s">
        <v>518</v>
      </c>
      <c r="C9865" t="s">
        <v>7254</v>
      </c>
      <c r="D9865">
        <v>152640</v>
      </c>
      <c r="E9865" t="s">
        <v>14</v>
      </c>
      <c r="F9865">
        <v>45.6875</v>
      </c>
      <c r="G9865">
        <v>27.1997</v>
      </c>
      <c r="H9865">
        <v>2</v>
      </c>
      <c r="I9865">
        <v>59</v>
      </c>
      <c r="J9865" t="str">
        <f>HYPERLINK("https://climate.onebuilding.org/WMO_Region_6_Europe/ROU_Romania/VN_Vrancea/ROU_VN_Focsani.152640_TMYx.2009-2023.zip")</f>
        <v>https://climate.onebuilding.org/WMO_Region_6_Europe/ROU_Romania/VN_Vrancea/ROU_VN_Focsani.152640_TMYx.2009-2023.zip</v>
      </c>
    </row>
    <row r="9866" spans="1:10" x14ac:dyDescent="0.25">
      <c r="A9866" t="s">
        <v>7128</v>
      </c>
      <c r="B9866" t="s">
        <v>518</v>
      </c>
      <c r="C9866" t="s">
        <v>7254</v>
      </c>
      <c r="D9866">
        <v>152640</v>
      </c>
      <c r="E9866" t="s">
        <v>14</v>
      </c>
      <c r="F9866">
        <v>45.6875</v>
      </c>
      <c r="G9866">
        <v>27.1997</v>
      </c>
      <c r="H9866">
        <v>2</v>
      </c>
      <c r="I9866">
        <v>59</v>
      </c>
      <c r="J9866" t="str">
        <f>HYPERLINK("https://climate.onebuilding.org/WMO_Region_6_Europe/ROU_Romania/VN_Vrancea/ROU_VN_Focsani.152640_TMYx.zip")</f>
        <v>https://climate.onebuilding.org/WMO_Region_6_Europe/ROU_Romania/VN_Vrancea/ROU_VN_Focsani.152640_TMYx.zip</v>
      </c>
    </row>
    <row r="9867" spans="1:10" x14ac:dyDescent="0.25">
      <c r="A9867" t="s">
        <v>7128</v>
      </c>
      <c r="B9867" t="s">
        <v>903</v>
      </c>
      <c r="C9867" t="s">
        <v>7255</v>
      </c>
      <c r="D9867">
        <v>152650</v>
      </c>
      <c r="E9867" t="s">
        <v>14</v>
      </c>
      <c r="F9867">
        <v>45.841700000000003</v>
      </c>
      <c r="G9867">
        <v>27.408899999999999</v>
      </c>
      <c r="H9867">
        <v>2</v>
      </c>
      <c r="I9867">
        <v>61.3</v>
      </c>
      <c r="J9867" t="str">
        <f>HYPERLINK("https://climate.onebuilding.org/WMO_Region_6_Europe/ROU_Romania/GL_Galati/ROU_GL_Tecuci.152650_TMYx.2007-2021.zip")</f>
        <v>https://climate.onebuilding.org/WMO_Region_6_Europe/ROU_Romania/GL_Galati/ROU_GL_Tecuci.152650_TMYx.2007-2021.zip</v>
      </c>
    </row>
    <row r="9868" spans="1:10" x14ac:dyDescent="0.25">
      <c r="A9868" t="s">
        <v>7128</v>
      </c>
      <c r="B9868" t="s">
        <v>903</v>
      </c>
      <c r="C9868" t="s">
        <v>7255</v>
      </c>
      <c r="D9868">
        <v>152650</v>
      </c>
      <c r="E9868" t="s">
        <v>14</v>
      </c>
      <c r="F9868">
        <v>45.841700000000003</v>
      </c>
      <c r="G9868">
        <v>27.408899999999999</v>
      </c>
      <c r="H9868">
        <v>2</v>
      </c>
      <c r="I9868">
        <v>61.3</v>
      </c>
      <c r="J9868" t="str">
        <f>HYPERLINK("https://climate.onebuilding.org/WMO_Region_6_Europe/ROU_Romania/GL_Galati/ROU_GL_Tecuci.152650_TMYx.2009-2023.zip")</f>
        <v>https://climate.onebuilding.org/WMO_Region_6_Europe/ROU_Romania/GL_Galati/ROU_GL_Tecuci.152650_TMYx.2009-2023.zip</v>
      </c>
    </row>
    <row r="9869" spans="1:10" x14ac:dyDescent="0.25">
      <c r="A9869" t="s">
        <v>7128</v>
      </c>
      <c r="B9869" t="s">
        <v>903</v>
      </c>
      <c r="C9869" t="s">
        <v>7255</v>
      </c>
      <c r="D9869">
        <v>152650</v>
      </c>
      <c r="E9869" t="s">
        <v>14</v>
      </c>
      <c r="F9869">
        <v>45.841700000000003</v>
      </c>
      <c r="G9869">
        <v>27.408899999999999</v>
      </c>
      <c r="H9869">
        <v>2</v>
      </c>
      <c r="I9869">
        <v>61.3</v>
      </c>
      <c r="J9869" t="str">
        <f>HYPERLINK("https://climate.onebuilding.org/WMO_Region_6_Europe/ROU_Romania/GL_Galati/ROU_GL_Tecuci.152650_TMYx.zip")</f>
        <v>https://climate.onebuilding.org/WMO_Region_6_Europe/ROU_Romania/GL_Galati/ROU_GL_Tecuci.152650_TMYx.zip</v>
      </c>
    </row>
    <row r="9870" spans="1:10" x14ac:dyDescent="0.25">
      <c r="A9870" t="s">
        <v>7128</v>
      </c>
      <c r="B9870" t="s">
        <v>7224</v>
      </c>
      <c r="C9870" t="s">
        <v>7256</v>
      </c>
      <c r="D9870">
        <v>152670</v>
      </c>
      <c r="E9870" t="s">
        <v>14</v>
      </c>
      <c r="F9870">
        <v>45.667000000000002</v>
      </c>
      <c r="G9870">
        <v>20.933</v>
      </c>
      <c r="H9870">
        <v>2</v>
      </c>
      <c r="I9870">
        <v>80</v>
      </c>
      <c r="J9870" t="str">
        <f>HYPERLINK("https://climate.onebuilding.org/WMO_Region_6_Europe/ROU_Romania/TM_Timis/ROU_TM_Rauti.152670_TMYx.zip")</f>
        <v>https://climate.onebuilding.org/WMO_Region_6_Europe/ROU_Romania/TM_Timis/ROU_TM_Rauti.152670_TMYx.zip</v>
      </c>
    </row>
    <row r="9871" spans="1:10" x14ac:dyDescent="0.25">
      <c r="A9871" t="s">
        <v>7128</v>
      </c>
      <c r="B9871" t="s">
        <v>7224</v>
      </c>
      <c r="C9871" t="s">
        <v>7257</v>
      </c>
      <c r="D9871">
        <v>152700</v>
      </c>
      <c r="E9871" t="s">
        <v>14</v>
      </c>
      <c r="F9871">
        <v>45.686700000000002</v>
      </c>
      <c r="G9871">
        <v>21.933299999999999</v>
      </c>
      <c r="H9871">
        <v>2</v>
      </c>
      <c r="I9871">
        <v>124.3</v>
      </c>
      <c r="J9871" t="str">
        <f>HYPERLINK("https://climate.onebuilding.org/WMO_Region_6_Europe/ROU_Romania/TM_Timis/ROU_TM_Lugoj.152700_TMYx.2007-2021.zip")</f>
        <v>https://climate.onebuilding.org/WMO_Region_6_Europe/ROU_Romania/TM_Timis/ROU_TM_Lugoj.152700_TMYx.2007-2021.zip</v>
      </c>
    </row>
    <row r="9872" spans="1:10" x14ac:dyDescent="0.25">
      <c r="A9872" t="s">
        <v>7128</v>
      </c>
      <c r="B9872" t="s">
        <v>7224</v>
      </c>
      <c r="C9872" t="s">
        <v>7257</v>
      </c>
      <c r="D9872">
        <v>152700</v>
      </c>
      <c r="E9872" t="s">
        <v>14</v>
      </c>
      <c r="F9872">
        <v>45.686700000000002</v>
      </c>
      <c r="G9872">
        <v>21.933299999999999</v>
      </c>
      <c r="H9872">
        <v>2</v>
      </c>
      <c r="I9872">
        <v>124.3</v>
      </c>
      <c r="J9872" t="str">
        <f>HYPERLINK("https://climate.onebuilding.org/WMO_Region_6_Europe/ROU_Romania/TM_Timis/ROU_TM_Lugoj.152700_TMYx.2009-2023.zip")</f>
        <v>https://climate.onebuilding.org/WMO_Region_6_Europe/ROU_Romania/TM_Timis/ROU_TM_Lugoj.152700_TMYx.2009-2023.zip</v>
      </c>
    </row>
    <row r="9873" spans="1:10" x14ac:dyDescent="0.25">
      <c r="A9873" t="s">
        <v>7128</v>
      </c>
      <c r="B9873" t="s">
        <v>7224</v>
      </c>
      <c r="C9873" t="s">
        <v>7257</v>
      </c>
      <c r="D9873">
        <v>152700</v>
      </c>
      <c r="E9873" t="s">
        <v>14</v>
      </c>
      <c r="F9873">
        <v>45.686700000000002</v>
      </c>
      <c r="G9873">
        <v>21.933299999999999</v>
      </c>
      <c r="H9873">
        <v>2</v>
      </c>
      <c r="I9873">
        <v>124.3</v>
      </c>
      <c r="J9873" t="str">
        <f>HYPERLINK("https://climate.onebuilding.org/WMO_Region_6_Europe/ROU_Romania/TM_Timis/ROU_TM_Lugoj.152700_TMYx.zip")</f>
        <v>https://climate.onebuilding.org/WMO_Region_6_Europe/ROU_Romania/TM_Timis/ROU_TM_Lugoj.152700_TMYx.zip</v>
      </c>
    </row>
    <row r="9874" spans="1:10" x14ac:dyDescent="0.25">
      <c r="A9874" t="s">
        <v>7128</v>
      </c>
      <c r="B9874" t="s">
        <v>7229</v>
      </c>
      <c r="C9874" t="s">
        <v>7258</v>
      </c>
      <c r="D9874">
        <v>152730</v>
      </c>
      <c r="E9874" t="s">
        <v>14</v>
      </c>
      <c r="F9874">
        <v>45.567</v>
      </c>
      <c r="G9874">
        <v>22.882999999999999</v>
      </c>
      <c r="H9874">
        <v>2</v>
      </c>
      <c r="I9874">
        <v>381</v>
      </c>
      <c r="J9874" t="str">
        <f>HYPERLINK("https://climate.onebuilding.org/WMO_Region_6_Europe/ROU_Romania/HD_Hunedoara/ROU_HD_Paclisa.152730_TMYx.zip")</f>
        <v>https://climate.onebuilding.org/WMO_Region_6_Europe/ROU_Romania/HD_Hunedoara/ROU_HD_Paclisa.152730_TMYx.zip</v>
      </c>
    </row>
    <row r="9875" spans="1:10" x14ac:dyDescent="0.25">
      <c r="A9875" t="s">
        <v>7128</v>
      </c>
      <c r="B9875" t="s">
        <v>4949</v>
      </c>
      <c r="C9875" t="s">
        <v>7259</v>
      </c>
      <c r="D9875">
        <v>152770</v>
      </c>
      <c r="E9875" t="s">
        <v>14</v>
      </c>
      <c r="F9875">
        <v>45.653100000000002</v>
      </c>
      <c r="G9875">
        <v>24.271699999999999</v>
      </c>
      <c r="H9875">
        <v>2</v>
      </c>
      <c r="I9875">
        <v>519</v>
      </c>
      <c r="J9875" t="str">
        <f>HYPERLINK("https://climate.onebuilding.org/WMO_Region_6_Europe/ROU_Romania/SB_Sibiu/ROU_SB_Boita.152770_TMYx.2007-2021.zip")</f>
        <v>https://climate.onebuilding.org/WMO_Region_6_Europe/ROU_Romania/SB_Sibiu/ROU_SB_Boita.152770_TMYx.2007-2021.zip</v>
      </c>
    </row>
    <row r="9876" spans="1:10" x14ac:dyDescent="0.25">
      <c r="A9876" t="s">
        <v>7128</v>
      </c>
      <c r="B9876" t="s">
        <v>4949</v>
      </c>
      <c r="C9876" t="s">
        <v>7259</v>
      </c>
      <c r="D9876">
        <v>152770</v>
      </c>
      <c r="E9876" t="s">
        <v>14</v>
      </c>
      <c r="F9876">
        <v>45.653100000000002</v>
      </c>
      <c r="G9876">
        <v>24.271699999999999</v>
      </c>
      <c r="H9876">
        <v>2</v>
      </c>
      <c r="I9876">
        <v>519</v>
      </c>
      <c r="J9876" t="str">
        <f>HYPERLINK("https://climate.onebuilding.org/WMO_Region_6_Europe/ROU_Romania/SB_Sibiu/ROU_SB_Boita.152770_TMYx.2009-2023.zip")</f>
        <v>https://climate.onebuilding.org/WMO_Region_6_Europe/ROU_Romania/SB_Sibiu/ROU_SB_Boita.152770_TMYx.2009-2023.zip</v>
      </c>
    </row>
    <row r="9877" spans="1:10" x14ac:dyDescent="0.25">
      <c r="A9877" t="s">
        <v>7128</v>
      </c>
      <c r="B9877" t="s">
        <v>4949</v>
      </c>
      <c r="C9877" t="s">
        <v>7259</v>
      </c>
      <c r="D9877">
        <v>152770</v>
      </c>
      <c r="E9877" t="s">
        <v>14</v>
      </c>
      <c r="F9877">
        <v>45.653100000000002</v>
      </c>
      <c r="G9877">
        <v>24.271699999999999</v>
      </c>
      <c r="H9877">
        <v>2</v>
      </c>
      <c r="I9877">
        <v>519</v>
      </c>
      <c r="J9877" t="str">
        <f>HYPERLINK("https://climate.onebuilding.org/WMO_Region_6_Europe/ROU_Romania/SB_Sibiu/ROU_SB_Boita.152770_TMYx.zip")</f>
        <v>https://climate.onebuilding.org/WMO_Region_6_Europe/ROU_Romania/SB_Sibiu/ROU_SB_Boita.152770_TMYx.zip</v>
      </c>
    </row>
    <row r="9878" spans="1:10" x14ac:dyDescent="0.25">
      <c r="A9878" t="s">
        <v>7128</v>
      </c>
      <c r="B9878" t="s">
        <v>4949</v>
      </c>
      <c r="C9878" t="s">
        <v>7260</v>
      </c>
      <c r="D9878">
        <v>152790</v>
      </c>
      <c r="E9878" t="s">
        <v>14</v>
      </c>
      <c r="F9878">
        <v>45.603900000000003</v>
      </c>
      <c r="G9878">
        <v>24.614699999999999</v>
      </c>
      <c r="H9878">
        <v>2</v>
      </c>
      <c r="I9878">
        <v>2045</v>
      </c>
      <c r="J9878" t="str">
        <f>HYPERLINK("https://climate.onebuilding.org/WMO_Region_6_Europe/ROU_Romania/SB_Sibiu/ROU_SB_Lake.Balea-Fagaras.Mtns.152790_TMYx.2007-2021.zip")</f>
        <v>https://climate.onebuilding.org/WMO_Region_6_Europe/ROU_Romania/SB_Sibiu/ROU_SB_Lake.Balea-Fagaras.Mtns.152790_TMYx.2007-2021.zip</v>
      </c>
    </row>
    <row r="9879" spans="1:10" x14ac:dyDescent="0.25">
      <c r="A9879" t="s">
        <v>7128</v>
      </c>
      <c r="B9879" t="s">
        <v>4949</v>
      </c>
      <c r="C9879" t="s">
        <v>7260</v>
      </c>
      <c r="D9879">
        <v>152790</v>
      </c>
      <c r="E9879" t="s">
        <v>14</v>
      </c>
      <c r="F9879">
        <v>45.603900000000003</v>
      </c>
      <c r="G9879">
        <v>24.614699999999999</v>
      </c>
      <c r="H9879">
        <v>2</v>
      </c>
      <c r="I9879">
        <v>2045</v>
      </c>
      <c r="J9879" t="str">
        <f>HYPERLINK("https://climate.onebuilding.org/WMO_Region_6_Europe/ROU_Romania/SB_Sibiu/ROU_SB_Lake.Balea-Fagaras.Mtns.152790_TMYx.2009-2023.zip")</f>
        <v>https://climate.onebuilding.org/WMO_Region_6_Europe/ROU_Romania/SB_Sibiu/ROU_SB_Lake.Balea-Fagaras.Mtns.152790_TMYx.2009-2023.zip</v>
      </c>
    </row>
    <row r="9880" spans="1:10" x14ac:dyDescent="0.25">
      <c r="A9880" t="s">
        <v>7128</v>
      </c>
      <c r="B9880" t="s">
        <v>4949</v>
      </c>
      <c r="C9880" t="s">
        <v>7260</v>
      </c>
      <c r="D9880">
        <v>152790</v>
      </c>
      <c r="E9880" t="s">
        <v>14</v>
      </c>
      <c r="F9880">
        <v>45.603900000000003</v>
      </c>
      <c r="G9880">
        <v>24.614699999999999</v>
      </c>
      <c r="H9880">
        <v>2</v>
      </c>
      <c r="I9880">
        <v>2045</v>
      </c>
      <c r="J9880" t="str">
        <f>HYPERLINK("https://climate.onebuilding.org/WMO_Region_6_Europe/ROU_Romania/SB_Sibiu/ROU_SB_Lake.Balea-Fagaras.Mtns.152790_TMYx.zip")</f>
        <v>https://climate.onebuilding.org/WMO_Region_6_Europe/ROU_Romania/SB_Sibiu/ROU_SB_Lake.Balea-Fagaras.Mtns.152790_TMYx.zip</v>
      </c>
    </row>
    <row r="9881" spans="1:10" x14ac:dyDescent="0.25">
      <c r="A9881" t="s">
        <v>7128</v>
      </c>
      <c r="B9881" t="s">
        <v>7233</v>
      </c>
      <c r="C9881" t="s">
        <v>7261</v>
      </c>
      <c r="D9881">
        <v>152800</v>
      </c>
      <c r="E9881" t="s">
        <v>7262</v>
      </c>
      <c r="F9881">
        <v>45.445799999999998</v>
      </c>
      <c r="G9881">
        <v>25.456700000000001</v>
      </c>
      <c r="H9881">
        <v>2</v>
      </c>
      <c r="I9881">
        <v>2506.3000000000002</v>
      </c>
      <c r="J9881" t="str">
        <f>HYPERLINK("https://climate.onebuilding.org/WMO_Region_6_Europe/ROU_Romania/BV_Brasov/ROU_BV_Varfu.Omu.Mtn.Resort.152800_TMYx.2004-2018.zip")</f>
        <v>https://climate.onebuilding.org/WMO_Region_6_Europe/ROU_Romania/BV_Brasov/ROU_BV_Varfu.Omu.Mtn.Resort.152800_TMYx.2004-2018.zip</v>
      </c>
    </row>
    <row r="9882" spans="1:10" x14ac:dyDescent="0.25">
      <c r="A9882" t="s">
        <v>7128</v>
      </c>
      <c r="B9882" t="s">
        <v>7233</v>
      </c>
      <c r="C9882" t="s">
        <v>7261</v>
      </c>
      <c r="D9882">
        <v>152800</v>
      </c>
      <c r="E9882" t="s">
        <v>14</v>
      </c>
      <c r="F9882">
        <v>45.445799999999998</v>
      </c>
      <c r="G9882">
        <v>25.456700000000001</v>
      </c>
      <c r="H9882">
        <v>2</v>
      </c>
      <c r="I9882">
        <v>2506.3000000000002</v>
      </c>
      <c r="J9882" t="str">
        <f>HYPERLINK("https://climate.onebuilding.org/WMO_Region_6_Europe/ROU_Romania/BV_Brasov/ROU_BV_Varfu.Omu.Mtn.Resort.152800_TMYx.2007-2021.zip")</f>
        <v>https://climate.onebuilding.org/WMO_Region_6_Europe/ROU_Romania/BV_Brasov/ROU_BV_Varfu.Omu.Mtn.Resort.152800_TMYx.2007-2021.zip</v>
      </c>
    </row>
    <row r="9883" spans="1:10" x14ac:dyDescent="0.25">
      <c r="A9883" t="s">
        <v>7128</v>
      </c>
      <c r="B9883" t="s">
        <v>7233</v>
      </c>
      <c r="C9883" t="s">
        <v>7261</v>
      </c>
      <c r="D9883">
        <v>152800</v>
      </c>
      <c r="E9883" t="s">
        <v>14</v>
      </c>
      <c r="F9883">
        <v>45.445799999999998</v>
      </c>
      <c r="G9883">
        <v>25.456700000000001</v>
      </c>
      <c r="H9883">
        <v>2</v>
      </c>
      <c r="I9883">
        <v>2506.3000000000002</v>
      </c>
      <c r="J9883" t="str">
        <f>HYPERLINK("https://climate.onebuilding.org/WMO_Region_6_Europe/ROU_Romania/BV_Brasov/ROU_BV_Varfu.Omu.Mtn.Resort.152800_TMYx.2009-2023.zip")</f>
        <v>https://climate.onebuilding.org/WMO_Region_6_Europe/ROU_Romania/BV_Brasov/ROU_BV_Varfu.Omu.Mtn.Resort.152800_TMYx.2009-2023.zip</v>
      </c>
    </row>
    <row r="9884" spans="1:10" x14ac:dyDescent="0.25">
      <c r="A9884" t="s">
        <v>7128</v>
      </c>
      <c r="B9884" t="s">
        <v>7233</v>
      </c>
      <c r="C9884" t="s">
        <v>7261</v>
      </c>
      <c r="D9884">
        <v>152800</v>
      </c>
      <c r="E9884" t="s">
        <v>14</v>
      </c>
      <c r="F9884">
        <v>45.445799999999998</v>
      </c>
      <c r="G9884">
        <v>25.456700000000001</v>
      </c>
      <c r="H9884">
        <v>2</v>
      </c>
      <c r="I9884">
        <v>2506.3000000000002</v>
      </c>
      <c r="J9884" t="str">
        <f>HYPERLINK("https://climate.onebuilding.org/WMO_Region_6_Europe/ROU_Romania/BV_Brasov/ROU_BV_Varfu.Omu.Mtn.Resort.152800_TMYx.zip")</f>
        <v>https://climate.onebuilding.org/WMO_Region_6_Europe/ROU_Romania/BV_Brasov/ROU_BV_Varfu.Omu.Mtn.Resort.152800_TMYx.zip</v>
      </c>
    </row>
    <row r="9885" spans="1:10" x14ac:dyDescent="0.25">
      <c r="A9885" t="s">
        <v>7128</v>
      </c>
      <c r="B9885" t="s">
        <v>7233</v>
      </c>
      <c r="C9885" t="s">
        <v>7263</v>
      </c>
      <c r="D9885">
        <v>152820</v>
      </c>
      <c r="E9885" t="s">
        <v>14</v>
      </c>
      <c r="F9885">
        <v>45.595500000000001</v>
      </c>
      <c r="G9885">
        <v>25.551300000000001</v>
      </c>
      <c r="H9885">
        <v>2</v>
      </c>
      <c r="I9885">
        <v>1028</v>
      </c>
      <c r="J9885" t="str">
        <f>HYPERLINK("https://climate.onebuilding.org/WMO_Region_6_Europe/ROU_Romania/BV_Brasov/ROU_BV_Poiana.Brasov.Ski.Resort.152820_TMYx.zip")</f>
        <v>https://climate.onebuilding.org/WMO_Region_6_Europe/ROU_Romania/BV_Brasov/ROU_BV_Poiana.Brasov.Ski.Resort.152820_TMYx.zip</v>
      </c>
    </row>
    <row r="9886" spans="1:10" x14ac:dyDescent="0.25">
      <c r="A9886" t="s">
        <v>7128</v>
      </c>
      <c r="B9886" t="s">
        <v>7130</v>
      </c>
      <c r="C9886" t="s">
        <v>7264</v>
      </c>
      <c r="D9886">
        <v>152840</v>
      </c>
      <c r="E9886" t="s">
        <v>14</v>
      </c>
      <c r="F9886">
        <v>45.602800000000002</v>
      </c>
      <c r="G9886">
        <v>26.409700000000001</v>
      </c>
      <c r="H9886">
        <v>2</v>
      </c>
      <c r="I9886">
        <v>1633.3</v>
      </c>
      <c r="J9886" t="str">
        <f>HYPERLINK("https://climate.onebuilding.org/WMO_Region_6_Europe/ROU_Romania/BZ_Buzau/ROU_BZ_Penteleu.152840_TMYx.2007-2021.zip")</f>
        <v>https://climate.onebuilding.org/WMO_Region_6_Europe/ROU_Romania/BZ_Buzau/ROU_BZ_Penteleu.152840_TMYx.2007-2021.zip</v>
      </c>
    </row>
    <row r="9887" spans="1:10" x14ac:dyDescent="0.25">
      <c r="A9887" t="s">
        <v>7128</v>
      </c>
      <c r="B9887" t="s">
        <v>7130</v>
      </c>
      <c r="C9887" t="s">
        <v>7264</v>
      </c>
      <c r="D9887">
        <v>152840</v>
      </c>
      <c r="E9887" t="s">
        <v>14</v>
      </c>
      <c r="F9887">
        <v>45.602800000000002</v>
      </c>
      <c r="G9887">
        <v>26.409700000000001</v>
      </c>
      <c r="H9887">
        <v>2</v>
      </c>
      <c r="I9887">
        <v>1633.3</v>
      </c>
      <c r="J9887" t="str">
        <f>HYPERLINK("https://climate.onebuilding.org/WMO_Region_6_Europe/ROU_Romania/BZ_Buzau/ROU_BZ_Penteleu.152840_TMYx.2009-2023.zip")</f>
        <v>https://climate.onebuilding.org/WMO_Region_6_Europe/ROU_Romania/BZ_Buzau/ROU_BZ_Penteleu.152840_TMYx.2009-2023.zip</v>
      </c>
    </row>
    <row r="9888" spans="1:10" x14ac:dyDescent="0.25">
      <c r="A9888" t="s">
        <v>7128</v>
      </c>
      <c r="B9888" t="s">
        <v>7130</v>
      </c>
      <c r="C9888" t="s">
        <v>7264</v>
      </c>
      <c r="D9888">
        <v>152840</v>
      </c>
      <c r="E9888" t="s">
        <v>14</v>
      </c>
      <c r="F9888">
        <v>45.602800000000002</v>
      </c>
      <c r="G9888">
        <v>26.409700000000001</v>
      </c>
      <c r="H9888">
        <v>2</v>
      </c>
      <c r="I9888">
        <v>1633.3</v>
      </c>
      <c r="J9888" t="str">
        <f>HYPERLINK("https://climate.onebuilding.org/WMO_Region_6_Europe/ROU_Romania/BZ_Buzau/ROU_BZ_Penteleu.152840_TMYx.zip")</f>
        <v>https://climate.onebuilding.org/WMO_Region_6_Europe/ROU_Romania/BZ_Buzau/ROU_BZ_Penteleu.152840_TMYx.zip</v>
      </c>
    </row>
    <row r="9889" spans="1:10" x14ac:dyDescent="0.25">
      <c r="A9889" t="s">
        <v>7128</v>
      </c>
      <c r="B9889" t="s">
        <v>7130</v>
      </c>
      <c r="C9889" t="s">
        <v>7265</v>
      </c>
      <c r="D9889">
        <v>152850</v>
      </c>
      <c r="E9889" t="s">
        <v>14</v>
      </c>
      <c r="F9889">
        <v>45.548900000000003</v>
      </c>
      <c r="G9889">
        <v>26.7103</v>
      </c>
      <c r="H9889">
        <v>2</v>
      </c>
      <c r="I9889">
        <v>833</v>
      </c>
      <c r="J9889" t="str">
        <f>HYPERLINK("https://climate.onebuilding.org/WMO_Region_6_Europe/ROU_Romania/BZ_Buzau/ROU_BZ_Bisoca.152850_TMYx.2007-2021.zip")</f>
        <v>https://climate.onebuilding.org/WMO_Region_6_Europe/ROU_Romania/BZ_Buzau/ROU_BZ_Bisoca.152850_TMYx.2007-2021.zip</v>
      </c>
    </row>
    <row r="9890" spans="1:10" x14ac:dyDescent="0.25">
      <c r="A9890" t="s">
        <v>7128</v>
      </c>
      <c r="B9890" t="s">
        <v>7130</v>
      </c>
      <c r="C9890" t="s">
        <v>7265</v>
      </c>
      <c r="D9890">
        <v>152850</v>
      </c>
      <c r="E9890" t="s">
        <v>14</v>
      </c>
      <c r="F9890">
        <v>45.548900000000003</v>
      </c>
      <c r="G9890">
        <v>26.7103</v>
      </c>
      <c r="H9890">
        <v>2</v>
      </c>
      <c r="I9890">
        <v>833</v>
      </c>
      <c r="J9890" t="str">
        <f>HYPERLINK("https://climate.onebuilding.org/WMO_Region_6_Europe/ROU_Romania/BZ_Buzau/ROU_BZ_Bisoca.152850_TMYx.2009-2023.zip")</f>
        <v>https://climate.onebuilding.org/WMO_Region_6_Europe/ROU_Romania/BZ_Buzau/ROU_BZ_Bisoca.152850_TMYx.2009-2023.zip</v>
      </c>
    </row>
    <row r="9891" spans="1:10" x14ac:dyDescent="0.25">
      <c r="A9891" t="s">
        <v>7128</v>
      </c>
      <c r="B9891" t="s">
        <v>7130</v>
      </c>
      <c r="C9891" t="s">
        <v>7265</v>
      </c>
      <c r="D9891">
        <v>152850</v>
      </c>
      <c r="E9891" t="s">
        <v>14</v>
      </c>
      <c r="F9891">
        <v>45.548900000000003</v>
      </c>
      <c r="G9891">
        <v>26.7103</v>
      </c>
      <c r="H9891">
        <v>2</v>
      </c>
      <c r="I9891">
        <v>833</v>
      </c>
      <c r="J9891" t="str">
        <f>HYPERLINK("https://climate.onebuilding.org/WMO_Region_6_Europe/ROU_Romania/BZ_Buzau/ROU_BZ_Bisoca.152850_TMYx.zip")</f>
        <v>https://climate.onebuilding.org/WMO_Region_6_Europe/ROU_Romania/BZ_Buzau/ROU_BZ_Bisoca.152850_TMYx.zip</v>
      </c>
    </row>
    <row r="9892" spans="1:10" x14ac:dyDescent="0.25">
      <c r="A9892" t="s">
        <v>7128</v>
      </c>
      <c r="B9892" t="s">
        <v>518</v>
      </c>
      <c r="C9892" t="s">
        <v>7266</v>
      </c>
      <c r="D9892">
        <v>152870</v>
      </c>
      <c r="E9892" t="s">
        <v>14</v>
      </c>
      <c r="F9892">
        <v>45.5</v>
      </c>
      <c r="G9892">
        <v>27.5</v>
      </c>
      <c r="H9892">
        <v>2</v>
      </c>
      <c r="I9892">
        <v>18</v>
      </c>
      <c r="J9892" t="str">
        <f>HYPERLINK("https://climate.onebuilding.org/WMO_Region_6_Europe/ROU_Romania/VN_Vrancea/ROU_VN_Maicanesti.152870_TMYx.zip")</f>
        <v>https://climate.onebuilding.org/WMO_Region_6_Europe/ROU_Romania/VN_Vrancea/ROU_VN_Maicanesti.152870_TMYx.zip</v>
      </c>
    </row>
    <row r="9893" spans="1:10" x14ac:dyDescent="0.25">
      <c r="A9893" t="s">
        <v>7128</v>
      </c>
      <c r="B9893" t="s">
        <v>7224</v>
      </c>
      <c r="C9893" t="s">
        <v>7267</v>
      </c>
      <c r="D9893">
        <v>152890</v>
      </c>
      <c r="E9893" t="s">
        <v>14</v>
      </c>
      <c r="F9893">
        <v>45.382800000000003</v>
      </c>
      <c r="G9893">
        <v>21.136399999999998</v>
      </c>
      <c r="H9893">
        <v>2</v>
      </c>
      <c r="I9893">
        <v>83</v>
      </c>
      <c r="J9893" t="str">
        <f>HYPERLINK("https://climate.onebuilding.org/WMO_Region_6_Europe/ROU_Romania/TM_Timis/ROU_TM_Banloc.152890_TMYx.2007-2021.zip")</f>
        <v>https://climate.onebuilding.org/WMO_Region_6_Europe/ROU_Romania/TM_Timis/ROU_TM_Banloc.152890_TMYx.2007-2021.zip</v>
      </c>
    </row>
    <row r="9894" spans="1:10" x14ac:dyDescent="0.25">
      <c r="A9894" t="s">
        <v>7128</v>
      </c>
      <c r="B9894" t="s">
        <v>7224</v>
      </c>
      <c r="C9894" t="s">
        <v>7267</v>
      </c>
      <c r="D9894">
        <v>152890</v>
      </c>
      <c r="E9894" t="s">
        <v>14</v>
      </c>
      <c r="F9894">
        <v>45.382800000000003</v>
      </c>
      <c r="G9894">
        <v>21.136399999999998</v>
      </c>
      <c r="H9894">
        <v>2</v>
      </c>
      <c r="I9894">
        <v>83</v>
      </c>
      <c r="J9894" t="str">
        <f>HYPERLINK("https://climate.onebuilding.org/WMO_Region_6_Europe/ROU_Romania/TM_Timis/ROU_TM_Banloc.152890_TMYx.2009-2023.zip")</f>
        <v>https://climate.onebuilding.org/WMO_Region_6_Europe/ROU_Romania/TM_Timis/ROU_TM_Banloc.152890_TMYx.2009-2023.zip</v>
      </c>
    </row>
    <row r="9895" spans="1:10" x14ac:dyDescent="0.25">
      <c r="A9895" t="s">
        <v>7128</v>
      </c>
      <c r="B9895" t="s">
        <v>7224</v>
      </c>
      <c r="C9895" t="s">
        <v>7267</v>
      </c>
      <c r="D9895">
        <v>152890</v>
      </c>
      <c r="E9895" t="s">
        <v>14</v>
      </c>
      <c r="F9895">
        <v>45.382800000000003</v>
      </c>
      <c r="G9895">
        <v>21.136399999999998</v>
      </c>
      <c r="H9895">
        <v>2</v>
      </c>
      <c r="I9895">
        <v>83</v>
      </c>
      <c r="J9895" t="str">
        <f>HYPERLINK("https://climate.onebuilding.org/WMO_Region_6_Europe/ROU_Romania/TM_Timis/ROU_TM_Banloc.152890_TMYx.zip")</f>
        <v>https://climate.onebuilding.org/WMO_Region_6_Europe/ROU_Romania/TM_Timis/ROU_TM_Banloc.152890_TMYx.zip</v>
      </c>
    </row>
    <row r="9896" spans="1:10" x14ac:dyDescent="0.25">
      <c r="A9896" t="s">
        <v>7128</v>
      </c>
      <c r="B9896" t="s">
        <v>7268</v>
      </c>
      <c r="C9896" t="s">
        <v>7269</v>
      </c>
      <c r="D9896">
        <v>152920</v>
      </c>
      <c r="E9896" t="s">
        <v>7270</v>
      </c>
      <c r="F9896">
        <v>45.416699999999999</v>
      </c>
      <c r="G9896">
        <v>22.229199999999999</v>
      </c>
      <c r="H9896">
        <v>2</v>
      </c>
      <c r="I9896">
        <v>242.2</v>
      </c>
      <c r="J9896" t="str">
        <f>HYPERLINK("https://climate.onebuilding.org/WMO_Region_6_Europe/ROU_Romania/CS_Caras-severin/ROU_CS_Caransebes.AP.152920_TMYx.2004-2018.zip")</f>
        <v>https://climate.onebuilding.org/WMO_Region_6_Europe/ROU_Romania/CS_Caras-severin/ROU_CS_Caransebes.AP.152920_TMYx.2004-2018.zip</v>
      </c>
    </row>
    <row r="9897" spans="1:10" x14ac:dyDescent="0.25">
      <c r="A9897" t="s">
        <v>7128</v>
      </c>
      <c r="B9897" t="s">
        <v>7268</v>
      </c>
      <c r="C9897" t="s">
        <v>7269</v>
      </c>
      <c r="D9897">
        <v>152920</v>
      </c>
      <c r="E9897" t="s">
        <v>14</v>
      </c>
      <c r="F9897">
        <v>45.42</v>
      </c>
      <c r="G9897">
        <v>22.253</v>
      </c>
      <c r="H9897">
        <v>2</v>
      </c>
      <c r="I9897">
        <v>242.2</v>
      </c>
      <c r="J9897" t="str">
        <f>HYPERLINK("https://climate.onebuilding.org/WMO_Region_6_Europe/ROU_Romania/CS_Caras-severin/ROU_CS_Caransebes.AP.152920_TMYx.2007-2021.zip")</f>
        <v>https://climate.onebuilding.org/WMO_Region_6_Europe/ROU_Romania/CS_Caras-severin/ROU_CS_Caransebes.AP.152920_TMYx.2007-2021.zip</v>
      </c>
    </row>
    <row r="9898" spans="1:10" x14ac:dyDescent="0.25">
      <c r="A9898" t="s">
        <v>7128</v>
      </c>
      <c r="B9898" t="s">
        <v>7268</v>
      </c>
      <c r="C9898" t="s">
        <v>7269</v>
      </c>
      <c r="D9898">
        <v>152920</v>
      </c>
      <c r="E9898" t="s">
        <v>14</v>
      </c>
      <c r="F9898">
        <v>45.42</v>
      </c>
      <c r="G9898">
        <v>22.253</v>
      </c>
      <c r="H9898">
        <v>2</v>
      </c>
      <c r="I9898">
        <v>242.2</v>
      </c>
      <c r="J9898" t="str">
        <f>HYPERLINK("https://climate.onebuilding.org/WMO_Region_6_Europe/ROU_Romania/CS_Caras-severin/ROU_CS_Caransebes.AP.152920_TMYx.2009-2023.zip")</f>
        <v>https://climate.onebuilding.org/WMO_Region_6_Europe/ROU_Romania/CS_Caras-severin/ROU_CS_Caransebes.AP.152920_TMYx.2009-2023.zip</v>
      </c>
    </row>
    <row r="9899" spans="1:10" x14ac:dyDescent="0.25">
      <c r="A9899" t="s">
        <v>7128</v>
      </c>
      <c r="B9899" t="s">
        <v>7268</v>
      </c>
      <c r="C9899" t="s">
        <v>7269</v>
      </c>
      <c r="D9899">
        <v>152920</v>
      </c>
      <c r="E9899" t="s">
        <v>14</v>
      </c>
      <c r="F9899">
        <v>45.42</v>
      </c>
      <c r="G9899">
        <v>22.253</v>
      </c>
      <c r="H9899">
        <v>2</v>
      </c>
      <c r="I9899">
        <v>242.2</v>
      </c>
      <c r="J9899" t="str">
        <f>HYPERLINK("https://climate.onebuilding.org/WMO_Region_6_Europe/ROU_Romania/CS_Caras-severin/ROU_CS_Caransebes.AP.152920_TMYx.zip")</f>
        <v>https://climate.onebuilding.org/WMO_Region_6_Europe/ROU_Romania/CS_Caras-severin/ROU_CS_Caransebes.AP.152920_TMYx.zip</v>
      </c>
    </row>
    <row r="9900" spans="1:10" x14ac:dyDescent="0.25">
      <c r="A9900" t="s">
        <v>7128</v>
      </c>
      <c r="B9900" t="s">
        <v>7229</v>
      </c>
      <c r="C9900" t="s">
        <v>7271</v>
      </c>
      <c r="D9900">
        <v>152960</v>
      </c>
      <c r="E9900" t="s">
        <v>14</v>
      </c>
      <c r="F9900">
        <v>45.406399999999998</v>
      </c>
      <c r="G9900">
        <v>23.3767</v>
      </c>
      <c r="H9900">
        <v>2</v>
      </c>
      <c r="I9900">
        <v>608.6</v>
      </c>
      <c r="J9900" t="str">
        <f>HYPERLINK("https://climate.onebuilding.org/WMO_Region_6_Europe/ROU_Romania/HD_Hunedoara/ROU_HD_Petrosani.152960_TMYx.2007-2021.zip")</f>
        <v>https://climate.onebuilding.org/WMO_Region_6_Europe/ROU_Romania/HD_Hunedoara/ROU_HD_Petrosani.152960_TMYx.2007-2021.zip</v>
      </c>
    </row>
    <row r="9901" spans="1:10" x14ac:dyDescent="0.25">
      <c r="A9901" t="s">
        <v>7128</v>
      </c>
      <c r="B9901" t="s">
        <v>7229</v>
      </c>
      <c r="C9901" t="s">
        <v>7271</v>
      </c>
      <c r="D9901">
        <v>152960</v>
      </c>
      <c r="E9901" t="s">
        <v>14</v>
      </c>
      <c r="F9901">
        <v>45.406399999999998</v>
      </c>
      <c r="G9901">
        <v>23.3767</v>
      </c>
      <c r="H9901">
        <v>2</v>
      </c>
      <c r="I9901">
        <v>608.6</v>
      </c>
      <c r="J9901" t="str">
        <f>HYPERLINK("https://climate.onebuilding.org/WMO_Region_6_Europe/ROU_Romania/HD_Hunedoara/ROU_HD_Petrosani.152960_TMYx.2009-2023.zip")</f>
        <v>https://climate.onebuilding.org/WMO_Region_6_Europe/ROU_Romania/HD_Hunedoara/ROU_HD_Petrosani.152960_TMYx.2009-2023.zip</v>
      </c>
    </row>
    <row r="9902" spans="1:10" x14ac:dyDescent="0.25">
      <c r="A9902" t="s">
        <v>7128</v>
      </c>
      <c r="B9902" t="s">
        <v>7229</v>
      </c>
      <c r="C9902" t="s">
        <v>7271</v>
      </c>
      <c r="D9902">
        <v>152960</v>
      </c>
      <c r="E9902" t="s">
        <v>14</v>
      </c>
      <c r="F9902">
        <v>45.406399999999998</v>
      </c>
      <c r="G9902">
        <v>23.3767</v>
      </c>
      <c r="H9902">
        <v>2</v>
      </c>
      <c r="I9902">
        <v>608.6</v>
      </c>
      <c r="J9902" t="str">
        <f>HYPERLINK("https://climate.onebuilding.org/WMO_Region_6_Europe/ROU_Romania/HD_Hunedoara/ROU_HD_Petrosani.152960_TMYx.zip")</f>
        <v>https://climate.onebuilding.org/WMO_Region_6_Europe/ROU_Romania/HD_Hunedoara/ROU_HD_Petrosani.152960_TMYx.zip</v>
      </c>
    </row>
    <row r="9903" spans="1:10" x14ac:dyDescent="0.25">
      <c r="A9903" t="s">
        <v>7128</v>
      </c>
      <c r="B9903" t="s">
        <v>5134</v>
      </c>
      <c r="C9903" t="s">
        <v>7272</v>
      </c>
      <c r="D9903">
        <v>152970</v>
      </c>
      <c r="E9903" t="s">
        <v>14</v>
      </c>
      <c r="F9903">
        <v>45.435600000000001</v>
      </c>
      <c r="G9903">
        <v>23.630800000000001</v>
      </c>
      <c r="H9903">
        <v>2</v>
      </c>
      <c r="I9903">
        <v>1350</v>
      </c>
      <c r="J9903" t="str">
        <f>HYPERLINK("https://climate.onebuilding.org/WMO_Region_6_Europe/ROU_Romania/VL_Valcea/ROU_VL_Obarsia.Lotrului.152970_TMYx.2007-2021.zip")</f>
        <v>https://climate.onebuilding.org/WMO_Region_6_Europe/ROU_Romania/VL_Valcea/ROU_VL_Obarsia.Lotrului.152970_TMYx.2007-2021.zip</v>
      </c>
    </row>
    <row r="9904" spans="1:10" x14ac:dyDescent="0.25">
      <c r="A9904" t="s">
        <v>7128</v>
      </c>
      <c r="B9904" t="s">
        <v>5134</v>
      </c>
      <c r="C9904" t="s">
        <v>7272</v>
      </c>
      <c r="D9904">
        <v>152970</v>
      </c>
      <c r="E9904" t="s">
        <v>14</v>
      </c>
      <c r="F9904">
        <v>45.435600000000001</v>
      </c>
      <c r="G9904">
        <v>23.630800000000001</v>
      </c>
      <c r="H9904">
        <v>2</v>
      </c>
      <c r="I9904">
        <v>1350</v>
      </c>
      <c r="J9904" t="str">
        <f>HYPERLINK("https://climate.onebuilding.org/WMO_Region_6_Europe/ROU_Romania/VL_Valcea/ROU_VL_Obarsia.Lotrului.152970_TMYx.2009-2023.zip")</f>
        <v>https://climate.onebuilding.org/WMO_Region_6_Europe/ROU_Romania/VL_Valcea/ROU_VL_Obarsia.Lotrului.152970_TMYx.2009-2023.zip</v>
      </c>
    </row>
    <row r="9905" spans="1:10" x14ac:dyDescent="0.25">
      <c r="A9905" t="s">
        <v>7128</v>
      </c>
      <c r="B9905" t="s">
        <v>5134</v>
      </c>
      <c r="C9905" t="s">
        <v>7272</v>
      </c>
      <c r="D9905">
        <v>152970</v>
      </c>
      <c r="E9905" t="s">
        <v>14</v>
      </c>
      <c r="F9905">
        <v>45.435600000000001</v>
      </c>
      <c r="G9905">
        <v>23.630800000000001</v>
      </c>
      <c r="H9905">
        <v>2</v>
      </c>
      <c r="I9905">
        <v>1350</v>
      </c>
      <c r="J9905" t="str">
        <f>HYPERLINK("https://climate.onebuilding.org/WMO_Region_6_Europe/ROU_Romania/VL_Valcea/ROU_VL_Obarsia.Lotrului.152970_TMYx.zip")</f>
        <v>https://climate.onebuilding.org/WMO_Region_6_Europe/ROU_Romania/VL_Valcea/ROU_VL_Obarsia.Lotrului.152970_TMYx.zip</v>
      </c>
    </row>
    <row r="9906" spans="1:10" x14ac:dyDescent="0.25">
      <c r="A9906" t="s">
        <v>7128</v>
      </c>
      <c r="B9906" t="s">
        <v>5134</v>
      </c>
      <c r="C9906" t="s">
        <v>7273</v>
      </c>
      <c r="D9906">
        <v>152980</v>
      </c>
      <c r="E9906" t="s">
        <v>14</v>
      </c>
      <c r="F9906">
        <v>45.25</v>
      </c>
      <c r="G9906">
        <v>24.25</v>
      </c>
      <c r="H9906">
        <v>2</v>
      </c>
      <c r="I9906">
        <v>1640</v>
      </c>
      <c r="J9906" t="str">
        <f>HYPERLINK("https://climate.onebuilding.org/WMO_Region_6_Europe/ROU_Romania/VL_Valcea/ROU_VL_Cozia.Pass.Met.Stn.152980_TMYx.zip")</f>
        <v>https://climate.onebuilding.org/WMO_Region_6_Europe/ROU_Romania/VL_Valcea/ROU_VL_Cozia.Pass.Met.Stn.152980_TMYx.zip</v>
      </c>
    </row>
    <row r="9907" spans="1:10" x14ac:dyDescent="0.25">
      <c r="A9907" t="s">
        <v>7128</v>
      </c>
      <c r="B9907" t="s">
        <v>814</v>
      </c>
      <c r="C9907" t="s">
        <v>7274</v>
      </c>
      <c r="D9907">
        <v>152990</v>
      </c>
      <c r="E9907" t="s">
        <v>14</v>
      </c>
      <c r="F9907">
        <v>45.3857</v>
      </c>
      <c r="G9907">
        <v>25.1722</v>
      </c>
      <c r="H9907">
        <v>2</v>
      </c>
      <c r="I9907">
        <v>685</v>
      </c>
      <c r="J9907" t="str">
        <f>HYPERLINK("https://climate.onebuilding.org/WMO_Region_6_Europe/ROU_Romania/AG_Arges/ROU_AG_Rucar.152990_TMYx.zip")</f>
        <v>https://climate.onebuilding.org/WMO_Region_6_Europe/ROU_Romania/AG_Arges/ROU_AG_Rucar.152990_TMYx.zip</v>
      </c>
    </row>
    <row r="9908" spans="1:10" x14ac:dyDescent="0.25">
      <c r="A9908" t="s">
        <v>7128</v>
      </c>
      <c r="B9908" t="s">
        <v>7233</v>
      </c>
      <c r="C9908" t="s">
        <v>7275</v>
      </c>
      <c r="D9908">
        <v>153000</v>
      </c>
      <c r="E9908" t="s">
        <v>14</v>
      </c>
      <c r="F9908">
        <v>45.695799999999998</v>
      </c>
      <c r="G9908">
        <v>25.5261</v>
      </c>
      <c r="H9908">
        <v>2</v>
      </c>
      <c r="I9908">
        <v>538</v>
      </c>
      <c r="J9908" t="str">
        <f>HYPERLINK("https://climate.onebuilding.org/WMO_Region_6_Europe/ROU_Romania/BV_Brasov/ROU_BV_Brasov.Ghimbav.Intl.AP.153000_TMYx.2007-2021.zip")</f>
        <v>https://climate.onebuilding.org/WMO_Region_6_Europe/ROU_Romania/BV_Brasov/ROU_BV_Brasov.Ghimbav.Intl.AP.153000_TMYx.2007-2021.zip</v>
      </c>
    </row>
    <row r="9909" spans="1:10" x14ac:dyDescent="0.25">
      <c r="A9909" t="s">
        <v>7128</v>
      </c>
      <c r="B9909" t="s">
        <v>7233</v>
      </c>
      <c r="C9909" t="s">
        <v>7275</v>
      </c>
      <c r="D9909">
        <v>153000</v>
      </c>
      <c r="E9909" t="s">
        <v>14</v>
      </c>
      <c r="F9909">
        <v>45.695799999999998</v>
      </c>
      <c r="G9909">
        <v>25.5261</v>
      </c>
      <c r="H9909">
        <v>2</v>
      </c>
      <c r="I9909">
        <v>538</v>
      </c>
      <c r="J9909" t="str">
        <f>HYPERLINK("https://climate.onebuilding.org/WMO_Region_6_Europe/ROU_Romania/BV_Brasov/ROU_BV_Brasov.Ghimbav.Intl.AP.153000_TMYx.2009-2023.zip")</f>
        <v>https://climate.onebuilding.org/WMO_Region_6_Europe/ROU_Romania/BV_Brasov/ROU_BV_Brasov.Ghimbav.Intl.AP.153000_TMYx.2009-2023.zip</v>
      </c>
    </row>
    <row r="9910" spans="1:10" x14ac:dyDescent="0.25">
      <c r="A9910" t="s">
        <v>7128</v>
      </c>
      <c r="B9910" t="s">
        <v>7233</v>
      </c>
      <c r="C9910" t="s">
        <v>7275</v>
      </c>
      <c r="D9910">
        <v>153000</v>
      </c>
      <c r="E9910" t="s">
        <v>14</v>
      </c>
      <c r="F9910">
        <v>45.695799999999998</v>
      </c>
      <c r="G9910">
        <v>25.5261</v>
      </c>
      <c r="H9910">
        <v>2</v>
      </c>
      <c r="I9910">
        <v>538</v>
      </c>
      <c r="J9910" t="str">
        <f>HYPERLINK("https://climate.onebuilding.org/WMO_Region_6_Europe/ROU_Romania/BV_Brasov/ROU_BV_Brasov.Ghimbav.Intl.AP.153000_TMYx.zip")</f>
        <v>https://climate.onebuilding.org/WMO_Region_6_Europe/ROU_Romania/BV_Brasov/ROU_BV_Brasov.Ghimbav.Intl.AP.153000_TMYx.zip</v>
      </c>
    </row>
    <row r="9911" spans="1:10" x14ac:dyDescent="0.25">
      <c r="A9911" t="s">
        <v>7128</v>
      </c>
      <c r="B9911" t="s">
        <v>7233</v>
      </c>
      <c r="C9911" t="s">
        <v>7276</v>
      </c>
      <c r="D9911">
        <v>153010</v>
      </c>
      <c r="E9911" t="s">
        <v>14</v>
      </c>
      <c r="F9911">
        <v>45.431399999999996</v>
      </c>
      <c r="G9911">
        <v>25.271699999999999</v>
      </c>
      <c r="H9911">
        <v>2</v>
      </c>
      <c r="I9911">
        <v>1383</v>
      </c>
      <c r="J9911" t="str">
        <f>HYPERLINK("https://climate.onebuilding.org/WMO_Region_6_Europe/ROU_Romania/BV_Brasov/ROU_BV_Fundata.153010_TMYx.2007-2021.zip")</f>
        <v>https://climate.onebuilding.org/WMO_Region_6_Europe/ROU_Romania/BV_Brasov/ROU_BV_Fundata.153010_TMYx.2007-2021.zip</v>
      </c>
    </row>
    <row r="9912" spans="1:10" x14ac:dyDescent="0.25">
      <c r="A9912" t="s">
        <v>7128</v>
      </c>
      <c r="B9912" t="s">
        <v>7233</v>
      </c>
      <c r="C9912" t="s">
        <v>7276</v>
      </c>
      <c r="D9912">
        <v>153010</v>
      </c>
      <c r="E9912" t="s">
        <v>14</v>
      </c>
      <c r="F9912">
        <v>45.431399999999996</v>
      </c>
      <c r="G9912">
        <v>25.271699999999999</v>
      </c>
      <c r="H9912">
        <v>2</v>
      </c>
      <c r="I9912">
        <v>1383</v>
      </c>
      <c r="J9912" t="str">
        <f>HYPERLINK("https://climate.onebuilding.org/WMO_Region_6_Europe/ROU_Romania/BV_Brasov/ROU_BV_Fundata.153010_TMYx.2009-2023.zip")</f>
        <v>https://climate.onebuilding.org/WMO_Region_6_Europe/ROU_Romania/BV_Brasov/ROU_BV_Fundata.153010_TMYx.2009-2023.zip</v>
      </c>
    </row>
    <row r="9913" spans="1:10" x14ac:dyDescent="0.25">
      <c r="A9913" t="s">
        <v>7128</v>
      </c>
      <c r="B9913" t="s">
        <v>7233</v>
      </c>
      <c r="C9913" t="s">
        <v>7276</v>
      </c>
      <c r="D9913">
        <v>153010</v>
      </c>
      <c r="E9913" t="s">
        <v>14</v>
      </c>
      <c r="F9913">
        <v>45.431399999999996</v>
      </c>
      <c r="G9913">
        <v>25.271699999999999</v>
      </c>
      <c r="H9913">
        <v>2</v>
      </c>
      <c r="I9913">
        <v>1383</v>
      </c>
      <c r="J9913" t="str">
        <f>HYPERLINK("https://climate.onebuilding.org/WMO_Region_6_Europe/ROU_Romania/BV_Brasov/ROU_BV_Fundata.153010_TMYx.zip")</f>
        <v>https://climate.onebuilding.org/WMO_Region_6_Europe/ROU_Romania/BV_Brasov/ROU_BV_Fundata.153010_TMYx.zip</v>
      </c>
    </row>
    <row r="9914" spans="1:10" x14ac:dyDescent="0.25">
      <c r="A9914" t="s">
        <v>7128</v>
      </c>
      <c r="B9914" t="s">
        <v>7233</v>
      </c>
      <c r="C9914" t="s">
        <v>7277</v>
      </c>
      <c r="D9914">
        <v>153020</v>
      </c>
      <c r="E9914" t="s">
        <v>14</v>
      </c>
      <c r="F9914">
        <v>45.506399999999999</v>
      </c>
      <c r="G9914">
        <v>25.583600000000001</v>
      </c>
      <c r="H9914">
        <v>2</v>
      </c>
      <c r="I9914">
        <v>1091.3</v>
      </c>
      <c r="J9914" t="str">
        <f>HYPERLINK("https://climate.onebuilding.org/WMO_Region_6_Europe/ROU_Romania/BV_Brasov/ROU_BV_Predeal.153020_TMYx.2007-2021.zip")</f>
        <v>https://climate.onebuilding.org/WMO_Region_6_Europe/ROU_Romania/BV_Brasov/ROU_BV_Predeal.153020_TMYx.2007-2021.zip</v>
      </c>
    </row>
    <row r="9915" spans="1:10" x14ac:dyDescent="0.25">
      <c r="A9915" t="s">
        <v>7128</v>
      </c>
      <c r="B9915" t="s">
        <v>7233</v>
      </c>
      <c r="C9915" t="s">
        <v>7277</v>
      </c>
      <c r="D9915">
        <v>153020</v>
      </c>
      <c r="E9915" t="s">
        <v>14</v>
      </c>
      <c r="F9915">
        <v>45.506399999999999</v>
      </c>
      <c r="G9915">
        <v>25.583600000000001</v>
      </c>
      <c r="H9915">
        <v>2</v>
      </c>
      <c r="I9915">
        <v>1091.3</v>
      </c>
      <c r="J9915" t="str">
        <f>HYPERLINK("https://climate.onebuilding.org/WMO_Region_6_Europe/ROU_Romania/BV_Brasov/ROU_BV_Predeal.153020_TMYx.2009-2023.zip")</f>
        <v>https://climate.onebuilding.org/WMO_Region_6_Europe/ROU_Romania/BV_Brasov/ROU_BV_Predeal.153020_TMYx.2009-2023.zip</v>
      </c>
    </row>
    <row r="9916" spans="1:10" x14ac:dyDescent="0.25">
      <c r="A9916" t="s">
        <v>7128</v>
      </c>
      <c r="B9916" t="s">
        <v>7233</v>
      </c>
      <c r="C9916" t="s">
        <v>7277</v>
      </c>
      <c r="D9916">
        <v>153020</v>
      </c>
      <c r="E9916" t="s">
        <v>14</v>
      </c>
      <c r="F9916">
        <v>45.506399999999999</v>
      </c>
      <c r="G9916">
        <v>25.583600000000001</v>
      </c>
      <c r="H9916">
        <v>2</v>
      </c>
      <c r="I9916">
        <v>1091.3</v>
      </c>
      <c r="J9916" t="str">
        <f>HYPERLINK("https://climate.onebuilding.org/WMO_Region_6_Europe/ROU_Romania/BV_Brasov/ROU_BV_Predeal.153020_TMYx.zip")</f>
        <v>https://climate.onebuilding.org/WMO_Region_6_Europe/ROU_Romania/BV_Brasov/ROU_BV_Predeal.153020_TMYx.zip</v>
      </c>
    </row>
    <row r="9917" spans="1:10" x14ac:dyDescent="0.25">
      <c r="A9917" t="s">
        <v>7128</v>
      </c>
      <c r="B9917" t="s">
        <v>7130</v>
      </c>
      <c r="C9917" t="s">
        <v>7278</v>
      </c>
      <c r="D9917">
        <v>153070</v>
      </c>
      <c r="E9917" t="s">
        <v>14</v>
      </c>
      <c r="F9917">
        <v>45.390599999999999</v>
      </c>
      <c r="G9917">
        <v>27.038599999999999</v>
      </c>
      <c r="H9917">
        <v>2</v>
      </c>
      <c r="I9917">
        <v>153.80000000000001</v>
      </c>
      <c r="J9917" t="str">
        <f>HYPERLINK("https://climate.onebuilding.org/WMO_Region_6_Europe/ROU_Romania/BZ_Buzau/ROU_BZ_Ramnicu.Sarat.153070_TMYx.2007-2021.zip")</f>
        <v>https://climate.onebuilding.org/WMO_Region_6_Europe/ROU_Romania/BZ_Buzau/ROU_BZ_Ramnicu.Sarat.153070_TMYx.2007-2021.zip</v>
      </c>
    </row>
    <row r="9918" spans="1:10" x14ac:dyDescent="0.25">
      <c r="A9918" t="s">
        <v>7128</v>
      </c>
      <c r="B9918" t="s">
        <v>7130</v>
      </c>
      <c r="C9918" t="s">
        <v>7278</v>
      </c>
      <c r="D9918">
        <v>153070</v>
      </c>
      <c r="E9918" t="s">
        <v>14</v>
      </c>
      <c r="F9918">
        <v>45.390599999999999</v>
      </c>
      <c r="G9918">
        <v>27.038599999999999</v>
      </c>
      <c r="H9918">
        <v>2</v>
      </c>
      <c r="I9918">
        <v>153.80000000000001</v>
      </c>
      <c r="J9918" t="str">
        <f>HYPERLINK("https://climate.onebuilding.org/WMO_Region_6_Europe/ROU_Romania/BZ_Buzau/ROU_BZ_Ramnicu.Sarat.153070_TMYx.2009-2023.zip")</f>
        <v>https://climate.onebuilding.org/WMO_Region_6_Europe/ROU_Romania/BZ_Buzau/ROU_BZ_Ramnicu.Sarat.153070_TMYx.2009-2023.zip</v>
      </c>
    </row>
    <row r="9919" spans="1:10" x14ac:dyDescent="0.25">
      <c r="A9919" t="s">
        <v>7128</v>
      </c>
      <c r="B9919" t="s">
        <v>7130</v>
      </c>
      <c r="C9919" t="s">
        <v>7278</v>
      </c>
      <c r="D9919">
        <v>153070</v>
      </c>
      <c r="E9919" t="s">
        <v>14</v>
      </c>
      <c r="F9919">
        <v>45.390599999999999</v>
      </c>
      <c r="G9919">
        <v>27.038599999999999</v>
      </c>
      <c r="H9919">
        <v>2</v>
      </c>
      <c r="I9919">
        <v>153.80000000000001</v>
      </c>
      <c r="J9919" t="str">
        <f>HYPERLINK("https://climate.onebuilding.org/WMO_Region_6_Europe/ROU_Romania/BZ_Buzau/ROU_BZ_Ramnicu.Sarat.153070_TMYx.zip")</f>
        <v>https://climate.onebuilding.org/WMO_Region_6_Europe/ROU_Romania/BZ_Buzau/ROU_BZ_Ramnicu.Sarat.153070_TMYx.zip</v>
      </c>
    </row>
    <row r="9920" spans="1:10" x14ac:dyDescent="0.25">
      <c r="A9920" t="s">
        <v>7128</v>
      </c>
      <c r="B9920" t="s">
        <v>903</v>
      </c>
      <c r="C9920" t="s">
        <v>7279</v>
      </c>
      <c r="D9920">
        <v>153100</v>
      </c>
      <c r="E9920" t="s">
        <v>7280</v>
      </c>
      <c r="F9920">
        <v>45.473100000000002</v>
      </c>
      <c r="G9920">
        <v>28.0322</v>
      </c>
      <c r="H9920">
        <v>2</v>
      </c>
      <c r="I9920">
        <v>71</v>
      </c>
      <c r="J9920" t="str">
        <f>HYPERLINK("https://climate.onebuilding.org/WMO_Region_6_Europe/ROU_Romania/GL_Galati/ROU_GL_Galati.153100_TMYx.2004-2018.zip")</f>
        <v>https://climate.onebuilding.org/WMO_Region_6_Europe/ROU_Romania/GL_Galati/ROU_GL_Galati.153100_TMYx.2004-2018.zip</v>
      </c>
    </row>
    <row r="9921" spans="1:10" x14ac:dyDescent="0.25">
      <c r="A9921" t="s">
        <v>7128</v>
      </c>
      <c r="B9921" t="s">
        <v>903</v>
      </c>
      <c r="C9921" t="s">
        <v>7279</v>
      </c>
      <c r="D9921">
        <v>153100</v>
      </c>
      <c r="E9921" t="s">
        <v>14</v>
      </c>
      <c r="F9921">
        <v>45.473100000000002</v>
      </c>
      <c r="G9921">
        <v>28.0322</v>
      </c>
      <c r="H9921">
        <v>2</v>
      </c>
      <c r="I9921">
        <v>71</v>
      </c>
      <c r="J9921" t="str">
        <f>HYPERLINK("https://climate.onebuilding.org/WMO_Region_6_Europe/ROU_Romania/GL_Galati/ROU_GL_Galati.153100_TMYx.2007-2021.zip")</f>
        <v>https://climate.onebuilding.org/WMO_Region_6_Europe/ROU_Romania/GL_Galati/ROU_GL_Galati.153100_TMYx.2007-2021.zip</v>
      </c>
    </row>
    <row r="9922" spans="1:10" x14ac:dyDescent="0.25">
      <c r="A9922" t="s">
        <v>7128</v>
      </c>
      <c r="B9922" t="s">
        <v>903</v>
      </c>
      <c r="C9922" t="s">
        <v>7279</v>
      </c>
      <c r="D9922">
        <v>153100</v>
      </c>
      <c r="E9922" t="s">
        <v>14</v>
      </c>
      <c r="F9922">
        <v>45.473100000000002</v>
      </c>
      <c r="G9922">
        <v>28.0322</v>
      </c>
      <c r="H9922">
        <v>2</v>
      </c>
      <c r="I9922">
        <v>71</v>
      </c>
      <c r="J9922" t="str">
        <f>HYPERLINK("https://climate.onebuilding.org/WMO_Region_6_Europe/ROU_Romania/GL_Galati/ROU_GL_Galati.153100_TMYx.2009-2023.zip")</f>
        <v>https://climate.onebuilding.org/WMO_Region_6_Europe/ROU_Romania/GL_Galati/ROU_GL_Galati.153100_TMYx.2009-2023.zip</v>
      </c>
    </row>
    <row r="9923" spans="1:10" x14ac:dyDescent="0.25">
      <c r="A9923" t="s">
        <v>7128</v>
      </c>
      <c r="B9923" t="s">
        <v>903</v>
      </c>
      <c r="C9923" t="s">
        <v>7279</v>
      </c>
      <c r="D9923">
        <v>153100</v>
      </c>
      <c r="E9923" t="s">
        <v>14</v>
      </c>
      <c r="F9923">
        <v>45.473100000000002</v>
      </c>
      <c r="G9923">
        <v>28.0322</v>
      </c>
      <c r="H9923">
        <v>2</v>
      </c>
      <c r="I9923">
        <v>71</v>
      </c>
      <c r="J9923" t="str">
        <f>HYPERLINK("https://climate.onebuilding.org/WMO_Region_6_Europe/ROU_Romania/GL_Galati/ROU_GL_Galati.153100_TMYx.zip")</f>
        <v>https://climate.onebuilding.org/WMO_Region_6_Europe/ROU_Romania/GL_Galati/ROU_GL_Galati.153100_TMYx.zip</v>
      </c>
    </row>
    <row r="9924" spans="1:10" x14ac:dyDescent="0.25">
      <c r="A9924" t="s">
        <v>7128</v>
      </c>
      <c r="B9924" t="s">
        <v>7268</v>
      </c>
      <c r="C9924" t="s">
        <v>7281</v>
      </c>
      <c r="D9924">
        <v>153140</v>
      </c>
      <c r="E9924" t="s">
        <v>14</v>
      </c>
      <c r="F9924">
        <v>45.314399999999999</v>
      </c>
      <c r="G9924">
        <v>21.886900000000001</v>
      </c>
      <c r="H9924">
        <v>2</v>
      </c>
      <c r="I9924">
        <v>280.5</v>
      </c>
      <c r="J9924" t="str">
        <f>HYPERLINK("https://climate.onebuilding.org/WMO_Region_6_Europe/ROU_Romania/CS_Caras-severin/ROU_CS_Resita.153140_TMYx.2007-2021.zip")</f>
        <v>https://climate.onebuilding.org/WMO_Region_6_Europe/ROU_Romania/CS_Caras-severin/ROU_CS_Resita.153140_TMYx.2007-2021.zip</v>
      </c>
    </row>
    <row r="9925" spans="1:10" x14ac:dyDescent="0.25">
      <c r="A9925" t="s">
        <v>7128</v>
      </c>
      <c r="B9925" t="s">
        <v>7268</v>
      </c>
      <c r="C9925" t="s">
        <v>7281</v>
      </c>
      <c r="D9925">
        <v>153140</v>
      </c>
      <c r="E9925" t="s">
        <v>14</v>
      </c>
      <c r="F9925">
        <v>45.314399999999999</v>
      </c>
      <c r="G9925">
        <v>21.886900000000001</v>
      </c>
      <c r="H9925">
        <v>2</v>
      </c>
      <c r="I9925">
        <v>280.5</v>
      </c>
      <c r="J9925" t="str">
        <f>HYPERLINK("https://climate.onebuilding.org/WMO_Region_6_Europe/ROU_Romania/CS_Caras-severin/ROU_CS_Resita.153140_TMYx.2009-2023.zip")</f>
        <v>https://climate.onebuilding.org/WMO_Region_6_Europe/ROU_Romania/CS_Caras-severin/ROU_CS_Resita.153140_TMYx.2009-2023.zip</v>
      </c>
    </row>
    <row r="9926" spans="1:10" x14ac:dyDescent="0.25">
      <c r="A9926" t="s">
        <v>7128</v>
      </c>
      <c r="B9926" t="s">
        <v>7268</v>
      </c>
      <c r="C9926" t="s">
        <v>7281</v>
      </c>
      <c r="D9926">
        <v>153140</v>
      </c>
      <c r="E9926" t="s">
        <v>14</v>
      </c>
      <c r="F9926">
        <v>45.314399999999999</v>
      </c>
      <c r="G9926">
        <v>21.886900000000001</v>
      </c>
      <c r="H9926">
        <v>2</v>
      </c>
      <c r="I9926">
        <v>280.5</v>
      </c>
      <c r="J9926" t="str">
        <f>HYPERLINK("https://climate.onebuilding.org/WMO_Region_6_Europe/ROU_Romania/CS_Caras-severin/ROU_CS_Resita.153140_TMYx.zip")</f>
        <v>https://climate.onebuilding.org/WMO_Region_6_Europe/ROU_Romania/CS_Caras-severin/ROU_CS_Resita.153140_TMYx.zip</v>
      </c>
    </row>
    <row r="9927" spans="1:10" x14ac:dyDescent="0.25">
      <c r="A9927" t="s">
        <v>7128</v>
      </c>
      <c r="B9927" t="s">
        <v>7268</v>
      </c>
      <c r="C9927" t="s">
        <v>7282</v>
      </c>
      <c r="D9927">
        <v>153150</v>
      </c>
      <c r="E9927" t="s">
        <v>14</v>
      </c>
      <c r="F9927">
        <v>45.181399999999996</v>
      </c>
      <c r="G9927">
        <v>22.055800000000001</v>
      </c>
      <c r="H9927">
        <v>2</v>
      </c>
      <c r="I9927">
        <v>1433.2</v>
      </c>
      <c r="J9927" t="str">
        <f>HYPERLINK("https://climate.onebuilding.org/WMO_Region_6_Europe/ROU_Romania/CS_Caras-severin/ROU_CS_Semenic.153150_TMYx.2007-2021.zip")</f>
        <v>https://climate.onebuilding.org/WMO_Region_6_Europe/ROU_Romania/CS_Caras-severin/ROU_CS_Semenic.153150_TMYx.2007-2021.zip</v>
      </c>
    </row>
    <row r="9928" spans="1:10" x14ac:dyDescent="0.25">
      <c r="A9928" t="s">
        <v>7128</v>
      </c>
      <c r="B9928" t="s">
        <v>7268</v>
      </c>
      <c r="C9928" t="s">
        <v>7282</v>
      </c>
      <c r="D9928">
        <v>153150</v>
      </c>
      <c r="E9928" t="s">
        <v>14</v>
      </c>
      <c r="F9928">
        <v>45.181399999999996</v>
      </c>
      <c r="G9928">
        <v>22.055800000000001</v>
      </c>
      <c r="H9928">
        <v>2</v>
      </c>
      <c r="I9928">
        <v>1433.2</v>
      </c>
      <c r="J9928" t="str">
        <f>HYPERLINK("https://climate.onebuilding.org/WMO_Region_6_Europe/ROU_Romania/CS_Caras-severin/ROU_CS_Semenic.153150_TMYx.2009-2023.zip")</f>
        <v>https://climate.onebuilding.org/WMO_Region_6_Europe/ROU_Romania/CS_Caras-severin/ROU_CS_Semenic.153150_TMYx.2009-2023.zip</v>
      </c>
    </row>
    <row r="9929" spans="1:10" x14ac:dyDescent="0.25">
      <c r="A9929" t="s">
        <v>7128</v>
      </c>
      <c r="B9929" t="s">
        <v>7268</v>
      </c>
      <c r="C9929" t="s">
        <v>7282</v>
      </c>
      <c r="D9929">
        <v>153150</v>
      </c>
      <c r="E9929" t="s">
        <v>14</v>
      </c>
      <c r="F9929">
        <v>45.181399999999996</v>
      </c>
      <c r="G9929">
        <v>22.055800000000001</v>
      </c>
      <c r="H9929">
        <v>2</v>
      </c>
      <c r="I9929">
        <v>1433.2</v>
      </c>
      <c r="J9929" t="str">
        <f>HYPERLINK("https://climate.onebuilding.org/WMO_Region_6_Europe/ROU_Romania/CS_Caras-severin/ROU_CS_Semenic.153150_TMYx.zip")</f>
        <v>https://climate.onebuilding.org/WMO_Region_6_Europe/ROU_Romania/CS_Caras-severin/ROU_CS_Semenic.153150_TMYx.zip</v>
      </c>
    </row>
    <row r="9930" spans="1:10" x14ac:dyDescent="0.25">
      <c r="A9930" t="s">
        <v>7128</v>
      </c>
      <c r="B9930" t="s">
        <v>7268</v>
      </c>
      <c r="C9930" t="s">
        <v>7283</v>
      </c>
      <c r="D9930">
        <v>153160</v>
      </c>
      <c r="E9930" t="s">
        <v>14</v>
      </c>
      <c r="F9930">
        <v>45.300600000000003</v>
      </c>
      <c r="G9930">
        <v>22.5014</v>
      </c>
      <c r="H9930">
        <v>2</v>
      </c>
      <c r="I9930">
        <v>1457.8</v>
      </c>
      <c r="J9930" t="str">
        <f>HYPERLINK("https://climate.onebuilding.org/WMO_Region_6_Europe/ROU_Romania/CS_Caras-severin/ROU_CS_Cuntu.River.153160_TMYx.2007-2021.zip")</f>
        <v>https://climate.onebuilding.org/WMO_Region_6_Europe/ROU_Romania/CS_Caras-severin/ROU_CS_Cuntu.River.153160_TMYx.2007-2021.zip</v>
      </c>
    </row>
    <row r="9931" spans="1:10" x14ac:dyDescent="0.25">
      <c r="A9931" t="s">
        <v>7128</v>
      </c>
      <c r="B9931" t="s">
        <v>7268</v>
      </c>
      <c r="C9931" t="s">
        <v>7283</v>
      </c>
      <c r="D9931">
        <v>153160</v>
      </c>
      <c r="E9931" t="s">
        <v>14</v>
      </c>
      <c r="F9931">
        <v>45.300600000000003</v>
      </c>
      <c r="G9931">
        <v>22.5014</v>
      </c>
      <c r="H9931">
        <v>2</v>
      </c>
      <c r="I9931">
        <v>1457.8</v>
      </c>
      <c r="J9931" t="str">
        <f>HYPERLINK("https://climate.onebuilding.org/WMO_Region_6_Europe/ROU_Romania/CS_Caras-severin/ROU_CS_Cuntu.River.153160_TMYx.2009-2023.zip")</f>
        <v>https://climate.onebuilding.org/WMO_Region_6_Europe/ROU_Romania/CS_Caras-severin/ROU_CS_Cuntu.River.153160_TMYx.2009-2023.zip</v>
      </c>
    </row>
    <row r="9932" spans="1:10" x14ac:dyDescent="0.25">
      <c r="A9932" t="s">
        <v>7128</v>
      </c>
      <c r="B9932" t="s">
        <v>7268</v>
      </c>
      <c r="C9932" t="s">
        <v>7283</v>
      </c>
      <c r="D9932">
        <v>153160</v>
      </c>
      <c r="E9932" t="s">
        <v>14</v>
      </c>
      <c r="F9932">
        <v>45.300600000000003</v>
      </c>
      <c r="G9932">
        <v>22.5014</v>
      </c>
      <c r="H9932">
        <v>2</v>
      </c>
      <c r="I9932">
        <v>1457.8</v>
      </c>
      <c r="J9932" t="str">
        <f>HYPERLINK("https://climate.onebuilding.org/WMO_Region_6_Europe/ROU_Romania/CS_Caras-severin/ROU_CS_Cuntu.River.153160_TMYx.zip")</f>
        <v>https://climate.onebuilding.org/WMO_Region_6_Europe/ROU_Romania/CS_Caras-severin/ROU_CS_Cuntu.River.153160_TMYx.zip</v>
      </c>
    </row>
    <row r="9933" spans="1:10" x14ac:dyDescent="0.25">
      <c r="A9933" t="s">
        <v>7128</v>
      </c>
      <c r="B9933" t="s">
        <v>7268</v>
      </c>
      <c r="C9933" t="s">
        <v>7284</v>
      </c>
      <c r="D9933">
        <v>153170</v>
      </c>
      <c r="E9933" t="s">
        <v>14</v>
      </c>
      <c r="F9933">
        <v>45.281100000000002</v>
      </c>
      <c r="G9933">
        <v>22.532800000000002</v>
      </c>
      <c r="H9933">
        <v>2</v>
      </c>
      <c r="I9933">
        <v>2186</v>
      </c>
      <c r="J9933" t="str">
        <f>HYPERLINK("https://climate.onebuilding.org/WMO_Region_6_Europe/ROU_Romania/CS_Caras-severin/ROU_CS_Tarcu.Mtn.153170_TMYx.2007-2021.zip")</f>
        <v>https://climate.onebuilding.org/WMO_Region_6_Europe/ROU_Romania/CS_Caras-severin/ROU_CS_Tarcu.Mtn.153170_TMYx.2007-2021.zip</v>
      </c>
    </row>
    <row r="9934" spans="1:10" x14ac:dyDescent="0.25">
      <c r="A9934" t="s">
        <v>7128</v>
      </c>
      <c r="B9934" t="s">
        <v>7268</v>
      </c>
      <c r="C9934" t="s">
        <v>7284</v>
      </c>
      <c r="D9934">
        <v>153170</v>
      </c>
      <c r="E9934" t="s">
        <v>14</v>
      </c>
      <c r="F9934">
        <v>45.281100000000002</v>
      </c>
      <c r="G9934">
        <v>22.532800000000002</v>
      </c>
      <c r="H9934">
        <v>2</v>
      </c>
      <c r="I9934">
        <v>2186</v>
      </c>
      <c r="J9934" t="str">
        <f>HYPERLINK("https://climate.onebuilding.org/WMO_Region_6_Europe/ROU_Romania/CS_Caras-severin/ROU_CS_Tarcu.Mtn.153170_TMYx.2009-2023.zip")</f>
        <v>https://climate.onebuilding.org/WMO_Region_6_Europe/ROU_Romania/CS_Caras-severin/ROU_CS_Tarcu.Mtn.153170_TMYx.2009-2023.zip</v>
      </c>
    </row>
    <row r="9935" spans="1:10" x14ac:dyDescent="0.25">
      <c r="A9935" t="s">
        <v>7128</v>
      </c>
      <c r="B9935" t="s">
        <v>7268</v>
      </c>
      <c r="C9935" t="s">
        <v>7284</v>
      </c>
      <c r="D9935">
        <v>153170</v>
      </c>
      <c r="E9935" t="s">
        <v>14</v>
      </c>
      <c r="F9935">
        <v>45.281100000000002</v>
      </c>
      <c r="G9935">
        <v>22.532800000000002</v>
      </c>
      <c r="H9935">
        <v>2</v>
      </c>
      <c r="I9935">
        <v>2186</v>
      </c>
      <c r="J9935" t="str">
        <f>HYPERLINK("https://climate.onebuilding.org/WMO_Region_6_Europe/ROU_Romania/CS_Caras-severin/ROU_CS_Tarcu.Mtn.153170_TMYx.zip")</f>
        <v>https://climate.onebuilding.org/WMO_Region_6_Europe/ROU_Romania/CS_Caras-severin/ROU_CS_Tarcu.Mtn.153170_TMYx.zip</v>
      </c>
    </row>
    <row r="9936" spans="1:10" x14ac:dyDescent="0.25">
      <c r="A9936" t="s">
        <v>7128</v>
      </c>
      <c r="B9936" t="s">
        <v>5134</v>
      </c>
      <c r="C9936" t="s">
        <v>7285</v>
      </c>
      <c r="D9936">
        <v>153190</v>
      </c>
      <c r="E9936" t="s">
        <v>14</v>
      </c>
      <c r="F9936">
        <v>45.411099999999998</v>
      </c>
      <c r="G9936">
        <v>23.966899999999999</v>
      </c>
      <c r="H9936">
        <v>2</v>
      </c>
      <c r="I9936">
        <v>575</v>
      </c>
      <c r="J9936" t="str">
        <f>HYPERLINK("https://climate.onebuilding.org/WMO_Region_6_Europe/ROU_Romania/VL_Valcea/ROU_VL_Voineasa.153190_TMYx.2007-2021.zip")</f>
        <v>https://climate.onebuilding.org/WMO_Region_6_Europe/ROU_Romania/VL_Valcea/ROU_VL_Voineasa.153190_TMYx.2007-2021.zip</v>
      </c>
    </row>
    <row r="9937" spans="1:10" x14ac:dyDescent="0.25">
      <c r="A9937" t="s">
        <v>7128</v>
      </c>
      <c r="B9937" t="s">
        <v>5134</v>
      </c>
      <c r="C9937" t="s">
        <v>7285</v>
      </c>
      <c r="D9937">
        <v>153190</v>
      </c>
      <c r="E9937" t="s">
        <v>14</v>
      </c>
      <c r="F9937">
        <v>45.411099999999998</v>
      </c>
      <c r="G9937">
        <v>23.966899999999999</v>
      </c>
      <c r="H9937">
        <v>2</v>
      </c>
      <c r="I9937">
        <v>575</v>
      </c>
      <c r="J9937" t="str">
        <f>HYPERLINK("https://climate.onebuilding.org/WMO_Region_6_Europe/ROU_Romania/VL_Valcea/ROU_VL_Voineasa.153190_TMYx.2009-2023.zip")</f>
        <v>https://climate.onebuilding.org/WMO_Region_6_Europe/ROU_Romania/VL_Valcea/ROU_VL_Voineasa.153190_TMYx.2009-2023.zip</v>
      </c>
    </row>
    <row r="9938" spans="1:10" x14ac:dyDescent="0.25">
      <c r="A9938" t="s">
        <v>7128</v>
      </c>
      <c r="B9938" t="s">
        <v>5134</v>
      </c>
      <c r="C9938" t="s">
        <v>7285</v>
      </c>
      <c r="D9938">
        <v>153190</v>
      </c>
      <c r="E9938" t="s">
        <v>14</v>
      </c>
      <c r="F9938">
        <v>45.411099999999998</v>
      </c>
      <c r="G9938">
        <v>23.966899999999999</v>
      </c>
      <c r="H9938">
        <v>2</v>
      </c>
      <c r="I9938">
        <v>575</v>
      </c>
      <c r="J9938" t="str">
        <f>HYPERLINK("https://climate.onebuilding.org/WMO_Region_6_Europe/ROU_Romania/VL_Valcea/ROU_VL_Voineasa.153190_TMYx.zip")</f>
        <v>https://climate.onebuilding.org/WMO_Region_6_Europe/ROU_Romania/VL_Valcea/ROU_VL_Voineasa.153190_TMYx.zip</v>
      </c>
    </row>
    <row r="9939" spans="1:10" x14ac:dyDescent="0.25">
      <c r="A9939" t="s">
        <v>7128</v>
      </c>
      <c r="B9939" t="s">
        <v>7229</v>
      </c>
      <c r="C9939" t="s">
        <v>7286</v>
      </c>
      <c r="D9939">
        <v>153200</v>
      </c>
      <c r="E9939" t="s">
        <v>14</v>
      </c>
      <c r="F9939">
        <v>45.387500000000003</v>
      </c>
      <c r="G9939">
        <v>23.463100000000001</v>
      </c>
      <c r="H9939">
        <v>2</v>
      </c>
      <c r="I9939">
        <v>1550</v>
      </c>
      <c r="J9939" t="str">
        <f>HYPERLINK("https://climate.onebuilding.org/WMO_Region_6_Europe/ROU_Romania/HD_Hunedoara/ROU_HD_Parang.153200_TMYx.2007-2021.zip")</f>
        <v>https://climate.onebuilding.org/WMO_Region_6_Europe/ROU_Romania/HD_Hunedoara/ROU_HD_Parang.153200_TMYx.2007-2021.zip</v>
      </c>
    </row>
    <row r="9940" spans="1:10" x14ac:dyDescent="0.25">
      <c r="A9940" t="s">
        <v>7128</v>
      </c>
      <c r="B9940" t="s">
        <v>7229</v>
      </c>
      <c r="C9940" t="s">
        <v>7286</v>
      </c>
      <c r="D9940">
        <v>153200</v>
      </c>
      <c r="E9940" t="s">
        <v>14</v>
      </c>
      <c r="F9940">
        <v>45.387500000000003</v>
      </c>
      <c r="G9940">
        <v>23.463100000000001</v>
      </c>
      <c r="H9940">
        <v>2</v>
      </c>
      <c r="I9940">
        <v>1550</v>
      </c>
      <c r="J9940" t="str">
        <f>HYPERLINK("https://climate.onebuilding.org/WMO_Region_6_Europe/ROU_Romania/HD_Hunedoara/ROU_HD_Parang.153200_TMYx.2009-2023.zip")</f>
        <v>https://climate.onebuilding.org/WMO_Region_6_Europe/ROU_Romania/HD_Hunedoara/ROU_HD_Parang.153200_TMYx.2009-2023.zip</v>
      </c>
    </row>
    <row r="9941" spans="1:10" x14ac:dyDescent="0.25">
      <c r="A9941" t="s">
        <v>7128</v>
      </c>
      <c r="B9941" t="s">
        <v>7229</v>
      </c>
      <c r="C9941" t="s">
        <v>7286</v>
      </c>
      <c r="D9941">
        <v>153200</v>
      </c>
      <c r="E9941" t="s">
        <v>14</v>
      </c>
      <c r="F9941">
        <v>45.387500000000003</v>
      </c>
      <c r="G9941">
        <v>23.463100000000001</v>
      </c>
      <c r="H9941">
        <v>2</v>
      </c>
      <c r="I9941">
        <v>1550</v>
      </c>
      <c r="J9941" t="str">
        <f>HYPERLINK("https://climate.onebuilding.org/WMO_Region_6_Europe/ROU_Romania/HD_Hunedoara/ROU_HD_Parang.153200_TMYx.zip")</f>
        <v>https://climate.onebuilding.org/WMO_Region_6_Europe/ROU_Romania/HD_Hunedoara/ROU_HD_Parang.153200_TMYx.zip</v>
      </c>
    </row>
    <row r="9942" spans="1:10" x14ac:dyDescent="0.25">
      <c r="A9942" t="s">
        <v>7128</v>
      </c>
      <c r="B9942" t="s">
        <v>7229</v>
      </c>
      <c r="C9942" t="s">
        <v>7287</v>
      </c>
      <c r="D9942">
        <v>153210</v>
      </c>
      <c r="E9942" t="s">
        <v>14</v>
      </c>
      <c r="F9942">
        <v>45.35</v>
      </c>
      <c r="G9942">
        <v>23.516999999999999</v>
      </c>
      <c r="H9942">
        <v>2</v>
      </c>
      <c r="I9942">
        <v>2075</v>
      </c>
      <c r="J9942" t="str">
        <f>HYPERLINK("https://climate.onebuilding.org/WMO_Region_6_Europe/ROU_Romania/HD_Hunedoara/ROU_HD_Paring.Met.Stn.153210_TMYx.zip")</f>
        <v>https://climate.onebuilding.org/WMO_Region_6_Europe/ROU_Romania/HD_Hunedoara/ROU_HD_Paring.Met.Stn.153210_TMYx.zip</v>
      </c>
    </row>
    <row r="9943" spans="1:10" x14ac:dyDescent="0.25">
      <c r="A9943" t="s">
        <v>7128</v>
      </c>
      <c r="B9943" t="s">
        <v>814</v>
      </c>
      <c r="C9943" t="s">
        <v>7288</v>
      </c>
      <c r="D9943">
        <v>153240</v>
      </c>
      <c r="E9943" t="s">
        <v>14</v>
      </c>
      <c r="F9943">
        <v>45.274700000000003</v>
      </c>
      <c r="G9943">
        <v>25.0367</v>
      </c>
      <c r="H9943">
        <v>2</v>
      </c>
      <c r="I9943">
        <v>682.3</v>
      </c>
      <c r="J9943" t="str">
        <f>HYPERLINK("https://climate.onebuilding.org/WMO_Region_6_Europe/ROU_Romania/AG_Arges/ROU_AG_Campulung.Muscel.153240_TMYx.2007-2021.zip")</f>
        <v>https://climate.onebuilding.org/WMO_Region_6_Europe/ROU_Romania/AG_Arges/ROU_AG_Campulung.Muscel.153240_TMYx.2007-2021.zip</v>
      </c>
    </row>
    <row r="9944" spans="1:10" x14ac:dyDescent="0.25">
      <c r="A9944" t="s">
        <v>7128</v>
      </c>
      <c r="B9944" t="s">
        <v>814</v>
      </c>
      <c r="C9944" t="s">
        <v>7288</v>
      </c>
      <c r="D9944">
        <v>153240</v>
      </c>
      <c r="E9944" t="s">
        <v>14</v>
      </c>
      <c r="F9944">
        <v>45.274700000000003</v>
      </c>
      <c r="G9944">
        <v>25.0367</v>
      </c>
      <c r="H9944">
        <v>2</v>
      </c>
      <c r="I9944">
        <v>682.3</v>
      </c>
      <c r="J9944" t="str">
        <f>HYPERLINK("https://climate.onebuilding.org/WMO_Region_6_Europe/ROU_Romania/AG_Arges/ROU_AG_Campulung.Muscel.153240_TMYx.2009-2023.zip")</f>
        <v>https://climate.onebuilding.org/WMO_Region_6_Europe/ROU_Romania/AG_Arges/ROU_AG_Campulung.Muscel.153240_TMYx.2009-2023.zip</v>
      </c>
    </row>
    <row r="9945" spans="1:10" x14ac:dyDescent="0.25">
      <c r="A9945" t="s">
        <v>7128</v>
      </c>
      <c r="B9945" t="s">
        <v>814</v>
      </c>
      <c r="C9945" t="s">
        <v>7288</v>
      </c>
      <c r="D9945">
        <v>153240</v>
      </c>
      <c r="E9945" t="s">
        <v>14</v>
      </c>
      <c r="F9945">
        <v>45.274700000000003</v>
      </c>
      <c r="G9945">
        <v>25.0367</v>
      </c>
      <c r="H9945">
        <v>2</v>
      </c>
      <c r="I9945">
        <v>682.3</v>
      </c>
      <c r="J9945" t="str">
        <f>HYPERLINK("https://climate.onebuilding.org/WMO_Region_6_Europe/ROU_Romania/AG_Arges/ROU_AG_Campulung.Muscel.153240_TMYx.zip")</f>
        <v>https://climate.onebuilding.org/WMO_Region_6_Europe/ROU_Romania/AG_Arges/ROU_AG_Campulung.Muscel.153240_TMYx.zip</v>
      </c>
    </row>
    <row r="9946" spans="1:10" x14ac:dyDescent="0.25">
      <c r="A9946" t="s">
        <v>7128</v>
      </c>
      <c r="B9946" t="s">
        <v>2373</v>
      </c>
      <c r="C9946" t="s">
        <v>7289</v>
      </c>
      <c r="D9946">
        <v>153250</v>
      </c>
      <c r="E9946" t="s">
        <v>14</v>
      </c>
      <c r="F9946">
        <v>45.354999999999997</v>
      </c>
      <c r="G9946">
        <v>25.514199999999999</v>
      </c>
      <c r="H9946">
        <v>2</v>
      </c>
      <c r="I9946">
        <v>1511.3</v>
      </c>
      <c r="J9946" t="str">
        <f>HYPERLINK("https://climate.onebuilding.org/WMO_Region_6_Europe/ROU_Romania/PH_Prahova/ROU_PH_Sinaia.Mtn.Resort.153250_TMYx.2007-2021.zip")</f>
        <v>https://climate.onebuilding.org/WMO_Region_6_Europe/ROU_Romania/PH_Prahova/ROU_PH_Sinaia.Mtn.Resort.153250_TMYx.2007-2021.zip</v>
      </c>
    </row>
    <row r="9947" spans="1:10" x14ac:dyDescent="0.25">
      <c r="A9947" t="s">
        <v>7128</v>
      </c>
      <c r="B9947" t="s">
        <v>2373</v>
      </c>
      <c r="C9947" t="s">
        <v>7289</v>
      </c>
      <c r="D9947">
        <v>153250</v>
      </c>
      <c r="E9947" t="s">
        <v>14</v>
      </c>
      <c r="F9947">
        <v>45.354999999999997</v>
      </c>
      <c r="G9947">
        <v>25.514199999999999</v>
      </c>
      <c r="H9947">
        <v>2</v>
      </c>
      <c r="I9947">
        <v>1511.3</v>
      </c>
      <c r="J9947" t="str">
        <f>HYPERLINK("https://climate.onebuilding.org/WMO_Region_6_Europe/ROU_Romania/PH_Prahova/ROU_PH_Sinaia.Mtn.Resort.153250_TMYx.2009-2023.zip")</f>
        <v>https://climate.onebuilding.org/WMO_Region_6_Europe/ROU_Romania/PH_Prahova/ROU_PH_Sinaia.Mtn.Resort.153250_TMYx.2009-2023.zip</v>
      </c>
    </row>
    <row r="9948" spans="1:10" x14ac:dyDescent="0.25">
      <c r="A9948" t="s">
        <v>7128</v>
      </c>
      <c r="B9948" t="s">
        <v>2373</v>
      </c>
      <c r="C9948" t="s">
        <v>7289</v>
      </c>
      <c r="D9948">
        <v>153250</v>
      </c>
      <c r="E9948" t="s">
        <v>14</v>
      </c>
      <c r="F9948">
        <v>45.354999999999997</v>
      </c>
      <c r="G9948">
        <v>25.514199999999999</v>
      </c>
      <c r="H9948">
        <v>2</v>
      </c>
      <c r="I9948">
        <v>1511.3</v>
      </c>
      <c r="J9948" t="str">
        <f>HYPERLINK("https://climate.onebuilding.org/WMO_Region_6_Europe/ROU_Romania/PH_Prahova/ROU_PH_Sinaia.Mtn.Resort.153250_TMYx.zip")</f>
        <v>https://climate.onebuilding.org/WMO_Region_6_Europe/ROU_Romania/PH_Prahova/ROU_PH_Sinaia.Mtn.Resort.153250_TMYx.zip</v>
      </c>
    </row>
    <row r="9949" spans="1:10" x14ac:dyDescent="0.25">
      <c r="A9949" t="s">
        <v>7128</v>
      </c>
      <c r="B9949" t="s">
        <v>7130</v>
      </c>
      <c r="C9949" t="s">
        <v>7290</v>
      </c>
      <c r="D9949">
        <v>153280</v>
      </c>
      <c r="E9949" t="s">
        <v>14</v>
      </c>
      <c r="F9949">
        <v>45.3247</v>
      </c>
      <c r="G9949">
        <v>26.369399999999999</v>
      </c>
      <c r="H9949">
        <v>2</v>
      </c>
      <c r="I9949">
        <v>291</v>
      </c>
      <c r="J9949" t="str">
        <f>HYPERLINK("https://climate.onebuilding.org/WMO_Region_6_Europe/ROU_Romania/BZ_Buzau/ROU_BZ_Patarlagele.153280_TMYx.2007-2021.zip")</f>
        <v>https://climate.onebuilding.org/WMO_Region_6_Europe/ROU_Romania/BZ_Buzau/ROU_BZ_Patarlagele.153280_TMYx.2007-2021.zip</v>
      </c>
    </row>
    <row r="9950" spans="1:10" x14ac:dyDescent="0.25">
      <c r="A9950" t="s">
        <v>7128</v>
      </c>
      <c r="B9950" t="s">
        <v>7130</v>
      </c>
      <c r="C9950" t="s">
        <v>7290</v>
      </c>
      <c r="D9950">
        <v>153280</v>
      </c>
      <c r="E9950" t="s">
        <v>14</v>
      </c>
      <c r="F9950">
        <v>45.3247</v>
      </c>
      <c r="G9950">
        <v>26.369399999999999</v>
      </c>
      <c r="H9950">
        <v>2</v>
      </c>
      <c r="I9950">
        <v>291</v>
      </c>
      <c r="J9950" t="str">
        <f>HYPERLINK("https://climate.onebuilding.org/WMO_Region_6_Europe/ROU_Romania/BZ_Buzau/ROU_BZ_Patarlagele.153280_TMYx.2009-2023.zip")</f>
        <v>https://climate.onebuilding.org/WMO_Region_6_Europe/ROU_Romania/BZ_Buzau/ROU_BZ_Patarlagele.153280_TMYx.2009-2023.zip</v>
      </c>
    </row>
    <row r="9951" spans="1:10" x14ac:dyDescent="0.25">
      <c r="A9951" t="s">
        <v>7128</v>
      </c>
      <c r="B9951" t="s">
        <v>7130</v>
      </c>
      <c r="C9951" t="s">
        <v>7290</v>
      </c>
      <c r="D9951">
        <v>153280</v>
      </c>
      <c r="E9951" t="s">
        <v>14</v>
      </c>
      <c r="F9951">
        <v>45.3247</v>
      </c>
      <c r="G9951">
        <v>26.369399999999999</v>
      </c>
      <c r="H9951">
        <v>2</v>
      </c>
      <c r="I9951">
        <v>291</v>
      </c>
      <c r="J9951" t="str">
        <f>HYPERLINK("https://climate.onebuilding.org/WMO_Region_6_Europe/ROU_Romania/BZ_Buzau/ROU_BZ_Patarlagele.153280_TMYx.zip")</f>
        <v>https://climate.onebuilding.org/WMO_Region_6_Europe/ROU_Romania/BZ_Buzau/ROU_BZ_Patarlagele.153280_TMYx.zip</v>
      </c>
    </row>
    <row r="9952" spans="1:10" x14ac:dyDescent="0.25">
      <c r="A9952" t="s">
        <v>7128</v>
      </c>
      <c r="B9952" t="s">
        <v>536</v>
      </c>
      <c r="C9952" t="s">
        <v>7291</v>
      </c>
      <c r="D9952">
        <v>153330</v>
      </c>
      <c r="E9952" t="s">
        <v>14</v>
      </c>
      <c r="F9952">
        <v>45.206699999999998</v>
      </c>
      <c r="G9952">
        <v>27.919699999999999</v>
      </c>
      <c r="H9952">
        <v>2</v>
      </c>
      <c r="I9952">
        <v>15.7</v>
      </c>
      <c r="J9952" t="str">
        <f>HYPERLINK("https://climate.onebuilding.org/WMO_Region_6_Europe/ROU_Romania/BR_Braila/ROU_BR_Braila.153330_TMYx.2007-2021.zip")</f>
        <v>https://climate.onebuilding.org/WMO_Region_6_Europe/ROU_Romania/BR_Braila/ROU_BR_Braila.153330_TMYx.2007-2021.zip</v>
      </c>
    </row>
    <row r="9953" spans="1:10" x14ac:dyDescent="0.25">
      <c r="A9953" t="s">
        <v>7128</v>
      </c>
      <c r="B9953" t="s">
        <v>536</v>
      </c>
      <c r="C9953" t="s">
        <v>7291</v>
      </c>
      <c r="D9953">
        <v>153330</v>
      </c>
      <c r="E9953" t="s">
        <v>14</v>
      </c>
      <c r="F9953">
        <v>45.206699999999998</v>
      </c>
      <c r="G9953">
        <v>27.919699999999999</v>
      </c>
      <c r="H9953">
        <v>2</v>
      </c>
      <c r="I9953">
        <v>15.7</v>
      </c>
      <c r="J9953" t="str">
        <f>HYPERLINK("https://climate.onebuilding.org/WMO_Region_6_Europe/ROU_Romania/BR_Braila/ROU_BR_Braila.153330_TMYx.2009-2023.zip")</f>
        <v>https://climate.onebuilding.org/WMO_Region_6_Europe/ROU_Romania/BR_Braila/ROU_BR_Braila.153330_TMYx.2009-2023.zip</v>
      </c>
    </row>
    <row r="9954" spans="1:10" x14ac:dyDescent="0.25">
      <c r="A9954" t="s">
        <v>7128</v>
      </c>
      <c r="B9954" t="s">
        <v>536</v>
      </c>
      <c r="C9954" t="s">
        <v>7291</v>
      </c>
      <c r="D9954">
        <v>153330</v>
      </c>
      <c r="E9954" t="s">
        <v>14</v>
      </c>
      <c r="F9954">
        <v>45.206699999999998</v>
      </c>
      <c r="G9954">
        <v>27.919699999999999</v>
      </c>
      <c r="H9954">
        <v>2</v>
      </c>
      <c r="I9954">
        <v>15.7</v>
      </c>
      <c r="J9954" t="str">
        <f>HYPERLINK("https://climate.onebuilding.org/WMO_Region_6_Europe/ROU_Romania/BR_Braila/ROU_BR_Braila.153330_TMYx.zip")</f>
        <v>https://climate.onebuilding.org/WMO_Region_6_Europe/ROU_Romania/BR_Braila/ROU_BR_Braila.153330_TMYx.zip</v>
      </c>
    </row>
    <row r="9955" spans="1:10" x14ac:dyDescent="0.25">
      <c r="A9955" t="s">
        <v>7128</v>
      </c>
      <c r="B9955" t="s">
        <v>7292</v>
      </c>
      <c r="C9955" t="s">
        <v>7293</v>
      </c>
      <c r="D9955">
        <v>153350</v>
      </c>
      <c r="E9955" t="s">
        <v>7294</v>
      </c>
      <c r="F9955">
        <v>45.061999999999998</v>
      </c>
      <c r="G9955">
        <v>28.713999999999999</v>
      </c>
      <c r="H9955">
        <v>2</v>
      </c>
      <c r="I9955">
        <v>61</v>
      </c>
      <c r="J9955" t="str">
        <f>HYPERLINK("https://climate.onebuilding.org/WMO_Region_6_Europe/ROU_Romania/TL_Tulcea/ROU_TL_Tulcea-Cataloi.153350_TMYx.2004-2018.zip")</f>
        <v>https://climate.onebuilding.org/WMO_Region_6_Europe/ROU_Romania/TL_Tulcea/ROU_TL_Tulcea-Cataloi.153350_TMYx.2004-2018.zip</v>
      </c>
    </row>
    <row r="9956" spans="1:10" x14ac:dyDescent="0.25">
      <c r="A9956" t="s">
        <v>7128</v>
      </c>
      <c r="B9956" t="s">
        <v>7292</v>
      </c>
      <c r="C9956" t="s">
        <v>7293</v>
      </c>
      <c r="D9956">
        <v>153350</v>
      </c>
      <c r="E9956" t="s">
        <v>14</v>
      </c>
      <c r="F9956">
        <v>45.190600000000003</v>
      </c>
      <c r="G9956">
        <v>28.824200000000001</v>
      </c>
      <c r="H9956">
        <v>2</v>
      </c>
      <c r="I9956">
        <v>61</v>
      </c>
      <c r="J9956" t="str">
        <f>HYPERLINK("https://climate.onebuilding.org/WMO_Region_6_Europe/ROU_Romania/TL_Tulcea/ROU_TL_Tulcea-Cataloi.153350_TMYx.2007-2021.zip")</f>
        <v>https://climate.onebuilding.org/WMO_Region_6_Europe/ROU_Romania/TL_Tulcea/ROU_TL_Tulcea-Cataloi.153350_TMYx.2007-2021.zip</v>
      </c>
    </row>
    <row r="9957" spans="1:10" x14ac:dyDescent="0.25">
      <c r="A9957" t="s">
        <v>7128</v>
      </c>
      <c r="B9957" t="s">
        <v>7292</v>
      </c>
      <c r="C9957" t="s">
        <v>7293</v>
      </c>
      <c r="D9957">
        <v>153350</v>
      </c>
      <c r="E9957" t="s">
        <v>14</v>
      </c>
      <c r="F9957">
        <v>45.190600000000003</v>
      </c>
      <c r="G9957">
        <v>28.824200000000001</v>
      </c>
      <c r="H9957">
        <v>2</v>
      </c>
      <c r="I9957">
        <v>61</v>
      </c>
      <c r="J9957" t="str">
        <f>HYPERLINK("https://climate.onebuilding.org/WMO_Region_6_Europe/ROU_Romania/TL_Tulcea/ROU_TL_Tulcea-Cataloi.153350_TMYx.2009-2023.zip")</f>
        <v>https://climate.onebuilding.org/WMO_Region_6_Europe/ROU_Romania/TL_Tulcea/ROU_TL_Tulcea-Cataloi.153350_TMYx.2009-2023.zip</v>
      </c>
    </row>
    <row r="9958" spans="1:10" x14ac:dyDescent="0.25">
      <c r="A9958" t="s">
        <v>7128</v>
      </c>
      <c r="B9958" t="s">
        <v>7292</v>
      </c>
      <c r="C9958" t="s">
        <v>7293</v>
      </c>
      <c r="D9958">
        <v>153350</v>
      </c>
      <c r="E9958" t="s">
        <v>14</v>
      </c>
      <c r="F9958">
        <v>45.190600000000003</v>
      </c>
      <c r="G9958">
        <v>28.824200000000001</v>
      </c>
      <c r="H9958">
        <v>2</v>
      </c>
      <c r="I9958">
        <v>61</v>
      </c>
      <c r="J9958" t="str">
        <f>HYPERLINK("https://climate.onebuilding.org/WMO_Region_6_Europe/ROU_Romania/TL_Tulcea/ROU_TL_Tulcea-Cataloi.153350_TMYx.zip")</f>
        <v>https://climate.onebuilding.org/WMO_Region_6_Europe/ROU_Romania/TL_Tulcea/ROU_TL_Tulcea-Cataloi.153350_TMYx.zip</v>
      </c>
    </row>
    <row r="9959" spans="1:10" x14ac:dyDescent="0.25">
      <c r="A9959" t="s">
        <v>7128</v>
      </c>
      <c r="B9959" t="s">
        <v>7292</v>
      </c>
      <c r="C9959" t="s">
        <v>7295</v>
      </c>
      <c r="D9959">
        <v>153360</v>
      </c>
      <c r="E9959" t="s">
        <v>14</v>
      </c>
      <c r="F9959">
        <v>45.176099999999998</v>
      </c>
      <c r="G9959">
        <v>29.151700000000002</v>
      </c>
      <c r="H9959">
        <v>2</v>
      </c>
      <c r="I9959">
        <v>4.3</v>
      </c>
      <c r="J9959" t="str">
        <f>HYPERLINK("https://climate.onebuilding.org/WMO_Region_6_Europe/ROU_Romania/TL_Tulcea/ROU_TL_Gorgova.153360_TMYx.2007-2021.zip")</f>
        <v>https://climate.onebuilding.org/WMO_Region_6_Europe/ROU_Romania/TL_Tulcea/ROU_TL_Gorgova.153360_TMYx.2007-2021.zip</v>
      </c>
    </row>
    <row r="9960" spans="1:10" x14ac:dyDescent="0.25">
      <c r="A9960" t="s">
        <v>7128</v>
      </c>
      <c r="B9960" t="s">
        <v>7292</v>
      </c>
      <c r="C9960" t="s">
        <v>7295</v>
      </c>
      <c r="D9960">
        <v>153360</v>
      </c>
      <c r="E9960" t="s">
        <v>14</v>
      </c>
      <c r="F9960">
        <v>45.176099999999998</v>
      </c>
      <c r="G9960">
        <v>29.151700000000002</v>
      </c>
      <c r="H9960">
        <v>2</v>
      </c>
      <c r="I9960">
        <v>4.3</v>
      </c>
      <c r="J9960" t="str">
        <f>HYPERLINK("https://climate.onebuilding.org/WMO_Region_6_Europe/ROU_Romania/TL_Tulcea/ROU_TL_Gorgova.153360_TMYx.2009-2023.zip")</f>
        <v>https://climate.onebuilding.org/WMO_Region_6_Europe/ROU_Romania/TL_Tulcea/ROU_TL_Gorgova.153360_TMYx.2009-2023.zip</v>
      </c>
    </row>
    <row r="9961" spans="1:10" x14ac:dyDescent="0.25">
      <c r="A9961" t="s">
        <v>7128</v>
      </c>
      <c r="B9961" t="s">
        <v>7292</v>
      </c>
      <c r="C9961" t="s">
        <v>7295</v>
      </c>
      <c r="D9961">
        <v>153360</v>
      </c>
      <c r="E9961" t="s">
        <v>14</v>
      </c>
      <c r="F9961">
        <v>45.176099999999998</v>
      </c>
      <c r="G9961">
        <v>29.151700000000002</v>
      </c>
      <c r="H9961">
        <v>2</v>
      </c>
      <c r="I9961">
        <v>4.3</v>
      </c>
      <c r="J9961" t="str">
        <f>HYPERLINK("https://climate.onebuilding.org/WMO_Region_6_Europe/ROU_Romania/TL_Tulcea/ROU_TL_Gorgova.153360_TMYx.zip")</f>
        <v>https://climate.onebuilding.org/WMO_Region_6_Europe/ROU_Romania/TL_Tulcea/ROU_TL_Gorgova.153360_TMYx.zip</v>
      </c>
    </row>
    <row r="9962" spans="1:10" x14ac:dyDescent="0.25">
      <c r="A9962" t="s">
        <v>7128</v>
      </c>
      <c r="B9962" t="s">
        <v>7292</v>
      </c>
      <c r="C9962" t="s">
        <v>7296</v>
      </c>
      <c r="D9962">
        <v>153370</v>
      </c>
      <c r="E9962" t="s">
        <v>14</v>
      </c>
      <c r="F9962">
        <v>45.087200000000003</v>
      </c>
      <c r="G9962">
        <v>29.0733</v>
      </c>
      <c r="H9962">
        <v>2</v>
      </c>
      <c r="I9962">
        <v>168.7</v>
      </c>
      <c r="J9962" t="str">
        <f>HYPERLINK("https://climate.onebuilding.org/WMO_Region_6_Europe/ROU_Romania/TL_Tulcea/ROU_TL_Mahmudia.153370_TMYx.2007-2021.zip")</f>
        <v>https://climate.onebuilding.org/WMO_Region_6_Europe/ROU_Romania/TL_Tulcea/ROU_TL_Mahmudia.153370_TMYx.2007-2021.zip</v>
      </c>
    </row>
    <row r="9963" spans="1:10" x14ac:dyDescent="0.25">
      <c r="A9963" t="s">
        <v>7128</v>
      </c>
      <c r="B9963" t="s">
        <v>7292</v>
      </c>
      <c r="C9963" t="s">
        <v>7296</v>
      </c>
      <c r="D9963">
        <v>153370</v>
      </c>
      <c r="E9963" t="s">
        <v>14</v>
      </c>
      <c r="F9963">
        <v>45.087200000000003</v>
      </c>
      <c r="G9963">
        <v>29.0733</v>
      </c>
      <c r="H9963">
        <v>2</v>
      </c>
      <c r="I9963">
        <v>168.7</v>
      </c>
      <c r="J9963" t="str">
        <f>HYPERLINK("https://climate.onebuilding.org/WMO_Region_6_Europe/ROU_Romania/TL_Tulcea/ROU_TL_Mahmudia.153370_TMYx.2009-2023.zip")</f>
        <v>https://climate.onebuilding.org/WMO_Region_6_Europe/ROU_Romania/TL_Tulcea/ROU_TL_Mahmudia.153370_TMYx.2009-2023.zip</v>
      </c>
    </row>
    <row r="9964" spans="1:10" x14ac:dyDescent="0.25">
      <c r="A9964" t="s">
        <v>7128</v>
      </c>
      <c r="B9964" t="s">
        <v>7292</v>
      </c>
      <c r="C9964" t="s">
        <v>7296</v>
      </c>
      <c r="D9964">
        <v>153370</v>
      </c>
      <c r="E9964" t="s">
        <v>14</v>
      </c>
      <c r="F9964">
        <v>45.087200000000003</v>
      </c>
      <c r="G9964">
        <v>29.0733</v>
      </c>
      <c r="H9964">
        <v>2</v>
      </c>
      <c r="I9964">
        <v>168.7</v>
      </c>
      <c r="J9964" t="str">
        <f>HYPERLINK("https://climate.onebuilding.org/WMO_Region_6_Europe/ROU_Romania/TL_Tulcea/ROU_TL_Mahmudia.153370_TMYx.zip")</f>
        <v>https://climate.onebuilding.org/WMO_Region_6_Europe/ROU_Romania/TL_Tulcea/ROU_TL_Mahmudia.153370_TMYx.zip</v>
      </c>
    </row>
    <row r="9965" spans="1:10" x14ac:dyDescent="0.25">
      <c r="A9965" t="s">
        <v>7128</v>
      </c>
      <c r="B9965" t="s">
        <v>7268</v>
      </c>
      <c r="C9965" t="s">
        <v>7297</v>
      </c>
      <c r="D9965">
        <v>153380</v>
      </c>
      <c r="E9965" t="s">
        <v>14</v>
      </c>
      <c r="F9965">
        <v>45.038600000000002</v>
      </c>
      <c r="G9965">
        <v>21.710599999999999</v>
      </c>
      <c r="H9965">
        <v>2</v>
      </c>
      <c r="I9965">
        <v>310</v>
      </c>
      <c r="J9965" t="str">
        <f>HYPERLINK("https://climate.onebuilding.org/WMO_Region_6_Europe/ROU_Romania/CS_Caras-severin/ROU_CS_Oravita.153380_TMYx.2007-2021.zip")</f>
        <v>https://climate.onebuilding.org/WMO_Region_6_Europe/ROU_Romania/CS_Caras-severin/ROU_CS_Oravita.153380_TMYx.2007-2021.zip</v>
      </c>
    </row>
    <row r="9966" spans="1:10" x14ac:dyDescent="0.25">
      <c r="A9966" t="s">
        <v>7128</v>
      </c>
      <c r="B9966" t="s">
        <v>7268</v>
      </c>
      <c r="C9966" t="s">
        <v>7297</v>
      </c>
      <c r="D9966">
        <v>153380</v>
      </c>
      <c r="E9966" t="s">
        <v>14</v>
      </c>
      <c r="F9966">
        <v>45.038600000000002</v>
      </c>
      <c r="G9966">
        <v>21.710599999999999</v>
      </c>
      <c r="H9966">
        <v>2</v>
      </c>
      <c r="I9966">
        <v>310</v>
      </c>
      <c r="J9966" t="str">
        <f>HYPERLINK("https://climate.onebuilding.org/WMO_Region_6_Europe/ROU_Romania/CS_Caras-severin/ROU_CS_Oravita.153380_TMYx.2009-2023.zip")</f>
        <v>https://climate.onebuilding.org/WMO_Region_6_Europe/ROU_Romania/CS_Caras-severin/ROU_CS_Oravita.153380_TMYx.2009-2023.zip</v>
      </c>
    </row>
    <row r="9967" spans="1:10" x14ac:dyDescent="0.25">
      <c r="A9967" t="s">
        <v>7128</v>
      </c>
      <c r="B9967" t="s">
        <v>7268</v>
      </c>
      <c r="C9967" t="s">
        <v>7297</v>
      </c>
      <c r="D9967">
        <v>153380</v>
      </c>
      <c r="E9967" t="s">
        <v>14</v>
      </c>
      <c r="F9967">
        <v>45.038600000000002</v>
      </c>
      <c r="G9967">
        <v>21.710599999999999</v>
      </c>
      <c r="H9967">
        <v>2</v>
      </c>
      <c r="I9967">
        <v>310</v>
      </c>
      <c r="J9967" t="str">
        <f>HYPERLINK("https://climate.onebuilding.org/WMO_Region_6_Europe/ROU_Romania/CS_Caras-severin/ROU_CS_Oravita.153380_TMYx.zip")</f>
        <v>https://climate.onebuilding.org/WMO_Region_6_Europe/ROU_Romania/CS_Caras-severin/ROU_CS_Oravita.153380_TMYx.zip</v>
      </c>
    </row>
    <row r="9968" spans="1:10" x14ac:dyDescent="0.25">
      <c r="A9968" t="s">
        <v>7128</v>
      </c>
      <c r="B9968" t="s">
        <v>7298</v>
      </c>
      <c r="C9968" t="s">
        <v>7299</v>
      </c>
      <c r="D9968">
        <v>153400</v>
      </c>
      <c r="E9968" t="s">
        <v>14</v>
      </c>
      <c r="F9968">
        <v>45.040599999999998</v>
      </c>
      <c r="G9968">
        <v>23.260300000000001</v>
      </c>
      <c r="H9968">
        <v>2</v>
      </c>
      <c r="I9968">
        <v>205.5</v>
      </c>
      <c r="J9968" t="str">
        <f>HYPERLINK("https://climate.onebuilding.org/WMO_Region_6_Europe/ROU_Romania/GJ_Gorj/ROU_GJ_Targu.Jiu.153400_TMYx.2007-2021.zip")</f>
        <v>https://climate.onebuilding.org/WMO_Region_6_Europe/ROU_Romania/GJ_Gorj/ROU_GJ_Targu.Jiu.153400_TMYx.2007-2021.zip</v>
      </c>
    </row>
    <row r="9969" spans="1:10" x14ac:dyDescent="0.25">
      <c r="A9969" t="s">
        <v>7128</v>
      </c>
      <c r="B9969" t="s">
        <v>7298</v>
      </c>
      <c r="C9969" t="s">
        <v>7299</v>
      </c>
      <c r="D9969">
        <v>153400</v>
      </c>
      <c r="E9969" t="s">
        <v>14</v>
      </c>
      <c r="F9969">
        <v>45.040599999999998</v>
      </c>
      <c r="G9969">
        <v>23.260300000000001</v>
      </c>
      <c r="H9969">
        <v>2</v>
      </c>
      <c r="I9969">
        <v>205.5</v>
      </c>
      <c r="J9969" t="str">
        <f>HYPERLINK("https://climate.onebuilding.org/WMO_Region_6_Europe/ROU_Romania/GJ_Gorj/ROU_GJ_Targu.Jiu.153400_TMYx.2009-2023.zip")</f>
        <v>https://climate.onebuilding.org/WMO_Region_6_Europe/ROU_Romania/GJ_Gorj/ROU_GJ_Targu.Jiu.153400_TMYx.2009-2023.zip</v>
      </c>
    </row>
    <row r="9970" spans="1:10" x14ac:dyDescent="0.25">
      <c r="A9970" t="s">
        <v>7128</v>
      </c>
      <c r="B9970" t="s">
        <v>7298</v>
      </c>
      <c r="C9970" t="s">
        <v>7299</v>
      </c>
      <c r="D9970">
        <v>153400</v>
      </c>
      <c r="E9970" t="s">
        <v>14</v>
      </c>
      <c r="F9970">
        <v>45.040599999999998</v>
      </c>
      <c r="G9970">
        <v>23.260300000000001</v>
      </c>
      <c r="H9970">
        <v>2</v>
      </c>
      <c r="I9970">
        <v>205.5</v>
      </c>
      <c r="J9970" t="str">
        <f>HYPERLINK("https://climate.onebuilding.org/WMO_Region_6_Europe/ROU_Romania/GJ_Gorj/ROU_GJ_Targu.Jiu.153400_TMYx.zip")</f>
        <v>https://climate.onebuilding.org/WMO_Region_6_Europe/ROU_Romania/GJ_Gorj/ROU_GJ_Targu.Jiu.153400_TMYx.zip</v>
      </c>
    </row>
    <row r="9971" spans="1:10" x14ac:dyDescent="0.25">
      <c r="A9971" t="s">
        <v>7128</v>
      </c>
      <c r="B9971" t="s">
        <v>7298</v>
      </c>
      <c r="C9971" t="s">
        <v>7300</v>
      </c>
      <c r="D9971">
        <v>153410</v>
      </c>
      <c r="E9971" t="s">
        <v>14</v>
      </c>
      <c r="F9971">
        <v>44.996899999999997</v>
      </c>
      <c r="G9971">
        <v>22.859400000000001</v>
      </c>
      <c r="H9971">
        <v>2</v>
      </c>
      <c r="I9971">
        <v>251</v>
      </c>
      <c r="J9971" t="str">
        <f>HYPERLINK("https://climate.onebuilding.org/WMO_Region_6_Europe/ROU_Romania/GJ_Gorj/ROU_GJ_Apa.Neagra.153410_TMYx.2007-2021.zip")</f>
        <v>https://climate.onebuilding.org/WMO_Region_6_Europe/ROU_Romania/GJ_Gorj/ROU_GJ_Apa.Neagra.153410_TMYx.2007-2021.zip</v>
      </c>
    </row>
    <row r="9972" spans="1:10" x14ac:dyDescent="0.25">
      <c r="A9972" t="s">
        <v>7128</v>
      </c>
      <c r="B9972" t="s">
        <v>7298</v>
      </c>
      <c r="C9972" t="s">
        <v>7300</v>
      </c>
      <c r="D9972">
        <v>153410</v>
      </c>
      <c r="E9972" t="s">
        <v>14</v>
      </c>
      <c r="F9972">
        <v>44.996899999999997</v>
      </c>
      <c r="G9972">
        <v>22.859400000000001</v>
      </c>
      <c r="H9972">
        <v>2</v>
      </c>
      <c r="I9972">
        <v>251</v>
      </c>
      <c r="J9972" t="str">
        <f>HYPERLINK("https://climate.onebuilding.org/WMO_Region_6_Europe/ROU_Romania/GJ_Gorj/ROU_GJ_Apa.Neagra.153410_TMYx.2009-2023.zip")</f>
        <v>https://climate.onebuilding.org/WMO_Region_6_Europe/ROU_Romania/GJ_Gorj/ROU_GJ_Apa.Neagra.153410_TMYx.2009-2023.zip</v>
      </c>
    </row>
    <row r="9973" spans="1:10" x14ac:dyDescent="0.25">
      <c r="A9973" t="s">
        <v>7128</v>
      </c>
      <c r="B9973" t="s">
        <v>7298</v>
      </c>
      <c r="C9973" t="s">
        <v>7300</v>
      </c>
      <c r="D9973">
        <v>153410</v>
      </c>
      <c r="E9973" t="s">
        <v>14</v>
      </c>
      <c r="F9973">
        <v>44.996899999999997</v>
      </c>
      <c r="G9973">
        <v>22.859400000000001</v>
      </c>
      <c r="H9973">
        <v>2</v>
      </c>
      <c r="I9973">
        <v>251</v>
      </c>
      <c r="J9973" t="str">
        <f>HYPERLINK("https://climate.onebuilding.org/WMO_Region_6_Europe/ROU_Romania/GJ_Gorj/ROU_GJ_Apa.Neagra.153410_TMYx.zip")</f>
        <v>https://climate.onebuilding.org/WMO_Region_6_Europe/ROU_Romania/GJ_Gorj/ROU_GJ_Apa.Neagra.153410_TMYx.zip</v>
      </c>
    </row>
    <row r="9974" spans="1:10" x14ac:dyDescent="0.25">
      <c r="A9974" t="s">
        <v>7128</v>
      </c>
      <c r="B9974" t="s">
        <v>7298</v>
      </c>
      <c r="C9974" t="s">
        <v>7301</v>
      </c>
      <c r="D9974">
        <v>153440</v>
      </c>
      <c r="E9974" t="s">
        <v>14</v>
      </c>
      <c r="F9974">
        <v>45.165599999999998</v>
      </c>
      <c r="G9974">
        <v>23.808599999999998</v>
      </c>
      <c r="H9974">
        <v>2</v>
      </c>
      <c r="I9974">
        <v>532.20000000000005</v>
      </c>
      <c r="J9974" t="str">
        <f>HYPERLINK("https://climate.onebuilding.org/WMO_Region_6_Europe/ROU_Romania/GJ_Gorj/ROU_GJ_Polovragi.153440_TMYx.2007-2021.zip")</f>
        <v>https://climate.onebuilding.org/WMO_Region_6_Europe/ROU_Romania/GJ_Gorj/ROU_GJ_Polovragi.153440_TMYx.2007-2021.zip</v>
      </c>
    </row>
    <row r="9975" spans="1:10" x14ac:dyDescent="0.25">
      <c r="A9975" t="s">
        <v>7128</v>
      </c>
      <c r="B9975" t="s">
        <v>7298</v>
      </c>
      <c r="C9975" t="s">
        <v>7301</v>
      </c>
      <c r="D9975">
        <v>153440</v>
      </c>
      <c r="E9975" t="s">
        <v>14</v>
      </c>
      <c r="F9975">
        <v>45.165599999999998</v>
      </c>
      <c r="G9975">
        <v>23.808599999999998</v>
      </c>
      <c r="H9975">
        <v>2</v>
      </c>
      <c r="I9975">
        <v>532.20000000000005</v>
      </c>
      <c r="J9975" t="str">
        <f>HYPERLINK("https://climate.onebuilding.org/WMO_Region_6_Europe/ROU_Romania/GJ_Gorj/ROU_GJ_Polovragi.153440_TMYx.2009-2023.zip")</f>
        <v>https://climate.onebuilding.org/WMO_Region_6_Europe/ROU_Romania/GJ_Gorj/ROU_GJ_Polovragi.153440_TMYx.2009-2023.zip</v>
      </c>
    </row>
    <row r="9976" spans="1:10" x14ac:dyDescent="0.25">
      <c r="A9976" t="s">
        <v>7128</v>
      </c>
      <c r="B9976" t="s">
        <v>7298</v>
      </c>
      <c r="C9976" t="s">
        <v>7301</v>
      </c>
      <c r="D9976">
        <v>153440</v>
      </c>
      <c r="E9976" t="s">
        <v>14</v>
      </c>
      <c r="F9976">
        <v>45.165599999999998</v>
      </c>
      <c r="G9976">
        <v>23.808599999999998</v>
      </c>
      <c r="H9976">
        <v>2</v>
      </c>
      <c r="I9976">
        <v>532.20000000000005</v>
      </c>
      <c r="J9976" t="str">
        <f>HYPERLINK("https://climate.onebuilding.org/WMO_Region_6_Europe/ROU_Romania/GJ_Gorj/ROU_GJ_Polovragi.153440_TMYx.zip")</f>
        <v>https://climate.onebuilding.org/WMO_Region_6_Europe/ROU_Romania/GJ_Gorj/ROU_GJ_Polovragi.153440_TMYx.zip</v>
      </c>
    </row>
    <row r="9977" spans="1:10" x14ac:dyDescent="0.25">
      <c r="A9977" t="s">
        <v>7128</v>
      </c>
      <c r="B9977" t="s">
        <v>814</v>
      </c>
      <c r="C9977" t="s">
        <v>7302</v>
      </c>
      <c r="D9977">
        <v>153450</v>
      </c>
      <c r="E9977" t="s">
        <v>14</v>
      </c>
      <c r="F9977">
        <v>45.016399999999997</v>
      </c>
      <c r="G9977">
        <v>24.5703</v>
      </c>
      <c r="H9977">
        <v>2</v>
      </c>
      <c r="I9977">
        <v>550</v>
      </c>
      <c r="J9977" t="str">
        <f>HYPERLINK("https://climate.onebuilding.org/WMO_Region_6_Europe/ROU_Romania/AG_Arges/ROU_AG_Moraresti.153450_TMYx.2007-2021.zip")</f>
        <v>https://climate.onebuilding.org/WMO_Region_6_Europe/ROU_Romania/AG_Arges/ROU_AG_Moraresti.153450_TMYx.2007-2021.zip</v>
      </c>
    </row>
    <row r="9978" spans="1:10" x14ac:dyDescent="0.25">
      <c r="A9978" t="s">
        <v>7128</v>
      </c>
      <c r="B9978" t="s">
        <v>814</v>
      </c>
      <c r="C9978" t="s">
        <v>7302</v>
      </c>
      <c r="D9978">
        <v>153450</v>
      </c>
      <c r="E9978" t="s">
        <v>14</v>
      </c>
      <c r="F9978">
        <v>45.016399999999997</v>
      </c>
      <c r="G9978">
        <v>24.5703</v>
      </c>
      <c r="H9978">
        <v>2</v>
      </c>
      <c r="I9978">
        <v>550</v>
      </c>
      <c r="J9978" t="str">
        <f>HYPERLINK("https://climate.onebuilding.org/WMO_Region_6_Europe/ROU_Romania/AG_Arges/ROU_AG_Moraresti.153450_TMYx.2009-2023.zip")</f>
        <v>https://climate.onebuilding.org/WMO_Region_6_Europe/ROU_Romania/AG_Arges/ROU_AG_Moraresti.153450_TMYx.2009-2023.zip</v>
      </c>
    </row>
    <row r="9979" spans="1:10" x14ac:dyDescent="0.25">
      <c r="A9979" t="s">
        <v>7128</v>
      </c>
      <c r="B9979" t="s">
        <v>814</v>
      </c>
      <c r="C9979" t="s">
        <v>7302</v>
      </c>
      <c r="D9979">
        <v>153450</v>
      </c>
      <c r="E9979" t="s">
        <v>14</v>
      </c>
      <c r="F9979">
        <v>45.016399999999997</v>
      </c>
      <c r="G9979">
        <v>24.5703</v>
      </c>
      <c r="H9979">
        <v>2</v>
      </c>
      <c r="I9979">
        <v>550</v>
      </c>
      <c r="J9979" t="str">
        <f>HYPERLINK("https://climate.onebuilding.org/WMO_Region_6_Europe/ROU_Romania/AG_Arges/ROU_AG_Moraresti.153450_TMYx.zip")</f>
        <v>https://climate.onebuilding.org/WMO_Region_6_Europe/ROU_Romania/AG_Arges/ROU_AG_Moraresti.153450_TMYx.zip</v>
      </c>
    </row>
    <row r="9980" spans="1:10" x14ac:dyDescent="0.25">
      <c r="A9980" t="s">
        <v>7128</v>
      </c>
      <c r="B9980" t="s">
        <v>5134</v>
      </c>
      <c r="C9980" t="s">
        <v>7303</v>
      </c>
      <c r="D9980">
        <v>153460</v>
      </c>
      <c r="E9980" t="s">
        <v>7304</v>
      </c>
      <c r="F9980">
        <v>45.088900000000002</v>
      </c>
      <c r="G9980">
        <v>24.3628</v>
      </c>
      <c r="H9980">
        <v>2</v>
      </c>
      <c r="I9980">
        <v>238.3</v>
      </c>
      <c r="J9980" t="str">
        <f>HYPERLINK("https://climate.onebuilding.org/WMO_Region_6_Europe/ROU_Romania/VL_Valcea/ROU_VL_Ramnicu.Valcea.153460_TMYx.2004-2018.zip")</f>
        <v>https://climate.onebuilding.org/WMO_Region_6_Europe/ROU_Romania/VL_Valcea/ROU_VL_Ramnicu.Valcea.153460_TMYx.2004-2018.zip</v>
      </c>
    </row>
    <row r="9981" spans="1:10" x14ac:dyDescent="0.25">
      <c r="A9981" t="s">
        <v>7128</v>
      </c>
      <c r="B9981" t="s">
        <v>5134</v>
      </c>
      <c r="C9981" t="s">
        <v>7303</v>
      </c>
      <c r="D9981">
        <v>153460</v>
      </c>
      <c r="E9981" t="s">
        <v>14</v>
      </c>
      <c r="F9981">
        <v>45.088900000000002</v>
      </c>
      <c r="G9981">
        <v>24.3628</v>
      </c>
      <c r="H9981">
        <v>2</v>
      </c>
      <c r="I9981">
        <v>238.3</v>
      </c>
      <c r="J9981" t="str">
        <f>HYPERLINK("https://climate.onebuilding.org/WMO_Region_6_Europe/ROU_Romania/VL_Valcea/ROU_VL_Ramnicu.Valcea.153460_TMYx.2007-2021.zip")</f>
        <v>https://climate.onebuilding.org/WMO_Region_6_Europe/ROU_Romania/VL_Valcea/ROU_VL_Ramnicu.Valcea.153460_TMYx.2007-2021.zip</v>
      </c>
    </row>
    <row r="9982" spans="1:10" x14ac:dyDescent="0.25">
      <c r="A9982" t="s">
        <v>7128</v>
      </c>
      <c r="B9982" t="s">
        <v>5134</v>
      </c>
      <c r="C9982" t="s">
        <v>7303</v>
      </c>
      <c r="D9982">
        <v>153460</v>
      </c>
      <c r="E9982" t="s">
        <v>14</v>
      </c>
      <c r="F9982">
        <v>45.088900000000002</v>
      </c>
      <c r="G9982">
        <v>24.3628</v>
      </c>
      <c r="H9982">
        <v>2</v>
      </c>
      <c r="I9982">
        <v>238.3</v>
      </c>
      <c r="J9982" t="str">
        <f>HYPERLINK("https://climate.onebuilding.org/WMO_Region_6_Europe/ROU_Romania/VL_Valcea/ROU_VL_Ramnicu.Valcea.153460_TMYx.2009-2023.zip")</f>
        <v>https://climate.onebuilding.org/WMO_Region_6_Europe/ROU_Romania/VL_Valcea/ROU_VL_Ramnicu.Valcea.153460_TMYx.2009-2023.zip</v>
      </c>
    </row>
    <row r="9983" spans="1:10" x14ac:dyDescent="0.25">
      <c r="A9983" t="s">
        <v>7128</v>
      </c>
      <c r="B9983" t="s">
        <v>5134</v>
      </c>
      <c r="C9983" t="s">
        <v>7303</v>
      </c>
      <c r="D9983">
        <v>153460</v>
      </c>
      <c r="E9983" t="s">
        <v>14</v>
      </c>
      <c r="F9983">
        <v>45.088900000000002</v>
      </c>
      <c r="G9983">
        <v>24.3628</v>
      </c>
      <c r="H9983">
        <v>2</v>
      </c>
      <c r="I9983">
        <v>238.3</v>
      </c>
      <c r="J9983" t="str">
        <f>HYPERLINK("https://climate.onebuilding.org/WMO_Region_6_Europe/ROU_Romania/VL_Valcea/ROU_VL_Ramnicu.Valcea.153460_TMYx.zip")</f>
        <v>https://climate.onebuilding.org/WMO_Region_6_Europe/ROU_Romania/VL_Valcea/ROU_VL_Ramnicu.Valcea.153460_TMYx.zip</v>
      </c>
    </row>
    <row r="9984" spans="1:10" x14ac:dyDescent="0.25">
      <c r="A9984" t="s">
        <v>7128</v>
      </c>
      <c r="B9984" t="s">
        <v>814</v>
      </c>
      <c r="C9984" t="s">
        <v>7305</v>
      </c>
      <c r="D9984">
        <v>153470</v>
      </c>
      <c r="E9984" t="s">
        <v>14</v>
      </c>
      <c r="F9984">
        <v>45.178899999999999</v>
      </c>
      <c r="G9984">
        <v>24.669699999999999</v>
      </c>
      <c r="H9984">
        <v>2</v>
      </c>
      <c r="I9984">
        <v>449.6</v>
      </c>
      <c r="J9984" t="str">
        <f>HYPERLINK("https://climate.onebuilding.org/WMO_Region_6_Europe/ROU_Romania/AG_Arges/ROU_AG_Curtea.de.Arges.Met.Stn.153470_TMYx.2007-2021.zip")</f>
        <v>https://climate.onebuilding.org/WMO_Region_6_Europe/ROU_Romania/AG_Arges/ROU_AG_Curtea.de.Arges.Met.Stn.153470_TMYx.2007-2021.zip</v>
      </c>
    </row>
    <row r="9985" spans="1:10" x14ac:dyDescent="0.25">
      <c r="A9985" t="s">
        <v>7128</v>
      </c>
      <c r="B9985" t="s">
        <v>814</v>
      </c>
      <c r="C9985" t="s">
        <v>7305</v>
      </c>
      <c r="D9985">
        <v>153470</v>
      </c>
      <c r="E9985" t="s">
        <v>14</v>
      </c>
      <c r="F9985">
        <v>45.178899999999999</v>
      </c>
      <c r="G9985">
        <v>24.669699999999999</v>
      </c>
      <c r="H9985">
        <v>2</v>
      </c>
      <c r="I9985">
        <v>449.6</v>
      </c>
      <c r="J9985" t="str">
        <f>HYPERLINK("https://climate.onebuilding.org/WMO_Region_6_Europe/ROU_Romania/AG_Arges/ROU_AG_Curtea.de.Arges.Met.Stn.153470_TMYx.2009-2023.zip")</f>
        <v>https://climate.onebuilding.org/WMO_Region_6_Europe/ROU_Romania/AG_Arges/ROU_AG_Curtea.de.Arges.Met.Stn.153470_TMYx.2009-2023.zip</v>
      </c>
    </row>
    <row r="9986" spans="1:10" x14ac:dyDescent="0.25">
      <c r="A9986" t="s">
        <v>7128</v>
      </c>
      <c r="B9986" t="s">
        <v>814</v>
      </c>
      <c r="C9986" t="s">
        <v>7305</v>
      </c>
      <c r="D9986">
        <v>153470</v>
      </c>
      <c r="E9986" t="s">
        <v>14</v>
      </c>
      <c r="F9986">
        <v>45.178899999999999</v>
      </c>
      <c r="G9986">
        <v>24.669699999999999</v>
      </c>
      <c r="H9986">
        <v>2</v>
      </c>
      <c r="I9986">
        <v>449.6</v>
      </c>
      <c r="J9986" t="str">
        <f>HYPERLINK("https://climate.onebuilding.org/WMO_Region_6_Europe/ROU_Romania/AG_Arges/ROU_AG_Curtea.de.Arges.Met.Stn.153470_TMYx.zip")</f>
        <v>https://climate.onebuilding.org/WMO_Region_6_Europe/ROU_Romania/AG_Arges/ROU_AG_Curtea.de.Arges.Met.Stn.153470_TMYx.zip</v>
      </c>
    </row>
    <row r="9987" spans="1:10" x14ac:dyDescent="0.25">
      <c r="A9987" t="s">
        <v>7128</v>
      </c>
      <c r="B9987" t="s">
        <v>2373</v>
      </c>
      <c r="C9987" t="s">
        <v>7306</v>
      </c>
      <c r="D9987">
        <v>153490</v>
      </c>
      <c r="E9987" t="s">
        <v>14</v>
      </c>
      <c r="F9987">
        <v>45.143599999999999</v>
      </c>
      <c r="G9987">
        <v>25.7333</v>
      </c>
      <c r="H9987">
        <v>2</v>
      </c>
      <c r="I9987">
        <v>463</v>
      </c>
      <c r="J9987" t="str">
        <f>HYPERLINK("https://climate.onebuilding.org/WMO_Region_6_Europe/ROU_Romania/PH_Prahova/ROU_PH_Campina.153490_TMYx.2007-2021.zip")</f>
        <v>https://climate.onebuilding.org/WMO_Region_6_Europe/ROU_Romania/PH_Prahova/ROU_PH_Campina.153490_TMYx.2007-2021.zip</v>
      </c>
    </row>
    <row r="9988" spans="1:10" x14ac:dyDescent="0.25">
      <c r="A9988" t="s">
        <v>7128</v>
      </c>
      <c r="B9988" t="s">
        <v>2373</v>
      </c>
      <c r="C9988" t="s">
        <v>7306</v>
      </c>
      <c r="D9988">
        <v>153490</v>
      </c>
      <c r="E9988" t="s">
        <v>14</v>
      </c>
      <c r="F9988">
        <v>45.143599999999999</v>
      </c>
      <c r="G9988">
        <v>25.7333</v>
      </c>
      <c r="H9988">
        <v>2</v>
      </c>
      <c r="I9988">
        <v>463</v>
      </c>
      <c r="J9988" t="str">
        <f>HYPERLINK("https://climate.onebuilding.org/WMO_Region_6_Europe/ROU_Romania/PH_Prahova/ROU_PH_Campina.153490_TMYx.2009-2023.zip")</f>
        <v>https://climate.onebuilding.org/WMO_Region_6_Europe/ROU_Romania/PH_Prahova/ROU_PH_Campina.153490_TMYx.2009-2023.zip</v>
      </c>
    </row>
    <row r="9989" spans="1:10" x14ac:dyDescent="0.25">
      <c r="A9989" t="s">
        <v>7128</v>
      </c>
      <c r="B9989" t="s">
        <v>2373</v>
      </c>
      <c r="C9989" t="s">
        <v>7306</v>
      </c>
      <c r="D9989">
        <v>153490</v>
      </c>
      <c r="E9989" t="s">
        <v>14</v>
      </c>
      <c r="F9989">
        <v>45.143599999999999</v>
      </c>
      <c r="G9989">
        <v>25.7333</v>
      </c>
      <c r="H9989">
        <v>2</v>
      </c>
      <c r="I9989">
        <v>463</v>
      </c>
      <c r="J9989" t="str">
        <f>HYPERLINK("https://climate.onebuilding.org/WMO_Region_6_Europe/ROU_Romania/PH_Prahova/ROU_PH_Campina.153490_TMYx.zip")</f>
        <v>https://climate.onebuilding.org/WMO_Region_6_Europe/ROU_Romania/PH_Prahova/ROU_PH_Campina.153490_TMYx.zip</v>
      </c>
    </row>
    <row r="9990" spans="1:10" x14ac:dyDescent="0.25">
      <c r="A9990" t="s">
        <v>7128</v>
      </c>
      <c r="B9990" t="s">
        <v>7130</v>
      </c>
      <c r="C9990" t="s">
        <v>7307</v>
      </c>
      <c r="D9990">
        <v>153500</v>
      </c>
      <c r="E9990" t="s">
        <v>7308</v>
      </c>
      <c r="F9990">
        <v>45.132800000000003</v>
      </c>
      <c r="G9990">
        <v>26.851700000000001</v>
      </c>
      <c r="H9990">
        <v>2</v>
      </c>
      <c r="I9990">
        <v>98.3</v>
      </c>
      <c r="J9990" t="str">
        <f>HYPERLINK("https://climate.onebuilding.org/WMO_Region_6_Europe/ROU_Romania/BZ_Buzau/ROU_BZ_Buzau.153500_TMYx.2004-2018.zip")</f>
        <v>https://climate.onebuilding.org/WMO_Region_6_Europe/ROU_Romania/BZ_Buzau/ROU_BZ_Buzau.153500_TMYx.2004-2018.zip</v>
      </c>
    </row>
    <row r="9991" spans="1:10" x14ac:dyDescent="0.25">
      <c r="A9991" t="s">
        <v>7128</v>
      </c>
      <c r="B9991" t="s">
        <v>7130</v>
      </c>
      <c r="C9991" t="s">
        <v>7307</v>
      </c>
      <c r="D9991">
        <v>153500</v>
      </c>
      <c r="E9991" t="s">
        <v>14</v>
      </c>
      <c r="F9991">
        <v>45.132800000000003</v>
      </c>
      <c r="G9991">
        <v>26.851700000000001</v>
      </c>
      <c r="H9991">
        <v>2</v>
      </c>
      <c r="I9991">
        <v>98.3</v>
      </c>
      <c r="J9991" t="str">
        <f>HYPERLINK("https://climate.onebuilding.org/WMO_Region_6_Europe/ROU_Romania/BZ_Buzau/ROU_BZ_Buzau.153500_TMYx.2007-2021.zip")</f>
        <v>https://climate.onebuilding.org/WMO_Region_6_Europe/ROU_Romania/BZ_Buzau/ROU_BZ_Buzau.153500_TMYx.2007-2021.zip</v>
      </c>
    </row>
    <row r="9992" spans="1:10" x14ac:dyDescent="0.25">
      <c r="A9992" t="s">
        <v>7128</v>
      </c>
      <c r="B9992" t="s">
        <v>7130</v>
      </c>
      <c r="C9992" t="s">
        <v>7307</v>
      </c>
      <c r="D9992">
        <v>153500</v>
      </c>
      <c r="E9992" t="s">
        <v>14</v>
      </c>
      <c r="F9992">
        <v>45.132800000000003</v>
      </c>
      <c r="G9992">
        <v>26.851700000000001</v>
      </c>
      <c r="H9992">
        <v>2</v>
      </c>
      <c r="I9992">
        <v>98.3</v>
      </c>
      <c r="J9992" t="str">
        <f>HYPERLINK("https://climate.onebuilding.org/WMO_Region_6_Europe/ROU_Romania/BZ_Buzau/ROU_BZ_Buzau.153500_TMYx.2009-2023.zip")</f>
        <v>https://climate.onebuilding.org/WMO_Region_6_Europe/ROU_Romania/BZ_Buzau/ROU_BZ_Buzau.153500_TMYx.2009-2023.zip</v>
      </c>
    </row>
    <row r="9993" spans="1:10" x14ac:dyDescent="0.25">
      <c r="A9993" t="s">
        <v>7128</v>
      </c>
      <c r="B9993" t="s">
        <v>7130</v>
      </c>
      <c r="C9993" t="s">
        <v>7307</v>
      </c>
      <c r="D9993">
        <v>153500</v>
      </c>
      <c r="E9993" t="s">
        <v>14</v>
      </c>
      <c r="F9993">
        <v>45.132800000000003</v>
      </c>
      <c r="G9993">
        <v>26.851700000000001</v>
      </c>
      <c r="H9993">
        <v>2</v>
      </c>
      <c r="I9993">
        <v>98.3</v>
      </c>
      <c r="J9993" t="str">
        <f>HYPERLINK("https://climate.onebuilding.org/WMO_Region_6_Europe/ROU_Romania/BZ_Buzau/ROU_BZ_Buzau.153500_TMYx.zip")</f>
        <v>https://climate.onebuilding.org/WMO_Region_6_Europe/ROU_Romania/BZ_Buzau/ROU_BZ_Buzau.153500_TMYx.zip</v>
      </c>
    </row>
    <row r="9994" spans="1:10" x14ac:dyDescent="0.25">
      <c r="A9994" t="s">
        <v>7128</v>
      </c>
      <c r="B9994" t="s">
        <v>536</v>
      </c>
      <c r="C9994" t="s">
        <v>7309</v>
      </c>
      <c r="D9994">
        <v>153550</v>
      </c>
      <c r="E9994" t="s">
        <v>14</v>
      </c>
      <c r="F9994">
        <v>45.067</v>
      </c>
      <c r="G9994">
        <v>27.233000000000001</v>
      </c>
      <c r="H9994">
        <v>2</v>
      </c>
      <c r="I9994">
        <v>53</v>
      </c>
      <c r="J9994" t="str">
        <f>HYPERLINK("https://climate.onebuilding.org/WMO_Region_6_Europe/ROU_Romania/BR_Braila/ROU_BR_Faurei-Sat.153550_TMYx.zip")</f>
        <v>https://climate.onebuilding.org/WMO_Region_6_Europe/ROU_Romania/BR_Braila/ROU_BR_Faurei-Sat.153550_TMYx.zip</v>
      </c>
    </row>
    <row r="9995" spans="1:10" x14ac:dyDescent="0.25">
      <c r="A9995" t="s">
        <v>7128</v>
      </c>
      <c r="B9995" t="s">
        <v>536</v>
      </c>
      <c r="C9995" t="s">
        <v>7310</v>
      </c>
      <c r="D9995">
        <v>153560</v>
      </c>
      <c r="E9995" t="s">
        <v>14</v>
      </c>
      <c r="F9995">
        <v>45.017000000000003</v>
      </c>
      <c r="G9995">
        <v>27.7</v>
      </c>
      <c r="H9995">
        <v>2</v>
      </c>
      <c r="I9995">
        <v>20</v>
      </c>
      <c r="J9995" t="str">
        <f>HYPERLINK("https://climate.onebuilding.org/WMO_Region_6_Europe/ROU_Romania/BR_Braila/ROU_BR_Viziru.153560_TMYx.zip")</f>
        <v>https://climate.onebuilding.org/WMO_Region_6_Europe/ROU_Romania/BR_Braila/ROU_BR_Viziru.153560_TMYx.zip</v>
      </c>
    </row>
    <row r="9996" spans="1:10" x14ac:dyDescent="0.25">
      <c r="A9996" t="s">
        <v>7128</v>
      </c>
      <c r="B9996" t="s">
        <v>7292</v>
      </c>
      <c r="C9996" t="s">
        <v>7311</v>
      </c>
      <c r="D9996">
        <v>153600</v>
      </c>
      <c r="E9996" t="s">
        <v>7312</v>
      </c>
      <c r="F9996">
        <v>45.162199999999999</v>
      </c>
      <c r="G9996">
        <v>29.726900000000001</v>
      </c>
      <c r="H9996">
        <v>2</v>
      </c>
      <c r="I9996">
        <v>13.4</v>
      </c>
      <c r="J9996" t="str">
        <f>HYPERLINK("https://climate.onebuilding.org/WMO_Region_6_Europe/ROU_Romania/TL_Tulcea/ROU_TL_Sulina.153600_TMYx.2004-2018.zip")</f>
        <v>https://climate.onebuilding.org/WMO_Region_6_Europe/ROU_Romania/TL_Tulcea/ROU_TL_Sulina.153600_TMYx.2004-2018.zip</v>
      </c>
    </row>
    <row r="9997" spans="1:10" x14ac:dyDescent="0.25">
      <c r="A9997" t="s">
        <v>7128</v>
      </c>
      <c r="B9997" t="s">
        <v>7292</v>
      </c>
      <c r="C9997" t="s">
        <v>7311</v>
      </c>
      <c r="D9997">
        <v>153600</v>
      </c>
      <c r="E9997" t="s">
        <v>14</v>
      </c>
      <c r="F9997">
        <v>45.162199999999999</v>
      </c>
      <c r="G9997">
        <v>29.726900000000001</v>
      </c>
      <c r="H9997">
        <v>2</v>
      </c>
      <c r="I9997">
        <v>13.4</v>
      </c>
      <c r="J9997" t="str">
        <f>HYPERLINK("https://climate.onebuilding.org/WMO_Region_6_Europe/ROU_Romania/TL_Tulcea/ROU_TL_Sulina.153600_TMYx.2007-2021.zip")</f>
        <v>https://climate.onebuilding.org/WMO_Region_6_Europe/ROU_Romania/TL_Tulcea/ROU_TL_Sulina.153600_TMYx.2007-2021.zip</v>
      </c>
    </row>
    <row r="9998" spans="1:10" x14ac:dyDescent="0.25">
      <c r="A9998" t="s">
        <v>7128</v>
      </c>
      <c r="B9998" t="s">
        <v>7292</v>
      </c>
      <c r="C9998" t="s">
        <v>7311</v>
      </c>
      <c r="D9998">
        <v>153600</v>
      </c>
      <c r="E9998" t="s">
        <v>14</v>
      </c>
      <c r="F9998">
        <v>45.162199999999999</v>
      </c>
      <c r="G9998">
        <v>29.726900000000001</v>
      </c>
      <c r="H9998">
        <v>2</v>
      </c>
      <c r="I9998">
        <v>13.4</v>
      </c>
      <c r="J9998" t="str">
        <f>HYPERLINK("https://climate.onebuilding.org/WMO_Region_6_Europe/ROU_Romania/TL_Tulcea/ROU_TL_Sulina.153600_TMYx.2009-2023.zip")</f>
        <v>https://climate.onebuilding.org/WMO_Region_6_Europe/ROU_Romania/TL_Tulcea/ROU_TL_Sulina.153600_TMYx.2009-2023.zip</v>
      </c>
    </row>
    <row r="9999" spans="1:10" x14ac:dyDescent="0.25">
      <c r="A9999" t="s">
        <v>7128</v>
      </c>
      <c r="B9999" t="s">
        <v>7292</v>
      </c>
      <c r="C9999" t="s">
        <v>7311</v>
      </c>
      <c r="D9999">
        <v>153600</v>
      </c>
      <c r="E9999" t="s">
        <v>14</v>
      </c>
      <c r="F9999">
        <v>45.162199999999999</v>
      </c>
      <c r="G9999">
        <v>29.726900000000001</v>
      </c>
      <c r="H9999">
        <v>2</v>
      </c>
      <c r="I9999">
        <v>13.4</v>
      </c>
      <c r="J9999" t="str">
        <f>HYPERLINK("https://climate.onebuilding.org/WMO_Region_6_Europe/ROU_Romania/TL_Tulcea/ROU_TL_Sulina.153600_TMYx.zip")</f>
        <v>https://climate.onebuilding.org/WMO_Region_6_Europe/ROU_Romania/TL_Tulcea/ROU_TL_Sulina.153600_TMYx.zip</v>
      </c>
    </row>
    <row r="10000" spans="1:10" x14ac:dyDescent="0.25">
      <c r="A10000" t="s">
        <v>7128</v>
      </c>
      <c r="B10000" t="s">
        <v>7268</v>
      </c>
      <c r="C10000" t="s">
        <v>7313</v>
      </c>
      <c r="D10000">
        <v>153630</v>
      </c>
      <c r="E10000" t="s">
        <v>14</v>
      </c>
      <c r="F10000">
        <v>44.837000000000003</v>
      </c>
      <c r="G10000">
        <v>21.752400000000002</v>
      </c>
      <c r="H10000">
        <v>2</v>
      </c>
      <c r="I10000">
        <v>537</v>
      </c>
      <c r="J10000" t="str">
        <f>HYPERLINK("https://climate.onebuilding.org/WMO_Region_6_Europe/ROU_Romania/CS_Caras-severin/ROU_CS_Carbunari.153630_TMYx.zip")</f>
        <v>https://climate.onebuilding.org/WMO_Region_6_Europe/ROU_Romania/CS_Caras-severin/ROU_CS_Carbunari.153630_TMYx.zip</v>
      </c>
    </row>
    <row r="10001" spans="1:10" x14ac:dyDescent="0.25">
      <c r="A10001" t="s">
        <v>7128</v>
      </c>
      <c r="B10001" t="s">
        <v>7268</v>
      </c>
      <c r="C10001" t="s">
        <v>7314</v>
      </c>
      <c r="D10001">
        <v>153640</v>
      </c>
      <c r="E10001" t="s">
        <v>14</v>
      </c>
      <c r="F10001">
        <v>44.918300000000002</v>
      </c>
      <c r="G10001">
        <v>22.0061</v>
      </c>
      <c r="H10001">
        <v>2</v>
      </c>
      <c r="I10001">
        <v>252</v>
      </c>
      <c r="J10001" t="str">
        <f>HYPERLINK("https://climate.onebuilding.org/WMO_Region_6_Europe/ROU_Romania/CS_Caras-severin/ROU_CS_Bozovici.153640_TMYx.2007-2021.zip")</f>
        <v>https://climate.onebuilding.org/WMO_Region_6_Europe/ROU_Romania/CS_Caras-severin/ROU_CS_Bozovici.153640_TMYx.2007-2021.zip</v>
      </c>
    </row>
    <row r="10002" spans="1:10" x14ac:dyDescent="0.25">
      <c r="A10002" t="s">
        <v>7128</v>
      </c>
      <c r="B10002" t="s">
        <v>7268</v>
      </c>
      <c r="C10002" t="s">
        <v>7314</v>
      </c>
      <c r="D10002">
        <v>153640</v>
      </c>
      <c r="E10002" t="s">
        <v>14</v>
      </c>
      <c r="F10002">
        <v>44.918300000000002</v>
      </c>
      <c r="G10002">
        <v>22.0061</v>
      </c>
      <c r="H10002">
        <v>2</v>
      </c>
      <c r="I10002">
        <v>252</v>
      </c>
      <c r="J10002" t="str">
        <f>HYPERLINK("https://climate.onebuilding.org/WMO_Region_6_Europe/ROU_Romania/CS_Caras-severin/ROU_CS_Bozovici.153640_TMYx.2009-2023.zip")</f>
        <v>https://climate.onebuilding.org/WMO_Region_6_Europe/ROU_Romania/CS_Caras-severin/ROU_CS_Bozovici.153640_TMYx.2009-2023.zip</v>
      </c>
    </row>
    <row r="10003" spans="1:10" x14ac:dyDescent="0.25">
      <c r="A10003" t="s">
        <v>7128</v>
      </c>
      <c r="B10003" t="s">
        <v>7268</v>
      </c>
      <c r="C10003" t="s">
        <v>7314</v>
      </c>
      <c r="D10003">
        <v>153640</v>
      </c>
      <c r="E10003" t="s">
        <v>14</v>
      </c>
      <c r="F10003">
        <v>44.918300000000002</v>
      </c>
      <c r="G10003">
        <v>22.0061</v>
      </c>
      <c r="H10003">
        <v>2</v>
      </c>
      <c r="I10003">
        <v>252</v>
      </c>
      <c r="J10003" t="str">
        <f>HYPERLINK("https://climate.onebuilding.org/WMO_Region_6_Europe/ROU_Romania/CS_Caras-severin/ROU_CS_Bozovici.153640_TMYx.zip")</f>
        <v>https://climate.onebuilding.org/WMO_Region_6_Europe/ROU_Romania/CS_Caras-severin/ROU_CS_Bozovici.153640_TMYx.zip</v>
      </c>
    </row>
    <row r="10004" spans="1:10" x14ac:dyDescent="0.25">
      <c r="A10004" t="s">
        <v>7128</v>
      </c>
      <c r="B10004" t="s">
        <v>7268</v>
      </c>
      <c r="C10004" t="s">
        <v>7315</v>
      </c>
      <c r="D10004">
        <v>153660</v>
      </c>
      <c r="E10004" t="s">
        <v>14</v>
      </c>
      <c r="F10004">
        <v>44.881100000000004</v>
      </c>
      <c r="G10004">
        <v>22.416399999999999</v>
      </c>
      <c r="H10004">
        <v>2</v>
      </c>
      <c r="I10004">
        <v>191</v>
      </c>
      <c r="J10004" t="str">
        <f>HYPERLINK("https://climate.onebuilding.org/WMO_Region_6_Europe/ROU_Romania/CS_Caras-severin/ROU_CS_Baile.Herculane.153660_TMYx.2007-2021.zip")</f>
        <v>https://climate.onebuilding.org/WMO_Region_6_Europe/ROU_Romania/CS_Caras-severin/ROU_CS_Baile.Herculane.153660_TMYx.2007-2021.zip</v>
      </c>
    </row>
    <row r="10005" spans="1:10" x14ac:dyDescent="0.25">
      <c r="A10005" t="s">
        <v>7128</v>
      </c>
      <c r="B10005" t="s">
        <v>7268</v>
      </c>
      <c r="C10005" t="s">
        <v>7315</v>
      </c>
      <c r="D10005">
        <v>153660</v>
      </c>
      <c r="E10005" t="s">
        <v>14</v>
      </c>
      <c r="F10005">
        <v>44.881100000000004</v>
      </c>
      <c r="G10005">
        <v>22.416399999999999</v>
      </c>
      <c r="H10005">
        <v>2</v>
      </c>
      <c r="I10005">
        <v>191</v>
      </c>
      <c r="J10005" t="str">
        <f>HYPERLINK("https://climate.onebuilding.org/WMO_Region_6_Europe/ROU_Romania/CS_Caras-severin/ROU_CS_Baile.Herculane.153660_TMYx.2009-2023.zip")</f>
        <v>https://climate.onebuilding.org/WMO_Region_6_Europe/ROU_Romania/CS_Caras-severin/ROU_CS_Baile.Herculane.153660_TMYx.2009-2023.zip</v>
      </c>
    </row>
    <row r="10006" spans="1:10" x14ac:dyDescent="0.25">
      <c r="A10006" t="s">
        <v>7128</v>
      </c>
      <c r="B10006" t="s">
        <v>7268</v>
      </c>
      <c r="C10006" t="s">
        <v>7315</v>
      </c>
      <c r="D10006">
        <v>153660</v>
      </c>
      <c r="E10006" t="s">
        <v>14</v>
      </c>
      <c r="F10006">
        <v>44.881100000000004</v>
      </c>
      <c r="G10006">
        <v>22.416399999999999</v>
      </c>
      <c r="H10006">
        <v>2</v>
      </c>
      <c r="I10006">
        <v>191</v>
      </c>
      <c r="J10006" t="str">
        <f>HYPERLINK("https://climate.onebuilding.org/WMO_Region_6_Europe/ROU_Romania/CS_Caras-severin/ROU_CS_Baile.Herculane.153660_TMYx.zip")</f>
        <v>https://climate.onebuilding.org/WMO_Region_6_Europe/ROU_Romania/CS_Caras-severin/ROU_CS_Baile.Herculane.153660_TMYx.zip</v>
      </c>
    </row>
    <row r="10007" spans="1:10" x14ac:dyDescent="0.25">
      <c r="A10007" t="s">
        <v>7128</v>
      </c>
      <c r="B10007" t="s">
        <v>7298</v>
      </c>
      <c r="C10007" t="s">
        <v>7316</v>
      </c>
      <c r="D10007">
        <v>153690</v>
      </c>
      <c r="E10007" t="s">
        <v>14</v>
      </c>
      <c r="F10007">
        <v>44.878100000000003</v>
      </c>
      <c r="G10007">
        <v>23.708600000000001</v>
      </c>
      <c r="H10007">
        <v>2</v>
      </c>
      <c r="I10007">
        <v>265</v>
      </c>
      <c r="J10007" t="str">
        <f>HYPERLINK("https://climate.onebuilding.org/WMO_Region_6_Europe/ROU_Romania/GJ_Gorj/ROU_GJ_Targu.Logresti.153690_TMYx.2007-2021.zip")</f>
        <v>https://climate.onebuilding.org/WMO_Region_6_Europe/ROU_Romania/GJ_Gorj/ROU_GJ_Targu.Logresti.153690_TMYx.2007-2021.zip</v>
      </c>
    </row>
    <row r="10008" spans="1:10" x14ac:dyDescent="0.25">
      <c r="A10008" t="s">
        <v>7128</v>
      </c>
      <c r="B10008" t="s">
        <v>7298</v>
      </c>
      <c r="C10008" t="s">
        <v>7316</v>
      </c>
      <c r="D10008">
        <v>153690</v>
      </c>
      <c r="E10008" t="s">
        <v>14</v>
      </c>
      <c r="F10008">
        <v>44.878100000000003</v>
      </c>
      <c r="G10008">
        <v>23.708600000000001</v>
      </c>
      <c r="H10008">
        <v>2</v>
      </c>
      <c r="I10008">
        <v>265</v>
      </c>
      <c r="J10008" t="str">
        <f>HYPERLINK("https://climate.onebuilding.org/WMO_Region_6_Europe/ROU_Romania/GJ_Gorj/ROU_GJ_Targu.Logresti.153690_TMYx.2009-2023.zip")</f>
        <v>https://climate.onebuilding.org/WMO_Region_6_Europe/ROU_Romania/GJ_Gorj/ROU_GJ_Targu.Logresti.153690_TMYx.2009-2023.zip</v>
      </c>
    </row>
    <row r="10009" spans="1:10" x14ac:dyDescent="0.25">
      <c r="A10009" t="s">
        <v>7128</v>
      </c>
      <c r="B10009" t="s">
        <v>7298</v>
      </c>
      <c r="C10009" t="s">
        <v>7316</v>
      </c>
      <c r="D10009">
        <v>153690</v>
      </c>
      <c r="E10009" t="s">
        <v>14</v>
      </c>
      <c r="F10009">
        <v>44.878100000000003</v>
      </c>
      <c r="G10009">
        <v>23.708600000000001</v>
      </c>
      <c r="H10009">
        <v>2</v>
      </c>
      <c r="I10009">
        <v>265</v>
      </c>
      <c r="J10009" t="str">
        <f>HYPERLINK("https://climate.onebuilding.org/WMO_Region_6_Europe/ROU_Romania/GJ_Gorj/ROU_GJ_Targu.Logresti.153690_TMYx.zip")</f>
        <v>https://climate.onebuilding.org/WMO_Region_6_Europe/ROU_Romania/GJ_Gorj/ROU_GJ_Targu.Logresti.153690_TMYx.zip</v>
      </c>
    </row>
    <row r="10010" spans="1:10" x14ac:dyDescent="0.25">
      <c r="A10010" t="s">
        <v>7128</v>
      </c>
      <c r="B10010" t="s">
        <v>814</v>
      </c>
      <c r="C10010" t="s">
        <v>7317</v>
      </c>
      <c r="D10010">
        <v>153730</v>
      </c>
      <c r="E10010" t="s">
        <v>14</v>
      </c>
      <c r="F10010">
        <v>44.8489</v>
      </c>
      <c r="G10010">
        <v>24.866099999999999</v>
      </c>
      <c r="H10010">
        <v>2</v>
      </c>
      <c r="I10010">
        <v>317.2</v>
      </c>
      <c r="J10010" t="str">
        <f>HYPERLINK("https://climate.onebuilding.org/WMO_Region_6_Europe/ROU_Romania/AG_Arges/ROU_AG_Pitesti.153730_TMYx.2007-2021.zip")</f>
        <v>https://climate.onebuilding.org/WMO_Region_6_Europe/ROU_Romania/AG_Arges/ROU_AG_Pitesti.153730_TMYx.2007-2021.zip</v>
      </c>
    </row>
    <row r="10011" spans="1:10" x14ac:dyDescent="0.25">
      <c r="A10011" t="s">
        <v>7128</v>
      </c>
      <c r="B10011" t="s">
        <v>814</v>
      </c>
      <c r="C10011" t="s">
        <v>7317</v>
      </c>
      <c r="D10011">
        <v>153730</v>
      </c>
      <c r="E10011" t="s">
        <v>14</v>
      </c>
      <c r="F10011">
        <v>44.8489</v>
      </c>
      <c r="G10011">
        <v>24.866099999999999</v>
      </c>
      <c r="H10011">
        <v>2</v>
      </c>
      <c r="I10011">
        <v>317.2</v>
      </c>
      <c r="J10011" t="str">
        <f>HYPERLINK("https://climate.onebuilding.org/WMO_Region_6_Europe/ROU_Romania/AG_Arges/ROU_AG_Pitesti.153730_TMYx.2009-2023.zip")</f>
        <v>https://climate.onebuilding.org/WMO_Region_6_Europe/ROU_Romania/AG_Arges/ROU_AG_Pitesti.153730_TMYx.2009-2023.zip</v>
      </c>
    </row>
    <row r="10012" spans="1:10" x14ac:dyDescent="0.25">
      <c r="A10012" t="s">
        <v>7128</v>
      </c>
      <c r="B10012" t="s">
        <v>814</v>
      </c>
      <c r="C10012" t="s">
        <v>7317</v>
      </c>
      <c r="D10012">
        <v>153730</v>
      </c>
      <c r="E10012" t="s">
        <v>14</v>
      </c>
      <c r="F10012">
        <v>44.8489</v>
      </c>
      <c r="G10012">
        <v>24.866099999999999</v>
      </c>
      <c r="H10012">
        <v>2</v>
      </c>
      <c r="I10012">
        <v>317.2</v>
      </c>
      <c r="J10012" t="str">
        <f>HYPERLINK("https://climate.onebuilding.org/WMO_Region_6_Europe/ROU_Romania/AG_Arges/ROU_AG_Pitesti.153730_TMYx.zip")</f>
        <v>https://climate.onebuilding.org/WMO_Region_6_Europe/ROU_Romania/AG_Arges/ROU_AG_Pitesti.153730_TMYx.zip</v>
      </c>
    </row>
    <row r="10013" spans="1:10" x14ac:dyDescent="0.25">
      <c r="A10013" t="s">
        <v>7128</v>
      </c>
      <c r="B10013" t="s">
        <v>57</v>
      </c>
      <c r="C10013" t="s">
        <v>7318</v>
      </c>
      <c r="D10013">
        <v>153750</v>
      </c>
      <c r="E10013" t="s">
        <v>14</v>
      </c>
      <c r="F10013">
        <v>44.929699999999997</v>
      </c>
      <c r="G10013">
        <v>25.427800000000001</v>
      </c>
      <c r="H10013">
        <v>2</v>
      </c>
      <c r="I10013">
        <v>297.7</v>
      </c>
      <c r="J10013" t="str">
        <f>HYPERLINK("https://climate.onebuilding.org/WMO_Region_6_Europe/ROU_Romania/DB_Dambovita/ROU_DB_Targoviste.153750_TMYx.2007-2021.zip")</f>
        <v>https://climate.onebuilding.org/WMO_Region_6_Europe/ROU_Romania/DB_Dambovita/ROU_DB_Targoviste.153750_TMYx.2007-2021.zip</v>
      </c>
    </row>
    <row r="10014" spans="1:10" x14ac:dyDescent="0.25">
      <c r="A10014" t="s">
        <v>7128</v>
      </c>
      <c r="B10014" t="s">
        <v>57</v>
      </c>
      <c r="C10014" t="s">
        <v>7318</v>
      </c>
      <c r="D10014">
        <v>153750</v>
      </c>
      <c r="E10014" t="s">
        <v>14</v>
      </c>
      <c r="F10014">
        <v>44.929699999999997</v>
      </c>
      <c r="G10014">
        <v>25.427800000000001</v>
      </c>
      <c r="H10014">
        <v>2</v>
      </c>
      <c r="I10014">
        <v>297.7</v>
      </c>
      <c r="J10014" t="str">
        <f>HYPERLINK("https://climate.onebuilding.org/WMO_Region_6_Europe/ROU_Romania/DB_Dambovita/ROU_DB_Targoviste.153750_TMYx.2009-2023.zip")</f>
        <v>https://climate.onebuilding.org/WMO_Region_6_Europe/ROU_Romania/DB_Dambovita/ROU_DB_Targoviste.153750_TMYx.2009-2023.zip</v>
      </c>
    </row>
    <row r="10015" spans="1:10" x14ac:dyDescent="0.25">
      <c r="A10015" t="s">
        <v>7128</v>
      </c>
      <c r="B10015" t="s">
        <v>57</v>
      </c>
      <c r="C10015" t="s">
        <v>7318</v>
      </c>
      <c r="D10015">
        <v>153750</v>
      </c>
      <c r="E10015" t="s">
        <v>14</v>
      </c>
      <c r="F10015">
        <v>44.929699999999997</v>
      </c>
      <c r="G10015">
        <v>25.427800000000001</v>
      </c>
      <c r="H10015">
        <v>2</v>
      </c>
      <c r="I10015">
        <v>297.7</v>
      </c>
      <c r="J10015" t="str">
        <f>HYPERLINK("https://climate.onebuilding.org/WMO_Region_6_Europe/ROU_Romania/DB_Dambovita/ROU_DB_Targoviste.153750_TMYx.zip")</f>
        <v>https://climate.onebuilding.org/WMO_Region_6_Europe/ROU_Romania/DB_Dambovita/ROU_DB_Targoviste.153750_TMYx.zip</v>
      </c>
    </row>
    <row r="10016" spans="1:10" x14ac:dyDescent="0.25">
      <c r="A10016" t="s">
        <v>7128</v>
      </c>
      <c r="B10016" t="s">
        <v>2373</v>
      </c>
      <c r="C10016" t="s">
        <v>7319</v>
      </c>
      <c r="D10016">
        <v>153770</v>
      </c>
      <c r="E10016" t="s">
        <v>14</v>
      </c>
      <c r="F10016">
        <v>44.955800000000004</v>
      </c>
      <c r="G10016">
        <v>25.987500000000001</v>
      </c>
      <c r="H10016">
        <v>2</v>
      </c>
      <c r="I10016">
        <v>178.2</v>
      </c>
      <c r="J10016" t="str">
        <f>HYPERLINK("https://climate.onebuilding.org/WMO_Region_6_Europe/ROU_Romania/PH_Prahova/ROU_PH_Ploiesti.153770_TMYx.2007-2021.zip")</f>
        <v>https://climate.onebuilding.org/WMO_Region_6_Europe/ROU_Romania/PH_Prahova/ROU_PH_Ploiesti.153770_TMYx.2007-2021.zip</v>
      </c>
    </row>
    <row r="10017" spans="1:10" x14ac:dyDescent="0.25">
      <c r="A10017" t="s">
        <v>7128</v>
      </c>
      <c r="B10017" t="s">
        <v>2373</v>
      </c>
      <c r="C10017" t="s">
        <v>7319</v>
      </c>
      <c r="D10017">
        <v>153770</v>
      </c>
      <c r="E10017" t="s">
        <v>14</v>
      </c>
      <c r="F10017">
        <v>44.955800000000004</v>
      </c>
      <c r="G10017">
        <v>25.987500000000001</v>
      </c>
      <c r="H10017">
        <v>2</v>
      </c>
      <c r="I10017">
        <v>178.2</v>
      </c>
      <c r="J10017" t="str">
        <f>HYPERLINK("https://climate.onebuilding.org/WMO_Region_6_Europe/ROU_Romania/PH_Prahova/ROU_PH_Ploiesti.153770_TMYx.2009-2023.zip")</f>
        <v>https://climate.onebuilding.org/WMO_Region_6_Europe/ROU_Romania/PH_Prahova/ROU_PH_Ploiesti.153770_TMYx.2009-2023.zip</v>
      </c>
    </row>
    <row r="10018" spans="1:10" x14ac:dyDescent="0.25">
      <c r="A10018" t="s">
        <v>7128</v>
      </c>
      <c r="B10018" t="s">
        <v>2373</v>
      </c>
      <c r="C10018" t="s">
        <v>7319</v>
      </c>
      <c r="D10018">
        <v>153770</v>
      </c>
      <c r="E10018" t="s">
        <v>14</v>
      </c>
      <c r="F10018">
        <v>44.955800000000004</v>
      </c>
      <c r="G10018">
        <v>25.987500000000001</v>
      </c>
      <c r="H10018">
        <v>2</v>
      </c>
      <c r="I10018">
        <v>178.2</v>
      </c>
      <c r="J10018" t="str">
        <f>HYPERLINK("https://climate.onebuilding.org/WMO_Region_6_Europe/ROU_Romania/PH_Prahova/ROU_PH_Ploiesti.153770_TMYx.zip")</f>
        <v>https://climate.onebuilding.org/WMO_Region_6_Europe/ROU_Romania/PH_Prahova/ROU_PH_Ploiesti.153770_TMYx.zip</v>
      </c>
    </row>
    <row r="10019" spans="1:10" x14ac:dyDescent="0.25">
      <c r="A10019" t="s">
        <v>7128</v>
      </c>
      <c r="B10019" t="s">
        <v>7235</v>
      </c>
      <c r="C10019" t="s">
        <v>7320</v>
      </c>
      <c r="D10019">
        <v>153870</v>
      </c>
      <c r="E10019" t="s">
        <v>14</v>
      </c>
      <c r="F10019">
        <v>44.897799999999997</v>
      </c>
      <c r="G10019">
        <v>29.5992</v>
      </c>
      <c r="H10019">
        <v>2</v>
      </c>
      <c r="I10019">
        <v>2.9</v>
      </c>
      <c r="J10019" t="str">
        <f>HYPERLINK("https://climate.onebuilding.org/WMO_Region_6_Europe/ROU_Romania/CV_Covasna/ROU_CV_Sfantu.Gheorghe.Delta.153870_TMYx.2007-2021.zip")</f>
        <v>https://climate.onebuilding.org/WMO_Region_6_Europe/ROU_Romania/CV_Covasna/ROU_CV_Sfantu.Gheorghe.Delta.153870_TMYx.2007-2021.zip</v>
      </c>
    </row>
    <row r="10020" spans="1:10" x14ac:dyDescent="0.25">
      <c r="A10020" t="s">
        <v>7128</v>
      </c>
      <c r="B10020" t="s">
        <v>7235</v>
      </c>
      <c r="C10020" t="s">
        <v>7320</v>
      </c>
      <c r="D10020">
        <v>153870</v>
      </c>
      <c r="E10020" t="s">
        <v>14</v>
      </c>
      <c r="F10020">
        <v>44.897799999999997</v>
      </c>
      <c r="G10020">
        <v>29.5992</v>
      </c>
      <c r="H10020">
        <v>2</v>
      </c>
      <c r="I10020">
        <v>2.9</v>
      </c>
      <c r="J10020" t="str">
        <f>HYPERLINK("https://climate.onebuilding.org/WMO_Region_6_Europe/ROU_Romania/CV_Covasna/ROU_CV_Sfantu.Gheorghe.Delta.153870_TMYx.2009-2023.zip")</f>
        <v>https://climate.onebuilding.org/WMO_Region_6_Europe/ROU_Romania/CV_Covasna/ROU_CV_Sfantu.Gheorghe.Delta.153870_TMYx.2009-2023.zip</v>
      </c>
    </row>
    <row r="10021" spans="1:10" x14ac:dyDescent="0.25">
      <c r="A10021" t="s">
        <v>7128</v>
      </c>
      <c r="B10021" t="s">
        <v>7235</v>
      </c>
      <c r="C10021" t="s">
        <v>7320</v>
      </c>
      <c r="D10021">
        <v>153870</v>
      </c>
      <c r="E10021" t="s">
        <v>14</v>
      </c>
      <c r="F10021">
        <v>44.897799999999997</v>
      </c>
      <c r="G10021">
        <v>29.5992</v>
      </c>
      <c r="H10021">
        <v>2</v>
      </c>
      <c r="I10021">
        <v>2.9</v>
      </c>
      <c r="J10021" t="str">
        <f>HYPERLINK("https://climate.onebuilding.org/WMO_Region_6_Europe/ROU_Romania/CV_Covasna/ROU_CV_Sfantu.Gheorghe.Delta.153870_TMYx.zip")</f>
        <v>https://climate.onebuilding.org/WMO_Region_6_Europe/ROU_Romania/CV_Covasna/ROU_CV_Sfantu.Gheorghe.Delta.153870_TMYx.zip</v>
      </c>
    </row>
    <row r="10022" spans="1:10" x14ac:dyDescent="0.25">
      <c r="A10022" t="s">
        <v>7128</v>
      </c>
      <c r="B10022" t="s">
        <v>7268</v>
      </c>
      <c r="C10022" t="s">
        <v>7321</v>
      </c>
      <c r="D10022">
        <v>153880</v>
      </c>
      <c r="E10022" t="s">
        <v>14</v>
      </c>
      <c r="F10022">
        <v>44.722499999999997</v>
      </c>
      <c r="G10022">
        <v>21.633299999999998</v>
      </c>
      <c r="H10022">
        <v>2</v>
      </c>
      <c r="I10022">
        <v>83.2</v>
      </c>
      <c r="J10022" t="str">
        <f>HYPERLINK("https://climate.onebuilding.org/WMO_Region_6_Europe/ROU_Romania/CS_Caras-severin/ROU_CS_Moldova.Veche.153880_TMYx.2007-2021.zip")</f>
        <v>https://climate.onebuilding.org/WMO_Region_6_Europe/ROU_Romania/CS_Caras-severin/ROU_CS_Moldova.Veche.153880_TMYx.2007-2021.zip</v>
      </c>
    </row>
    <row r="10023" spans="1:10" x14ac:dyDescent="0.25">
      <c r="A10023" t="s">
        <v>7128</v>
      </c>
      <c r="B10023" t="s">
        <v>7268</v>
      </c>
      <c r="C10023" t="s">
        <v>7321</v>
      </c>
      <c r="D10023">
        <v>153880</v>
      </c>
      <c r="E10023" t="s">
        <v>14</v>
      </c>
      <c r="F10023">
        <v>44.722499999999997</v>
      </c>
      <c r="G10023">
        <v>21.633299999999998</v>
      </c>
      <c r="H10023">
        <v>2</v>
      </c>
      <c r="I10023">
        <v>83.2</v>
      </c>
      <c r="J10023" t="str">
        <f>HYPERLINK("https://climate.onebuilding.org/WMO_Region_6_Europe/ROU_Romania/CS_Caras-severin/ROU_CS_Moldova.Veche.153880_TMYx.2009-2023.zip")</f>
        <v>https://climate.onebuilding.org/WMO_Region_6_Europe/ROU_Romania/CS_Caras-severin/ROU_CS_Moldova.Veche.153880_TMYx.2009-2023.zip</v>
      </c>
    </row>
    <row r="10024" spans="1:10" x14ac:dyDescent="0.25">
      <c r="A10024" t="s">
        <v>7128</v>
      </c>
      <c r="B10024" t="s">
        <v>7268</v>
      </c>
      <c r="C10024" t="s">
        <v>7321</v>
      </c>
      <c r="D10024">
        <v>153880</v>
      </c>
      <c r="E10024" t="s">
        <v>14</v>
      </c>
      <c r="F10024">
        <v>44.722499999999997</v>
      </c>
      <c r="G10024">
        <v>21.633299999999998</v>
      </c>
      <c r="H10024">
        <v>2</v>
      </c>
      <c r="I10024">
        <v>83.2</v>
      </c>
      <c r="J10024" t="str">
        <f>HYPERLINK("https://climate.onebuilding.org/WMO_Region_6_Europe/ROU_Romania/CS_Caras-severin/ROU_CS_Moldova.Veche.153880_TMYx.zip")</f>
        <v>https://climate.onebuilding.org/WMO_Region_6_Europe/ROU_Romania/CS_Caras-severin/ROU_CS_Moldova.Veche.153880_TMYx.zip</v>
      </c>
    </row>
    <row r="10025" spans="1:10" x14ac:dyDescent="0.25">
      <c r="A10025" t="s">
        <v>7128</v>
      </c>
      <c r="B10025" t="s">
        <v>7268</v>
      </c>
      <c r="C10025" t="s">
        <v>7322</v>
      </c>
      <c r="D10025">
        <v>153890</v>
      </c>
      <c r="E10025" t="s">
        <v>14</v>
      </c>
      <c r="F10025">
        <v>44.647500000000001</v>
      </c>
      <c r="G10025">
        <v>21.950299999999999</v>
      </c>
      <c r="H10025">
        <v>2</v>
      </c>
      <c r="I10025">
        <v>69</v>
      </c>
      <c r="J10025" t="str">
        <f>HYPERLINK("https://climate.onebuilding.org/WMO_Region_6_Europe/ROU_Romania/CS_Caras-severin/ROU_CS_Berzasca.153890_TMYx.zip")</f>
        <v>https://climate.onebuilding.org/WMO_Region_6_Europe/ROU_Romania/CS_Caras-severin/ROU_CS_Berzasca.153890_TMYx.zip</v>
      </c>
    </row>
    <row r="10026" spans="1:10" x14ac:dyDescent="0.25">
      <c r="A10026" t="s">
        <v>7128</v>
      </c>
      <c r="B10026" t="s">
        <v>5134</v>
      </c>
      <c r="C10026" t="s">
        <v>7323</v>
      </c>
      <c r="D10026">
        <v>153950</v>
      </c>
      <c r="E10026" t="s">
        <v>14</v>
      </c>
      <c r="F10026">
        <v>44.665599999999998</v>
      </c>
      <c r="G10026">
        <v>24.237200000000001</v>
      </c>
      <c r="H10026">
        <v>2</v>
      </c>
      <c r="I10026">
        <v>281.39999999999998</v>
      </c>
      <c r="J10026" t="str">
        <f>HYPERLINK("https://climate.onebuilding.org/WMO_Region_6_Europe/ROU_Romania/VL_Valcea/ROU_VL_Dragasani.153950_TMYx.2007-2021.zip")</f>
        <v>https://climate.onebuilding.org/WMO_Region_6_Europe/ROU_Romania/VL_Valcea/ROU_VL_Dragasani.153950_TMYx.2007-2021.zip</v>
      </c>
    </row>
    <row r="10027" spans="1:10" x14ac:dyDescent="0.25">
      <c r="A10027" t="s">
        <v>7128</v>
      </c>
      <c r="B10027" t="s">
        <v>5134</v>
      </c>
      <c r="C10027" t="s">
        <v>7323</v>
      </c>
      <c r="D10027">
        <v>153950</v>
      </c>
      <c r="E10027" t="s">
        <v>14</v>
      </c>
      <c r="F10027">
        <v>44.665599999999998</v>
      </c>
      <c r="G10027">
        <v>24.237200000000001</v>
      </c>
      <c r="H10027">
        <v>2</v>
      </c>
      <c r="I10027">
        <v>281.39999999999998</v>
      </c>
      <c r="J10027" t="str">
        <f>HYPERLINK("https://climate.onebuilding.org/WMO_Region_6_Europe/ROU_Romania/VL_Valcea/ROU_VL_Dragasani.153950_TMYx.2009-2023.zip")</f>
        <v>https://climate.onebuilding.org/WMO_Region_6_Europe/ROU_Romania/VL_Valcea/ROU_VL_Dragasani.153950_TMYx.2009-2023.zip</v>
      </c>
    </row>
    <row r="10028" spans="1:10" x14ac:dyDescent="0.25">
      <c r="A10028" t="s">
        <v>7128</v>
      </c>
      <c r="B10028" t="s">
        <v>5134</v>
      </c>
      <c r="C10028" t="s">
        <v>7323</v>
      </c>
      <c r="D10028">
        <v>153950</v>
      </c>
      <c r="E10028" t="s">
        <v>14</v>
      </c>
      <c r="F10028">
        <v>44.665599999999998</v>
      </c>
      <c r="G10028">
        <v>24.237200000000001</v>
      </c>
      <c r="H10028">
        <v>2</v>
      </c>
      <c r="I10028">
        <v>281.39999999999998</v>
      </c>
      <c r="J10028" t="str">
        <f>HYPERLINK("https://climate.onebuilding.org/WMO_Region_6_Europe/ROU_Romania/VL_Valcea/ROU_VL_Dragasani.153950_TMYx.zip")</f>
        <v>https://climate.onebuilding.org/WMO_Region_6_Europe/ROU_Romania/VL_Valcea/ROU_VL_Dragasani.153950_TMYx.zip</v>
      </c>
    </row>
    <row r="10029" spans="1:10" x14ac:dyDescent="0.25">
      <c r="A10029" t="s">
        <v>7128</v>
      </c>
      <c r="B10029" t="s">
        <v>7133</v>
      </c>
      <c r="C10029" t="s">
        <v>7324</v>
      </c>
      <c r="D10029">
        <v>154020</v>
      </c>
      <c r="E10029" t="s">
        <v>14</v>
      </c>
      <c r="F10029">
        <v>44.721699999999998</v>
      </c>
      <c r="G10029">
        <v>26.6572</v>
      </c>
      <c r="H10029">
        <v>2</v>
      </c>
      <c r="I10029">
        <v>61.3</v>
      </c>
      <c r="J10029" t="str">
        <f>HYPERLINK("https://climate.onebuilding.org/WMO_Region_6_Europe/ROU_Romania/IL_Ialomita/ROU_IL_Urziceni.154020_TMYx.2007-2021.zip")</f>
        <v>https://climate.onebuilding.org/WMO_Region_6_Europe/ROU_Romania/IL_Ialomita/ROU_IL_Urziceni.154020_TMYx.2007-2021.zip</v>
      </c>
    </row>
    <row r="10030" spans="1:10" x14ac:dyDescent="0.25">
      <c r="A10030" t="s">
        <v>7128</v>
      </c>
      <c r="B10030" t="s">
        <v>7133</v>
      </c>
      <c r="C10030" t="s">
        <v>7324</v>
      </c>
      <c r="D10030">
        <v>154020</v>
      </c>
      <c r="E10030" t="s">
        <v>14</v>
      </c>
      <c r="F10030">
        <v>44.721699999999998</v>
      </c>
      <c r="G10030">
        <v>26.6572</v>
      </c>
      <c r="H10030">
        <v>2</v>
      </c>
      <c r="I10030">
        <v>61.3</v>
      </c>
      <c r="J10030" t="str">
        <f>HYPERLINK("https://climate.onebuilding.org/WMO_Region_6_Europe/ROU_Romania/IL_Ialomita/ROU_IL_Urziceni.154020_TMYx.2009-2023.zip")</f>
        <v>https://climate.onebuilding.org/WMO_Region_6_Europe/ROU_Romania/IL_Ialomita/ROU_IL_Urziceni.154020_TMYx.2009-2023.zip</v>
      </c>
    </row>
    <row r="10031" spans="1:10" x14ac:dyDescent="0.25">
      <c r="A10031" t="s">
        <v>7128</v>
      </c>
      <c r="B10031" t="s">
        <v>7133</v>
      </c>
      <c r="C10031" t="s">
        <v>7324</v>
      </c>
      <c r="D10031">
        <v>154020</v>
      </c>
      <c r="E10031" t="s">
        <v>14</v>
      </c>
      <c r="F10031">
        <v>44.721699999999998</v>
      </c>
      <c r="G10031">
        <v>26.6572</v>
      </c>
      <c r="H10031">
        <v>2</v>
      </c>
      <c r="I10031">
        <v>61.3</v>
      </c>
      <c r="J10031" t="str">
        <f>HYPERLINK("https://climate.onebuilding.org/WMO_Region_6_Europe/ROU_Romania/IL_Ialomita/ROU_IL_Urziceni.154020_TMYx.zip")</f>
        <v>https://climate.onebuilding.org/WMO_Region_6_Europe/ROU_Romania/IL_Ialomita/ROU_IL_Urziceni.154020_TMYx.zip</v>
      </c>
    </row>
    <row r="10032" spans="1:10" x14ac:dyDescent="0.25">
      <c r="A10032" t="s">
        <v>7128</v>
      </c>
      <c r="B10032" t="s">
        <v>7133</v>
      </c>
      <c r="C10032" t="s">
        <v>7325</v>
      </c>
      <c r="D10032">
        <v>154050</v>
      </c>
      <c r="E10032" t="s">
        <v>14</v>
      </c>
      <c r="F10032">
        <v>44.7408</v>
      </c>
      <c r="G10032">
        <v>27.294699999999999</v>
      </c>
      <c r="H10032">
        <v>2</v>
      </c>
      <c r="I10032">
        <v>51.6</v>
      </c>
      <c r="J10032" t="str">
        <f>HYPERLINK("https://climate.onebuilding.org/WMO_Region_6_Europe/ROU_Romania/IL_Ialomita/ROU_IL_Grivita.154050_TMYx.2007-2021.zip")</f>
        <v>https://climate.onebuilding.org/WMO_Region_6_Europe/ROU_Romania/IL_Ialomita/ROU_IL_Grivita.154050_TMYx.2007-2021.zip</v>
      </c>
    </row>
    <row r="10033" spans="1:10" x14ac:dyDescent="0.25">
      <c r="A10033" t="s">
        <v>7128</v>
      </c>
      <c r="B10033" t="s">
        <v>7133</v>
      </c>
      <c r="C10033" t="s">
        <v>7325</v>
      </c>
      <c r="D10033">
        <v>154050</v>
      </c>
      <c r="E10033" t="s">
        <v>14</v>
      </c>
      <c r="F10033">
        <v>44.7408</v>
      </c>
      <c r="G10033">
        <v>27.294699999999999</v>
      </c>
      <c r="H10033">
        <v>2</v>
      </c>
      <c r="I10033">
        <v>51.6</v>
      </c>
      <c r="J10033" t="str">
        <f>HYPERLINK("https://climate.onebuilding.org/WMO_Region_6_Europe/ROU_Romania/IL_Ialomita/ROU_IL_Grivita.154050_TMYx.2009-2023.zip")</f>
        <v>https://climate.onebuilding.org/WMO_Region_6_Europe/ROU_Romania/IL_Ialomita/ROU_IL_Grivita.154050_TMYx.2009-2023.zip</v>
      </c>
    </row>
    <row r="10034" spans="1:10" x14ac:dyDescent="0.25">
      <c r="A10034" t="s">
        <v>7128</v>
      </c>
      <c r="B10034" t="s">
        <v>7133</v>
      </c>
      <c r="C10034" t="s">
        <v>7325</v>
      </c>
      <c r="D10034">
        <v>154050</v>
      </c>
      <c r="E10034" t="s">
        <v>14</v>
      </c>
      <c r="F10034">
        <v>44.7408</v>
      </c>
      <c r="G10034">
        <v>27.294699999999999</v>
      </c>
      <c r="H10034">
        <v>2</v>
      </c>
      <c r="I10034">
        <v>51.6</v>
      </c>
      <c r="J10034" t="str">
        <f>HYPERLINK("https://climate.onebuilding.org/WMO_Region_6_Europe/ROU_Romania/IL_Ialomita/ROU_IL_Grivita.154050_TMYx.zip")</f>
        <v>https://climate.onebuilding.org/WMO_Region_6_Europe/ROU_Romania/IL_Ialomita/ROU_IL_Grivita.154050_TMYx.zip</v>
      </c>
    </row>
    <row r="10035" spans="1:10" x14ac:dyDescent="0.25">
      <c r="A10035" t="s">
        <v>7128</v>
      </c>
      <c r="B10035" t="s">
        <v>2042</v>
      </c>
      <c r="C10035" t="s">
        <v>7326</v>
      </c>
      <c r="D10035">
        <v>154060</v>
      </c>
      <c r="E10035" t="s">
        <v>14</v>
      </c>
      <c r="F10035">
        <v>44.691699999999997</v>
      </c>
      <c r="G10035">
        <v>27.9636</v>
      </c>
      <c r="H10035">
        <v>2</v>
      </c>
      <c r="I10035">
        <v>38.700000000000003</v>
      </c>
      <c r="J10035" t="str">
        <f>HYPERLINK("https://climate.onebuilding.org/WMO_Region_6_Europe/ROU_Romania/CT_Constanta/ROU_CT_Harsova.154060_TMYx.2007-2021.zip")</f>
        <v>https://climate.onebuilding.org/WMO_Region_6_Europe/ROU_Romania/CT_Constanta/ROU_CT_Harsova.154060_TMYx.2007-2021.zip</v>
      </c>
    </row>
    <row r="10036" spans="1:10" x14ac:dyDescent="0.25">
      <c r="A10036" t="s">
        <v>7128</v>
      </c>
      <c r="B10036" t="s">
        <v>2042</v>
      </c>
      <c r="C10036" t="s">
        <v>7326</v>
      </c>
      <c r="D10036">
        <v>154060</v>
      </c>
      <c r="E10036" t="s">
        <v>14</v>
      </c>
      <c r="F10036">
        <v>44.691699999999997</v>
      </c>
      <c r="G10036">
        <v>27.9636</v>
      </c>
      <c r="H10036">
        <v>2</v>
      </c>
      <c r="I10036">
        <v>38.700000000000003</v>
      </c>
      <c r="J10036" t="str">
        <f>HYPERLINK("https://climate.onebuilding.org/WMO_Region_6_Europe/ROU_Romania/CT_Constanta/ROU_CT_Harsova.154060_TMYx.2009-2023.zip")</f>
        <v>https://climate.onebuilding.org/WMO_Region_6_Europe/ROU_Romania/CT_Constanta/ROU_CT_Harsova.154060_TMYx.2009-2023.zip</v>
      </c>
    </row>
    <row r="10037" spans="1:10" x14ac:dyDescent="0.25">
      <c r="A10037" t="s">
        <v>7128</v>
      </c>
      <c r="B10037" t="s">
        <v>2042</v>
      </c>
      <c r="C10037" t="s">
        <v>7326</v>
      </c>
      <c r="D10037">
        <v>154060</v>
      </c>
      <c r="E10037" t="s">
        <v>14</v>
      </c>
      <c r="F10037">
        <v>44.691699999999997</v>
      </c>
      <c r="G10037">
        <v>27.9636</v>
      </c>
      <c r="H10037">
        <v>2</v>
      </c>
      <c r="I10037">
        <v>38.700000000000003</v>
      </c>
      <c r="J10037" t="str">
        <f>HYPERLINK("https://climate.onebuilding.org/WMO_Region_6_Europe/ROU_Romania/CT_Constanta/ROU_CT_Harsova.154060_TMYx.zip")</f>
        <v>https://climate.onebuilding.org/WMO_Region_6_Europe/ROU_Romania/CT_Constanta/ROU_CT_Harsova.154060_TMYx.zip</v>
      </c>
    </row>
    <row r="10038" spans="1:10" x14ac:dyDescent="0.25">
      <c r="A10038" t="s">
        <v>7128</v>
      </c>
      <c r="B10038" t="s">
        <v>7292</v>
      </c>
      <c r="C10038" t="s">
        <v>7327</v>
      </c>
      <c r="D10038">
        <v>154080</v>
      </c>
      <c r="E10038" t="s">
        <v>14</v>
      </c>
      <c r="F10038">
        <v>44.734400000000001</v>
      </c>
      <c r="G10038">
        <v>28.341899999999999</v>
      </c>
      <c r="H10038">
        <v>2</v>
      </c>
      <c r="I10038">
        <v>220.4</v>
      </c>
      <c r="J10038" t="str">
        <f>HYPERLINK("https://climate.onebuilding.org/WMO_Region_6_Europe/ROU_Romania/TL_Tulcea/ROU_TL_Corugea.154080_TMYx.2007-2021.zip")</f>
        <v>https://climate.onebuilding.org/WMO_Region_6_Europe/ROU_Romania/TL_Tulcea/ROU_TL_Corugea.154080_TMYx.2007-2021.zip</v>
      </c>
    </row>
    <row r="10039" spans="1:10" x14ac:dyDescent="0.25">
      <c r="A10039" t="s">
        <v>7128</v>
      </c>
      <c r="B10039" t="s">
        <v>7292</v>
      </c>
      <c r="C10039" t="s">
        <v>7327</v>
      </c>
      <c r="D10039">
        <v>154080</v>
      </c>
      <c r="E10039" t="s">
        <v>14</v>
      </c>
      <c r="F10039">
        <v>44.734400000000001</v>
      </c>
      <c r="G10039">
        <v>28.341899999999999</v>
      </c>
      <c r="H10039">
        <v>2</v>
      </c>
      <c r="I10039">
        <v>220.4</v>
      </c>
      <c r="J10039" t="str">
        <f>HYPERLINK("https://climate.onebuilding.org/WMO_Region_6_Europe/ROU_Romania/TL_Tulcea/ROU_TL_Corugea.154080_TMYx.2009-2023.zip")</f>
        <v>https://climate.onebuilding.org/WMO_Region_6_Europe/ROU_Romania/TL_Tulcea/ROU_TL_Corugea.154080_TMYx.2009-2023.zip</v>
      </c>
    </row>
    <row r="10040" spans="1:10" x14ac:dyDescent="0.25">
      <c r="A10040" t="s">
        <v>7128</v>
      </c>
      <c r="B10040" t="s">
        <v>7292</v>
      </c>
      <c r="C10040" t="s">
        <v>7327</v>
      </c>
      <c r="D10040">
        <v>154080</v>
      </c>
      <c r="E10040" t="s">
        <v>14</v>
      </c>
      <c r="F10040">
        <v>44.734400000000001</v>
      </c>
      <c r="G10040">
        <v>28.341899999999999</v>
      </c>
      <c r="H10040">
        <v>2</v>
      </c>
      <c r="I10040">
        <v>220.4</v>
      </c>
      <c r="J10040" t="str">
        <f>HYPERLINK("https://climate.onebuilding.org/WMO_Region_6_Europe/ROU_Romania/TL_Tulcea/ROU_TL_Corugea.154080_TMYx.zip")</f>
        <v>https://climate.onebuilding.org/WMO_Region_6_Europe/ROU_Romania/TL_Tulcea/ROU_TL_Corugea.154080_TMYx.zip</v>
      </c>
    </row>
    <row r="10041" spans="1:10" x14ac:dyDescent="0.25">
      <c r="A10041" t="s">
        <v>7128</v>
      </c>
      <c r="B10041" t="s">
        <v>7292</v>
      </c>
      <c r="C10041" t="s">
        <v>7328</v>
      </c>
      <c r="D10041">
        <v>154090</v>
      </c>
      <c r="E10041" t="s">
        <v>14</v>
      </c>
      <c r="F10041">
        <v>44.766100000000002</v>
      </c>
      <c r="G10041">
        <v>28.8764</v>
      </c>
      <c r="H10041">
        <v>2</v>
      </c>
      <c r="I10041">
        <v>39.700000000000003</v>
      </c>
      <c r="J10041" t="str">
        <f>HYPERLINK("https://climate.onebuilding.org/WMO_Region_6_Europe/ROU_Romania/TL_Tulcea/ROU_TL_Jurilovca.154090_TMYx.2007-2021.zip")</f>
        <v>https://climate.onebuilding.org/WMO_Region_6_Europe/ROU_Romania/TL_Tulcea/ROU_TL_Jurilovca.154090_TMYx.2007-2021.zip</v>
      </c>
    </row>
    <row r="10042" spans="1:10" x14ac:dyDescent="0.25">
      <c r="A10042" t="s">
        <v>7128</v>
      </c>
      <c r="B10042" t="s">
        <v>7292</v>
      </c>
      <c r="C10042" t="s">
        <v>7328</v>
      </c>
      <c r="D10042">
        <v>154090</v>
      </c>
      <c r="E10042" t="s">
        <v>14</v>
      </c>
      <c r="F10042">
        <v>44.766100000000002</v>
      </c>
      <c r="G10042">
        <v>28.8764</v>
      </c>
      <c r="H10042">
        <v>2</v>
      </c>
      <c r="I10042">
        <v>39.700000000000003</v>
      </c>
      <c r="J10042" t="str">
        <f>HYPERLINK("https://climate.onebuilding.org/WMO_Region_6_Europe/ROU_Romania/TL_Tulcea/ROU_TL_Jurilovca.154090_TMYx.2009-2023.zip")</f>
        <v>https://climate.onebuilding.org/WMO_Region_6_Europe/ROU_Romania/TL_Tulcea/ROU_TL_Jurilovca.154090_TMYx.2009-2023.zip</v>
      </c>
    </row>
    <row r="10043" spans="1:10" x14ac:dyDescent="0.25">
      <c r="A10043" t="s">
        <v>7128</v>
      </c>
      <c r="B10043" t="s">
        <v>7292</v>
      </c>
      <c r="C10043" t="s">
        <v>7328</v>
      </c>
      <c r="D10043">
        <v>154090</v>
      </c>
      <c r="E10043" t="s">
        <v>14</v>
      </c>
      <c r="F10043">
        <v>44.766100000000002</v>
      </c>
      <c r="G10043">
        <v>28.8764</v>
      </c>
      <c r="H10043">
        <v>2</v>
      </c>
      <c r="I10043">
        <v>39.700000000000003</v>
      </c>
      <c r="J10043" t="str">
        <f>HYPERLINK("https://climate.onebuilding.org/WMO_Region_6_Europe/ROU_Romania/TL_Tulcea/ROU_TL_Jurilovca.154090_TMYx.zip")</f>
        <v>https://climate.onebuilding.org/WMO_Region_6_Europe/ROU_Romania/TL_Tulcea/ROU_TL_Jurilovca.154090_TMYx.zip</v>
      </c>
    </row>
    <row r="10044" spans="1:10" x14ac:dyDescent="0.25">
      <c r="A10044" t="s">
        <v>7128</v>
      </c>
      <c r="B10044" t="s">
        <v>15</v>
      </c>
      <c r="C10044" t="s">
        <v>7329</v>
      </c>
      <c r="D10044">
        <v>154100</v>
      </c>
      <c r="E10044" t="s">
        <v>7330</v>
      </c>
      <c r="F10044">
        <v>44.626399999999997</v>
      </c>
      <c r="G10044">
        <v>22.626100000000001</v>
      </c>
      <c r="H10044">
        <v>2</v>
      </c>
      <c r="I10044">
        <v>80</v>
      </c>
      <c r="J10044" t="str">
        <f>HYPERLINK("https://climate.onebuilding.org/WMO_Region_6_Europe/ROU_Romania/MH_Mehedinti/ROU_MH_Drobeta-Turnu.Severin.154100_TMYx.2004-2018.zip")</f>
        <v>https://climate.onebuilding.org/WMO_Region_6_Europe/ROU_Romania/MH_Mehedinti/ROU_MH_Drobeta-Turnu.Severin.154100_TMYx.2004-2018.zip</v>
      </c>
    </row>
    <row r="10045" spans="1:10" x14ac:dyDescent="0.25">
      <c r="A10045" t="s">
        <v>7128</v>
      </c>
      <c r="B10045" t="s">
        <v>15</v>
      </c>
      <c r="C10045" t="s">
        <v>7329</v>
      </c>
      <c r="D10045">
        <v>154100</v>
      </c>
      <c r="E10045" t="s">
        <v>14</v>
      </c>
      <c r="F10045">
        <v>44.626399999999997</v>
      </c>
      <c r="G10045">
        <v>22.626100000000001</v>
      </c>
      <c r="H10045">
        <v>2</v>
      </c>
      <c r="I10045">
        <v>80</v>
      </c>
      <c r="J10045" t="str">
        <f>HYPERLINK("https://climate.onebuilding.org/WMO_Region_6_Europe/ROU_Romania/MH_Mehedinti/ROU_MH_Drobeta-Turnu.Severin.154100_TMYx.2007-2021.zip")</f>
        <v>https://climate.onebuilding.org/WMO_Region_6_Europe/ROU_Romania/MH_Mehedinti/ROU_MH_Drobeta-Turnu.Severin.154100_TMYx.2007-2021.zip</v>
      </c>
    </row>
    <row r="10046" spans="1:10" x14ac:dyDescent="0.25">
      <c r="A10046" t="s">
        <v>7128</v>
      </c>
      <c r="B10046" t="s">
        <v>15</v>
      </c>
      <c r="C10046" t="s">
        <v>7329</v>
      </c>
      <c r="D10046">
        <v>154100</v>
      </c>
      <c r="E10046" t="s">
        <v>14</v>
      </c>
      <c r="F10046">
        <v>44.626399999999997</v>
      </c>
      <c r="G10046">
        <v>22.626100000000001</v>
      </c>
      <c r="H10046">
        <v>2</v>
      </c>
      <c r="I10046">
        <v>80</v>
      </c>
      <c r="J10046" t="str">
        <f>HYPERLINK("https://climate.onebuilding.org/WMO_Region_6_Europe/ROU_Romania/MH_Mehedinti/ROU_MH_Drobeta-Turnu.Severin.154100_TMYx.2009-2023.zip")</f>
        <v>https://climate.onebuilding.org/WMO_Region_6_Europe/ROU_Romania/MH_Mehedinti/ROU_MH_Drobeta-Turnu.Severin.154100_TMYx.2009-2023.zip</v>
      </c>
    </row>
    <row r="10047" spans="1:10" x14ac:dyDescent="0.25">
      <c r="A10047" t="s">
        <v>7128</v>
      </c>
      <c r="B10047" t="s">
        <v>15</v>
      </c>
      <c r="C10047" t="s">
        <v>7329</v>
      </c>
      <c r="D10047">
        <v>154100</v>
      </c>
      <c r="E10047" t="s">
        <v>14</v>
      </c>
      <c r="F10047">
        <v>44.626399999999997</v>
      </c>
      <c r="G10047">
        <v>22.626100000000001</v>
      </c>
      <c r="H10047">
        <v>2</v>
      </c>
      <c r="I10047">
        <v>80</v>
      </c>
      <c r="J10047" t="str">
        <f>HYPERLINK("https://climate.onebuilding.org/WMO_Region_6_Europe/ROU_Romania/MH_Mehedinti/ROU_MH_Drobeta-Turnu.Severin.154100_TMYx.zip")</f>
        <v>https://climate.onebuilding.org/WMO_Region_6_Europe/ROU_Romania/MH_Mehedinti/ROU_MH_Drobeta-Turnu.Severin.154100_TMYx.zip</v>
      </c>
    </row>
    <row r="10048" spans="1:10" x14ac:dyDescent="0.25">
      <c r="A10048" t="s">
        <v>7128</v>
      </c>
      <c r="B10048" t="s">
        <v>15</v>
      </c>
      <c r="C10048" t="s">
        <v>7331</v>
      </c>
      <c r="D10048">
        <v>154120</v>
      </c>
      <c r="E10048" t="s">
        <v>14</v>
      </c>
      <c r="F10048">
        <v>44.476100000000002</v>
      </c>
      <c r="G10048">
        <v>23.113099999999999</v>
      </c>
      <c r="H10048">
        <v>2</v>
      </c>
      <c r="I10048">
        <v>313</v>
      </c>
      <c r="J10048" t="str">
        <f>HYPERLINK("https://climate.onebuilding.org/WMO_Region_6_Europe/ROU_Romania/MH_Mehedinti/ROU_MH_Bacles.154120_TMYx.2007-2021.zip")</f>
        <v>https://climate.onebuilding.org/WMO_Region_6_Europe/ROU_Romania/MH_Mehedinti/ROU_MH_Bacles.154120_TMYx.2007-2021.zip</v>
      </c>
    </row>
    <row r="10049" spans="1:10" x14ac:dyDescent="0.25">
      <c r="A10049" t="s">
        <v>7128</v>
      </c>
      <c r="B10049" t="s">
        <v>15</v>
      </c>
      <c r="C10049" t="s">
        <v>7331</v>
      </c>
      <c r="D10049">
        <v>154120</v>
      </c>
      <c r="E10049" t="s">
        <v>14</v>
      </c>
      <c r="F10049">
        <v>44.476100000000002</v>
      </c>
      <c r="G10049">
        <v>23.113099999999999</v>
      </c>
      <c r="H10049">
        <v>2</v>
      </c>
      <c r="I10049">
        <v>313</v>
      </c>
      <c r="J10049" t="str">
        <f>HYPERLINK("https://climate.onebuilding.org/WMO_Region_6_Europe/ROU_Romania/MH_Mehedinti/ROU_MH_Bacles.154120_TMYx.2009-2023.zip")</f>
        <v>https://climate.onebuilding.org/WMO_Region_6_Europe/ROU_Romania/MH_Mehedinti/ROU_MH_Bacles.154120_TMYx.2009-2023.zip</v>
      </c>
    </row>
    <row r="10050" spans="1:10" x14ac:dyDescent="0.25">
      <c r="A10050" t="s">
        <v>7128</v>
      </c>
      <c r="B10050" t="s">
        <v>15</v>
      </c>
      <c r="C10050" t="s">
        <v>7331</v>
      </c>
      <c r="D10050">
        <v>154120</v>
      </c>
      <c r="E10050" t="s">
        <v>14</v>
      </c>
      <c r="F10050">
        <v>44.476100000000002</v>
      </c>
      <c r="G10050">
        <v>23.113099999999999</v>
      </c>
      <c r="H10050">
        <v>2</v>
      </c>
      <c r="I10050">
        <v>313</v>
      </c>
      <c r="J10050" t="str">
        <f>HYPERLINK("https://climate.onebuilding.org/WMO_Region_6_Europe/ROU_Romania/MH_Mehedinti/ROU_MH_Bacles.154120_TMYx.zip")</f>
        <v>https://climate.onebuilding.org/WMO_Region_6_Europe/ROU_Romania/MH_Mehedinti/ROU_MH_Bacles.154120_TMYx.zip</v>
      </c>
    </row>
    <row r="10051" spans="1:10" x14ac:dyDescent="0.25">
      <c r="A10051" t="s">
        <v>7128</v>
      </c>
      <c r="B10051" t="s">
        <v>814</v>
      </c>
      <c r="C10051" t="s">
        <v>7332</v>
      </c>
      <c r="D10051">
        <v>154160</v>
      </c>
      <c r="E10051" t="s">
        <v>14</v>
      </c>
      <c r="F10051">
        <v>44.562800000000003</v>
      </c>
      <c r="G10051">
        <v>24.7897</v>
      </c>
      <c r="H10051">
        <v>2</v>
      </c>
      <c r="I10051">
        <v>210</v>
      </c>
      <c r="J10051" t="str">
        <f>HYPERLINK("https://climate.onebuilding.org/WMO_Region_6_Europe/ROU_Romania/AG_Arges/ROU_AG_Stolnici.154160_TMYx.2007-2021.zip")</f>
        <v>https://climate.onebuilding.org/WMO_Region_6_Europe/ROU_Romania/AG_Arges/ROU_AG_Stolnici.154160_TMYx.2007-2021.zip</v>
      </c>
    </row>
    <row r="10052" spans="1:10" x14ac:dyDescent="0.25">
      <c r="A10052" t="s">
        <v>7128</v>
      </c>
      <c r="B10052" t="s">
        <v>814</v>
      </c>
      <c r="C10052" t="s">
        <v>7332</v>
      </c>
      <c r="D10052">
        <v>154160</v>
      </c>
      <c r="E10052" t="s">
        <v>14</v>
      </c>
      <c r="F10052">
        <v>44.562800000000003</v>
      </c>
      <c r="G10052">
        <v>24.7897</v>
      </c>
      <c r="H10052">
        <v>2</v>
      </c>
      <c r="I10052">
        <v>210</v>
      </c>
      <c r="J10052" t="str">
        <f>HYPERLINK("https://climate.onebuilding.org/WMO_Region_6_Europe/ROU_Romania/AG_Arges/ROU_AG_Stolnici.154160_TMYx.2009-2023.zip")</f>
        <v>https://climate.onebuilding.org/WMO_Region_6_Europe/ROU_Romania/AG_Arges/ROU_AG_Stolnici.154160_TMYx.2009-2023.zip</v>
      </c>
    </row>
    <row r="10053" spans="1:10" x14ac:dyDescent="0.25">
      <c r="A10053" t="s">
        <v>7128</v>
      </c>
      <c r="B10053" t="s">
        <v>814</v>
      </c>
      <c r="C10053" t="s">
        <v>7332</v>
      </c>
      <c r="D10053">
        <v>154160</v>
      </c>
      <c r="E10053" t="s">
        <v>14</v>
      </c>
      <c r="F10053">
        <v>44.562800000000003</v>
      </c>
      <c r="G10053">
        <v>24.7897</v>
      </c>
      <c r="H10053">
        <v>2</v>
      </c>
      <c r="I10053">
        <v>210</v>
      </c>
      <c r="J10053" t="str">
        <f>HYPERLINK("https://climate.onebuilding.org/WMO_Region_6_Europe/ROU_Romania/AG_Arges/ROU_AG_Stolnici.154160_TMYx.zip")</f>
        <v>https://climate.onebuilding.org/WMO_Region_6_Europe/ROU_Romania/AG_Arges/ROU_AG_Stolnici.154160_TMYx.zip</v>
      </c>
    </row>
    <row r="10054" spans="1:10" x14ac:dyDescent="0.25">
      <c r="A10054" t="s">
        <v>7128</v>
      </c>
      <c r="B10054" t="s">
        <v>57</v>
      </c>
      <c r="C10054" t="s">
        <v>7333</v>
      </c>
      <c r="D10054">
        <v>154190</v>
      </c>
      <c r="E10054" t="s">
        <v>14</v>
      </c>
      <c r="F10054">
        <v>44.652799999999999</v>
      </c>
      <c r="G10054">
        <v>25.5792</v>
      </c>
      <c r="H10054">
        <v>2</v>
      </c>
      <c r="I10054">
        <v>160.19999999999999</v>
      </c>
      <c r="J10054" t="str">
        <f>HYPERLINK("https://climate.onebuilding.org/WMO_Region_6_Europe/ROU_Romania/DB_Dambovita/ROU_DB_Titu.154190_TMYx.2007-2021.zip")</f>
        <v>https://climate.onebuilding.org/WMO_Region_6_Europe/ROU_Romania/DB_Dambovita/ROU_DB_Titu.154190_TMYx.2007-2021.zip</v>
      </c>
    </row>
    <row r="10055" spans="1:10" x14ac:dyDescent="0.25">
      <c r="A10055" t="s">
        <v>7128</v>
      </c>
      <c r="B10055" t="s">
        <v>57</v>
      </c>
      <c r="C10055" t="s">
        <v>7333</v>
      </c>
      <c r="D10055">
        <v>154190</v>
      </c>
      <c r="E10055" t="s">
        <v>14</v>
      </c>
      <c r="F10055">
        <v>44.652799999999999</v>
      </c>
      <c r="G10055">
        <v>25.5792</v>
      </c>
      <c r="H10055">
        <v>2</v>
      </c>
      <c r="I10055">
        <v>160.19999999999999</v>
      </c>
      <c r="J10055" t="str">
        <f>HYPERLINK("https://climate.onebuilding.org/WMO_Region_6_Europe/ROU_Romania/DB_Dambovita/ROU_DB_Titu.154190_TMYx.2009-2023.zip")</f>
        <v>https://climate.onebuilding.org/WMO_Region_6_Europe/ROU_Romania/DB_Dambovita/ROU_DB_Titu.154190_TMYx.2009-2023.zip</v>
      </c>
    </row>
    <row r="10056" spans="1:10" x14ac:dyDescent="0.25">
      <c r="A10056" t="s">
        <v>7128</v>
      </c>
      <c r="B10056" t="s">
        <v>57</v>
      </c>
      <c r="C10056" t="s">
        <v>7333</v>
      </c>
      <c r="D10056">
        <v>154190</v>
      </c>
      <c r="E10056" t="s">
        <v>14</v>
      </c>
      <c r="F10056">
        <v>44.652799999999999</v>
      </c>
      <c r="G10056">
        <v>25.5792</v>
      </c>
      <c r="H10056">
        <v>2</v>
      </c>
      <c r="I10056">
        <v>160.19999999999999</v>
      </c>
      <c r="J10056" t="str">
        <f>HYPERLINK("https://climate.onebuilding.org/WMO_Region_6_Europe/ROU_Romania/DB_Dambovita/ROU_DB_Titu.154190_TMYx.zip")</f>
        <v>https://climate.onebuilding.org/WMO_Region_6_Europe/ROU_Romania/DB_Dambovita/ROU_DB_Titu.154190_TMYx.zip</v>
      </c>
    </row>
    <row r="10057" spans="1:10" x14ac:dyDescent="0.25">
      <c r="A10057" t="s">
        <v>7128</v>
      </c>
      <c r="B10057" t="s">
        <v>7334</v>
      </c>
      <c r="C10057" t="s">
        <v>7335</v>
      </c>
      <c r="D10057">
        <v>154200</v>
      </c>
      <c r="E10057" t="s">
        <v>7336</v>
      </c>
      <c r="F10057">
        <v>44.510599999999997</v>
      </c>
      <c r="G10057">
        <v>26.078099999999999</v>
      </c>
      <c r="H10057">
        <v>2</v>
      </c>
      <c r="I10057">
        <v>91.2</v>
      </c>
      <c r="J10057" t="str">
        <f>HYPERLINK("https://climate.onebuilding.org/WMO_Region_6_Europe/ROU_Romania/B_Bucharest_City/ROU_B_Bucharest-Baneasa-Vlaicu.AP.154200_TMYx.2004-2018.zip")</f>
        <v>https://climate.onebuilding.org/WMO_Region_6_Europe/ROU_Romania/B_Bucharest_City/ROU_B_Bucharest-Baneasa-Vlaicu.AP.154200_TMYx.2004-2018.zip</v>
      </c>
    </row>
    <row r="10058" spans="1:10" x14ac:dyDescent="0.25">
      <c r="A10058" t="s">
        <v>7128</v>
      </c>
      <c r="B10058" t="s">
        <v>7334</v>
      </c>
      <c r="C10058" t="s">
        <v>7335</v>
      </c>
      <c r="D10058">
        <v>154200</v>
      </c>
      <c r="E10058" t="s">
        <v>14</v>
      </c>
      <c r="F10058">
        <v>44.510599999999997</v>
      </c>
      <c r="G10058">
        <v>26.078099999999999</v>
      </c>
      <c r="H10058">
        <v>2</v>
      </c>
      <c r="I10058">
        <v>91.2</v>
      </c>
      <c r="J10058" t="str">
        <f>HYPERLINK("https://climate.onebuilding.org/WMO_Region_6_Europe/ROU_Romania/B_Bucharest_City/ROU_B_Bucharest-Baneasa-Vlaicu.AP.154200_TMYx.2007-2021.zip")</f>
        <v>https://climate.onebuilding.org/WMO_Region_6_Europe/ROU_Romania/B_Bucharest_City/ROU_B_Bucharest-Baneasa-Vlaicu.AP.154200_TMYx.2007-2021.zip</v>
      </c>
    </row>
    <row r="10059" spans="1:10" x14ac:dyDescent="0.25">
      <c r="A10059" t="s">
        <v>7128</v>
      </c>
      <c r="B10059" t="s">
        <v>7334</v>
      </c>
      <c r="C10059" t="s">
        <v>7335</v>
      </c>
      <c r="D10059">
        <v>154200</v>
      </c>
      <c r="E10059" t="s">
        <v>14</v>
      </c>
      <c r="F10059">
        <v>44.510599999999997</v>
      </c>
      <c r="G10059">
        <v>26.078099999999999</v>
      </c>
      <c r="H10059">
        <v>2</v>
      </c>
      <c r="I10059">
        <v>91.2</v>
      </c>
      <c r="J10059" t="str">
        <f>HYPERLINK("https://climate.onebuilding.org/WMO_Region_6_Europe/ROU_Romania/B_Bucharest_City/ROU_B_Bucharest-Baneasa-Vlaicu.AP.154200_TMYx.2009-2023.zip")</f>
        <v>https://climate.onebuilding.org/WMO_Region_6_Europe/ROU_Romania/B_Bucharest_City/ROU_B_Bucharest-Baneasa-Vlaicu.AP.154200_TMYx.2009-2023.zip</v>
      </c>
    </row>
    <row r="10060" spans="1:10" x14ac:dyDescent="0.25">
      <c r="A10060" t="s">
        <v>7128</v>
      </c>
      <c r="B10060" t="s">
        <v>7334</v>
      </c>
      <c r="C10060" t="s">
        <v>7335</v>
      </c>
      <c r="D10060">
        <v>154200</v>
      </c>
      <c r="E10060" t="s">
        <v>14</v>
      </c>
      <c r="F10060">
        <v>44.510599999999997</v>
      </c>
      <c r="G10060">
        <v>26.078099999999999</v>
      </c>
      <c r="H10060">
        <v>2</v>
      </c>
      <c r="I10060">
        <v>91.2</v>
      </c>
      <c r="J10060" t="str">
        <f>HYPERLINK("https://climate.onebuilding.org/WMO_Region_6_Europe/ROU_Romania/B_Bucharest_City/ROU_B_Bucharest-Baneasa-Vlaicu.AP.154200_TMYx.zip")</f>
        <v>https://climate.onebuilding.org/WMO_Region_6_Europe/ROU_Romania/B_Bucharest_City/ROU_B_Bucharest-Baneasa-Vlaicu.AP.154200_TMYx.zip</v>
      </c>
    </row>
    <row r="10061" spans="1:10" x14ac:dyDescent="0.25">
      <c r="A10061" t="s">
        <v>7128</v>
      </c>
      <c r="B10061" t="s">
        <v>7133</v>
      </c>
      <c r="C10061" t="s">
        <v>7337</v>
      </c>
      <c r="D10061">
        <v>154210</v>
      </c>
      <c r="E10061" t="s">
        <v>7338</v>
      </c>
      <c r="F10061">
        <v>44.570999999999998</v>
      </c>
      <c r="G10061">
        <v>26.085000000000001</v>
      </c>
      <c r="H10061">
        <v>2</v>
      </c>
      <c r="I10061">
        <v>95.7</v>
      </c>
      <c r="J10061" t="str">
        <f>HYPERLINK("https://climate.onebuilding.org/WMO_Region_6_Europe/ROU_Romania/IL_Ialomita/ROU_IL_Bucharest-Afumati.154210_TMYx.2004-2018.zip")</f>
        <v>https://climate.onebuilding.org/WMO_Region_6_Europe/ROU_Romania/IL_Ialomita/ROU_IL_Bucharest-Afumati.154210_TMYx.2004-2018.zip</v>
      </c>
    </row>
    <row r="10062" spans="1:10" x14ac:dyDescent="0.25">
      <c r="A10062" t="s">
        <v>7128</v>
      </c>
      <c r="B10062" t="s">
        <v>7133</v>
      </c>
      <c r="C10062" t="s">
        <v>7337</v>
      </c>
      <c r="D10062">
        <v>154210</v>
      </c>
      <c r="E10062" t="s">
        <v>14</v>
      </c>
      <c r="F10062">
        <v>44.5</v>
      </c>
      <c r="G10062">
        <v>26.212800000000001</v>
      </c>
      <c r="H10062">
        <v>2</v>
      </c>
      <c r="I10062">
        <v>95.7</v>
      </c>
      <c r="J10062" t="str">
        <f>HYPERLINK("https://climate.onebuilding.org/WMO_Region_6_Europe/ROU_Romania/IL_Ialomita/ROU_IL_Bucharest-Afumati.154210_TMYx.2007-2021.zip")</f>
        <v>https://climate.onebuilding.org/WMO_Region_6_Europe/ROU_Romania/IL_Ialomita/ROU_IL_Bucharest-Afumati.154210_TMYx.2007-2021.zip</v>
      </c>
    </row>
    <row r="10063" spans="1:10" x14ac:dyDescent="0.25">
      <c r="A10063" t="s">
        <v>7128</v>
      </c>
      <c r="B10063" t="s">
        <v>7133</v>
      </c>
      <c r="C10063" t="s">
        <v>7337</v>
      </c>
      <c r="D10063">
        <v>154210</v>
      </c>
      <c r="E10063" t="s">
        <v>14</v>
      </c>
      <c r="F10063">
        <v>44.5</v>
      </c>
      <c r="G10063">
        <v>26.212800000000001</v>
      </c>
      <c r="H10063">
        <v>2</v>
      </c>
      <c r="I10063">
        <v>95.7</v>
      </c>
      <c r="J10063" t="str">
        <f>HYPERLINK("https://climate.onebuilding.org/WMO_Region_6_Europe/ROU_Romania/IL_Ialomita/ROU_IL_Bucharest-Afumati.154210_TMYx.2009-2023.zip")</f>
        <v>https://climate.onebuilding.org/WMO_Region_6_Europe/ROU_Romania/IL_Ialomita/ROU_IL_Bucharest-Afumati.154210_TMYx.2009-2023.zip</v>
      </c>
    </row>
    <row r="10064" spans="1:10" x14ac:dyDescent="0.25">
      <c r="A10064" t="s">
        <v>7128</v>
      </c>
      <c r="B10064" t="s">
        <v>7133</v>
      </c>
      <c r="C10064" t="s">
        <v>7337</v>
      </c>
      <c r="D10064">
        <v>154210</v>
      </c>
      <c r="E10064" t="s">
        <v>14</v>
      </c>
      <c r="F10064">
        <v>44.5</v>
      </c>
      <c r="G10064">
        <v>26.212800000000001</v>
      </c>
      <c r="H10064">
        <v>2</v>
      </c>
      <c r="I10064">
        <v>95.7</v>
      </c>
      <c r="J10064" t="str">
        <f>HYPERLINK("https://climate.onebuilding.org/WMO_Region_6_Europe/ROU_Romania/IL_Ialomita/ROU_IL_Bucharest-Afumati.154210_TMYx.zip")</f>
        <v>https://climate.onebuilding.org/WMO_Region_6_Europe/ROU_Romania/IL_Ialomita/ROU_IL_Bucharest-Afumati.154210_TMYx.zip</v>
      </c>
    </row>
    <row r="10065" spans="1:10" x14ac:dyDescent="0.25">
      <c r="A10065" t="s">
        <v>7128</v>
      </c>
      <c r="B10065" t="s">
        <v>7170</v>
      </c>
      <c r="C10065" t="s">
        <v>7339</v>
      </c>
      <c r="D10065">
        <v>154215</v>
      </c>
      <c r="E10065" t="s">
        <v>7340</v>
      </c>
      <c r="F10065">
        <v>46.502000000000002</v>
      </c>
      <c r="G10065">
        <v>23.885999999999999</v>
      </c>
      <c r="H10065">
        <v>2</v>
      </c>
      <c r="I10065">
        <v>330.1</v>
      </c>
      <c r="J10065" t="str">
        <f>HYPERLINK("https://climate.onebuilding.org/WMO_Region_6_Europe/ROU_Romania/CJ_Cluj/ROU_CJ_Campia.Turzii-71st.AB.154215_TMYx.2004-2018.zip")</f>
        <v>https://climate.onebuilding.org/WMO_Region_6_Europe/ROU_Romania/CJ_Cluj/ROU_CJ_Campia.Turzii-71st.AB.154215_TMYx.2004-2018.zip</v>
      </c>
    </row>
    <row r="10066" spans="1:10" x14ac:dyDescent="0.25">
      <c r="A10066" t="s">
        <v>7128</v>
      </c>
      <c r="B10066" t="s">
        <v>7170</v>
      </c>
      <c r="C10066" t="s">
        <v>7339</v>
      </c>
      <c r="D10066">
        <v>154215</v>
      </c>
      <c r="E10066" t="s">
        <v>14</v>
      </c>
      <c r="F10066">
        <v>46.502000000000002</v>
      </c>
      <c r="G10066">
        <v>23.885999999999999</v>
      </c>
      <c r="H10066">
        <v>2</v>
      </c>
      <c r="I10066">
        <v>330.1</v>
      </c>
      <c r="J10066" t="str">
        <f>HYPERLINK("https://climate.onebuilding.org/WMO_Region_6_Europe/ROU_Romania/CJ_Cluj/ROU_CJ_Campia.Turzii-71st.AB.154215_TMYx.2007-2021.zip")</f>
        <v>https://climate.onebuilding.org/WMO_Region_6_Europe/ROU_Romania/CJ_Cluj/ROU_CJ_Campia.Turzii-71st.AB.154215_TMYx.2007-2021.zip</v>
      </c>
    </row>
    <row r="10067" spans="1:10" x14ac:dyDescent="0.25">
      <c r="A10067" t="s">
        <v>7128</v>
      </c>
      <c r="B10067" t="s">
        <v>7170</v>
      </c>
      <c r="C10067" t="s">
        <v>7339</v>
      </c>
      <c r="D10067">
        <v>154215</v>
      </c>
      <c r="E10067" t="s">
        <v>14</v>
      </c>
      <c r="F10067">
        <v>46.502000000000002</v>
      </c>
      <c r="G10067">
        <v>23.885999999999999</v>
      </c>
      <c r="H10067">
        <v>2</v>
      </c>
      <c r="I10067">
        <v>330.1</v>
      </c>
      <c r="J10067" t="str">
        <f>HYPERLINK("https://climate.onebuilding.org/WMO_Region_6_Europe/ROU_Romania/CJ_Cluj/ROU_CJ_Campia.Turzii-71st.AB.154215_TMYx.2009-2023.zip")</f>
        <v>https://climate.onebuilding.org/WMO_Region_6_Europe/ROU_Romania/CJ_Cluj/ROU_CJ_Campia.Turzii-71st.AB.154215_TMYx.2009-2023.zip</v>
      </c>
    </row>
    <row r="10068" spans="1:10" x14ac:dyDescent="0.25">
      <c r="A10068" t="s">
        <v>7128</v>
      </c>
      <c r="B10068" t="s">
        <v>7170</v>
      </c>
      <c r="C10068" t="s">
        <v>7339</v>
      </c>
      <c r="D10068">
        <v>154215</v>
      </c>
      <c r="E10068" t="s">
        <v>14</v>
      </c>
      <c r="F10068">
        <v>46.502000000000002</v>
      </c>
      <c r="G10068">
        <v>23.885999999999999</v>
      </c>
      <c r="H10068">
        <v>2</v>
      </c>
      <c r="I10068">
        <v>330.1</v>
      </c>
      <c r="J10068" t="str">
        <f>HYPERLINK("https://climate.onebuilding.org/WMO_Region_6_Europe/ROU_Romania/CJ_Cluj/ROU_CJ_Campia.Turzii-71st.AB.154215_TMYx.zip")</f>
        <v>https://climate.onebuilding.org/WMO_Region_6_Europe/ROU_Romania/CJ_Cluj/ROU_CJ_Campia.Turzii-71st.AB.154215_TMYx.zip</v>
      </c>
    </row>
    <row r="10069" spans="1:10" x14ac:dyDescent="0.25">
      <c r="A10069" t="s">
        <v>7128</v>
      </c>
      <c r="B10069" t="s">
        <v>7334</v>
      </c>
      <c r="C10069" t="s">
        <v>7341</v>
      </c>
      <c r="D10069">
        <v>154220</v>
      </c>
      <c r="E10069" t="s">
        <v>14</v>
      </c>
      <c r="F10069">
        <v>44.411900000000003</v>
      </c>
      <c r="G10069">
        <v>26.093900000000001</v>
      </c>
      <c r="H10069">
        <v>2</v>
      </c>
      <c r="I10069">
        <v>83.5</v>
      </c>
      <c r="J10069" t="str">
        <f>HYPERLINK("https://climate.onebuilding.org/WMO_Region_6_Europe/ROU_Romania/B_Bucharest_City/ROU_B_Bucharest.154220_TMYx.2007-2021.zip")</f>
        <v>https://climate.onebuilding.org/WMO_Region_6_Europe/ROU_Romania/B_Bucharest_City/ROU_B_Bucharest.154220_TMYx.2007-2021.zip</v>
      </c>
    </row>
    <row r="10070" spans="1:10" x14ac:dyDescent="0.25">
      <c r="A10070" t="s">
        <v>7128</v>
      </c>
      <c r="B10070" t="s">
        <v>7334</v>
      </c>
      <c r="C10070" t="s">
        <v>7341</v>
      </c>
      <c r="D10070">
        <v>154220</v>
      </c>
      <c r="E10070" t="s">
        <v>14</v>
      </c>
      <c r="F10070">
        <v>44.411900000000003</v>
      </c>
      <c r="G10070">
        <v>26.093900000000001</v>
      </c>
      <c r="H10070">
        <v>2</v>
      </c>
      <c r="I10070">
        <v>83.5</v>
      </c>
      <c r="J10070" t="str">
        <f>HYPERLINK("https://climate.onebuilding.org/WMO_Region_6_Europe/ROU_Romania/B_Bucharest_City/ROU_B_Bucharest.154220_TMYx.2009-2023.zip")</f>
        <v>https://climate.onebuilding.org/WMO_Region_6_Europe/ROU_Romania/B_Bucharest_City/ROU_B_Bucharest.154220_TMYx.2009-2023.zip</v>
      </c>
    </row>
    <row r="10071" spans="1:10" x14ac:dyDescent="0.25">
      <c r="A10071" t="s">
        <v>7128</v>
      </c>
      <c r="B10071" t="s">
        <v>7334</v>
      </c>
      <c r="C10071" t="s">
        <v>7341</v>
      </c>
      <c r="D10071">
        <v>154220</v>
      </c>
      <c r="E10071" t="s">
        <v>14</v>
      </c>
      <c r="F10071">
        <v>44.411900000000003</v>
      </c>
      <c r="G10071">
        <v>26.093900000000001</v>
      </c>
      <c r="H10071">
        <v>2</v>
      </c>
      <c r="I10071">
        <v>83.5</v>
      </c>
      <c r="J10071" t="str">
        <f>HYPERLINK("https://climate.onebuilding.org/WMO_Region_6_Europe/ROU_Romania/B_Bucharest_City/ROU_B_Bucharest.154220_TMYx.zip")</f>
        <v>https://climate.onebuilding.org/WMO_Region_6_Europe/ROU_Romania/B_Bucharest_City/ROU_B_Bucharest.154220_TMYx.zip</v>
      </c>
    </row>
    <row r="10072" spans="1:10" x14ac:dyDescent="0.25">
      <c r="A10072" t="s">
        <v>7128</v>
      </c>
      <c r="B10072" t="s">
        <v>2008</v>
      </c>
      <c r="C10072" t="s">
        <v>7342</v>
      </c>
      <c r="D10072">
        <v>154240</v>
      </c>
      <c r="E10072" t="s">
        <v>14</v>
      </c>
      <c r="F10072">
        <v>44.466999999999999</v>
      </c>
      <c r="G10072">
        <v>26.516999999999999</v>
      </c>
      <c r="H10072">
        <v>2</v>
      </c>
      <c r="I10072">
        <v>67</v>
      </c>
      <c r="J10072" t="str">
        <f>HYPERLINK("https://climate.onebuilding.org/WMO_Region_6_Europe/ROU_Romania/CL_Calarasi/ROU_CL_Fundulea.154240_TMYx.zip")</f>
        <v>https://climate.onebuilding.org/WMO_Region_6_Europe/ROU_Romania/CL_Calarasi/ROU_CL_Fundulea.154240_TMYx.zip</v>
      </c>
    </row>
    <row r="10073" spans="1:10" x14ac:dyDescent="0.25">
      <c r="A10073" t="s">
        <v>7128</v>
      </c>
      <c r="B10073" t="s">
        <v>7133</v>
      </c>
      <c r="C10073" t="s">
        <v>7343</v>
      </c>
      <c r="D10073">
        <v>154250</v>
      </c>
      <c r="E10073" t="s">
        <v>14</v>
      </c>
      <c r="F10073">
        <v>44.552799999999998</v>
      </c>
      <c r="G10073">
        <v>27.383600000000001</v>
      </c>
      <c r="H10073">
        <v>2</v>
      </c>
      <c r="I10073">
        <v>52.4</v>
      </c>
      <c r="J10073" t="str">
        <f>HYPERLINK("https://climate.onebuilding.org/WMO_Region_6_Europe/ROU_Romania/IL_Ialomita/ROU_IL_Slobozia.154250_TMYx.2007-2021.zip")</f>
        <v>https://climate.onebuilding.org/WMO_Region_6_Europe/ROU_Romania/IL_Ialomita/ROU_IL_Slobozia.154250_TMYx.2007-2021.zip</v>
      </c>
    </row>
    <row r="10074" spans="1:10" x14ac:dyDescent="0.25">
      <c r="A10074" t="s">
        <v>7128</v>
      </c>
      <c r="B10074" t="s">
        <v>7133</v>
      </c>
      <c r="C10074" t="s">
        <v>7343</v>
      </c>
      <c r="D10074">
        <v>154250</v>
      </c>
      <c r="E10074" t="s">
        <v>14</v>
      </c>
      <c r="F10074">
        <v>44.552799999999998</v>
      </c>
      <c r="G10074">
        <v>27.383600000000001</v>
      </c>
      <c r="H10074">
        <v>2</v>
      </c>
      <c r="I10074">
        <v>52.4</v>
      </c>
      <c r="J10074" t="str">
        <f>HYPERLINK("https://climate.onebuilding.org/WMO_Region_6_Europe/ROU_Romania/IL_Ialomita/ROU_IL_Slobozia.154250_TMYx.2009-2023.zip")</f>
        <v>https://climate.onebuilding.org/WMO_Region_6_Europe/ROU_Romania/IL_Ialomita/ROU_IL_Slobozia.154250_TMYx.2009-2023.zip</v>
      </c>
    </row>
    <row r="10075" spans="1:10" x14ac:dyDescent="0.25">
      <c r="A10075" t="s">
        <v>7128</v>
      </c>
      <c r="B10075" t="s">
        <v>7133</v>
      </c>
      <c r="C10075" t="s">
        <v>7343</v>
      </c>
      <c r="D10075">
        <v>154250</v>
      </c>
      <c r="E10075" t="s">
        <v>14</v>
      </c>
      <c r="F10075">
        <v>44.552799999999998</v>
      </c>
      <c r="G10075">
        <v>27.383600000000001</v>
      </c>
      <c r="H10075">
        <v>2</v>
      </c>
      <c r="I10075">
        <v>52.4</v>
      </c>
      <c r="J10075" t="str">
        <f>HYPERLINK("https://climate.onebuilding.org/WMO_Region_6_Europe/ROU_Romania/IL_Ialomita/ROU_IL_Slobozia.154250_TMYx.zip")</f>
        <v>https://climate.onebuilding.org/WMO_Region_6_Europe/ROU_Romania/IL_Ialomita/ROU_IL_Slobozia.154250_TMYx.zip</v>
      </c>
    </row>
    <row r="10076" spans="1:10" x14ac:dyDescent="0.25">
      <c r="A10076" t="s">
        <v>7128</v>
      </c>
      <c r="B10076" t="s">
        <v>7292</v>
      </c>
      <c r="C10076" t="s">
        <v>7344</v>
      </c>
      <c r="D10076">
        <v>154280</v>
      </c>
      <c r="E10076" t="s">
        <v>14</v>
      </c>
      <c r="F10076">
        <v>44.689700000000002</v>
      </c>
      <c r="G10076">
        <v>28.998899999999999</v>
      </c>
      <c r="H10076">
        <v>2</v>
      </c>
      <c r="I10076">
        <v>3.2</v>
      </c>
      <c r="J10076" t="str">
        <f>HYPERLINK("https://climate.onebuilding.org/WMO_Region_6_Europe/ROU_Romania/TL_Tulcea/ROU_TL_Gura.Portitei.154280_TMYx.2007-2021.zip")</f>
        <v>https://climate.onebuilding.org/WMO_Region_6_Europe/ROU_Romania/TL_Tulcea/ROU_TL_Gura.Portitei.154280_TMYx.2007-2021.zip</v>
      </c>
    </row>
    <row r="10077" spans="1:10" x14ac:dyDescent="0.25">
      <c r="A10077" t="s">
        <v>7128</v>
      </c>
      <c r="B10077" t="s">
        <v>7292</v>
      </c>
      <c r="C10077" t="s">
        <v>7344</v>
      </c>
      <c r="D10077">
        <v>154280</v>
      </c>
      <c r="E10077" t="s">
        <v>14</v>
      </c>
      <c r="F10077">
        <v>44.689700000000002</v>
      </c>
      <c r="G10077">
        <v>28.998899999999999</v>
      </c>
      <c r="H10077">
        <v>2</v>
      </c>
      <c r="I10077">
        <v>3.2</v>
      </c>
      <c r="J10077" t="str">
        <f>HYPERLINK("https://climate.onebuilding.org/WMO_Region_6_Europe/ROU_Romania/TL_Tulcea/ROU_TL_Gura.Portitei.154280_TMYx.2009-2023.zip")</f>
        <v>https://climate.onebuilding.org/WMO_Region_6_Europe/ROU_Romania/TL_Tulcea/ROU_TL_Gura.Portitei.154280_TMYx.2009-2023.zip</v>
      </c>
    </row>
    <row r="10078" spans="1:10" x14ac:dyDescent="0.25">
      <c r="A10078" t="s">
        <v>7128</v>
      </c>
      <c r="B10078" t="s">
        <v>7292</v>
      </c>
      <c r="C10078" t="s">
        <v>7344</v>
      </c>
      <c r="D10078">
        <v>154280</v>
      </c>
      <c r="E10078" t="s">
        <v>14</v>
      </c>
      <c r="F10078">
        <v>44.689700000000002</v>
      </c>
      <c r="G10078">
        <v>28.998899999999999</v>
      </c>
      <c r="H10078">
        <v>2</v>
      </c>
      <c r="I10078">
        <v>3.2</v>
      </c>
      <c r="J10078" t="str">
        <f>HYPERLINK("https://climate.onebuilding.org/WMO_Region_6_Europe/ROU_Romania/TL_Tulcea/ROU_TL_Gura.Portitei.154280_TMYx.zip")</f>
        <v>https://climate.onebuilding.org/WMO_Region_6_Europe/ROU_Romania/TL_Tulcea/ROU_TL_Gura.Portitei.154280_TMYx.zip</v>
      </c>
    </row>
    <row r="10079" spans="1:10" x14ac:dyDescent="0.25">
      <c r="A10079" t="s">
        <v>7128</v>
      </c>
      <c r="B10079" t="s">
        <v>2008</v>
      </c>
      <c r="C10079" t="s">
        <v>7345</v>
      </c>
      <c r="D10079">
        <v>154290</v>
      </c>
      <c r="E10079" t="s">
        <v>14</v>
      </c>
      <c r="F10079">
        <v>44.417000000000002</v>
      </c>
      <c r="G10079">
        <v>26.65</v>
      </c>
      <c r="H10079">
        <v>2</v>
      </c>
      <c r="I10079">
        <v>88</v>
      </c>
      <c r="J10079" t="str">
        <f>HYPERLINK("https://climate.onebuilding.org/WMO_Region_6_Europe/ROU_Romania/CL_Calarasi/ROU_CL_Sarulesti.154290_TMYx.zip")</f>
        <v>https://climate.onebuilding.org/WMO_Region_6_Europe/ROU_Romania/CL_Calarasi/ROU_CL_Sarulesti.154290_TMYx.zip</v>
      </c>
    </row>
    <row r="10080" spans="1:10" x14ac:dyDescent="0.25">
      <c r="A10080" t="s">
        <v>7128</v>
      </c>
      <c r="B10080" t="s">
        <v>7346</v>
      </c>
      <c r="C10080" t="s">
        <v>7347</v>
      </c>
      <c r="D10080">
        <v>154340</v>
      </c>
      <c r="E10080" t="s">
        <v>14</v>
      </c>
      <c r="F10080">
        <v>44.4422</v>
      </c>
      <c r="G10080">
        <v>24.354399999999998</v>
      </c>
      <c r="H10080">
        <v>2</v>
      </c>
      <c r="I10080">
        <v>173.3</v>
      </c>
      <c r="J10080" t="str">
        <f>HYPERLINK("https://climate.onebuilding.org/WMO_Region_6_Europe/ROU_Romania/OT_Olt/ROU_OT_Slatina.154340_TMYx.2007-2021.zip")</f>
        <v>https://climate.onebuilding.org/WMO_Region_6_Europe/ROU_Romania/OT_Olt/ROU_OT_Slatina.154340_TMYx.2007-2021.zip</v>
      </c>
    </row>
    <row r="10081" spans="1:10" x14ac:dyDescent="0.25">
      <c r="A10081" t="s">
        <v>7128</v>
      </c>
      <c r="B10081" t="s">
        <v>7346</v>
      </c>
      <c r="C10081" t="s">
        <v>7347</v>
      </c>
      <c r="D10081">
        <v>154340</v>
      </c>
      <c r="E10081" t="s">
        <v>14</v>
      </c>
      <c r="F10081">
        <v>44.4422</v>
      </c>
      <c r="G10081">
        <v>24.354399999999998</v>
      </c>
      <c r="H10081">
        <v>2</v>
      </c>
      <c r="I10081">
        <v>173.3</v>
      </c>
      <c r="J10081" t="str">
        <f>HYPERLINK("https://climate.onebuilding.org/WMO_Region_6_Europe/ROU_Romania/OT_Olt/ROU_OT_Slatina.154340_TMYx.2009-2023.zip")</f>
        <v>https://climate.onebuilding.org/WMO_Region_6_Europe/ROU_Romania/OT_Olt/ROU_OT_Slatina.154340_TMYx.2009-2023.zip</v>
      </c>
    </row>
    <row r="10082" spans="1:10" x14ac:dyDescent="0.25">
      <c r="A10082" t="s">
        <v>7128</v>
      </c>
      <c r="B10082" t="s">
        <v>7346</v>
      </c>
      <c r="C10082" t="s">
        <v>7347</v>
      </c>
      <c r="D10082">
        <v>154340</v>
      </c>
      <c r="E10082" t="s">
        <v>14</v>
      </c>
      <c r="F10082">
        <v>44.4422</v>
      </c>
      <c r="G10082">
        <v>24.354399999999998</v>
      </c>
      <c r="H10082">
        <v>2</v>
      </c>
      <c r="I10082">
        <v>173.3</v>
      </c>
      <c r="J10082" t="str">
        <f>HYPERLINK("https://climate.onebuilding.org/WMO_Region_6_Europe/ROU_Romania/OT_Olt/ROU_OT_Slatina.154340_TMYx.zip")</f>
        <v>https://climate.onebuilding.org/WMO_Region_6_Europe/ROU_Romania/OT_Olt/ROU_OT_Slatina.154340_TMYx.zip</v>
      </c>
    </row>
    <row r="10083" spans="1:10" x14ac:dyDescent="0.25">
      <c r="A10083" t="s">
        <v>7128</v>
      </c>
      <c r="B10083" t="s">
        <v>2008</v>
      </c>
      <c r="C10083" t="s">
        <v>7348</v>
      </c>
      <c r="D10083">
        <v>154430</v>
      </c>
      <c r="E10083" t="s">
        <v>14</v>
      </c>
      <c r="F10083">
        <v>44.45</v>
      </c>
      <c r="G10083">
        <v>26.917000000000002</v>
      </c>
      <c r="H10083">
        <v>2</v>
      </c>
      <c r="I10083">
        <v>40</v>
      </c>
      <c r="J10083" t="str">
        <f>HYPERLINK("https://climate.onebuilding.org/WMO_Region_6_Europe/ROU_Romania/CL_Calarasi/ROU_CL_Dor.Marunt.154430_TMYx.zip")</f>
        <v>https://climate.onebuilding.org/WMO_Region_6_Europe/ROU_Romania/CL_Calarasi/ROU_CL_Dor.Marunt.154430_TMYx.zip</v>
      </c>
    </row>
    <row r="10084" spans="1:10" x14ac:dyDescent="0.25">
      <c r="A10084" t="s">
        <v>7128</v>
      </c>
      <c r="B10084" t="s">
        <v>7133</v>
      </c>
      <c r="C10084" t="s">
        <v>7349</v>
      </c>
      <c r="D10084">
        <v>154440</v>
      </c>
      <c r="E10084" t="s">
        <v>14</v>
      </c>
      <c r="F10084">
        <v>44.391399999999997</v>
      </c>
      <c r="G10084">
        <v>27.838899999999999</v>
      </c>
      <c r="H10084">
        <v>2</v>
      </c>
      <c r="I10084">
        <v>61</v>
      </c>
      <c r="J10084" t="str">
        <f>HYPERLINK("https://climate.onebuilding.org/WMO_Region_6_Europe/ROU_Romania/IL_Ialomita/ROU_IL_Fetesti.154440_TMYx.2007-2021.zip")</f>
        <v>https://climate.onebuilding.org/WMO_Region_6_Europe/ROU_Romania/IL_Ialomita/ROU_IL_Fetesti.154440_TMYx.2007-2021.zip</v>
      </c>
    </row>
    <row r="10085" spans="1:10" x14ac:dyDescent="0.25">
      <c r="A10085" t="s">
        <v>7128</v>
      </c>
      <c r="B10085" t="s">
        <v>7133</v>
      </c>
      <c r="C10085" t="s">
        <v>7349</v>
      </c>
      <c r="D10085">
        <v>154440</v>
      </c>
      <c r="E10085" t="s">
        <v>14</v>
      </c>
      <c r="F10085">
        <v>44.391399999999997</v>
      </c>
      <c r="G10085">
        <v>27.838899999999999</v>
      </c>
      <c r="H10085">
        <v>2</v>
      </c>
      <c r="I10085">
        <v>61</v>
      </c>
      <c r="J10085" t="str">
        <f>HYPERLINK("https://climate.onebuilding.org/WMO_Region_6_Europe/ROU_Romania/IL_Ialomita/ROU_IL_Fetesti.154440_TMYx.2009-2023.zip")</f>
        <v>https://climate.onebuilding.org/WMO_Region_6_Europe/ROU_Romania/IL_Ialomita/ROU_IL_Fetesti.154440_TMYx.2009-2023.zip</v>
      </c>
    </row>
    <row r="10086" spans="1:10" x14ac:dyDescent="0.25">
      <c r="A10086" t="s">
        <v>7128</v>
      </c>
      <c r="B10086" t="s">
        <v>7133</v>
      </c>
      <c r="C10086" t="s">
        <v>7349</v>
      </c>
      <c r="D10086">
        <v>154440</v>
      </c>
      <c r="E10086" t="s">
        <v>14</v>
      </c>
      <c r="F10086">
        <v>44.391399999999997</v>
      </c>
      <c r="G10086">
        <v>27.838899999999999</v>
      </c>
      <c r="H10086">
        <v>2</v>
      </c>
      <c r="I10086">
        <v>61</v>
      </c>
      <c r="J10086" t="str">
        <f>HYPERLINK("https://climate.onebuilding.org/WMO_Region_6_Europe/ROU_Romania/IL_Ialomita/ROU_IL_Fetesti.154440_TMYx.zip")</f>
        <v>https://climate.onebuilding.org/WMO_Region_6_Europe/ROU_Romania/IL_Ialomita/ROU_IL_Fetesti.154440_TMYx.zip</v>
      </c>
    </row>
    <row r="10087" spans="1:10" x14ac:dyDescent="0.25">
      <c r="A10087" t="s">
        <v>7128</v>
      </c>
      <c r="B10087" t="s">
        <v>2042</v>
      </c>
      <c r="C10087" t="s">
        <v>7350</v>
      </c>
      <c r="D10087">
        <v>154450</v>
      </c>
      <c r="E10087" t="s">
        <v>14</v>
      </c>
      <c r="F10087">
        <v>44.345599999999997</v>
      </c>
      <c r="G10087">
        <v>28.043600000000001</v>
      </c>
      <c r="H10087">
        <v>2</v>
      </c>
      <c r="I10087">
        <v>88.4</v>
      </c>
      <c r="J10087" t="str">
        <f>HYPERLINK("https://climate.onebuilding.org/WMO_Region_6_Europe/ROU_Romania/CT_Constanta/ROU_CT_Cernavoda.154450_TMYx.2007-2021.zip")</f>
        <v>https://climate.onebuilding.org/WMO_Region_6_Europe/ROU_Romania/CT_Constanta/ROU_CT_Cernavoda.154450_TMYx.2007-2021.zip</v>
      </c>
    </row>
    <row r="10088" spans="1:10" x14ac:dyDescent="0.25">
      <c r="A10088" t="s">
        <v>7128</v>
      </c>
      <c r="B10088" t="s">
        <v>2042</v>
      </c>
      <c r="C10088" t="s">
        <v>7350</v>
      </c>
      <c r="D10088">
        <v>154450</v>
      </c>
      <c r="E10088" t="s">
        <v>14</v>
      </c>
      <c r="F10088">
        <v>44.345599999999997</v>
      </c>
      <c r="G10088">
        <v>28.043600000000001</v>
      </c>
      <c r="H10088">
        <v>2</v>
      </c>
      <c r="I10088">
        <v>88.4</v>
      </c>
      <c r="J10088" t="str">
        <f>HYPERLINK("https://climate.onebuilding.org/WMO_Region_6_Europe/ROU_Romania/CT_Constanta/ROU_CT_Cernavoda.154450_TMYx.2009-2023.zip")</f>
        <v>https://climate.onebuilding.org/WMO_Region_6_Europe/ROU_Romania/CT_Constanta/ROU_CT_Cernavoda.154450_TMYx.2009-2023.zip</v>
      </c>
    </row>
    <row r="10089" spans="1:10" x14ac:dyDescent="0.25">
      <c r="A10089" t="s">
        <v>7128</v>
      </c>
      <c r="B10089" t="s">
        <v>2042</v>
      </c>
      <c r="C10089" t="s">
        <v>7350</v>
      </c>
      <c r="D10089">
        <v>154450</v>
      </c>
      <c r="E10089" t="s">
        <v>14</v>
      </c>
      <c r="F10089">
        <v>44.345599999999997</v>
      </c>
      <c r="G10089">
        <v>28.043600000000001</v>
      </c>
      <c r="H10089">
        <v>2</v>
      </c>
      <c r="I10089">
        <v>88.4</v>
      </c>
      <c r="J10089" t="str">
        <f>HYPERLINK("https://climate.onebuilding.org/WMO_Region_6_Europe/ROU_Romania/CT_Constanta/ROU_CT_Cernavoda.154450_TMYx.zip")</f>
        <v>https://climate.onebuilding.org/WMO_Region_6_Europe/ROU_Romania/CT_Constanta/ROU_CT_Cernavoda.154450_TMYx.zip</v>
      </c>
    </row>
    <row r="10090" spans="1:10" x14ac:dyDescent="0.25">
      <c r="A10090" t="s">
        <v>7128</v>
      </c>
      <c r="B10090" t="s">
        <v>7351</v>
      </c>
      <c r="C10090" t="s">
        <v>7352</v>
      </c>
      <c r="D10090">
        <v>154500</v>
      </c>
      <c r="E10090" t="s">
        <v>7353</v>
      </c>
      <c r="F10090">
        <v>44.310299999999998</v>
      </c>
      <c r="G10090">
        <v>23.866900000000001</v>
      </c>
      <c r="H10090">
        <v>2</v>
      </c>
      <c r="I10090">
        <v>190.8</v>
      </c>
      <c r="J10090" t="str">
        <f>HYPERLINK("https://climate.onebuilding.org/WMO_Region_6_Europe/ROU_Romania/DJ_Dolj/ROU_DJ_Craiova.Intl.AP.154500_TMYx.2004-2018.zip")</f>
        <v>https://climate.onebuilding.org/WMO_Region_6_Europe/ROU_Romania/DJ_Dolj/ROU_DJ_Craiova.Intl.AP.154500_TMYx.2004-2018.zip</v>
      </c>
    </row>
    <row r="10091" spans="1:10" x14ac:dyDescent="0.25">
      <c r="A10091" t="s">
        <v>7128</v>
      </c>
      <c r="B10091" t="s">
        <v>7351</v>
      </c>
      <c r="C10091" t="s">
        <v>7352</v>
      </c>
      <c r="D10091">
        <v>154500</v>
      </c>
      <c r="E10091" t="s">
        <v>14</v>
      </c>
      <c r="F10091">
        <v>44.310299999999998</v>
      </c>
      <c r="G10091">
        <v>23.866900000000001</v>
      </c>
      <c r="H10091">
        <v>2</v>
      </c>
      <c r="I10091">
        <v>190.8</v>
      </c>
      <c r="J10091" t="str">
        <f>HYPERLINK("https://climate.onebuilding.org/WMO_Region_6_Europe/ROU_Romania/DJ_Dolj/ROU_DJ_Craiova.Intl.AP.154500_TMYx.2007-2021.zip")</f>
        <v>https://climate.onebuilding.org/WMO_Region_6_Europe/ROU_Romania/DJ_Dolj/ROU_DJ_Craiova.Intl.AP.154500_TMYx.2007-2021.zip</v>
      </c>
    </row>
    <row r="10092" spans="1:10" x14ac:dyDescent="0.25">
      <c r="A10092" t="s">
        <v>7128</v>
      </c>
      <c r="B10092" t="s">
        <v>7351</v>
      </c>
      <c r="C10092" t="s">
        <v>7352</v>
      </c>
      <c r="D10092">
        <v>154500</v>
      </c>
      <c r="E10092" t="s">
        <v>14</v>
      </c>
      <c r="F10092">
        <v>44.310299999999998</v>
      </c>
      <c r="G10092">
        <v>23.866900000000001</v>
      </c>
      <c r="H10092">
        <v>2</v>
      </c>
      <c r="I10092">
        <v>190.8</v>
      </c>
      <c r="J10092" t="str">
        <f>HYPERLINK("https://climate.onebuilding.org/WMO_Region_6_Europe/ROU_Romania/DJ_Dolj/ROU_DJ_Craiova.Intl.AP.154500_TMYx.2009-2023.zip")</f>
        <v>https://climate.onebuilding.org/WMO_Region_6_Europe/ROU_Romania/DJ_Dolj/ROU_DJ_Craiova.Intl.AP.154500_TMYx.2009-2023.zip</v>
      </c>
    </row>
    <row r="10093" spans="1:10" x14ac:dyDescent="0.25">
      <c r="A10093" t="s">
        <v>7128</v>
      </c>
      <c r="B10093" t="s">
        <v>7351</v>
      </c>
      <c r="C10093" t="s">
        <v>7352</v>
      </c>
      <c r="D10093">
        <v>154500</v>
      </c>
      <c r="E10093" t="s">
        <v>14</v>
      </c>
      <c r="F10093">
        <v>44.310299999999998</v>
      </c>
      <c r="G10093">
        <v>23.866900000000001</v>
      </c>
      <c r="H10093">
        <v>2</v>
      </c>
      <c r="I10093">
        <v>190.8</v>
      </c>
      <c r="J10093" t="str">
        <f>HYPERLINK("https://climate.onebuilding.org/WMO_Region_6_Europe/ROU_Romania/DJ_Dolj/ROU_DJ_Craiova.Intl.AP.154500_TMYx.zip")</f>
        <v>https://climate.onebuilding.org/WMO_Region_6_Europe/ROU_Romania/DJ_Dolj/ROU_DJ_Craiova.Intl.AP.154500_TMYx.zip</v>
      </c>
    </row>
    <row r="10094" spans="1:10" x14ac:dyDescent="0.25">
      <c r="A10094" t="s">
        <v>7128</v>
      </c>
      <c r="B10094" t="s">
        <v>155</v>
      </c>
      <c r="C10094" t="s">
        <v>7354</v>
      </c>
      <c r="D10094">
        <v>154550</v>
      </c>
      <c r="E10094" t="s">
        <v>14</v>
      </c>
      <c r="F10094">
        <v>44.282800000000002</v>
      </c>
      <c r="G10094">
        <v>25.536899999999999</v>
      </c>
      <c r="H10094">
        <v>2</v>
      </c>
      <c r="I10094">
        <v>107.7</v>
      </c>
      <c r="J10094" t="str">
        <f>HYPERLINK("https://climate.onebuilding.org/WMO_Region_6_Europe/ROU_Romania/TR_Teleorman/ROU_TR_Videle.154550_TMYx.2007-2021.zip")</f>
        <v>https://climate.onebuilding.org/WMO_Region_6_Europe/ROU_Romania/TR_Teleorman/ROU_TR_Videle.154550_TMYx.2007-2021.zip</v>
      </c>
    </row>
    <row r="10095" spans="1:10" x14ac:dyDescent="0.25">
      <c r="A10095" t="s">
        <v>7128</v>
      </c>
      <c r="B10095" t="s">
        <v>155</v>
      </c>
      <c r="C10095" t="s">
        <v>7354</v>
      </c>
      <c r="D10095">
        <v>154550</v>
      </c>
      <c r="E10095" t="s">
        <v>14</v>
      </c>
      <c r="F10095">
        <v>44.282800000000002</v>
      </c>
      <c r="G10095">
        <v>25.536899999999999</v>
      </c>
      <c r="H10095">
        <v>2</v>
      </c>
      <c r="I10095">
        <v>107.7</v>
      </c>
      <c r="J10095" t="str">
        <f>HYPERLINK("https://climate.onebuilding.org/WMO_Region_6_Europe/ROU_Romania/TR_Teleorman/ROU_TR_Videle.154550_TMYx.2009-2023.zip")</f>
        <v>https://climate.onebuilding.org/WMO_Region_6_Europe/ROU_Romania/TR_Teleorman/ROU_TR_Videle.154550_TMYx.2009-2023.zip</v>
      </c>
    </row>
    <row r="10096" spans="1:10" x14ac:dyDescent="0.25">
      <c r="A10096" t="s">
        <v>7128</v>
      </c>
      <c r="B10096" t="s">
        <v>155</v>
      </c>
      <c r="C10096" t="s">
        <v>7354</v>
      </c>
      <c r="D10096">
        <v>154550</v>
      </c>
      <c r="E10096" t="s">
        <v>14</v>
      </c>
      <c r="F10096">
        <v>44.282800000000002</v>
      </c>
      <c r="G10096">
        <v>25.536899999999999</v>
      </c>
      <c r="H10096">
        <v>2</v>
      </c>
      <c r="I10096">
        <v>107.7</v>
      </c>
      <c r="J10096" t="str">
        <f>HYPERLINK("https://climate.onebuilding.org/WMO_Region_6_Europe/ROU_Romania/TR_Teleorman/ROU_TR_Videle.154550_TMYx.zip")</f>
        <v>https://climate.onebuilding.org/WMO_Region_6_Europe/ROU_Romania/TR_Teleorman/ROU_TR_Videle.154550_TMYx.zip</v>
      </c>
    </row>
    <row r="10097" spans="1:10" x14ac:dyDescent="0.25">
      <c r="A10097" t="s">
        <v>7128</v>
      </c>
      <c r="B10097" t="s">
        <v>2008</v>
      </c>
      <c r="C10097" t="s">
        <v>7355</v>
      </c>
      <c r="D10097">
        <v>154600</v>
      </c>
      <c r="E10097" t="s">
        <v>7356</v>
      </c>
      <c r="F10097">
        <v>44.205800000000004</v>
      </c>
      <c r="G10097">
        <v>27.3383</v>
      </c>
      <c r="H10097">
        <v>2</v>
      </c>
      <c r="I10097">
        <v>20</v>
      </c>
      <c r="J10097" t="str">
        <f>HYPERLINK("https://climate.onebuilding.org/WMO_Region_6_Europe/ROU_Romania/CL_Calarasi/ROU_CL_Calarasi.154600_TMYx.2004-2018.zip")</f>
        <v>https://climate.onebuilding.org/WMO_Region_6_Europe/ROU_Romania/CL_Calarasi/ROU_CL_Calarasi.154600_TMYx.2004-2018.zip</v>
      </c>
    </row>
    <row r="10098" spans="1:10" x14ac:dyDescent="0.25">
      <c r="A10098" t="s">
        <v>7128</v>
      </c>
      <c r="B10098" t="s">
        <v>2008</v>
      </c>
      <c r="C10098" t="s">
        <v>7355</v>
      </c>
      <c r="D10098">
        <v>154600</v>
      </c>
      <c r="E10098" t="s">
        <v>14</v>
      </c>
      <c r="F10098">
        <v>44.205800000000004</v>
      </c>
      <c r="G10098">
        <v>27.3383</v>
      </c>
      <c r="H10098">
        <v>2</v>
      </c>
      <c r="I10098">
        <v>20</v>
      </c>
      <c r="J10098" t="str">
        <f>HYPERLINK("https://climate.onebuilding.org/WMO_Region_6_Europe/ROU_Romania/CL_Calarasi/ROU_CL_Calarasi.154600_TMYx.2007-2021.zip")</f>
        <v>https://climate.onebuilding.org/WMO_Region_6_Europe/ROU_Romania/CL_Calarasi/ROU_CL_Calarasi.154600_TMYx.2007-2021.zip</v>
      </c>
    </row>
    <row r="10099" spans="1:10" x14ac:dyDescent="0.25">
      <c r="A10099" t="s">
        <v>7128</v>
      </c>
      <c r="B10099" t="s">
        <v>2008</v>
      </c>
      <c r="C10099" t="s">
        <v>7355</v>
      </c>
      <c r="D10099">
        <v>154600</v>
      </c>
      <c r="E10099" t="s">
        <v>14</v>
      </c>
      <c r="F10099">
        <v>44.205800000000004</v>
      </c>
      <c r="G10099">
        <v>27.3383</v>
      </c>
      <c r="H10099">
        <v>2</v>
      </c>
      <c r="I10099">
        <v>20</v>
      </c>
      <c r="J10099" t="str">
        <f>HYPERLINK("https://climate.onebuilding.org/WMO_Region_6_Europe/ROU_Romania/CL_Calarasi/ROU_CL_Calarasi.154600_TMYx.2009-2023.zip")</f>
        <v>https://climate.onebuilding.org/WMO_Region_6_Europe/ROU_Romania/CL_Calarasi/ROU_CL_Calarasi.154600_TMYx.2009-2023.zip</v>
      </c>
    </row>
    <row r="10100" spans="1:10" x14ac:dyDescent="0.25">
      <c r="A10100" t="s">
        <v>7128</v>
      </c>
      <c r="B10100" t="s">
        <v>2008</v>
      </c>
      <c r="C10100" t="s">
        <v>7355</v>
      </c>
      <c r="D10100">
        <v>154600</v>
      </c>
      <c r="E10100" t="s">
        <v>14</v>
      </c>
      <c r="F10100">
        <v>44.205800000000004</v>
      </c>
      <c r="G10100">
        <v>27.3383</v>
      </c>
      <c r="H10100">
        <v>2</v>
      </c>
      <c r="I10100">
        <v>20</v>
      </c>
      <c r="J10100" t="str">
        <f>HYPERLINK("https://climate.onebuilding.org/WMO_Region_6_Europe/ROU_Romania/CL_Calarasi/ROU_CL_Calarasi.154600_TMYx.zip")</f>
        <v>https://climate.onebuilding.org/WMO_Region_6_Europe/ROU_Romania/CL_Calarasi/ROU_CL_Calarasi.154600_TMYx.zip</v>
      </c>
    </row>
    <row r="10101" spans="1:10" x14ac:dyDescent="0.25">
      <c r="A10101" t="s">
        <v>7128</v>
      </c>
      <c r="B10101" t="s">
        <v>2042</v>
      </c>
      <c r="C10101" t="s">
        <v>7357</v>
      </c>
      <c r="D10101">
        <v>154620</v>
      </c>
      <c r="E10101" t="s">
        <v>14</v>
      </c>
      <c r="F10101">
        <v>44.243299999999998</v>
      </c>
      <c r="G10101">
        <v>28.2514</v>
      </c>
      <c r="H10101">
        <v>2</v>
      </c>
      <c r="I10101">
        <v>70.7</v>
      </c>
      <c r="J10101" t="str">
        <f>HYPERLINK("https://climate.onebuilding.org/WMO_Region_6_Europe/ROU_Romania/CT_Constanta/ROU_CT_Medgidia.154620_TMYx.2007-2021.zip")</f>
        <v>https://climate.onebuilding.org/WMO_Region_6_Europe/ROU_Romania/CT_Constanta/ROU_CT_Medgidia.154620_TMYx.2007-2021.zip</v>
      </c>
    </row>
    <row r="10102" spans="1:10" x14ac:dyDescent="0.25">
      <c r="A10102" t="s">
        <v>7128</v>
      </c>
      <c r="B10102" t="s">
        <v>2042</v>
      </c>
      <c r="C10102" t="s">
        <v>7357</v>
      </c>
      <c r="D10102">
        <v>154620</v>
      </c>
      <c r="E10102" t="s">
        <v>14</v>
      </c>
      <c r="F10102">
        <v>44.243299999999998</v>
      </c>
      <c r="G10102">
        <v>28.2514</v>
      </c>
      <c r="H10102">
        <v>2</v>
      </c>
      <c r="I10102">
        <v>70.7</v>
      </c>
      <c r="J10102" t="str">
        <f>HYPERLINK("https://climate.onebuilding.org/WMO_Region_6_Europe/ROU_Romania/CT_Constanta/ROU_CT_Medgidia.154620_TMYx.2009-2023.zip")</f>
        <v>https://climate.onebuilding.org/WMO_Region_6_Europe/ROU_Romania/CT_Constanta/ROU_CT_Medgidia.154620_TMYx.2009-2023.zip</v>
      </c>
    </row>
    <row r="10103" spans="1:10" x14ac:dyDescent="0.25">
      <c r="A10103" t="s">
        <v>7128</v>
      </c>
      <c r="B10103" t="s">
        <v>2042</v>
      </c>
      <c r="C10103" t="s">
        <v>7357</v>
      </c>
      <c r="D10103">
        <v>154620</v>
      </c>
      <c r="E10103" t="s">
        <v>14</v>
      </c>
      <c r="F10103">
        <v>44.243299999999998</v>
      </c>
      <c r="G10103">
        <v>28.2514</v>
      </c>
      <c r="H10103">
        <v>2</v>
      </c>
      <c r="I10103">
        <v>70.7</v>
      </c>
      <c r="J10103" t="str">
        <f>HYPERLINK("https://climate.onebuilding.org/WMO_Region_6_Europe/ROU_Romania/CT_Constanta/ROU_CT_Medgidia.154620_TMYx.zip")</f>
        <v>https://climate.onebuilding.org/WMO_Region_6_Europe/ROU_Romania/CT_Constanta/ROU_CT_Medgidia.154620_TMYx.zip</v>
      </c>
    </row>
    <row r="10104" spans="1:10" x14ac:dyDescent="0.25">
      <c r="A10104" t="s">
        <v>7128</v>
      </c>
      <c r="B10104" t="s">
        <v>7351</v>
      </c>
      <c r="C10104" t="s">
        <v>7358</v>
      </c>
      <c r="D10104">
        <v>154650</v>
      </c>
      <c r="E10104" t="s">
        <v>14</v>
      </c>
      <c r="F10104">
        <v>44.029200000000003</v>
      </c>
      <c r="G10104">
        <v>23.331099999999999</v>
      </c>
      <c r="H10104">
        <v>2</v>
      </c>
      <c r="I10104">
        <v>58</v>
      </c>
      <c r="J10104" t="str">
        <f>HYPERLINK("https://climate.onebuilding.org/WMO_Region_6_Europe/ROU_Romania/DJ_Dolj/ROU_DJ_Bailesti.154650_TMYx.2007-2021.zip")</f>
        <v>https://climate.onebuilding.org/WMO_Region_6_Europe/ROU_Romania/DJ_Dolj/ROU_DJ_Bailesti.154650_TMYx.2007-2021.zip</v>
      </c>
    </row>
    <row r="10105" spans="1:10" x14ac:dyDescent="0.25">
      <c r="A10105" t="s">
        <v>7128</v>
      </c>
      <c r="B10105" t="s">
        <v>7351</v>
      </c>
      <c r="C10105" t="s">
        <v>7358</v>
      </c>
      <c r="D10105">
        <v>154650</v>
      </c>
      <c r="E10105" t="s">
        <v>14</v>
      </c>
      <c r="F10105">
        <v>44.029200000000003</v>
      </c>
      <c r="G10105">
        <v>23.331099999999999</v>
      </c>
      <c r="H10105">
        <v>2</v>
      </c>
      <c r="I10105">
        <v>58</v>
      </c>
      <c r="J10105" t="str">
        <f>HYPERLINK("https://climate.onebuilding.org/WMO_Region_6_Europe/ROU_Romania/DJ_Dolj/ROU_DJ_Bailesti.154650_TMYx.2009-2023.zip")</f>
        <v>https://climate.onebuilding.org/WMO_Region_6_Europe/ROU_Romania/DJ_Dolj/ROU_DJ_Bailesti.154650_TMYx.2009-2023.zip</v>
      </c>
    </row>
    <row r="10106" spans="1:10" x14ac:dyDescent="0.25">
      <c r="A10106" t="s">
        <v>7128</v>
      </c>
      <c r="B10106" t="s">
        <v>7351</v>
      </c>
      <c r="C10106" t="s">
        <v>7358</v>
      </c>
      <c r="D10106">
        <v>154650</v>
      </c>
      <c r="E10106" t="s">
        <v>14</v>
      </c>
      <c r="F10106">
        <v>44.029200000000003</v>
      </c>
      <c r="G10106">
        <v>23.331099999999999</v>
      </c>
      <c r="H10106">
        <v>2</v>
      </c>
      <c r="I10106">
        <v>58</v>
      </c>
      <c r="J10106" t="str">
        <f>HYPERLINK("https://climate.onebuilding.org/WMO_Region_6_Europe/ROU_Romania/DJ_Dolj/ROU_DJ_Bailesti.154650_TMYx.zip")</f>
        <v>https://climate.onebuilding.org/WMO_Region_6_Europe/ROU_Romania/DJ_Dolj/ROU_DJ_Bailesti.154650_TMYx.zip</v>
      </c>
    </row>
    <row r="10107" spans="1:10" x14ac:dyDescent="0.25">
      <c r="A10107" t="s">
        <v>7128</v>
      </c>
      <c r="B10107" t="s">
        <v>7346</v>
      </c>
      <c r="C10107" t="s">
        <v>7359</v>
      </c>
      <c r="D10107">
        <v>154690</v>
      </c>
      <c r="E10107" t="s">
        <v>14</v>
      </c>
      <c r="F10107">
        <v>44.1</v>
      </c>
      <c r="G10107">
        <v>24.357199999999999</v>
      </c>
      <c r="H10107">
        <v>2</v>
      </c>
      <c r="I10107">
        <v>107.2</v>
      </c>
      <c r="J10107" t="str">
        <f>HYPERLINK("https://climate.onebuilding.org/WMO_Region_6_Europe/ROU_Romania/OT_Olt/ROU_OT_Caracal.154690_TMYx.2007-2021.zip")</f>
        <v>https://climate.onebuilding.org/WMO_Region_6_Europe/ROU_Romania/OT_Olt/ROU_OT_Caracal.154690_TMYx.2007-2021.zip</v>
      </c>
    </row>
    <row r="10108" spans="1:10" x14ac:dyDescent="0.25">
      <c r="A10108" t="s">
        <v>7128</v>
      </c>
      <c r="B10108" t="s">
        <v>7346</v>
      </c>
      <c r="C10108" t="s">
        <v>7359</v>
      </c>
      <c r="D10108">
        <v>154690</v>
      </c>
      <c r="E10108" t="s">
        <v>14</v>
      </c>
      <c r="F10108">
        <v>44.1</v>
      </c>
      <c r="G10108">
        <v>24.357199999999999</v>
      </c>
      <c r="H10108">
        <v>2</v>
      </c>
      <c r="I10108">
        <v>107.2</v>
      </c>
      <c r="J10108" t="str">
        <f>HYPERLINK("https://climate.onebuilding.org/WMO_Region_6_Europe/ROU_Romania/OT_Olt/ROU_OT_Caracal.154690_TMYx.2009-2023.zip")</f>
        <v>https://climate.onebuilding.org/WMO_Region_6_Europe/ROU_Romania/OT_Olt/ROU_OT_Caracal.154690_TMYx.2009-2023.zip</v>
      </c>
    </row>
    <row r="10109" spans="1:10" x14ac:dyDescent="0.25">
      <c r="A10109" t="s">
        <v>7128</v>
      </c>
      <c r="B10109" t="s">
        <v>7346</v>
      </c>
      <c r="C10109" t="s">
        <v>7359</v>
      </c>
      <c r="D10109">
        <v>154690</v>
      </c>
      <c r="E10109" t="s">
        <v>14</v>
      </c>
      <c r="F10109">
        <v>44.1</v>
      </c>
      <c r="G10109">
        <v>24.357199999999999</v>
      </c>
      <c r="H10109">
        <v>2</v>
      </c>
      <c r="I10109">
        <v>107.2</v>
      </c>
      <c r="J10109" t="str">
        <f>HYPERLINK("https://climate.onebuilding.org/WMO_Region_6_Europe/ROU_Romania/OT_Olt/ROU_OT_Caracal.154690_TMYx.zip")</f>
        <v>https://climate.onebuilding.org/WMO_Region_6_Europe/ROU_Romania/OT_Olt/ROU_OT_Caracal.154690_TMYx.zip</v>
      </c>
    </row>
    <row r="10110" spans="1:10" x14ac:dyDescent="0.25">
      <c r="A10110" t="s">
        <v>7128</v>
      </c>
      <c r="B10110" t="s">
        <v>155</v>
      </c>
      <c r="C10110" t="s">
        <v>7360</v>
      </c>
      <c r="D10110">
        <v>154700</v>
      </c>
      <c r="E10110" t="s">
        <v>7361</v>
      </c>
      <c r="F10110">
        <v>44.107199999999999</v>
      </c>
      <c r="G10110">
        <v>24.9786</v>
      </c>
      <c r="H10110">
        <v>2</v>
      </c>
      <c r="I10110">
        <v>103.4</v>
      </c>
      <c r="J10110" t="str">
        <f>HYPERLINK("https://climate.onebuilding.org/WMO_Region_6_Europe/ROU_Romania/TR_Teleorman/ROU_TR_Rosiorii.de.Vede.154700_TMYx.2004-2018.zip")</f>
        <v>https://climate.onebuilding.org/WMO_Region_6_Europe/ROU_Romania/TR_Teleorman/ROU_TR_Rosiorii.de.Vede.154700_TMYx.2004-2018.zip</v>
      </c>
    </row>
    <row r="10111" spans="1:10" x14ac:dyDescent="0.25">
      <c r="A10111" t="s">
        <v>7128</v>
      </c>
      <c r="B10111" t="s">
        <v>155</v>
      </c>
      <c r="C10111" t="s">
        <v>7360</v>
      </c>
      <c r="D10111">
        <v>154700</v>
      </c>
      <c r="E10111" t="s">
        <v>14</v>
      </c>
      <c r="F10111">
        <v>44.107199999999999</v>
      </c>
      <c r="G10111">
        <v>24.9786</v>
      </c>
      <c r="H10111">
        <v>2</v>
      </c>
      <c r="I10111">
        <v>103.4</v>
      </c>
      <c r="J10111" t="str">
        <f>HYPERLINK("https://climate.onebuilding.org/WMO_Region_6_Europe/ROU_Romania/TR_Teleorman/ROU_TR_Rosiorii.de.Vede.154700_TMYx.2007-2021.zip")</f>
        <v>https://climate.onebuilding.org/WMO_Region_6_Europe/ROU_Romania/TR_Teleorman/ROU_TR_Rosiorii.de.Vede.154700_TMYx.2007-2021.zip</v>
      </c>
    </row>
    <row r="10112" spans="1:10" x14ac:dyDescent="0.25">
      <c r="A10112" t="s">
        <v>7128</v>
      </c>
      <c r="B10112" t="s">
        <v>155</v>
      </c>
      <c r="C10112" t="s">
        <v>7360</v>
      </c>
      <c r="D10112">
        <v>154700</v>
      </c>
      <c r="E10112" t="s">
        <v>14</v>
      </c>
      <c r="F10112">
        <v>44.107199999999999</v>
      </c>
      <c r="G10112">
        <v>24.9786</v>
      </c>
      <c r="H10112">
        <v>2</v>
      </c>
      <c r="I10112">
        <v>103.4</v>
      </c>
      <c r="J10112" t="str">
        <f>HYPERLINK("https://climate.onebuilding.org/WMO_Region_6_Europe/ROU_Romania/TR_Teleorman/ROU_TR_Rosiorii.de.Vede.154700_TMYx.2009-2023.zip")</f>
        <v>https://climate.onebuilding.org/WMO_Region_6_Europe/ROU_Romania/TR_Teleorman/ROU_TR_Rosiorii.de.Vede.154700_TMYx.2009-2023.zip</v>
      </c>
    </row>
    <row r="10113" spans="1:10" x14ac:dyDescent="0.25">
      <c r="A10113" t="s">
        <v>7128</v>
      </c>
      <c r="B10113" t="s">
        <v>155</v>
      </c>
      <c r="C10113" t="s">
        <v>7360</v>
      </c>
      <c r="D10113">
        <v>154700</v>
      </c>
      <c r="E10113" t="s">
        <v>14</v>
      </c>
      <c r="F10113">
        <v>44.107199999999999</v>
      </c>
      <c r="G10113">
        <v>24.9786</v>
      </c>
      <c r="H10113">
        <v>2</v>
      </c>
      <c r="I10113">
        <v>103.4</v>
      </c>
      <c r="J10113" t="str">
        <f>HYPERLINK("https://climate.onebuilding.org/WMO_Region_6_Europe/ROU_Romania/TR_Teleorman/ROU_TR_Rosiorii.de.Vede.154700_TMYx.zip")</f>
        <v>https://climate.onebuilding.org/WMO_Region_6_Europe/ROU_Romania/TR_Teleorman/ROU_TR_Rosiorii.de.Vede.154700_TMYx.zip</v>
      </c>
    </row>
    <row r="10114" spans="1:10" x14ac:dyDescent="0.25">
      <c r="A10114" t="s">
        <v>7128</v>
      </c>
      <c r="B10114" t="s">
        <v>2008</v>
      </c>
      <c r="C10114" t="s">
        <v>7362</v>
      </c>
      <c r="D10114">
        <v>154750</v>
      </c>
      <c r="E10114" t="s">
        <v>14</v>
      </c>
      <c r="F10114">
        <v>44.0747</v>
      </c>
      <c r="G10114">
        <v>26.6372</v>
      </c>
      <c r="H10114">
        <v>2</v>
      </c>
      <c r="I10114">
        <v>16</v>
      </c>
      <c r="J10114" t="str">
        <f>HYPERLINK("https://climate.onebuilding.org/WMO_Region_6_Europe/ROU_Romania/CL_Calarasi/ROU_CL_Oltenita.154750_TMYx.2007-2021.zip")</f>
        <v>https://climate.onebuilding.org/WMO_Region_6_Europe/ROU_Romania/CL_Calarasi/ROU_CL_Oltenita.154750_TMYx.2007-2021.zip</v>
      </c>
    </row>
    <row r="10115" spans="1:10" x14ac:dyDescent="0.25">
      <c r="A10115" t="s">
        <v>7128</v>
      </c>
      <c r="B10115" t="s">
        <v>2008</v>
      </c>
      <c r="C10115" t="s">
        <v>7362</v>
      </c>
      <c r="D10115">
        <v>154750</v>
      </c>
      <c r="E10115" t="s">
        <v>14</v>
      </c>
      <c r="F10115">
        <v>44.0747</v>
      </c>
      <c r="G10115">
        <v>26.6372</v>
      </c>
      <c r="H10115">
        <v>2</v>
      </c>
      <c r="I10115">
        <v>16</v>
      </c>
      <c r="J10115" t="str">
        <f>HYPERLINK("https://climate.onebuilding.org/WMO_Region_6_Europe/ROU_Romania/CL_Calarasi/ROU_CL_Oltenita.154750_TMYx.2009-2023.zip")</f>
        <v>https://climate.onebuilding.org/WMO_Region_6_Europe/ROU_Romania/CL_Calarasi/ROU_CL_Oltenita.154750_TMYx.2009-2023.zip</v>
      </c>
    </row>
    <row r="10116" spans="1:10" x14ac:dyDescent="0.25">
      <c r="A10116" t="s">
        <v>7128</v>
      </c>
      <c r="B10116" t="s">
        <v>2008</v>
      </c>
      <c r="C10116" t="s">
        <v>7362</v>
      </c>
      <c r="D10116">
        <v>154750</v>
      </c>
      <c r="E10116" t="s">
        <v>14</v>
      </c>
      <c r="F10116">
        <v>44.0747</v>
      </c>
      <c r="G10116">
        <v>26.6372</v>
      </c>
      <c r="H10116">
        <v>2</v>
      </c>
      <c r="I10116">
        <v>16</v>
      </c>
      <c r="J10116" t="str">
        <f>HYPERLINK("https://climate.onebuilding.org/WMO_Region_6_Europe/ROU_Romania/CL_Calarasi/ROU_CL_Oltenita.154750_TMYx.zip")</f>
        <v>https://climate.onebuilding.org/WMO_Region_6_Europe/ROU_Romania/CL_Calarasi/ROU_CL_Oltenita.154750_TMYx.zip</v>
      </c>
    </row>
    <row r="10117" spans="1:10" x14ac:dyDescent="0.25">
      <c r="A10117" t="s">
        <v>7128</v>
      </c>
      <c r="B10117" t="s">
        <v>1057</v>
      </c>
      <c r="C10117" t="s">
        <v>7363</v>
      </c>
      <c r="D10117">
        <v>154760</v>
      </c>
      <c r="E10117" t="s">
        <v>14</v>
      </c>
      <c r="F10117">
        <v>44.1098</v>
      </c>
      <c r="G10117">
        <v>26.353400000000001</v>
      </c>
      <c r="H10117">
        <v>2</v>
      </c>
      <c r="I10117">
        <v>66</v>
      </c>
      <c r="J10117" t="str">
        <f>HYPERLINK("https://climate.onebuilding.org/WMO_Region_6_Europe/ROU_Romania/GR_Giurgiu/ROU_GR_Greaca.154760_TMYx.zip")</f>
        <v>https://climate.onebuilding.org/WMO_Region_6_Europe/ROU_Romania/GR_Giurgiu/ROU_GR_Greaca.154760_TMYx.zip</v>
      </c>
    </row>
    <row r="10118" spans="1:10" x14ac:dyDescent="0.25">
      <c r="A10118" t="s">
        <v>7128</v>
      </c>
      <c r="B10118" t="s">
        <v>2042</v>
      </c>
      <c r="C10118" t="s">
        <v>7364</v>
      </c>
      <c r="D10118">
        <v>154790</v>
      </c>
      <c r="E10118" t="s">
        <v>14</v>
      </c>
      <c r="F10118">
        <v>44.088299999999997</v>
      </c>
      <c r="G10118">
        <v>27.965599999999998</v>
      </c>
      <c r="H10118">
        <v>2</v>
      </c>
      <c r="I10118">
        <v>160</v>
      </c>
      <c r="J10118" t="str">
        <f>HYPERLINK("https://climate.onebuilding.org/WMO_Region_6_Europe/ROU_Romania/CT_Constanta/ROU_CT_Adamclisi.154790_TMYx.2007-2021.zip")</f>
        <v>https://climate.onebuilding.org/WMO_Region_6_Europe/ROU_Romania/CT_Constanta/ROU_CT_Adamclisi.154790_TMYx.2007-2021.zip</v>
      </c>
    </row>
    <row r="10119" spans="1:10" x14ac:dyDescent="0.25">
      <c r="A10119" t="s">
        <v>7128</v>
      </c>
      <c r="B10119" t="s">
        <v>2042</v>
      </c>
      <c r="C10119" t="s">
        <v>7364</v>
      </c>
      <c r="D10119">
        <v>154790</v>
      </c>
      <c r="E10119" t="s">
        <v>14</v>
      </c>
      <c r="F10119">
        <v>44.088299999999997</v>
      </c>
      <c r="G10119">
        <v>27.965599999999998</v>
      </c>
      <c r="H10119">
        <v>2</v>
      </c>
      <c r="I10119">
        <v>160</v>
      </c>
      <c r="J10119" t="str">
        <f>HYPERLINK("https://climate.onebuilding.org/WMO_Region_6_Europe/ROU_Romania/CT_Constanta/ROU_CT_Adamclisi.154790_TMYx.2009-2023.zip")</f>
        <v>https://climate.onebuilding.org/WMO_Region_6_Europe/ROU_Romania/CT_Constanta/ROU_CT_Adamclisi.154790_TMYx.2009-2023.zip</v>
      </c>
    </row>
    <row r="10120" spans="1:10" x14ac:dyDescent="0.25">
      <c r="A10120" t="s">
        <v>7128</v>
      </c>
      <c r="B10120" t="s">
        <v>2042</v>
      </c>
      <c r="C10120" t="s">
        <v>7364</v>
      </c>
      <c r="D10120">
        <v>154790</v>
      </c>
      <c r="E10120" t="s">
        <v>14</v>
      </c>
      <c r="F10120">
        <v>44.088299999999997</v>
      </c>
      <c r="G10120">
        <v>27.965599999999998</v>
      </c>
      <c r="H10120">
        <v>2</v>
      </c>
      <c r="I10120">
        <v>160</v>
      </c>
      <c r="J10120" t="str">
        <f>HYPERLINK("https://climate.onebuilding.org/WMO_Region_6_Europe/ROU_Romania/CT_Constanta/ROU_CT_Adamclisi.154790_TMYx.zip")</f>
        <v>https://climate.onebuilding.org/WMO_Region_6_Europe/ROU_Romania/CT_Constanta/ROU_CT_Adamclisi.154790_TMYx.zip</v>
      </c>
    </row>
    <row r="10121" spans="1:10" x14ac:dyDescent="0.25">
      <c r="A10121" t="s">
        <v>7128</v>
      </c>
      <c r="B10121" t="s">
        <v>2042</v>
      </c>
      <c r="C10121" t="s">
        <v>7365</v>
      </c>
      <c r="D10121">
        <v>154800</v>
      </c>
      <c r="E10121" t="s">
        <v>7366</v>
      </c>
      <c r="F10121">
        <v>44.213900000000002</v>
      </c>
      <c r="G10121">
        <v>28.645600000000002</v>
      </c>
      <c r="H10121">
        <v>2</v>
      </c>
      <c r="I10121">
        <v>14</v>
      </c>
      <c r="J10121" t="str">
        <f>HYPERLINK("https://climate.onebuilding.org/WMO_Region_6_Europe/ROU_Romania/CT_Constanta/ROU_CT_Constanta.154800_TMYx.2004-2018.zip")</f>
        <v>https://climate.onebuilding.org/WMO_Region_6_Europe/ROU_Romania/CT_Constanta/ROU_CT_Constanta.154800_TMYx.2004-2018.zip</v>
      </c>
    </row>
    <row r="10122" spans="1:10" x14ac:dyDescent="0.25">
      <c r="A10122" t="s">
        <v>7128</v>
      </c>
      <c r="B10122" t="s">
        <v>2042</v>
      </c>
      <c r="C10122" t="s">
        <v>7365</v>
      </c>
      <c r="D10122">
        <v>154800</v>
      </c>
      <c r="E10122" t="s">
        <v>14</v>
      </c>
      <c r="F10122">
        <v>44.213900000000002</v>
      </c>
      <c r="G10122">
        <v>28.645600000000002</v>
      </c>
      <c r="H10122">
        <v>2</v>
      </c>
      <c r="I10122">
        <v>14</v>
      </c>
      <c r="J10122" t="str">
        <f>HYPERLINK("https://climate.onebuilding.org/WMO_Region_6_Europe/ROU_Romania/CT_Constanta/ROU_CT_Constanta.154800_TMYx.2007-2021.zip")</f>
        <v>https://climate.onebuilding.org/WMO_Region_6_Europe/ROU_Romania/CT_Constanta/ROU_CT_Constanta.154800_TMYx.2007-2021.zip</v>
      </c>
    </row>
    <row r="10123" spans="1:10" x14ac:dyDescent="0.25">
      <c r="A10123" t="s">
        <v>7128</v>
      </c>
      <c r="B10123" t="s">
        <v>2042</v>
      </c>
      <c r="C10123" t="s">
        <v>7365</v>
      </c>
      <c r="D10123">
        <v>154800</v>
      </c>
      <c r="E10123" t="s">
        <v>14</v>
      </c>
      <c r="F10123">
        <v>44.213900000000002</v>
      </c>
      <c r="G10123">
        <v>28.645600000000002</v>
      </c>
      <c r="H10123">
        <v>2</v>
      </c>
      <c r="I10123">
        <v>14</v>
      </c>
      <c r="J10123" t="str">
        <f>HYPERLINK("https://climate.onebuilding.org/WMO_Region_6_Europe/ROU_Romania/CT_Constanta/ROU_CT_Constanta.154800_TMYx.2009-2023.zip")</f>
        <v>https://climate.onebuilding.org/WMO_Region_6_Europe/ROU_Romania/CT_Constanta/ROU_CT_Constanta.154800_TMYx.2009-2023.zip</v>
      </c>
    </row>
    <row r="10124" spans="1:10" x14ac:dyDescent="0.25">
      <c r="A10124" t="s">
        <v>7128</v>
      </c>
      <c r="B10124" t="s">
        <v>2042</v>
      </c>
      <c r="C10124" t="s">
        <v>7365</v>
      </c>
      <c r="D10124">
        <v>154800</v>
      </c>
      <c r="E10124" t="s">
        <v>14</v>
      </c>
      <c r="F10124">
        <v>44.213900000000002</v>
      </c>
      <c r="G10124">
        <v>28.645600000000002</v>
      </c>
      <c r="H10124">
        <v>2</v>
      </c>
      <c r="I10124">
        <v>14</v>
      </c>
      <c r="J10124" t="str">
        <f>HYPERLINK("https://climate.onebuilding.org/WMO_Region_6_Europe/ROU_Romania/CT_Constanta/ROU_CT_Constanta.154800_TMYx.zip")</f>
        <v>https://climate.onebuilding.org/WMO_Region_6_Europe/ROU_Romania/CT_Constanta/ROU_CT_Constanta.154800_TMYx.zip</v>
      </c>
    </row>
    <row r="10125" spans="1:10" x14ac:dyDescent="0.25">
      <c r="A10125" t="s">
        <v>7128</v>
      </c>
      <c r="B10125" t="s">
        <v>2042</v>
      </c>
      <c r="C10125" t="s">
        <v>7367</v>
      </c>
      <c r="D10125">
        <v>154810</v>
      </c>
      <c r="E10125" t="s">
        <v>7368</v>
      </c>
      <c r="F10125">
        <v>44.362000000000002</v>
      </c>
      <c r="G10125">
        <v>28.488</v>
      </c>
      <c r="H10125">
        <v>2</v>
      </c>
      <c r="I10125">
        <v>107.6</v>
      </c>
      <c r="J10125" t="str">
        <f>HYPERLINK("https://climate.onebuilding.org/WMO_Region_6_Europe/ROU_Romania/CT_Constanta/ROU_CT_Kogalniceanu.Intl.AP.154810_TMYx.2004-2018.zip")</f>
        <v>https://climate.onebuilding.org/WMO_Region_6_Europe/ROU_Romania/CT_Constanta/ROU_CT_Kogalniceanu.Intl.AP.154810_TMYx.2004-2018.zip</v>
      </c>
    </row>
    <row r="10126" spans="1:10" x14ac:dyDescent="0.25">
      <c r="A10126" t="s">
        <v>7128</v>
      </c>
      <c r="B10126" t="s">
        <v>2042</v>
      </c>
      <c r="C10126" t="s">
        <v>7367</v>
      </c>
      <c r="D10126">
        <v>154810</v>
      </c>
      <c r="E10126" t="s">
        <v>14</v>
      </c>
      <c r="F10126">
        <v>44.362000000000002</v>
      </c>
      <c r="G10126">
        <v>28.488</v>
      </c>
      <c r="H10126">
        <v>2</v>
      </c>
      <c r="I10126">
        <v>107.6</v>
      </c>
      <c r="J10126" t="str">
        <f>HYPERLINK("https://climate.onebuilding.org/WMO_Region_6_Europe/ROU_Romania/CT_Constanta/ROU_CT_Kogalniceanu.Intl.AP.154810_TMYx.2007-2021.zip")</f>
        <v>https://climate.onebuilding.org/WMO_Region_6_Europe/ROU_Romania/CT_Constanta/ROU_CT_Kogalniceanu.Intl.AP.154810_TMYx.2007-2021.zip</v>
      </c>
    </row>
    <row r="10127" spans="1:10" x14ac:dyDescent="0.25">
      <c r="A10127" t="s">
        <v>7128</v>
      </c>
      <c r="B10127" t="s">
        <v>2042</v>
      </c>
      <c r="C10127" t="s">
        <v>7367</v>
      </c>
      <c r="D10127">
        <v>154810</v>
      </c>
      <c r="E10127" t="s">
        <v>14</v>
      </c>
      <c r="F10127">
        <v>44.362000000000002</v>
      </c>
      <c r="G10127">
        <v>28.488</v>
      </c>
      <c r="H10127">
        <v>2</v>
      </c>
      <c r="I10127">
        <v>107.6</v>
      </c>
      <c r="J10127" t="str">
        <f>HYPERLINK("https://climate.onebuilding.org/WMO_Region_6_Europe/ROU_Romania/CT_Constanta/ROU_CT_Kogalniceanu.Intl.AP.154810_TMYx.2009-2023.zip")</f>
        <v>https://climate.onebuilding.org/WMO_Region_6_Europe/ROU_Romania/CT_Constanta/ROU_CT_Kogalniceanu.Intl.AP.154810_TMYx.2009-2023.zip</v>
      </c>
    </row>
    <row r="10128" spans="1:10" x14ac:dyDescent="0.25">
      <c r="A10128" t="s">
        <v>7128</v>
      </c>
      <c r="B10128" t="s">
        <v>2042</v>
      </c>
      <c r="C10128" t="s">
        <v>7367</v>
      </c>
      <c r="D10128">
        <v>154810</v>
      </c>
      <c r="E10128" t="s">
        <v>14</v>
      </c>
      <c r="F10128">
        <v>44.362000000000002</v>
      </c>
      <c r="G10128">
        <v>28.488</v>
      </c>
      <c r="H10128">
        <v>2</v>
      </c>
      <c r="I10128">
        <v>107.6</v>
      </c>
      <c r="J10128" t="str">
        <f>HYPERLINK("https://climate.onebuilding.org/WMO_Region_6_Europe/ROU_Romania/CT_Constanta/ROU_CT_Kogalniceanu.Intl.AP.154810_TMYx.zip")</f>
        <v>https://climate.onebuilding.org/WMO_Region_6_Europe/ROU_Romania/CT_Constanta/ROU_CT_Kogalniceanu.Intl.AP.154810_TMYx.zip</v>
      </c>
    </row>
    <row r="10129" spans="1:10" x14ac:dyDescent="0.25">
      <c r="A10129" t="s">
        <v>7128</v>
      </c>
      <c r="B10129" t="s">
        <v>7351</v>
      </c>
      <c r="C10129" t="s">
        <v>7369</v>
      </c>
      <c r="D10129">
        <v>154820</v>
      </c>
      <c r="E10129" t="s">
        <v>14</v>
      </c>
      <c r="F10129">
        <v>43.984999999999999</v>
      </c>
      <c r="G10129">
        <v>22.946100000000001</v>
      </c>
      <c r="H10129">
        <v>2</v>
      </c>
      <c r="I10129">
        <v>63</v>
      </c>
      <c r="J10129" t="str">
        <f>HYPERLINK("https://climate.onebuilding.org/WMO_Region_6_Europe/ROU_Romania/DJ_Dolj/ROU_DJ_Calafat.154820_TMYx.2007-2021.zip")</f>
        <v>https://climate.onebuilding.org/WMO_Region_6_Europe/ROU_Romania/DJ_Dolj/ROU_DJ_Calafat.154820_TMYx.2007-2021.zip</v>
      </c>
    </row>
    <row r="10130" spans="1:10" x14ac:dyDescent="0.25">
      <c r="A10130" t="s">
        <v>7128</v>
      </c>
      <c r="B10130" t="s">
        <v>7351</v>
      </c>
      <c r="C10130" t="s">
        <v>7369</v>
      </c>
      <c r="D10130">
        <v>154820</v>
      </c>
      <c r="E10130" t="s">
        <v>14</v>
      </c>
      <c r="F10130">
        <v>43.984999999999999</v>
      </c>
      <c r="G10130">
        <v>22.946100000000001</v>
      </c>
      <c r="H10130">
        <v>2</v>
      </c>
      <c r="I10130">
        <v>63</v>
      </c>
      <c r="J10130" t="str">
        <f>HYPERLINK("https://climate.onebuilding.org/WMO_Region_6_Europe/ROU_Romania/DJ_Dolj/ROU_DJ_Calafat.154820_TMYx.2009-2023.zip")</f>
        <v>https://climate.onebuilding.org/WMO_Region_6_Europe/ROU_Romania/DJ_Dolj/ROU_DJ_Calafat.154820_TMYx.2009-2023.zip</v>
      </c>
    </row>
    <row r="10131" spans="1:10" x14ac:dyDescent="0.25">
      <c r="A10131" t="s">
        <v>7128</v>
      </c>
      <c r="B10131" t="s">
        <v>7351</v>
      </c>
      <c r="C10131" t="s">
        <v>7369</v>
      </c>
      <c r="D10131">
        <v>154820</v>
      </c>
      <c r="E10131" t="s">
        <v>14</v>
      </c>
      <c r="F10131">
        <v>43.984999999999999</v>
      </c>
      <c r="G10131">
        <v>22.946100000000001</v>
      </c>
      <c r="H10131">
        <v>2</v>
      </c>
      <c r="I10131">
        <v>63</v>
      </c>
      <c r="J10131" t="str">
        <f>HYPERLINK("https://climate.onebuilding.org/WMO_Region_6_Europe/ROU_Romania/DJ_Dolj/ROU_DJ_Calafat.154820_TMYx.zip")</f>
        <v>https://climate.onebuilding.org/WMO_Region_6_Europe/ROU_Romania/DJ_Dolj/ROU_DJ_Calafat.154820_TMYx.zip</v>
      </c>
    </row>
    <row r="10132" spans="1:10" x14ac:dyDescent="0.25">
      <c r="A10132" t="s">
        <v>7128</v>
      </c>
      <c r="B10132" t="s">
        <v>155</v>
      </c>
      <c r="C10132" t="s">
        <v>7370</v>
      </c>
      <c r="D10132">
        <v>154890</v>
      </c>
      <c r="E10132" t="s">
        <v>14</v>
      </c>
      <c r="F10132">
        <v>43.978099999999998</v>
      </c>
      <c r="G10132">
        <v>25.352799999999998</v>
      </c>
      <c r="H10132">
        <v>2</v>
      </c>
      <c r="I10132">
        <v>76</v>
      </c>
      <c r="J10132" t="str">
        <f>HYPERLINK("https://climate.onebuilding.org/WMO_Region_6_Europe/ROU_Romania/TR_Teleorman/ROU_TR_Alexandria.154890_TMYx.2007-2021.zip")</f>
        <v>https://climate.onebuilding.org/WMO_Region_6_Europe/ROU_Romania/TR_Teleorman/ROU_TR_Alexandria.154890_TMYx.2007-2021.zip</v>
      </c>
    </row>
    <row r="10133" spans="1:10" x14ac:dyDescent="0.25">
      <c r="A10133" t="s">
        <v>7128</v>
      </c>
      <c r="B10133" t="s">
        <v>155</v>
      </c>
      <c r="C10133" t="s">
        <v>7370</v>
      </c>
      <c r="D10133">
        <v>154890</v>
      </c>
      <c r="E10133" t="s">
        <v>14</v>
      </c>
      <c r="F10133">
        <v>43.978099999999998</v>
      </c>
      <c r="G10133">
        <v>25.352799999999998</v>
      </c>
      <c r="H10133">
        <v>2</v>
      </c>
      <c r="I10133">
        <v>76</v>
      </c>
      <c r="J10133" t="str">
        <f>HYPERLINK("https://climate.onebuilding.org/WMO_Region_6_Europe/ROU_Romania/TR_Teleorman/ROU_TR_Alexandria.154890_TMYx.2009-2023.zip")</f>
        <v>https://climate.onebuilding.org/WMO_Region_6_Europe/ROU_Romania/TR_Teleorman/ROU_TR_Alexandria.154890_TMYx.2009-2023.zip</v>
      </c>
    </row>
    <row r="10134" spans="1:10" x14ac:dyDescent="0.25">
      <c r="A10134" t="s">
        <v>7128</v>
      </c>
      <c r="B10134" t="s">
        <v>155</v>
      </c>
      <c r="C10134" t="s">
        <v>7370</v>
      </c>
      <c r="D10134">
        <v>154890</v>
      </c>
      <c r="E10134" t="s">
        <v>14</v>
      </c>
      <c r="F10134">
        <v>43.978099999999998</v>
      </c>
      <c r="G10134">
        <v>25.352799999999998</v>
      </c>
      <c r="H10134">
        <v>2</v>
      </c>
      <c r="I10134">
        <v>76</v>
      </c>
      <c r="J10134" t="str">
        <f>HYPERLINK("https://climate.onebuilding.org/WMO_Region_6_Europe/ROU_Romania/TR_Teleorman/ROU_TR_Alexandria.154890_TMYx.zip")</f>
        <v>https://climate.onebuilding.org/WMO_Region_6_Europe/ROU_Romania/TR_Teleorman/ROU_TR_Alexandria.154890_TMYx.zip</v>
      </c>
    </row>
    <row r="10135" spans="1:10" x14ac:dyDescent="0.25">
      <c r="A10135" t="s">
        <v>7128</v>
      </c>
      <c r="B10135" t="s">
        <v>155</v>
      </c>
      <c r="C10135" t="s">
        <v>7371</v>
      </c>
      <c r="D10135">
        <v>154900</v>
      </c>
      <c r="E10135" t="s">
        <v>14</v>
      </c>
      <c r="F10135">
        <v>43.760300000000001</v>
      </c>
      <c r="G10135">
        <v>24.878299999999999</v>
      </c>
      <c r="H10135">
        <v>2</v>
      </c>
      <c r="I10135">
        <v>31.6</v>
      </c>
      <c r="J10135" t="str">
        <f>HYPERLINK("https://climate.onebuilding.org/WMO_Region_6_Europe/ROU_Romania/TR_Teleorman/ROU_TR_Turnu.Magurele.154900_TMYx.2007-2021.zip")</f>
        <v>https://climate.onebuilding.org/WMO_Region_6_Europe/ROU_Romania/TR_Teleorman/ROU_TR_Turnu.Magurele.154900_TMYx.2007-2021.zip</v>
      </c>
    </row>
    <row r="10136" spans="1:10" x14ac:dyDescent="0.25">
      <c r="A10136" t="s">
        <v>7128</v>
      </c>
      <c r="B10136" t="s">
        <v>155</v>
      </c>
      <c r="C10136" t="s">
        <v>7371</v>
      </c>
      <c r="D10136">
        <v>154900</v>
      </c>
      <c r="E10136" t="s">
        <v>14</v>
      </c>
      <c r="F10136">
        <v>43.760300000000001</v>
      </c>
      <c r="G10136">
        <v>24.878299999999999</v>
      </c>
      <c r="H10136">
        <v>2</v>
      </c>
      <c r="I10136">
        <v>31.6</v>
      </c>
      <c r="J10136" t="str">
        <f>HYPERLINK("https://climate.onebuilding.org/WMO_Region_6_Europe/ROU_Romania/TR_Teleorman/ROU_TR_Turnu.Magurele.154900_TMYx.2009-2023.zip")</f>
        <v>https://climate.onebuilding.org/WMO_Region_6_Europe/ROU_Romania/TR_Teleorman/ROU_TR_Turnu.Magurele.154900_TMYx.2009-2023.zip</v>
      </c>
    </row>
    <row r="10137" spans="1:10" x14ac:dyDescent="0.25">
      <c r="A10137" t="s">
        <v>7128</v>
      </c>
      <c r="B10137" t="s">
        <v>155</v>
      </c>
      <c r="C10137" t="s">
        <v>7371</v>
      </c>
      <c r="D10137">
        <v>154900</v>
      </c>
      <c r="E10137" t="s">
        <v>14</v>
      </c>
      <c r="F10137">
        <v>43.760300000000001</v>
      </c>
      <c r="G10137">
        <v>24.878299999999999</v>
      </c>
      <c r="H10137">
        <v>2</v>
      </c>
      <c r="I10137">
        <v>31.6</v>
      </c>
      <c r="J10137" t="str">
        <f>HYPERLINK("https://climate.onebuilding.org/WMO_Region_6_Europe/ROU_Romania/TR_Teleorman/ROU_TR_Turnu.Magurele.154900_TMYx.zip")</f>
        <v>https://climate.onebuilding.org/WMO_Region_6_Europe/ROU_Romania/TR_Teleorman/ROU_TR_Turnu.Magurele.154900_TMYx.zip</v>
      </c>
    </row>
    <row r="10138" spans="1:10" x14ac:dyDescent="0.25">
      <c r="A10138" t="s">
        <v>7128</v>
      </c>
      <c r="B10138" t="s">
        <v>1057</v>
      </c>
      <c r="C10138" t="s">
        <v>7372</v>
      </c>
      <c r="D10138">
        <v>154910</v>
      </c>
      <c r="E10138" t="s">
        <v>14</v>
      </c>
      <c r="F10138">
        <v>43.875300000000003</v>
      </c>
      <c r="G10138">
        <v>25.9328</v>
      </c>
      <c r="H10138">
        <v>2</v>
      </c>
      <c r="I10138">
        <v>24.8</v>
      </c>
      <c r="J10138" t="str">
        <f>HYPERLINK("https://climate.onebuilding.org/WMO_Region_6_Europe/ROU_Romania/GR_Giurgiu/ROU_GR_Giurgiu.154910_TMYx.2007-2021.zip")</f>
        <v>https://climate.onebuilding.org/WMO_Region_6_Europe/ROU_Romania/GR_Giurgiu/ROU_GR_Giurgiu.154910_TMYx.2007-2021.zip</v>
      </c>
    </row>
    <row r="10139" spans="1:10" x14ac:dyDescent="0.25">
      <c r="A10139" t="s">
        <v>7128</v>
      </c>
      <c r="B10139" t="s">
        <v>1057</v>
      </c>
      <c r="C10139" t="s">
        <v>7372</v>
      </c>
      <c r="D10139">
        <v>154910</v>
      </c>
      <c r="E10139" t="s">
        <v>14</v>
      </c>
      <c r="F10139">
        <v>43.875300000000003</v>
      </c>
      <c r="G10139">
        <v>25.9328</v>
      </c>
      <c r="H10139">
        <v>2</v>
      </c>
      <c r="I10139">
        <v>24.8</v>
      </c>
      <c r="J10139" t="str">
        <f>HYPERLINK("https://climate.onebuilding.org/WMO_Region_6_Europe/ROU_Romania/GR_Giurgiu/ROU_GR_Giurgiu.154910_TMYx.2009-2023.zip")</f>
        <v>https://climate.onebuilding.org/WMO_Region_6_Europe/ROU_Romania/GR_Giurgiu/ROU_GR_Giurgiu.154910_TMYx.2009-2023.zip</v>
      </c>
    </row>
    <row r="10140" spans="1:10" x14ac:dyDescent="0.25">
      <c r="A10140" t="s">
        <v>7128</v>
      </c>
      <c r="B10140" t="s">
        <v>1057</v>
      </c>
      <c r="C10140" t="s">
        <v>7372</v>
      </c>
      <c r="D10140">
        <v>154910</v>
      </c>
      <c r="E10140" t="s">
        <v>14</v>
      </c>
      <c r="F10140">
        <v>43.875300000000003</v>
      </c>
      <c r="G10140">
        <v>25.9328</v>
      </c>
      <c r="H10140">
        <v>2</v>
      </c>
      <c r="I10140">
        <v>24.8</v>
      </c>
      <c r="J10140" t="str">
        <f>HYPERLINK("https://climate.onebuilding.org/WMO_Region_6_Europe/ROU_Romania/GR_Giurgiu/ROU_GR_Giurgiu.154910_TMYx.zip")</f>
        <v>https://climate.onebuilding.org/WMO_Region_6_Europe/ROU_Romania/GR_Giurgiu/ROU_GR_Giurgiu.154910_TMYx.zip</v>
      </c>
    </row>
    <row r="10141" spans="1:10" x14ac:dyDescent="0.25">
      <c r="A10141" t="s">
        <v>7128</v>
      </c>
      <c r="B10141" t="s">
        <v>2042</v>
      </c>
      <c r="C10141" t="s">
        <v>7373</v>
      </c>
      <c r="D10141">
        <v>154931</v>
      </c>
      <c r="E10141" t="s">
        <v>7374</v>
      </c>
      <c r="F10141">
        <v>43.984999999999999</v>
      </c>
      <c r="G10141">
        <v>28.606999999999999</v>
      </c>
      <c r="H10141">
        <v>2</v>
      </c>
      <c r="I10141">
        <v>50</v>
      </c>
      <c r="J10141" t="str">
        <f>HYPERLINK("https://climate.onebuilding.org/WMO_Region_6_Europe/ROU_Romania/CT_Constanta/ROU_CT_Tuzla.AF.154931_TMYx.2004-2018.zip")</f>
        <v>https://climate.onebuilding.org/WMO_Region_6_Europe/ROU_Romania/CT_Constanta/ROU_CT_Tuzla.AF.154931_TMYx.2004-2018.zip</v>
      </c>
    </row>
    <row r="10142" spans="1:10" x14ac:dyDescent="0.25">
      <c r="A10142" t="s">
        <v>7128</v>
      </c>
      <c r="B10142" t="s">
        <v>2042</v>
      </c>
      <c r="C10142" t="s">
        <v>7373</v>
      </c>
      <c r="D10142">
        <v>154931</v>
      </c>
      <c r="E10142" t="s">
        <v>14</v>
      </c>
      <c r="F10142">
        <v>43.984999999999999</v>
      </c>
      <c r="G10142">
        <v>28.606999999999999</v>
      </c>
      <c r="H10142">
        <v>2</v>
      </c>
      <c r="I10142">
        <v>50</v>
      </c>
      <c r="J10142" t="str">
        <f>HYPERLINK("https://climate.onebuilding.org/WMO_Region_6_Europe/ROU_Romania/CT_Constanta/ROU_CT_Tuzla.AF.154931_TMYx.2007-2021.zip")</f>
        <v>https://climate.onebuilding.org/WMO_Region_6_Europe/ROU_Romania/CT_Constanta/ROU_CT_Tuzla.AF.154931_TMYx.2007-2021.zip</v>
      </c>
    </row>
    <row r="10143" spans="1:10" x14ac:dyDescent="0.25">
      <c r="A10143" t="s">
        <v>7128</v>
      </c>
      <c r="B10143" t="s">
        <v>2042</v>
      </c>
      <c r="C10143" t="s">
        <v>7373</v>
      </c>
      <c r="D10143">
        <v>154931</v>
      </c>
      <c r="E10143" t="s">
        <v>14</v>
      </c>
      <c r="F10143">
        <v>43.984999999999999</v>
      </c>
      <c r="G10143">
        <v>28.606999999999999</v>
      </c>
      <c r="H10143">
        <v>2</v>
      </c>
      <c r="I10143">
        <v>50</v>
      </c>
      <c r="J10143" t="str">
        <f>HYPERLINK("https://climate.onebuilding.org/WMO_Region_6_Europe/ROU_Romania/CT_Constanta/ROU_CT_Tuzla.AF.154931_TMYx.2009-2023.zip")</f>
        <v>https://climate.onebuilding.org/WMO_Region_6_Europe/ROU_Romania/CT_Constanta/ROU_CT_Tuzla.AF.154931_TMYx.2009-2023.zip</v>
      </c>
    </row>
    <row r="10144" spans="1:10" x14ac:dyDescent="0.25">
      <c r="A10144" t="s">
        <v>7128</v>
      </c>
      <c r="B10144" t="s">
        <v>2042</v>
      </c>
      <c r="C10144" t="s">
        <v>7373</v>
      </c>
      <c r="D10144">
        <v>154931</v>
      </c>
      <c r="E10144" t="s">
        <v>14</v>
      </c>
      <c r="F10144">
        <v>43.984999999999999</v>
      </c>
      <c r="G10144">
        <v>28.606999999999999</v>
      </c>
      <c r="H10144">
        <v>2</v>
      </c>
      <c r="I10144">
        <v>50</v>
      </c>
      <c r="J10144" t="str">
        <f>HYPERLINK("https://climate.onebuilding.org/WMO_Region_6_Europe/ROU_Romania/CT_Constanta/ROU_CT_Tuzla.AF.154931_TMYx.zip")</f>
        <v>https://climate.onebuilding.org/WMO_Region_6_Europe/ROU_Romania/CT_Constanta/ROU_CT_Tuzla.AF.154931_TMYx.zip</v>
      </c>
    </row>
    <row r="10145" spans="1:10" x14ac:dyDescent="0.25">
      <c r="A10145" t="s">
        <v>7128</v>
      </c>
      <c r="B10145" t="s">
        <v>7351</v>
      </c>
      <c r="C10145" t="s">
        <v>7375</v>
      </c>
      <c r="D10145">
        <v>154940</v>
      </c>
      <c r="E10145" t="s">
        <v>14</v>
      </c>
      <c r="F10145">
        <v>43.789700000000003</v>
      </c>
      <c r="G10145">
        <v>23.944199999999999</v>
      </c>
      <c r="H10145">
        <v>2</v>
      </c>
      <c r="I10145">
        <v>40</v>
      </c>
      <c r="J10145" t="str">
        <f>HYPERLINK("https://climate.onebuilding.org/WMO_Region_6_Europe/ROU_Romania/DJ_Dolj/ROU_DJ_Bechet.154940_TMYx.2007-2021.zip")</f>
        <v>https://climate.onebuilding.org/WMO_Region_6_Europe/ROU_Romania/DJ_Dolj/ROU_DJ_Bechet.154940_TMYx.2007-2021.zip</v>
      </c>
    </row>
    <row r="10146" spans="1:10" x14ac:dyDescent="0.25">
      <c r="A10146" t="s">
        <v>7128</v>
      </c>
      <c r="B10146" t="s">
        <v>7351</v>
      </c>
      <c r="C10146" t="s">
        <v>7375</v>
      </c>
      <c r="D10146">
        <v>154940</v>
      </c>
      <c r="E10146" t="s">
        <v>14</v>
      </c>
      <c r="F10146">
        <v>43.789700000000003</v>
      </c>
      <c r="G10146">
        <v>23.944199999999999</v>
      </c>
      <c r="H10146">
        <v>2</v>
      </c>
      <c r="I10146">
        <v>40</v>
      </c>
      <c r="J10146" t="str">
        <f>HYPERLINK("https://climate.onebuilding.org/WMO_Region_6_Europe/ROU_Romania/DJ_Dolj/ROU_DJ_Bechet.154940_TMYx.2009-2023.zip")</f>
        <v>https://climate.onebuilding.org/WMO_Region_6_Europe/ROU_Romania/DJ_Dolj/ROU_DJ_Bechet.154940_TMYx.2009-2023.zip</v>
      </c>
    </row>
    <row r="10147" spans="1:10" x14ac:dyDescent="0.25">
      <c r="A10147" t="s">
        <v>7128</v>
      </c>
      <c r="B10147" t="s">
        <v>7351</v>
      </c>
      <c r="C10147" t="s">
        <v>7375</v>
      </c>
      <c r="D10147">
        <v>154940</v>
      </c>
      <c r="E10147" t="s">
        <v>14</v>
      </c>
      <c r="F10147">
        <v>43.789700000000003</v>
      </c>
      <c r="G10147">
        <v>23.944199999999999</v>
      </c>
      <c r="H10147">
        <v>2</v>
      </c>
      <c r="I10147">
        <v>40</v>
      </c>
      <c r="J10147" t="str">
        <f>HYPERLINK("https://climate.onebuilding.org/WMO_Region_6_Europe/ROU_Romania/DJ_Dolj/ROU_DJ_Bechet.154940_TMYx.zip")</f>
        <v>https://climate.onebuilding.org/WMO_Region_6_Europe/ROU_Romania/DJ_Dolj/ROU_DJ_Bechet.154940_TMYx.zip</v>
      </c>
    </row>
    <row r="10148" spans="1:10" x14ac:dyDescent="0.25">
      <c r="A10148" t="s">
        <v>7128</v>
      </c>
      <c r="B10148" t="s">
        <v>155</v>
      </c>
      <c r="C10148" t="s">
        <v>7376</v>
      </c>
      <c r="D10148">
        <v>154980</v>
      </c>
      <c r="E10148" t="s">
        <v>14</v>
      </c>
      <c r="F10148">
        <v>43.6614</v>
      </c>
      <c r="G10148">
        <v>25.3536</v>
      </c>
      <c r="H10148">
        <v>2</v>
      </c>
      <c r="I10148">
        <v>34.799999999999997</v>
      </c>
      <c r="J10148" t="str">
        <f>HYPERLINK("https://climate.onebuilding.org/WMO_Region_6_Europe/ROU_Romania/TR_Teleorman/ROU_TR_Zimnicea.154980_TMYx.2007-2021.zip")</f>
        <v>https://climate.onebuilding.org/WMO_Region_6_Europe/ROU_Romania/TR_Teleorman/ROU_TR_Zimnicea.154980_TMYx.2007-2021.zip</v>
      </c>
    </row>
    <row r="10149" spans="1:10" x14ac:dyDescent="0.25">
      <c r="A10149" t="s">
        <v>7128</v>
      </c>
      <c r="B10149" t="s">
        <v>155</v>
      </c>
      <c r="C10149" t="s">
        <v>7376</v>
      </c>
      <c r="D10149">
        <v>154980</v>
      </c>
      <c r="E10149" t="s">
        <v>14</v>
      </c>
      <c r="F10149">
        <v>43.6614</v>
      </c>
      <c r="G10149">
        <v>25.3536</v>
      </c>
      <c r="H10149">
        <v>2</v>
      </c>
      <c r="I10149">
        <v>34.799999999999997</v>
      </c>
      <c r="J10149" t="str">
        <f>HYPERLINK("https://climate.onebuilding.org/WMO_Region_6_Europe/ROU_Romania/TR_Teleorman/ROU_TR_Zimnicea.154980_TMYx.2009-2023.zip")</f>
        <v>https://climate.onebuilding.org/WMO_Region_6_Europe/ROU_Romania/TR_Teleorman/ROU_TR_Zimnicea.154980_TMYx.2009-2023.zip</v>
      </c>
    </row>
    <row r="10150" spans="1:10" x14ac:dyDescent="0.25">
      <c r="A10150" t="s">
        <v>7128</v>
      </c>
      <c r="B10150" t="s">
        <v>155</v>
      </c>
      <c r="C10150" t="s">
        <v>7376</v>
      </c>
      <c r="D10150">
        <v>154980</v>
      </c>
      <c r="E10150" t="s">
        <v>14</v>
      </c>
      <c r="F10150">
        <v>43.6614</v>
      </c>
      <c r="G10150">
        <v>25.3536</v>
      </c>
      <c r="H10150">
        <v>2</v>
      </c>
      <c r="I10150">
        <v>34.799999999999997</v>
      </c>
      <c r="J10150" t="str">
        <f>HYPERLINK("https://climate.onebuilding.org/WMO_Region_6_Europe/ROU_Romania/TR_Teleorman/ROU_TR_Zimnicea.154980_TMYx.zip")</f>
        <v>https://climate.onebuilding.org/WMO_Region_6_Europe/ROU_Romania/TR_Teleorman/ROU_TR_Zimnicea.154980_TMYx.zip</v>
      </c>
    </row>
    <row r="10151" spans="1:10" x14ac:dyDescent="0.25">
      <c r="A10151" t="s">
        <v>7128</v>
      </c>
      <c r="B10151" t="s">
        <v>2042</v>
      </c>
      <c r="C10151" t="s">
        <v>7377</v>
      </c>
      <c r="D10151">
        <v>154990</v>
      </c>
      <c r="E10151" t="s">
        <v>14</v>
      </c>
      <c r="F10151">
        <v>43.816099999999999</v>
      </c>
      <c r="G10151">
        <v>28.587499999999999</v>
      </c>
      <c r="H10151">
        <v>2</v>
      </c>
      <c r="I10151">
        <v>7.2</v>
      </c>
      <c r="J10151" t="str">
        <f>HYPERLINK("https://climate.onebuilding.org/WMO_Region_6_Europe/ROU_Romania/CT_Constanta/ROU_CT_Mangalia.154990_TMYx.2007-2021.zip")</f>
        <v>https://climate.onebuilding.org/WMO_Region_6_Europe/ROU_Romania/CT_Constanta/ROU_CT_Mangalia.154990_TMYx.2007-2021.zip</v>
      </c>
    </row>
    <row r="10152" spans="1:10" x14ac:dyDescent="0.25">
      <c r="A10152" t="s">
        <v>7128</v>
      </c>
      <c r="B10152" t="s">
        <v>2042</v>
      </c>
      <c r="C10152" t="s">
        <v>7377</v>
      </c>
      <c r="D10152">
        <v>154990</v>
      </c>
      <c r="E10152" t="s">
        <v>14</v>
      </c>
      <c r="F10152">
        <v>43.816099999999999</v>
      </c>
      <c r="G10152">
        <v>28.587499999999999</v>
      </c>
      <c r="H10152">
        <v>2</v>
      </c>
      <c r="I10152">
        <v>7.2</v>
      </c>
      <c r="J10152" t="str">
        <f>HYPERLINK("https://climate.onebuilding.org/WMO_Region_6_Europe/ROU_Romania/CT_Constanta/ROU_CT_Mangalia.154990_TMYx.2009-2023.zip")</f>
        <v>https://climate.onebuilding.org/WMO_Region_6_Europe/ROU_Romania/CT_Constanta/ROU_CT_Mangalia.154990_TMYx.2009-2023.zip</v>
      </c>
    </row>
    <row r="10153" spans="1:10" x14ac:dyDescent="0.25">
      <c r="A10153" t="s">
        <v>7128</v>
      </c>
      <c r="B10153" t="s">
        <v>2042</v>
      </c>
      <c r="C10153" t="s">
        <v>7377</v>
      </c>
      <c r="D10153">
        <v>154990</v>
      </c>
      <c r="E10153" t="s">
        <v>14</v>
      </c>
      <c r="F10153">
        <v>43.816099999999999</v>
      </c>
      <c r="G10153">
        <v>28.587499999999999</v>
      </c>
      <c r="H10153">
        <v>2</v>
      </c>
      <c r="I10153">
        <v>7.2</v>
      </c>
      <c r="J10153" t="str">
        <f>HYPERLINK("https://climate.onebuilding.org/WMO_Region_6_Europe/ROU_Romania/CT_Constanta/ROU_CT_Mangalia.154990_TMYx.zip")</f>
        <v>https://climate.onebuilding.org/WMO_Region_6_Europe/ROU_Romania/CT_Constanta/ROU_CT_Mangalia.154990_TMYx.zip</v>
      </c>
    </row>
    <row r="10154" spans="1:10" x14ac:dyDescent="0.25">
      <c r="A10154" t="s">
        <v>7378</v>
      </c>
      <c r="B10154" t="s">
        <v>2281</v>
      </c>
      <c r="C10154" t="s">
        <v>7379</v>
      </c>
      <c r="D10154" s="1" t="s">
        <v>7380</v>
      </c>
      <c r="E10154" t="s">
        <v>7381</v>
      </c>
      <c r="F10154">
        <v>70.962000000000003</v>
      </c>
      <c r="G10154">
        <v>-8.6171000000000006</v>
      </c>
      <c r="H10154">
        <v>1</v>
      </c>
      <c r="I10154">
        <v>9</v>
      </c>
      <c r="J10154" t="str">
        <f>HYPERLINK("https://climate.onebuilding.org/WMO_Region_6_Europe/SJM_Svalbard_and_Jan_Mayen/JN_Jan_Mayen/SJM_JN_Jan.Mayen.010010_TMYx.2004-2018.zip")</f>
        <v>https://climate.onebuilding.org/WMO_Region_6_Europe/SJM_Svalbard_and_Jan_Mayen/JN_Jan_Mayen/SJM_JN_Jan.Mayen.010010_TMYx.2004-2018.zip</v>
      </c>
    </row>
    <row r="10155" spans="1:10" x14ac:dyDescent="0.25">
      <c r="A10155" t="s">
        <v>7378</v>
      </c>
      <c r="B10155" t="s">
        <v>2281</v>
      </c>
      <c r="C10155" t="s">
        <v>7379</v>
      </c>
      <c r="D10155" s="1" t="s">
        <v>7380</v>
      </c>
      <c r="E10155" t="s">
        <v>14</v>
      </c>
      <c r="F10155">
        <v>70.94</v>
      </c>
      <c r="G10155">
        <v>-8.6679999999999993</v>
      </c>
      <c r="H10155">
        <v>1</v>
      </c>
      <c r="I10155">
        <v>9</v>
      </c>
      <c r="J10155" t="str">
        <f>HYPERLINK("https://climate.onebuilding.org/WMO_Region_6_Europe/SJM_Svalbard_and_Jan_Mayen/JN_Jan_Mayen/SJM_JN_Jan.Mayen.010010_TMYx.2007-2021.zip")</f>
        <v>https://climate.onebuilding.org/WMO_Region_6_Europe/SJM_Svalbard_and_Jan_Mayen/JN_Jan_Mayen/SJM_JN_Jan.Mayen.010010_TMYx.2007-2021.zip</v>
      </c>
    </row>
    <row r="10156" spans="1:10" x14ac:dyDescent="0.25">
      <c r="A10156" t="s">
        <v>7378</v>
      </c>
      <c r="B10156" t="s">
        <v>2281</v>
      </c>
      <c r="C10156" t="s">
        <v>7379</v>
      </c>
      <c r="D10156" s="1" t="s">
        <v>7380</v>
      </c>
      <c r="E10156" t="s">
        <v>14</v>
      </c>
      <c r="F10156">
        <v>70.94</v>
      </c>
      <c r="G10156">
        <v>-8.6679999999999993</v>
      </c>
      <c r="H10156">
        <v>1</v>
      </c>
      <c r="I10156">
        <v>9</v>
      </c>
      <c r="J10156" t="str">
        <f>HYPERLINK("https://climate.onebuilding.org/WMO_Region_6_Europe/SJM_Svalbard_and_Jan_Mayen/JN_Jan_Mayen/SJM_JN_Jan.Mayen.010010_TMYx.2009-2023.zip")</f>
        <v>https://climate.onebuilding.org/WMO_Region_6_Europe/SJM_Svalbard_and_Jan_Mayen/JN_Jan_Mayen/SJM_JN_Jan.Mayen.010010_TMYx.2009-2023.zip</v>
      </c>
    </row>
    <row r="10157" spans="1:10" x14ac:dyDescent="0.25">
      <c r="A10157" t="s">
        <v>7378</v>
      </c>
      <c r="B10157" t="s">
        <v>2281</v>
      </c>
      <c r="C10157" t="s">
        <v>7379</v>
      </c>
      <c r="D10157" s="1" t="s">
        <v>7380</v>
      </c>
      <c r="E10157" t="s">
        <v>14</v>
      </c>
      <c r="F10157">
        <v>70.94</v>
      </c>
      <c r="G10157">
        <v>-8.6679999999999993</v>
      </c>
      <c r="H10157">
        <v>1</v>
      </c>
      <c r="I10157">
        <v>9</v>
      </c>
      <c r="J10157" t="str">
        <f>HYPERLINK("https://climate.onebuilding.org/WMO_Region_6_Europe/SJM_Svalbard_and_Jan_Mayen/JN_Jan_Mayen/SJM_JN_Jan.Mayen.010010_TMYx.zip")</f>
        <v>https://climate.onebuilding.org/WMO_Region_6_Europe/SJM_Svalbard_and_Jan_Mayen/JN_Jan_Mayen/SJM_JN_Jan.Mayen.010010_TMYx.zip</v>
      </c>
    </row>
    <row r="10158" spans="1:10" x14ac:dyDescent="0.25">
      <c r="A10158" t="s">
        <v>7378</v>
      </c>
      <c r="B10158" t="s">
        <v>5733</v>
      </c>
      <c r="C10158" t="s">
        <v>7382</v>
      </c>
      <c r="D10158" s="1" t="s">
        <v>7383</v>
      </c>
      <c r="E10158" t="s">
        <v>7384</v>
      </c>
      <c r="F10158">
        <v>80.059200000000004</v>
      </c>
      <c r="G10158">
        <v>16.25</v>
      </c>
      <c r="H10158">
        <v>1</v>
      </c>
      <c r="I10158">
        <v>8</v>
      </c>
      <c r="J10158" t="str">
        <f>HYPERLINK("https://climate.onebuilding.org/WMO_Region_6_Europe/SJM_Svalbard_and_Jan_Mayen/SV_Svalbard/SJM_SV_Verlegenhuken.010020_TMYx.2004-2018.zip")</f>
        <v>https://climate.onebuilding.org/WMO_Region_6_Europe/SJM_Svalbard_and_Jan_Mayen/SV_Svalbard/SJM_SV_Verlegenhuken.010020_TMYx.2004-2018.zip</v>
      </c>
    </row>
    <row r="10159" spans="1:10" x14ac:dyDescent="0.25">
      <c r="A10159" t="s">
        <v>7378</v>
      </c>
      <c r="B10159" t="s">
        <v>5733</v>
      </c>
      <c r="C10159" t="s">
        <v>7382</v>
      </c>
      <c r="D10159" s="1" t="s">
        <v>7383</v>
      </c>
      <c r="E10159" t="s">
        <v>14</v>
      </c>
      <c r="F10159">
        <v>80.059200000000004</v>
      </c>
      <c r="G10159">
        <v>16.25</v>
      </c>
      <c r="H10159">
        <v>1</v>
      </c>
      <c r="I10159">
        <v>8</v>
      </c>
      <c r="J10159" t="str">
        <f>HYPERLINK("https://climate.onebuilding.org/WMO_Region_6_Europe/SJM_Svalbard_and_Jan_Mayen/SV_Svalbard/SJM_SV_Verlegenhuken.010020_TMYx.2007-2021.zip")</f>
        <v>https://climate.onebuilding.org/WMO_Region_6_Europe/SJM_Svalbard_and_Jan_Mayen/SV_Svalbard/SJM_SV_Verlegenhuken.010020_TMYx.2007-2021.zip</v>
      </c>
    </row>
    <row r="10160" spans="1:10" x14ac:dyDescent="0.25">
      <c r="A10160" t="s">
        <v>7378</v>
      </c>
      <c r="B10160" t="s">
        <v>5733</v>
      </c>
      <c r="C10160" t="s">
        <v>7382</v>
      </c>
      <c r="D10160" s="1" t="s">
        <v>7383</v>
      </c>
      <c r="E10160" t="s">
        <v>14</v>
      </c>
      <c r="F10160">
        <v>80.059200000000004</v>
      </c>
      <c r="G10160">
        <v>16.25</v>
      </c>
      <c r="H10160">
        <v>1</v>
      </c>
      <c r="I10160">
        <v>8</v>
      </c>
      <c r="J10160" t="str">
        <f>HYPERLINK("https://climate.onebuilding.org/WMO_Region_6_Europe/SJM_Svalbard_and_Jan_Mayen/SV_Svalbard/SJM_SV_Verlegenhuken.010020_TMYx.2009-2023.zip")</f>
        <v>https://climate.onebuilding.org/WMO_Region_6_Europe/SJM_Svalbard_and_Jan_Mayen/SV_Svalbard/SJM_SV_Verlegenhuken.010020_TMYx.2009-2023.zip</v>
      </c>
    </row>
    <row r="10161" spans="1:10" x14ac:dyDescent="0.25">
      <c r="A10161" t="s">
        <v>7378</v>
      </c>
      <c r="B10161" t="s">
        <v>5733</v>
      </c>
      <c r="C10161" t="s">
        <v>7382</v>
      </c>
      <c r="D10161" s="1" t="s">
        <v>7383</v>
      </c>
      <c r="E10161" t="s">
        <v>14</v>
      </c>
      <c r="F10161">
        <v>80.059200000000004</v>
      </c>
      <c r="G10161">
        <v>16.25</v>
      </c>
      <c r="H10161">
        <v>1</v>
      </c>
      <c r="I10161">
        <v>8</v>
      </c>
      <c r="J10161" t="str">
        <f>HYPERLINK("https://climate.onebuilding.org/WMO_Region_6_Europe/SJM_Svalbard_and_Jan_Mayen/SV_Svalbard/SJM_SV_Verlegenhuken.010020_TMYx.zip")</f>
        <v>https://climate.onebuilding.org/WMO_Region_6_Europe/SJM_Svalbard_and_Jan_Mayen/SV_Svalbard/SJM_SV_Verlegenhuken.010020_TMYx.zip</v>
      </c>
    </row>
    <row r="10162" spans="1:10" x14ac:dyDescent="0.25">
      <c r="A10162" t="s">
        <v>7378</v>
      </c>
      <c r="B10162" t="s">
        <v>5733</v>
      </c>
      <c r="C10162" t="s">
        <v>7385</v>
      </c>
      <c r="D10162" s="1" t="s">
        <v>7386</v>
      </c>
      <c r="E10162" t="s">
        <v>7387</v>
      </c>
      <c r="F10162">
        <v>77</v>
      </c>
      <c r="G10162">
        <v>15.5</v>
      </c>
      <c r="H10162">
        <v>1</v>
      </c>
      <c r="I10162">
        <v>12</v>
      </c>
      <c r="J10162" t="str">
        <f>HYPERLINK("https://climate.onebuilding.org/WMO_Region_6_Europe/SJM_Svalbard_and_Jan_Mayen/SV_Svalbard/SJM_SV_Hornsund.010030_TMYx.2004-2018.zip")</f>
        <v>https://climate.onebuilding.org/WMO_Region_6_Europe/SJM_Svalbard_and_Jan_Mayen/SV_Svalbard/SJM_SV_Hornsund.010030_TMYx.2004-2018.zip</v>
      </c>
    </row>
    <row r="10163" spans="1:10" x14ac:dyDescent="0.25">
      <c r="A10163" t="s">
        <v>7378</v>
      </c>
      <c r="B10163" t="s">
        <v>5733</v>
      </c>
      <c r="C10163" t="s">
        <v>7385</v>
      </c>
      <c r="D10163" s="1" t="s">
        <v>7386</v>
      </c>
      <c r="E10163" t="s">
        <v>14</v>
      </c>
      <c r="F10163">
        <v>77</v>
      </c>
      <c r="G10163">
        <v>15.5</v>
      </c>
      <c r="H10163">
        <v>1</v>
      </c>
      <c r="I10163">
        <v>12</v>
      </c>
      <c r="J10163" t="str">
        <f>HYPERLINK("https://climate.onebuilding.org/WMO_Region_6_Europe/SJM_Svalbard_and_Jan_Mayen/SV_Svalbard/SJM_SV_Hornsund.010030_TMYx.2007-2021.zip")</f>
        <v>https://climate.onebuilding.org/WMO_Region_6_Europe/SJM_Svalbard_and_Jan_Mayen/SV_Svalbard/SJM_SV_Hornsund.010030_TMYx.2007-2021.zip</v>
      </c>
    </row>
    <row r="10164" spans="1:10" x14ac:dyDescent="0.25">
      <c r="A10164" t="s">
        <v>7378</v>
      </c>
      <c r="B10164" t="s">
        <v>5733</v>
      </c>
      <c r="C10164" t="s">
        <v>7385</v>
      </c>
      <c r="D10164" s="1" t="s">
        <v>7386</v>
      </c>
      <c r="E10164" t="s">
        <v>14</v>
      </c>
      <c r="F10164">
        <v>77</v>
      </c>
      <c r="G10164">
        <v>15.5</v>
      </c>
      <c r="H10164">
        <v>1</v>
      </c>
      <c r="I10164">
        <v>12</v>
      </c>
      <c r="J10164" t="str">
        <f>HYPERLINK("https://climate.onebuilding.org/WMO_Region_6_Europe/SJM_Svalbard_and_Jan_Mayen/SV_Svalbard/SJM_SV_Hornsund.010030_TMYx.2009-2023.zip")</f>
        <v>https://climate.onebuilding.org/WMO_Region_6_Europe/SJM_Svalbard_and_Jan_Mayen/SV_Svalbard/SJM_SV_Hornsund.010030_TMYx.2009-2023.zip</v>
      </c>
    </row>
    <row r="10165" spans="1:10" x14ac:dyDescent="0.25">
      <c r="A10165" t="s">
        <v>7378</v>
      </c>
      <c r="B10165" t="s">
        <v>5733</v>
      </c>
      <c r="C10165" t="s">
        <v>7385</v>
      </c>
      <c r="D10165" s="1" t="s">
        <v>7386</v>
      </c>
      <c r="E10165" t="s">
        <v>14</v>
      </c>
      <c r="F10165">
        <v>77</v>
      </c>
      <c r="G10165">
        <v>15.5</v>
      </c>
      <c r="H10165">
        <v>1</v>
      </c>
      <c r="I10165">
        <v>12</v>
      </c>
      <c r="J10165" t="str">
        <f>HYPERLINK("https://climate.onebuilding.org/WMO_Region_6_Europe/SJM_Svalbard_and_Jan_Mayen/SV_Svalbard/SJM_SV_Hornsund.010030_TMYx.zip")</f>
        <v>https://climate.onebuilding.org/WMO_Region_6_Europe/SJM_Svalbard_and_Jan_Mayen/SV_Svalbard/SJM_SV_Hornsund.010030_TMYx.zip</v>
      </c>
    </row>
    <row r="10166" spans="1:10" x14ac:dyDescent="0.25">
      <c r="A10166" t="s">
        <v>7378</v>
      </c>
      <c r="B10166" t="s">
        <v>5733</v>
      </c>
      <c r="C10166" t="s">
        <v>7388</v>
      </c>
      <c r="D10166" s="1" t="s">
        <v>7389</v>
      </c>
      <c r="E10166" t="s">
        <v>14</v>
      </c>
      <c r="F10166">
        <v>78.062160000000006</v>
      </c>
      <c r="G10166">
        <v>13.61735</v>
      </c>
      <c r="H10166">
        <v>1</v>
      </c>
      <c r="I10166">
        <v>16</v>
      </c>
      <c r="J10166" t="str">
        <f>HYPERLINK("https://climate.onebuilding.org/WMO_Region_6_Europe/SJM_Svalbard_and_Jan_Mayen/SV_Svalbard/SJM_SV_Isfjord.Radio.010050_TMYx.zip")</f>
        <v>https://climate.onebuilding.org/WMO_Region_6_Europe/SJM_Svalbard_and_Jan_Mayen/SV_Svalbard/SJM_SV_Isfjord.Radio.010050_TMYx.zip</v>
      </c>
    </row>
    <row r="10167" spans="1:10" x14ac:dyDescent="0.25">
      <c r="A10167" t="s">
        <v>7378</v>
      </c>
      <c r="B10167" t="s">
        <v>5733</v>
      </c>
      <c r="C10167" t="s">
        <v>7390</v>
      </c>
      <c r="D10167" s="1" t="s">
        <v>7391</v>
      </c>
      <c r="E10167" t="s">
        <v>7392</v>
      </c>
      <c r="F10167">
        <v>78.250600000000006</v>
      </c>
      <c r="G10167">
        <v>22.822500000000002</v>
      </c>
      <c r="H10167">
        <v>1</v>
      </c>
      <c r="I10167">
        <v>14</v>
      </c>
      <c r="J10167" t="str">
        <f>HYPERLINK("https://climate.onebuilding.org/WMO_Region_6_Europe/SJM_Svalbard_and_Jan_Mayen/SV_Svalbard/SJM_SV_Edgeoya.010060_TMYx.2004-2018.zip")</f>
        <v>https://climate.onebuilding.org/WMO_Region_6_Europe/SJM_Svalbard_and_Jan_Mayen/SV_Svalbard/SJM_SV_Edgeoya.010060_TMYx.2004-2018.zip</v>
      </c>
    </row>
    <row r="10168" spans="1:10" x14ac:dyDescent="0.25">
      <c r="A10168" t="s">
        <v>7378</v>
      </c>
      <c r="B10168" t="s">
        <v>5733</v>
      </c>
      <c r="C10168" t="s">
        <v>7390</v>
      </c>
      <c r="D10168" s="1" t="s">
        <v>7391</v>
      </c>
      <c r="E10168" t="s">
        <v>14</v>
      </c>
      <c r="F10168">
        <v>78.250600000000006</v>
      </c>
      <c r="G10168">
        <v>22.822500000000002</v>
      </c>
      <c r="H10168">
        <v>1</v>
      </c>
      <c r="I10168">
        <v>14</v>
      </c>
      <c r="J10168" t="str">
        <f>HYPERLINK("https://climate.onebuilding.org/WMO_Region_6_Europe/SJM_Svalbard_and_Jan_Mayen/SV_Svalbard/SJM_SV_Edgeoya.010060_TMYx.2007-2021.zip")</f>
        <v>https://climate.onebuilding.org/WMO_Region_6_Europe/SJM_Svalbard_and_Jan_Mayen/SV_Svalbard/SJM_SV_Edgeoya.010060_TMYx.2007-2021.zip</v>
      </c>
    </row>
    <row r="10169" spans="1:10" x14ac:dyDescent="0.25">
      <c r="A10169" t="s">
        <v>7378</v>
      </c>
      <c r="B10169" t="s">
        <v>5733</v>
      </c>
      <c r="C10169" t="s">
        <v>7390</v>
      </c>
      <c r="D10169" s="1" t="s">
        <v>7391</v>
      </c>
      <c r="E10169" t="s">
        <v>14</v>
      </c>
      <c r="F10169">
        <v>78.250600000000006</v>
      </c>
      <c r="G10169">
        <v>22.822500000000002</v>
      </c>
      <c r="H10169">
        <v>1</v>
      </c>
      <c r="I10169">
        <v>14</v>
      </c>
      <c r="J10169" t="str">
        <f>HYPERLINK("https://climate.onebuilding.org/WMO_Region_6_Europe/SJM_Svalbard_and_Jan_Mayen/SV_Svalbard/SJM_SV_Edgeoya.010060_TMYx.2009-2023.zip")</f>
        <v>https://climate.onebuilding.org/WMO_Region_6_Europe/SJM_Svalbard_and_Jan_Mayen/SV_Svalbard/SJM_SV_Edgeoya.010060_TMYx.2009-2023.zip</v>
      </c>
    </row>
    <row r="10170" spans="1:10" x14ac:dyDescent="0.25">
      <c r="A10170" t="s">
        <v>7378</v>
      </c>
      <c r="B10170" t="s">
        <v>5733</v>
      </c>
      <c r="C10170" t="s">
        <v>7390</v>
      </c>
      <c r="D10170" s="1" t="s">
        <v>7391</v>
      </c>
      <c r="E10170" t="s">
        <v>14</v>
      </c>
      <c r="F10170">
        <v>78.250600000000006</v>
      </c>
      <c r="G10170">
        <v>22.822500000000002</v>
      </c>
      <c r="H10170">
        <v>1</v>
      </c>
      <c r="I10170">
        <v>14</v>
      </c>
      <c r="J10170" t="str">
        <f>HYPERLINK("https://climate.onebuilding.org/WMO_Region_6_Europe/SJM_Svalbard_and_Jan_Mayen/SV_Svalbard/SJM_SV_Edgeoya.010060_TMYx.zip")</f>
        <v>https://climate.onebuilding.org/WMO_Region_6_Europe/SJM_Svalbard_and_Jan_Mayen/SV_Svalbard/SJM_SV_Edgeoya.010060_TMYx.zip</v>
      </c>
    </row>
    <row r="10171" spans="1:10" x14ac:dyDescent="0.25">
      <c r="A10171" t="s">
        <v>7378</v>
      </c>
      <c r="B10171" t="s">
        <v>5733</v>
      </c>
      <c r="C10171" t="s">
        <v>7393</v>
      </c>
      <c r="D10171" s="1" t="s">
        <v>7394</v>
      </c>
      <c r="E10171" t="s">
        <v>7395</v>
      </c>
      <c r="F10171">
        <v>78.922799999999995</v>
      </c>
      <c r="G10171">
        <v>11.9331</v>
      </c>
      <c r="H10171">
        <v>1</v>
      </c>
      <c r="I10171">
        <v>7.7</v>
      </c>
      <c r="J10171" t="str">
        <f>HYPERLINK("https://climate.onebuilding.org/WMO_Region_6_Europe/SJM_Svalbard_and_Jan_Mayen/SV_Svalbard/SJM_SV_Ny-Alesund.010070_TMYx.2004-2018.zip")</f>
        <v>https://climate.onebuilding.org/WMO_Region_6_Europe/SJM_Svalbard_and_Jan_Mayen/SV_Svalbard/SJM_SV_Ny-Alesund.010070_TMYx.2004-2018.zip</v>
      </c>
    </row>
    <row r="10172" spans="1:10" x14ac:dyDescent="0.25">
      <c r="A10172" t="s">
        <v>7378</v>
      </c>
      <c r="B10172" t="s">
        <v>5733</v>
      </c>
      <c r="C10172" t="s">
        <v>7393</v>
      </c>
      <c r="D10172" s="1" t="s">
        <v>7394</v>
      </c>
      <c r="E10172" t="s">
        <v>14</v>
      </c>
      <c r="F10172">
        <v>78.922799999999995</v>
      </c>
      <c r="G10172">
        <v>11.9331</v>
      </c>
      <c r="H10172">
        <v>1</v>
      </c>
      <c r="I10172">
        <v>7.7</v>
      </c>
      <c r="J10172" t="str">
        <f>HYPERLINK("https://climate.onebuilding.org/WMO_Region_6_Europe/SJM_Svalbard_and_Jan_Mayen/SV_Svalbard/SJM_SV_Ny-Alesund.010070_TMYx.2007-2021.zip")</f>
        <v>https://climate.onebuilding.org/WMO_Region_6_Europe/SJM_Svalbard_and_Jan_Mayen/SV_Svalbard/SJM_SV_Ny-Alesund.010070_TMYx.2007-2021.zip</v>
      </c>
    </row>
    <row r="10173" spans="1:10" x14ac:dyDescent="0.25">
      <c r="A10173" t="s">
        <v>7378</v>
      </c>
      <c r="B10173" t="s">
        <v>5733</v>
      </c>
      <c r="C10173" t="s">
        <v>7393</v>
      </c>
      <c r="D10173" s="1" t="s">
        <v>7394</v>
      </c>
      <c r="E10173" t="s">
        <v>14</v>
      </c>
      <c r="F10173">
        <v>78.922799999999995</v>
      </c>
      <c r="G10173">
        <v>11.9331</v>
      </c>
      <c r="H10173">
        <v>1</v>
      </c>
      <c r="I10173">
        <v>7.7</v>
      </c>
      <c r="J10173" t="str">
        <f>HYPERLINK("https://climate.onebuilding.org/WMO_Region_6_Europe/SJM_Svalbard_and_Jan_Mayen/SV_Svalbard/SJM_SV_Ny-Alesund.010070_TMYx.2009-2023.zip")</f>
        <v>https://climate.onebuilding.org/WMO_Region_6_Europe/SJM_Svalbard_and_Jan_Mayen/SV_Svalbard/SJM_SV_Ny-Alesund.010070_TMYx.2009-2023.zip</v>
      </c>
    </row>
    <row r="10174" spans="1:10" x14ac:dyDescent="0.25">
      <c r="A10174" t="s">
        <v>7378</v>
      </c>
      <c r="B10174" t="s">
        <v>5733</v>
      </c>
      <c r="C10174" t="s">
        <v>7393</v>
      </c>
      <c r="D10174" s="1" t="s">
        <v>7394</v>
      </c>
      <c r="E10174" t="s">
        <v>14</v>
      </c>
      <c r="F10174">
        <v>78.922799999999995</v>
      </c>
      <c r="G10174">
        <v>11.9331</v>
      </c>
      <c r="H10174">
        <v>1</v>
      </c>
      <c r="I10174">
        <v>7.7</v>
      </c>
      <c r="J10174" t="str">
        <f>HYPERLINK("https://climate.onebuilding.org/WMO_Region_6_Europe/SJM_Svalbard_and_Jan_Mayen/SV_Svalbard/SJM_SV_Ny-Alesund.010070_TMYx.zip")</f>
        <v>https://climate.onebuilding.org/WMO_Region_6_Europe/SJM_Svalbard_and_Jan_Mayen/SV_Svalbard/SJM_SV_Ny-Alesund.010070_TMYx.zip</v>
      </c>
    </row>
    <row r="10175" spans="1:10" x14ac:dyDescent="0.25">
      <c r="A10175" t="s">
        <v>7378</v>
      </c>
      <c r="B10175" t="s">
        <v>5733</v>
      </c>
      <c r="C10175" t="s">
        <v>7396</v>
      </c>
      <c r="D10175" s="1" t="s">
        <v>7397</v>
      </c>
      <c r="E10175" t="s">
        <v>7398</v>
      </c>
      <c r="F10175">
        <v>78.245999999999995</v>
      </c>
      <c r="G10175">
        <v>15.465999999999999</v>
      </c>
      <c r="H10175">
        <v>1</v>
      </c>
      <c r="I10175">
        <v>26.8</v>
      </c>
      <c r="J10175" t="str">
        <f>HYPERLINK("https://climate.onebuilding.org/WMO_Region_6_Europe/SJM_Svalbard_and_Jan_Mayen/SV_Svalbard/SJM_SV_Svalbard.AP-Longyear.010080_TMYx.2004-2018.zip")</f>
        <v>https://climate.onebuilding.org/WMO_Region_6_Europe/SJM_Svalbard_and_Jan_Mayen/SV_Svalbard/SJM_SV_Svalbard.AP-Longyear.010080_TMYx.2004-2018.zip</v>
      </c>
    </row>
    <row r="10176" spans="1:10" x14ac:dyDescent="0.25">
      <c r="A10176" t="s">
        <v>7378</v>
      </c>
      <c r="B10176" t="s">
        <v>5733</v>
      </c>
      <c r="C10176" t="s">
        <v>7396</v>
      </c>
      <c r="D10176" s="1" t="s">
        <v>7397</v>
      </c>
      <c r="E10176" t="s">
        <v>14</v>
      </c>
      <c r="F10176">
        <v>78.245999999999995</v>
      </c>
      <c r="G10176">
        <v>15.465999999999999</v>
      </c>
      <c r="H10176">
        <v>1</v>
      </c>
      <c r="I10176">
        <v>26.8</v>
      </c>
      <c r="J10176" t="str">
        <f>HYPERLINK("https://climate.onebuilding.org/WMO_Region_6_Europe/SJM_Svalbard_and_Jan_Mayen/SV_Svalbard/SJM_SV_Svalbard.AP-Longyear.010080_TMYx.2007-2021.zip")</f>
        <v>https://climate.onebuilding.org/WMO_Region_6_Europe/SJM_Svalbard_and_Jan_Mayen/SV_Svalbard/SJM_SV_Svalbard.AP-Longyear.010080_TMYx.2007-2021.zip</v>
      </c>
    </row>
    <row r="10177" spans="1:10" x14ac:dyDescent="0.25">
      <c r="A10177" t="s">
        <v>7378</v>
      </c>
      <c r="B10177" t="s">
        <v>5733</v>
      </c>
      <c r="C10177" t="s">
        <v>7396</v>
      </c>
      <c r="D10177" s="1" t="s">
        <v>7397</v>
      </c>
      <c r="E10177" t="s">
        <v>14</v>
      </c>
      <c r="F10177">
        <v>78.245999999999995</v>
      </c>
      <c r="G10177">
        <v>15.465999999999999</v>
      </c>
      <c r="H10177">
        <v>1</v>
      </c>
      <c r="I10177">
        <v>26.8</v>
      </c>
      <c r="J10177" t="str">
        <f>HYPERLINK("https://climate.onebuilding.org/WMO_Region_6_Europe/SJM_Svalbard_and_Jan_Mayen/SV_Svalbard/SJM_SV_Svalbard.AP-Longyear.010080_TMYx.2009-2023.zip")</f>
        <v>https://climate.onebuilding.org/WMO_Region_6_Europe/SJM_Svalbard_and_Jan_Mayen/SV_Svalbard/SJM_SV_Svalbard.AP-Longyear.010080_TMYx.2009-2023.zip</v>
      </c>
    </row>
    <row r="10178" spans="1:10" x14ac:dyDescent="0.25">
      <c r="A10178" t="s">
        <v>7378</v>
      </c>
      <c r="B10178" t="s">
        <v>5733</v>
      </c>
      <c r="C10178" t="s">
        <v>7396</v>
      </c>
      <c r="D10178" s="1" t="s">
        <v>7397</v>
      </c>
      <c r="E10178" t="s">
        <v>14</v>
      </c>
      <c r="F10178">
        <v>78.245999999999995</v>
      </c>
      <c r="G10178">
        <v>15.465999999999999</v>
      </c>
      <c r="H10178">
        <v>1</v>
      </c>
      <c r="I10178">
        <v>26.8</v>
      </c>
      <c r="J10178" t="str">
        <f>HYPERLINK("https://climate.onebuilding.org/WMO_Region_6_Europe/SJM_Svalbard_and_Jan_Mayen/SV_Svalbard/SJM_SV_Svalbard.AP-Longyear.010080_TMYx.zip")</f>
        <v>https://climate.onebuilding.org/WMO_Region_6_Europe/SJM_Svalbard_and_Jan_Mayen/SV_Svalbard/SJM_SV_Svalbard.AP-Longyear.010080_TMYx.zip</v>
      </c>
    </row>
    <row r="10179" spans="1:10" x14ac:dyDescent="0.25">
      <c r="A10179" t="s">
        <v>7378</v>
      </c>
      <c r="B10179" t="s">
        <v>5733</v>
      </c>
      <c r="C10179" t="s">
        <v>7399</v>
      </c>
      <c r="D10179" s="1" t="s">
        <v>7400</v>
      </c>
      <c r="E10179" t="s">
        <v>7401</v>
      </c>
      <c r="F10179">
        <v>80.652799999999999</v>
      </c>
      <c r="G10179">
        <v>25.0078</v>
      </c>
      <c r="H10179">
        <v>1</v>
      </c>
      <c r="I10179">
        <v>5</v>
      </c>
      <c r="J10179" t="str">
        <f>HYPERLINK("https://climate.onebuilding.org/WMO_Region_6_Europe/SJM_Svalbard_and_Jan_Mayen/SV_Svalbard/SJM_SV_Karl.XII.Oya.Island.010090_TMYx.2004-2018.zip")</f>
        <v>https://climate.onebuilding.org/WMO_Region_6_Europe/SJM_Svalbard_and_Jan_Mayen/SV_Svalbard/SJM_SV_Karl.XII.Oya.Island.010090_TMYx.2004-2018.zip</v>
      </c>
    </row>
    <row r="10180" spans="1:10" x14ac:dyDescent="0.25">
      <c r="A10180" t="s">
        <v>7378</v>
      </c>
      <c r="B10180" t="s">
        <v>5733</v>
      </c>
      <c r="C10180" t="s">
        <v>7399</v>
      </c>
      <c r="D10180" s="1" t="s">
        <v>7400</v>
      </c>
      <c r="E10180" t="s">
        <v>14</v>
      </c>
      <c r="F10180">
        <v>80.652799999999999</v>
      </c>
      <c r="G10180">
        <v>25.0078</v>
      </c>
      <c r="H10180">
        <v>1</v>
      </c>
      <c r="I10180">
        <v>5</v>
      </c>
      <c r="J10180" t="str">
        <f>HYPERLINK("https://climate.onebuilding.org/WMO_Region_6_Europe/SJM_Svalbard_and_Jan_Mayen/SV_Svalbard/SJM_SV_Karl.XII.Oya.Island.010090_TMYx.2007-2021.zip")</f>
        <v>https://climate.onebuilding.org/WMO_Region_6_Europe/SJM_Svalbard_and_Jan_Mayen/SV_Svalbard/SJM_SV_Karl.XII.Oya.Island.010090_TMYx.2007-2021.zip</v>
      </c>
    </row>
    <row r="10181" spans="1:10" x14ac:dyDescent="0.25">
      <c r="A10181" t="s">
        <v>7378</v>
      </c>
      <c r="B10181" t="s">
        <v>5733</v>
      </c>
      <c r="C10181" t="s">
        <v>7399</v>
      </c>
      <c r="D10181" s="1" t="s">
        <v>7400</v>
      </c>
      <c r="E10181" t="s">
        <v>14</v>
      </c>
      <c r="F10181">
        <v>80.652799999999999</v>
      </c>
      <c r="G10181">
        <v>25.0078</v>
      </c>
      <c r="H10181">
        <v>1</v>
      </c>
      <c r="I10181">
        <v>5</v>
      </c>
      <c r="J10181" t="str">
        <f>HYPERLINK("https://climate.onebuilding.org/WMO_Region_6_Europe/SJM_Svalbard_and_Jan_Mayen/SV_Svalbard/SJM_SV_Karl.XII.Oya.Island.010090_TMYx.2009-2023.zip")</f>
        <v>https://climate.onebuilding.org/WMO_Region_6_Europe/SJM_Svalbard_and_Jan_Mayen/SV_Svalbard/SJM_SV_Karl.XII.Oya.Island.010090_TMYx.2009-2023.zip</v>
      </c>
    </row>
    <row r="10182" spans="1:10" x14ac:dyDescent="0.25">
      <c r="A10182" t="s">
        <v>7378</v>
      </c>
      <c r="B10182" t="s">
        <v>5733</v>
      </c>
      <c r="C10182" t="s">
        <v>7399</v>
      </c>
      <c r="D10182" s="1" t="s">
        <v>7400</v>
      </c>
      <c r="E10182" t="s">
        <v>14</v>
      </c>
      <c r="F10182">
        <v>80.652799999999999</v>
      </c>
      <c r="G10182">
        <v>25.0078</v>
      </c>
      <c r="H10182">
        <v>1</v>
      </c>
      <c r="I10182">
        <v>5</v>
      </c>
      <c r="J10182" t="str">
        <f>HYPERLINK("https://climate.onebuilding.org/WMO_Region_6_Europe/SJM_Svalbard_and_Jan_Mayen/SV_Svalbard/SJM_SV_Karl.XII.Oya.Island.010090_TMYx.zip")</f>
        <v>https://climate.onebuilding.org/WMO_Region_6_Europe/SJM_Svalbard_and_Jan_Mayen/SV_Svalbard/SJM_SV_Karl.XII.Oya.Island.010090_TMYx.zip</v>
      </c>
    </row>
    <row r="10183" spans="1:10" x14ac:dyDescent="0.25">
      <c r="A10183" t="s">
        <v>7378</v>
      </c>
      <c r="B10183" t="s">
        <v>5733</v>
      </c>
      <c r="C10183" t="s">
        <v>7402</v>
      </c>
      <c r="D10183" s="1" t="s">
        <v>7403</v>
      </c>
      <c r="E10183" t="s">
        <v>7404</v>
      </c>
      <c r="F10183">
        <v>80.083699999999993</v>
      </c>
      <c r="G10183">
        <v>31.470800000000001</v>
      </c>
      <c r="H10183">
        <v>1</v>
      </c>
      <c r="I10183">
        <v>10</v>
      </c>
      <c r="J10183" t="str">
        <f>HYPERLINK("https://climate.onebuilding.org/WMO_Region_6_Europe/SJM_Svalbard_and_Jan_Mayen/SV_Svalbard/SJM_SV_Kvitoya.010110_TMYx.2004-2018.zip")</f>
        <v>https://climate.onebuilding.org/WMO_Region_6_Europe/SJM_Svalbard_and_Jan_Mayen/SV_Svalbard/SJM_SV_Kvitoya.010110_TMYx.2004-2018.zip</v>
      </c>
    </row>
    <row r="10184" spans="1:10" x14ac:dyDescent="0.25">
      <c r="A10184" t="s">
        <v>7378</v>
      </c>
      <c r="B10184" t="s">
        <v>5733</v>
      </c>
      <c r="C10184" t="s">
        <v>7402</v>
      </c>
      <c r="D10184" s="1" t="s">
        <v>7403</v>
      </c>
      <c r="E10184" t="s">
        <v>14</v>
      </c>
      <c r="F10184">
        <v>80.083699999999993</v>
      </c>
      <c r="G10184">
        <v>31.470800000000001</v>
      </c>
      <c r="H10184">
        <v>1</v>
      </c>
      <c r="I10184">
        <v>10</v>
      </c>
      <c r="J10184" t="str">
        <f>HYPERLINK("https://climate.onebuilding.org/WMO_Region_6_Europe/SJM_Svalbard_and_Jan_Mayen/SV_Svalbard/SJM_SV_Kvitoya.010110_TMYx.2007-2021.zip")</f>
        <v>https://climate.onebuilding.org/WMO_Region_6_Europe/SJM_Svalbard_and_Jan_Mayen/SV_Svalbard/SJM_SV_Kvitoya.010110_TMYx.2007-2021.zip</v>
      </c>
    </row>
    <row r="10185" spans="1:10" x14ac:dyDescent="0.25">
      <c r="A10185" t="s">
        <v>7378</v>
      </c>
      <c r="B10185" t="s">
        <v>5733</v>
      </c>
      <c r="C10185" t="s">
        <v>7402</v>
      </c>
      <c r="D10185" s="1" t="s">
        <v>7403</v>
      </c>
      <c r="E10185" t="s">
        <v>14</v>
      </c>
      <c r="F10185">
        <v>80.083699999999993</v>
      </c>
      <c r="G10185">
        <v>31.470800000000001</v>
      </c>
      <c r="H10185">
        <v>1</v>
      </c>
      <c r="I10185">
        <v>10</v>
      </c>
      <c r="J10185" t="str">
        <f>HYPERLINK("https://climate.onebuilding.org/WMO_Region_6_Europe/SJM_Svalbard_and_Jan_Mayen/SV_Svalbard/SJM_SV_Kvitoya.010110_TMYx.2009-2023.zip")</f>
        <v>https://climate.onebuilding.org/WMO_Region_6_Europe/SJM_Svalbard_and_Jan_Mayen/SV_Svalbard/SJM_SV_Kvitoya.010110_TMYx.2009-2023.zip</v>
      </c>
    </row>
    <row r="10186" spans="1:10" x14ac:dyDescent="0.25">
      <c r="A10186" t="s">
        <v>7378</v>
      </c>
      <c r="B10186" t="s">
        <v>5733</v>
      </c>
      <c r="C10186" t="s">
        <v>7402</v>
      </c>
      <c r="D10186" s="1" t="s">
        <v>7403</v>
      </c>
      <c r="E10186" t="s">
        <v>14</v>
      </c>
      <c r="F10186">
        <v>80.083699999999993</v>
      </c>
      <c r="G10186">
        <v>31.470800000000001</v>
      </c>
      <c r="H10186">
        <v>1</v>
      </c>
      <c r="I10186">
        <v>10</v>
      </c>
      <c r="J10186" t="str">
        <f>HYPERLINK("https://climate.onebuilding.org/WMO_Region_6_Europe/SJM_Svalbard_and_Jan_Mayen/SV_Svalbard/SJM_SV_Kvitoya.010110_TMYx.zip")</f>
        <v>https://climate.onebuilding.org/WMO_Region_6_Europe/SJM_Svalbard_and_Jan_Mayen/SV_Svalbard/SJM_SV_Kvitoya.010110_TMYx.zip</v>
      </c>
    </row>
    <row r="10187" spans="1:10" x14ac:dyDescent="0.25">
      <c r="A10187" t="s">
        <v>7378</v>
      </c>
      <c r="B10187" t="s">
        <v>5733</v>
      </c>
      <c r="C10187" t="s">
        <v>7405</v>
      </c>
      <c r="D10187" s="1" t="s">
        <v>7406</v>
      </c>
      <c r="E10187" t="s">
        <v>7407</v>
      </c>
      <c r="F10187">
        <v>78.927499999999995</v>
      </c>
      <c r="G10187">
        <v>28.8919</v>
      </c>
      <c r="H10187">
        <v>1</v>
      </c>
      <c r="I10187">
        <v>20</v>
      </c>
      <c r="J10187" t="str">
        <f>HYPERLINK("https://climate.onebuilding.org/WMO_Region_6_Europe/SJM_Svalbard_and_Jan_Mayen/SV_Svalbard/SJM_SV_Kongsoya.010160_TMYx.2004-2018.zip")</f>
        <v>https://climate.onebuilding.org/WMO_Region_6_Europe/SJM_Svalbard_and_Jan_Mayen/SV_Svalbard/SJM_SV_Kongsoya.010160_TMYx.2004-2018.zip</v>
      </c>
    </row>
    <row r="10188" spans="1:10" x14ac:dyDescent="0.25">
      <c r="A10188" t="s">
        <v>7378</v>
      </c>
      <c r="B10188" t="s">
        <v>5733</v>
      </c>
      <c r="C10188" t="s">
        <v>7405</v>
      </c>
      <c r="D10188" s="1" t="s">
        <v>7406</v>
      </c>
      <c r="E10188" t="s">
        <v>14</v>
      </c>
      <c r="F10188">
        <v>78.927499999999995</v>
      </c>
      <c r="G10188">
        <v>28.8919</v>
      </c>
      <c r="H10188">
        <v>1</v>
      </c>
      <c r="I10188">
        <v>20</v>
      </c>
      <c r="J10188" t="str">
        <f>HYPERLINK("https://climate.onebuilding.org/WMO_Region_6_Europe/SJM_Svalbard_and_Jan_Mayen/SV_Svalbard/SJM_SV_Kongsoya.010160_TMYx.2007-2021.zip")</f>
        <v>https://climate.onebuilding.org/WMO_Region_6_Europe/SJM_Svalbard_and_Jan_Mayen/SV_Svalbard/SJM_SV_Kongsoya.010160_TMYx.2007-2021.zip</v>
      </c>
    </row>
    <row r="10189" spans="1:10" x14ac:dyDescent="0.25">
      <c r="A10189" t="s">
        <v>7378</v>
      </c>
      <c r="B10189" t="s">
        <v>5733</v>
      </c>
      <c r="C10189" t="s">
        <v>7405</v>
      </c>
      <c r="D10189" s="1" t="s">
        <v>7406</v>
      </c>
      <c r="E10189" t="s">
        <v>14</v>
      </c>
      <c r="F10189">
        <v>78.927499999999995</v>
      </c>
      <c r="G10189">
        <v>28.8919</v>
      </c>
      <c r="H10189">
        <v>1</v>
      </c>
      <c r="I10189">
        <v>20</v>
      </c>
      <c r="J10189" t="str">
        <f>HYPERLINK("https://climate.onebuilding.org/WMO_Region_6_Europe/SJM_Svalbard_and_Jan_Mayen/SV_Svalbard/SJM_SV_Kongsoya.010160_TMYx.2009-2023.zip")</f>
        <v>https://climate.onebuilding.org/WMO_Region_6_Europe/SJM_Svalbard_and_Jan_Mayen/SV_Svalbard/SJM_SV_Kongsoya.010160_TMYx.2009-2023.zip</v>
      </c>
    </row>
    <row r="10190" spans="1:10" x14ac:dyDescent="0.25">
      <c r="A10190" t="s">
        <v>7378</v>
      </c>
      <c r="B10190" t="s">
        <v>5733</v>
      </c>
      <c r="C10190" t="s">
        <v>7405</v>
      </c>
      <c r="D10190" s="1" t="s">
        <v>7406</v>
      </c>
      <c r="E10190" t="s">
        <v>14</v>
      </c>
      <c r="F10190">
        <v>78.927499999999995</v>
      </c>
      <c r="G10190">
        <v>28.8919</v>
      </c>
      <c r="H10190">
        <v>1</v>
      </c>
      <c r="I10190">
        <v>20</v>
      </c>
      <c r="J10190" t="str">
        <f>HYPERLINK("https://climate.onebuilding.org/WMO_Region_6_Europe/SJM_Svalbard_and_Jan_Mayen/SV_Svalbard/SJM_SV_Kongsoya.010160_TMYx.zip")</f>
        <v>https://climate.onebuilding.org/WMO_Region_6_Europe/SJM_Svalbard_and_Jan_Mayen/SV_Svalbard/SJM_SV_Kongsoya.010160_TMYx.zip</v>
      </c>
    </row>
    <row r="10191" spans="1:10" x14ac:dyDescent="0.25">
      <c r="A10191" t="s">
        <v>7378</v>
      </c>
      <c r="B10191" t="s">
        <v>5733</v>
      </c>
      <c r="C10191" t="s">
        <v>7408</v>
      </c>
      <c r="D10191" s="1" t="s">
        <v>7409</v>
      </c>
      <c r="E10191" t="s">
        <v>7410</v>
      </c>
      <c r="F10191">
        <v>77.688599999999994</v>
      </c>
      <c r="G10191">
        <v>14.783899999999999</v>
      </c>
      <c r="H10191">
        <v>1</v>
      </c>
      <c r="I10191">
        <v>6.5</v>
      </c>
      <c r="J10191" t="str">
        <f>HYPERLINK("https://climate.onebuilding.org/WMO_Region_6_Europe/SJM_Svalbard_and_Jan_Mayen/SV_Svalbard/SJM_SV_Akseloya.010170_TMYx.2004-2018.zip")</f>
        <v>https://climate.onebuilding.org/WMO_Region_6_Europe/SJM_Svalbard_and_Jan_Mayen/SV_Svalbard/SJM_SV_Akseloya.010170_TMYx.2004-2018.zip</v>
      </c>
    </row>
    <row r="10192" spans="1:10" x14ac:dyDescent="0.25">
      <c r="A10192" t="s">
        <v>7378</v>
      </c>
      <c r="B10192" t="s">
        <v>5733</v>
      </c>
      <c r="C10192" t="s">
        <v>7408</v>
      </c>
      <c r="D10192" s="1" t="s">
        <v>7409</v>
      </c>
      <c r="E10192" t="s">
        <v>14</v>
      </c>
      <c r="F10192">
        <v>77.688599999999994</v>
      </c>
      <c r="G10192">
        <v>14.783899999999999</v>
      </c>
      <c r="H10192">
        <v>1</v>
      </c>
      <c r="I10192">
        <v>6.5</v>
      </c>
      <c r="J10192" t="str">
        <f>HYPERLINK("https://climate.onebuilding.org/WMO_Region_6_Europe/SJM_Svalbard_and_Jan_Mayen/SV_Svalbard/SJM_SV_Akseloya.010170_TMYx.2007-2021.zip")</f>
        <v>https://climate.onebuilding.org/WMO_Region_6_Europe/SJM_Svalbard_and_Jan_Mayen/SV_Svalbard/SJM_SV_Akseloya.010170_TMYx.2007-2021.zip</v>
      </c>
    </row>
    <row r="10193" spans="1:10" x14ac:dyDescent="0.25">
      <c r="A10193" t="s">
        <v>7378</v>
      </c>
      <c r="B10193" t="s">
        <v>5733</v>
      </c>
      <c r="C10193" t="s">
        <v>7408</v>
      </c>
      <c r="D10193" s="1" t="s">
        <v>7409</v>
      </c>
      <c r="E10193" t="s">
        <v>14</v>
      </c>
      <c r="F10193">
        <v>77.688599999999994</v>
      </c>
      <c r="G10193">
        <v>14.783899999999999</v>
      </c>
      <c r="H10193">
        <v>1</v>
      </c>
      <c r="I10193">
        <v>6.5</v>
      </c>
      <c r="J10193" t="str">
        <f>HYPERLINK("https://climate.onebuilding.org/WMO_Region_6_Europe/SJM_Svalbard_and_Jan_Mayen/SV_Svalbard/SJM_SV_Akseloya.010170_TMYx.2009-2023.zip")</f>
        <v>https://climate.onebuilding.org/WMO_Region_6_Europe/SJM_Svalbard_and_Jan_Mayen/SV_Svalbard/SJM_SV_Akseloya.010170_TMYx.2009-2023.zip</v>
      </c>
    </row>
    <row r="10194" spans="1:10" x14ac:dyDescent="0.25">
      <c r="A10194" t="s">
        <v>7378</v>
      </c>
      <c r="B10194" t="s">
        <v>5733</v>
      </c>
      <c r="C10194" t="s">
        <v>7408</v>
      </c>
      <c r="D10194" s="1" t="s">
        <v>7409</v>
      </c>
      <c r="E10194" t="s">
        <v>14</v>
      </c>
      <c r="F10194">
        <v>77.688599999999994</v>
      </c>
      <c r="G10194">
        <v>14.783899999999999</v>
      </c>
      <c r="H10194">
        <v>1</v>
      </c>
      <c r="I10194">
        <v>6.5</v>
      </c>
      <c r="J10194" t="str">
        <f>HYPERLINK("https://climate.onebuilding.org/WMO_Region_6_Europe/SJM_Svalbard_and_Jan_Mayen/SV_Svalbard/SJM_SV_Akseloya.010170_TMYx.zip")</f>
        <v>https://climate.onebuilding.org/WMO_Region_6_Europe/SJM_Svalbard_and_Jan_Mayen/SV_Svalbard/SJM_SV_Akseloya.010170_TMYx.zip</v>
      </c>
    </row>
    <row r="10195" spans="1:10" x14ac:dyDescent="0.25">
      <c r="A10195" t="s">
        <v>7378</v>
      </c>
      <c r="B10195" t="s">
        <v>5733</v>
      </c>
      <c r="C10195" t="s">
        <v>7411</v>
      </c>
      <c r="D10195" s="1" t="s">
        <v>7412</v>
      </c>
      <c r="E10195" t="s">
        <v>7413</v>
      </c>
      <c r="F10195">
        <v>76.477500000000006</v>
      </c>
      <c r="G10195">
        <v>16.5486</v>
      </c>
      <c r="H10195">
        <v>1</v>
      </c>
      <c r="I10195">
        <v>10</v>
      </c>
      <c r="J10195" t="str">
        <f>HYPERLINK("https://climate.onebuilding.org/WMO_Region_6_Europe/SJM_Svalbard_and_Jan_Mayen/SV_Svalbard/SJM_SV_Sorkappoya.010200_TMYx.2004-2018.zip")</f>
        <v>https://climate.onebuilding.org/WMO_Region_6_Europe/SJM_Svalbard_and_Jan_Mayen/SV_Svalbard/SJM_SV_Sorkappoya.010200_TMYx.2004-2018.zip</v>
      </c>
    </row>
    <row r="10196" spans="1:10" x14ac:dyDescent="0.25">
      <c r="A10196" t="s">
        <v>7378</v>
      </c>
      <c r="B10196" t="s">
        <v>5733</v>
      </c>
      <c r="C10196" t="s">
        <v>7411</v>
      </c>
      <c r="D10196" s="1" t="s">
        <v>7412</v>
      </c>
      <c r="E10196" t="s">
        <v>14</v>
      </c>
      <c r="F10196">
        <v>76.477500000000006</v>
      </c>
      <c r="G10196">
        <v>16.5486</v>
      </c>
      <c r="H10196">
        <v>1</v>
      </c>
      <c r="I10196">
        <v>10</v>
      </c>
      <c r="J10196" t="str">
        <f>HYPERLINK("https://climate.onebuilding.org/WMO_Region_6_Europe/SJM_Svalbard_and_Jan_Mayen/SV_Svalbard/SJM_SV_Sorkappoya.010200_TMYx.2007-2021.zip")</f>
        <v>https://climate.onebuilding.org/WMO_Region_6_Europe/SJM_Svalbard_and_Jan_Mayen/SV_Svalbard/SJM_SV_Sorkappoya.010200_TMYx.2007-2021.zip</v>
      </c>
    </row>
    <row r="10197" spans="1:10" x14ac:dyDescent="0.25">
      <c r="A10197" t="s">
        <v>7378</v>
      </c>
      <c r="B10197" t="s">
        <v>5733</v>
      </c>
      <c r="C10197" t="s">
        <v>7411</v>
      </c>
      <c r="D10197" s="1" t="s">
        <v>7412</v>
      </c>
      <c r="E10197" t="s">
        <v>14</v>
      </c>
      <c r="F10197">
        <v>76.477500000000006</v>
      </c>
      <c r="G10197">
        <v>16.5486</v>
      </c>
      <c r="H10197">
        <v>1</v>
      </c>
      <c r="I10197">
        <v>10</v>
      </c>
      <c r="J10197" t="str">
        <f>HYPERLINK("https://climate.onebuilding.org/WMO_Region_6_Europe/SJM_Svalbard_and_Jan_Mayen/SV_Svalbard/SJM_SV_Sorkappoya.010200_TMYx.2009-2023.zip")</f>
        <v>https://climate.onebuilding.org/WMO_Region_6_Europe/SJM_Svalbard_and_Jan_Mayen/SV_Svalbard/SJM_SV_Sorkappoya.010200_TMYx.2009-2023.zip</v>
      </c>
    </row>
    <row r="10198" spans="1:10" x14ac:dyDescent="0.25">
      <c r="A10198" t="s">
        <v>7378</v>
      </c>
      <c r="B10198" t="s">
        <v>5733</v>
      </c>
      <c r="C10198" t="s">
        <v>7411</v>
      </c>
      <c r="D10198" s="1" t="s">
        <v>7412</v>
      </c>
      <c r="E10198" t="s">
        <v>14</v>
      </c>
      <c r="F10198">
        <v>76.477500000000006</v>
      </c>
      <c r="G10198">
        <v>16.5486</v>
      </c>
      <c r="H10198">
        <v>1</v>
      </c>
      <c r="I10198">
        <v>10</v>
      </c>
      <c r="J10198" t="str">
        <f>HYPERLINK("https://climate.onebuilding.org/WMO_Region_6_Europe/SJM_Svalbard_and_Jan_Mayen/SV_Svalbard/SJM_SV_Sorkappoya.010200_TMYx.zip")</f>
        <v>https://climate.onebuilding.org/WMO_Region_6_Europe/SJM_Svalbard_and_Jan_Mayen/SV_Svalbard/SJM_SV_Sorkappoya.010200_TMYx.zip</v>
      </c>
    </row>
    <row r="10199" spans="1:10" x14ac:dyDescent="0.25">
      <c r="A10199" t="s">
        <v>7378</v>
      </c>
      <c r="B10199" t="s">
        <v>5733</v>
      </c>
      <c r="C10199" t="s">
        <v>7414</v>
      </c>
      <c r="D10199" s="1" t="s">
        <v>7415</v>
      </c>
      <c r="E10199" t="s">
        <v>14</v>
      </c>
      <c r="F10199">
        <v>78.655600000000007</v>
      </c>
      <c r="G10199">
        <v>16.360299999999999</v>
      </c>
      <c r="H10199">
        <v>1</v>
      </c>
      <c r="I10199">
        <v>20</v>
      </c>
      <c r="J10199" t="str">
        <f>HYPERLINK("https://climate.onebuilding.org/WMO_Region_6_Europe/SJM_Svalbard_and_Jan_Mayen/SV_Svalbard/SJM_SV_Pyramiden.010240_TMYx.2007-2021.zip")</f>
        <v>https://climate.onebuilding.org/WMO_Region_6_Europe/SJM_Svalbard_and_Jan_Mayen/SV_Svalbard/SJM_SV_Pyramiden.010240_TMYx.2007-2021.zip</v>
      </c>
    </row>
    <row r="10200" spans="1:10" x14ac:dyDescent="0.25">
      <c r="A10200" t="s">
        <v>7378</v>
      </c>
      <c r="B10200" t="s">
        <v>5733</v>
      </c>
      <c r="C10200" t="s">
        <v>7414</v>
      </c>
      <c r="D10200" s="1" t="s">
        <v>7415</v>
      </c>
      <c r="E10200" t="s">
        <v>14</v>
      </c>
      <c r="F10200">
        <v>78.655600000000007</v>
      </c>
      <c r="G10200">
        <v>16.360299999999999</v>
      </c>
      <c r="H10200">
        <v>1</v>
      </c>
      <c r="I10200">
        <v>20</v>
      </c>
      <c r="J10200" t="str">
        <f>HYPERLINK("https://climate.onebuilding.org/WMO_Region_6_Europe/SJM_Svalbard_and_Jan_Mayen/SV_Svalbard/SJM_SV_Pyramiden.010240_TMYx.2009-2023.zip")</f>
        <v>https://climate.onebuilding.org/WMO_Region_6_Europe/SJM_Svalbard_and_Jan_Mayen/SV_Svalbard/SJM_SV_Pyramiden.010240_TMYx.2009-2023.zip</v>
      </c>
    </row>
    <row r="10201" spans="1:10" x14ac:dyDescent="0.25">
      <c r="A10201" t="s">
        <v>7378</v>
      </c>
      <c r="B10201" t="s">
        <v>5733</v>
      </c>
      <c r="C10201" t="s">
        <v>7414</v>
      </c>
      <c r="D10201" s="1" t="s">
        <v>7415</v>
      </c>
      <c r="E10201" t="s">
        <v>14</v>
      </c>
      <c r="F10201">
        <v>78.655600000000007</v>
      </c>
      <c r="G10201">
        <v>16.360299999999999</v>
      </c>
      <c r="H10201">
        <v>1</v>
      </c>
      <c r="I10201">
        <v>20</v>
      </c>
      <c r="J10201" t="str">
        <f>HYPERLINK("https://climate.onebuilding.org/WMO_Region_6_Europe/SJM_Svalbard_and_Jan_Mayen/SV_Svalbard/SJM_SV_Pyramiden.010240_TMYx.zip")</f>
        <v>https://climate.onebuilding.org/WMO_Region_6_Europe/SJM_Svalbard_and_Jan_Mayen/SV_Svalbard/SJM_SV_Pyramiden.010240_TMYx.zip</v>
      </c>
    </row>
    <row r="10202" spans="1:10" x14ac:dyDescent="0.25">
      <c r="A10202" t="s">
        <v>7378</v>
      </c>
      <c r="B10202" t="s">
        <v>5733</v>
      </c>
      <c r="C10202" t="s">
        <v>7416</v>
      </c>
      <c r="D10202" s="1" t="s">
        <v>7417</v>
      </c>
      <c r="E10202" t="s">
        <v>7418</v>
      </c>
      <c r="F10202">
        <v>74.498599999999996</v>
      </c>
      <c r="G10202">
        <v>18.9909</v>
      </c>
      <c r="H10202">
        <v>1</v>
      </c>
      <c r="I10202">
        <v>18</v>
      </c>
      <c r="J10202" t="str">
        <f>HYPERLINK("https://climate.onebuilding.org/WMO_Region_6_Europe/SJM_Svalbard_and_Jan_Mayen/SV_Svalbard/SJM_SV_Bjornoya.Island.010280_TMYx.2004-2018.zip")</f>
        <v>https://climate.onebuilding.org/WMO_Region_6_Europe/SJM_Svalbard_and_Jan_Mayen/SV_Svalbard/SJM_SV_Bjornoya.Island.010280_TMYx.2004-2018.zip</v>
      </c>
    </row>
    <row r="10203" spans="1:10" x14ac:dyDescent="0.25">
      <c r="A10203" t="s">
        <v>7378</v>
      </c>
      <c r="B10203" t="s">
        <v>5733</v>
      </c>
      <c r="C10203" t="s">
        <v>7416</v>
      </c>
      <c r="D10203" s="1" t="s">
        <v>7417</v>
      </c>
      <c r="E10203" t="s">
        <v>14</v>
      </c>
      <c r="F10203">
        <v>74.504000000000005</v>
      </c>
      <c r="G10203">
        <v>19.001000000000001</v>
      </c>
      <c r="H10203">
        <v>1</v>
      </c>
      <c r="I10203">
        <v>18</v>
      </c>
      <c r="J10203" t="str">
        <f>HYPERLINK("https://climate.onebuilding.org/WMO_Region_6_Europe/SJM_Svalbard_and_Jan_Mayen/SV_Svalbard/SJM_SV_Bjornoya.Island.010280_TMYx.2007-2021.zip")</f>
        <v>https://climate.onebuilding.org/WMO_Region_6_Europe/SJM_Svalbard_and_Jan_Mayen/SV_Svalbard/SJM_SV_Bjornoya.Island.010280_TMYx.2007-2021.zip</v>
      </c>
    </row>
    <row r="10204" spans="1:10" x14ac:dyDescent="0.25">
      <c r="A10204" t="s">
        <v>7378</v>
      </c>
      <c r="B10204" t="s">
        <v>5733</v>
      </c>
      <c r="C10204" t="s">
        <v>7416</v>
      </c>
      <c r="D10204" s="1" t="s">
        <v>7417</v>
      </c>
      <c r="E10204" t="s">
        <v>14</v>
      </c>
      <c r="F10204">
        <v>74.504000000000005</v>
      </c>
      <c r="G10204">
        <v>19.001000000000001</v>
      </c>
      <c r="H10204">
        <v>1</v>
      </c>
      <c r="I10204">
        <v>18</v>
      </c>
      <c r="J10204" t="str">
        <f>HYPERLINK("https://climate.onebuilding.org/WMO_Region_6_Europe/SJM_Svalbard_and_Jan_Mayen/SV_Svalbard/SJM_SV_Bjornoya.Island.010280_TMYx.2009-2023.zip")</f>
        <v>https://climate.onebuilding.org/WMO_Region_6_Europe/SJM_Svalbard_and_Jan_Mayen/SV_Svalbard/SJM_SV_Bjornoya.Island.010280_TMYx.2009-2023.zip</v>
      </c>
    </row>
    <row r="10205" spans="1:10" x14ac:dyDescent="0.25">
      <c r="A10205" t="s">
        <v>7378</v>
      </c>
      <c r="B10205" t="s">
        <v>5733</v>
      </c>
      <c r="C10205" t="s">
        <v>7416</v>
      </c>
      <c r="D10205" s="1" t="s">
        <v>7417</v>
      </c>
      <c r="E10205" t="s">
        <v>14</v>
      </c>
      <c r="F10205">
        <v>74.504000000000005</v>
      </c>
      <c r="G10205">
        <v>19.001000000000001</v>
      </c>
      <c r="H10205">
        <v>1</v>
      </c>
      <c r="I10205">
        <v>18</v>
      </c>
      <c r="J10205" t="str">
        <f>HYPERLINK("https://climate.onebuilding.org/WMO_Region_6_Europe/SJM_Svalbard_and_Jan_Mayen/SV_Svalbard/SJM_SV_Bjornoya.Island.010280_TMYx.zip")</f>
        <v>https://climate.onebuilding.org/WMO_Region_6_Europe/SJM_Svalbard_and_Jan_Mayen/SV_Svalbard/SJM_SV_Bjornoya.Island.010280_TMYx.zip</v>
      </c>
    </row>
    <row r="10206" spans="1:10" x14ac:dyDescent="0.25">
      <c r="A10206" t="s">
        <v>7378</v>
      </c>
      <c r="B10206" t="s">
        <v>5733</v>
      </c>
      <c r="C10206" t="s">
        <v>7419</v>
      </c>
      <c r="D10206" s="1" t="s">
        <v>7420</v>
      </c>
      <c r="E10206" t="s">
        <v>7421</v>
      </c>
      <c r="F10206">
        <v>76.509500000000003</v>
      </c>
      <c r="G10206">
        <v>25.013100000000001</v>
      </c>
      <c r="H10206">
        <v>1</v>
      </c>
      <c r="I10206">
        <v>10.199999999999999</v>
      </c>
      <c r="J10206" t="str">
        <f>HYPERLINK("https://climate.onebuilding.org/WMO_Region_6_Europe/SJM_Svalbard_and_Jan_Mayen/SV_Svalbard/SJM_SV_Hopen.Island.010620_TMYx.2004-2018.zip")</f>
        <v>https://climate.onebuilding.org/WMO_Region_6_Europe/SJM_Svalbard_and_Jan_Mayen/SV_Svalbard/SJM_SV_Hopen.Island.010620_TMYx.2004-2018.zip</v>
      </c>
    </row>
    <row r="10207" spans="1:10" x14ac:dyDescent="0.25">
      <c r="A10207" t="s">
        <v>7378</v>
      </c>
      <c r="B10207" t="s">
        <v>5733</v>
      </c>
      <c r="C10207" t="s">
        <v>7419</v>
      </c>
      <c r="D10207" s="1" t="s">
        <v>7420</v>
      </c>
      <c r="E10207" t="s">
        <v>14</v>
      </c>
      <c r="F10207">
        <v>76.509500000000003</v>
      </c>
      <c r="G10207">
        <v>25.013100000000001</v>
      </c>
      <c r="H10207">
        <v>1</v>
      </c>
      <c r="I10207">
        <v>10.199999999999999</v>
      </c>
      <c r="J10207" t="str">
        <f>HYPERLINK("https://climate.onebuilding.org/WMO_Region_6_Europe/SJM_Svalbard_and_Jan_Mayen/SV_Svalbard/SJM_SV_Hopen.Island.010620_TMYx.2007-2021.zip")</f>
        <v>https://climate.onebuilding.org/WMO_Region_6_Europe/SJM_Svalbard_and_Jan_Mayen/SV_Svalbard/SJM_SV_Hopen.Island.010620_TMYx.2007-2021.zip</v>
      </c>
    </row>
    <row r="10208" spans="1:10" x14ac:dyDescent="0.25">
      <c r="A10208" t="s">
        <v>7378</v>
      </c>
      <c r="B10208" t="s">
        <v>5733</v>
      </c>
      <c r="C10208" t="s">
        <v>7419</v>
      </c>
      <c r="D10208" s="1" t="s">
        <v>7420</v>
      </c>
      <c r="E10208" t="s">
        <v>14</v>
      </c>
      <c r="F10208">
        <v>76.509500000000003</v>
      </c>
      <c r="G10208">
        <v>25.013100000000001</v>
      </c>
      <c r="H10208">
        <v>1</v>
      </c>
      <c r="I10208">
        <v>10.199999999999999</v>
      </c>
      <c r="J10208" t="str">
        <f>HYPERLINK("https://climate.onebuilding.org/WMO_Region_6_Europe/SJM_Svalbard_and_Jan_Mayen/SV_Svalbard/SJM_SV_Hopen.Island.010620_TMYx.2009-2023.zip")</f>
        <v>https://climate.onebuilding.org/WMO_Region_6_Europe/SJM_Svalbard_and_Jan_Mayen/SV_Svalbard/SJM_SV_Hopen.Island.010620_TMYx.2009-2023.zip</v>
      </c>
    </row>
    <row r="10209" spans="1:10" x14ac:dyDescent="0.25">
      <c r="A10209" t="s">
        <v>7378</v>
      </c>
      <c r="B10209" t="s">
        <v>5733</v>
      </c>
      <c r="C10209" t="s">
        <v>7419</v>
      </c>
      <c r="D10209" s="1" t="s">
        <v>7420</v>
      </c>
      <c r="E10209" t="s">
        <v>14</v>
      </c>
      <c r="F10209">
        <v>76.509500000000003</v>
      </c>
      <c r="G10209">
        <v>25.013100000000001</v>
      </c>
      <c r="H10209">
        <v>1</v>
      </c>
      <c r="I10209">
        <v>10.199999999999999</v>
      </c>
      <c r="J10209" t="str">
        <f>HYPERLINK("https://climate.onebuilding.org/WMO_Region_6_Europe/SJM_Svalbard_and_Jan_Mayen/SV_Svalbard/SJM_SV_Hopen.Island.010620_TMYx.zip")</f>
        <v>https://climate.onebuilding.org/WMO_Region_6_Europe/SJM_Svalbard_and_Jan_Mayen/SV_Svalbard/SJM_SV_Hopen.Island.010620_TMYx.zip</v>
      </c>
    </row>
    <row r="10210" spans="1:10" x14ac:dyDescent="0.25">
      <c r="A10210" t="s">
        <v>7378</v>
      </c>
      <c r="B10210" t="s">
        <v>5733</v>
      </c>
      <c r="C10210" t="s">
        <v>7422</v>
      </c>
      <c r="D10210">
        <v>201070</v>
      </c>
      <c r="E10210" t="s">
        <v>7423</v>
      </c>
      <c r="F10210">
        <v>78.055599999999998</v>
      </c>
      <c r="G10210">
        <v>14.2211</v>
      </c>
      <c r="H10210">
        <v>1</v>
      </c>
      <c r="I10210">
        <v>75.8</v>
      </c>
      <c r="J10210" t="str">
        <f>HYPERLINK("https://climate.onebuilding.org/WMO_Region_6_Europe/SJM_Svalbard_and_Jan_Mayen/SV_Svalbard/SJM_SV_Barentsburg.201070_TMYx.2004-2018.zip")</f>
        <v>https://climate.onebuilding.org/WMO_Region_6_Europe/SJM_Svalbard_and_Jan_Mayen/SV_Svalbard/SJM_SV_Barentsburg.201070_TMYx.2004-2018.zip</v>
      </c>
    </row>
    <row r="10211" spans="1:10" x14ac:dyDescent="0.25">
      <c r="A10211" t="s">
        <v>7378</v>
      </c>
      <c r="B10211" t="s">
        <v>5733</v>
      </c>
      <c r="C10211" t="s">
        <v>7422</v>
      </c>
      <c r="D10211">
        <v>201070</v>
      </c>
      <c r="E10211" t="s">
        <v>14</v>
      </c>
      <c r="F10211">
        <v>78.055599999999998</v>
      </c>
      <c r="G10211">
        <v>14.2211</v>
      </c>
      <c r="H10211">
        <v>1</v>
      </c>
      <c r="I10211">
        <v>75.8</v>
      </c>
      <c r="J10211" t="str">
        <f>HYPERLINK("https://climate.onebuilding.org/WMO_Region_6_Europe/SJM_Svalbard_and_Jan_Mayen/SV_Svalbard/SJM_SV_Barentsburg.201070_TMYx.2007-2021.zip")</f>
        <v>https://climate.onebuilding.org/WMO_Region_6_Europe/SJM_Svalbard_and_Jan_Mayen/SV_Svalbard/SJM_SV_Barentsburg.201070_TMYx.2007-2021.zip</v>
      </c>
    </row>
    <row r="10212" spans="1:10" x14ac:dyDescent="0.25">
      <c r="A10212" t="s">
        <v>7378</v>
      </c>
      <c r="B10212" t="s">
        <v>5733</v>
      </c>
      <c r="C10212" t="s">
        <v>7422</v>
      </c>
      <c r="D10212">
        <v>201070</v>
      </c>
      <c r="E10212" t="s">
        <v>14</v>
      </c>
      <c r="F10212">
        <v>78.055599999999998</v>
      </c>
      <c r="G10212">
        <v>14.2211</v>
      </c>
      <c r="H10212">
        <v>1</v>
      </c>
      <c r="I10212">
        <v>75.8</v>
      </c>
      <c r="J10212" t="str">
        <f>HYPERLINK("https://climate.onebuilding.org/WMO_Region_6_Europe/SJM_Svalbard_and_Jan_Mayen/SV_Svalbard/SJM_SV_Barentsburg.201070_TMYx.2009-2023.zip")</f>
        <v>https://climate.onebuilding.org/WMO_Region_6_Europe/SJM_Svalbard_and_Jan_Mayen/SV_Svalbard/SJM_SV_Barentsburg.201070_TMYx.2009-2023.zip</v>
      </c>
    </row>
    <row r="10213" spans="1:10" x14ac:dyDescent="0.25">
      <c r="A10213" t="s">
        <v>7378</v>
      </c>
      <c r="B10213" t="s">
        <v>5733</v>
      </c>
      <c r="C10213" t="s">
        <v>7422</v>
      </c>
      <c r="D10213">
        <v>201070</v>
      </c>
      <c r="E10213" t="s">
        <v>14</v>
      </c>
      <c r="F10213">
        <v>78.055599999999998</v>
      </c>
      <c r="G10213">
        <v>14.2211</v>
      </c>
      <c r="H10213">
        <v>1</v>
      </c>
      <c r="I10213">
        <v>75.8</v>
      </c>
      <c r="J10213" t="str">
        <f>HYPERLINK("https://climate.onebuilding.org/WMO_Region_6_Europe/SJM_Svalbard_and_Jan_Mayen/SV_Svalbard/SJM_SV_Barentsburg.201070_TMYx.zip")</f>
        <v>https://climate.onebuilding.org/WMO_Region_6_Europe/SJM_Svalbard_and_Jan_Mayen/SV_Svalbard/SJM_SV_Barentsburg.201070_TMYx.zip</v>
      </c>
    </row>
    <row r="10214" spans="1:10" x14ac:dyDescent="0.25">
      <c r="A10214" t="s">
        <v>7424</v>
      </c>
      <c r="B10214" t="s">
        <v>567</v>
      </c>
      <c r="C10214" t="s">
        <v>7425</v>
      </c>
      <c r="D10214" t="s">
        <v>7426</v>
      </c>
      <c r="E10214" t="s">
        <v>78</v>
      </c>
      <c r="F10214">
        <v>43.933329999999998</v>
      </c>
      <c r="G10214">
        <v>12.43333</v>
      </c>
      <c r="H10214">
        <v>2</v>
      </c>
      <c r="I10214">
        <v>675</v>
      </c>
      <c r="J10214" t="str">
        <f>HYPERLINK("https://climate.onebuilding.org/SMR_SM_San.Marino.SMR001_TMYx.2007-2021.zip")</f>
        <v>https://climate.onebuilding.org/SMR_SM_San.Marino.SMR001_TMYx.2007-2021.zip</v>
      </c>
    </row>
    <row r="10215" spans="1:10" x14ac:dyDescent="0.25">
      <c r="A10215" t="s">
        <v>7424</v>
      </c>
      <c r="B10215" t="s">
        <v>567</v>
      </c>
      <c r="C10215" t="s">
        <v>7425</v>
      </c>
      <c r="D10215" t="s">
        <v>7426</v>
      </c>
      <c r="E10215" t="s">
        <v>78</v>
      </c>
      <c r="F10215">
        <v>43.933329999999998</v>
      </c>
      <c r="G10215">
        <v>12.43333</v>
      </c>
      <c r="H10215">
        <v>2</v>
      </c>
      <c r="I10215">
        <v>675</v>
      </c>
      <c r="J10215" t="str">
        <f>HYPERLINK("https://climate.onebuilding.org/SMR_SM_San.Marino.SMR001_TMYx.2009-2023.zip")</f>
        <v>https://climate.onebuilding.org/SMR_SM_San.Marino.SMR001_TMYx.2009-2023.zip</v>
      </c>
    </row>
    <row r="10216" spans="1:10" x14ac:dyDescent="0.25">
      <c r="A10216" t="s">
        <v>7424</v>
      </c>
      <c r="B10216" t="s">
        <v>567</v>
      </c>
      <c r="C10216" t="s">
        <v>7425</v>
      </c>
      <c r="D10216" t="s">
        <v>7426</v>
      </c>
      <c r="E10216" t="s">
        <v>78</v>
      </c>
      <c r="F10216">
        <v>43.933329999999998</v>
      </c>
      <c r="G10216">
        <v>12.43333</v>
      </c>
      <c r="H10216">
        <v>2</v>
      </c>
      <c r="I10216">
        <v>675</v>
      </c>
      <c r="J10216" t="str">
        <f>HYPERLINK("https://climate.onebuilding.org/SMR_SM_San.Marino.SMR001_TMYx.zip")</f>
        <v>https://climate.onebuilding.org/SMR_SM_San.Marino.SMR001_TMYx.zip</v>
      </c>
    </row>
    <row r="10217" spans="1:10" x14ac:dyDescent="0.25">
      <c r="A10217" t="s">
        <v>7424</v>
      </c>
      <c r="B10217" t="s">
        <v>567</v>
      </c>
      <c r="C10217" t="s">
        <v>7427</v>
      </c>
      <c r="D10217" t="s">
        <v>7428</v>
      </c>
      <c r="E10217" t="s">
        <v>78</v>
      </c>
      <c r="F10217">
        <v>43.981270000000002</v>
      </c>
      <c r="G10217">
        <v>12.4895</v>
      </c>
      <c r="H10217">
        <v>2</v>
      </c>
      <c r="I10217">
        <v>89</v>
      </c>
      <c r="J10217" t="str">
        <f>HYPERLINK("https://climate.onebuilding.org/SMR_SM_Serravalle-Dogana.SMR002_TMYx.2007-2021.zip")</f>
        <v>https://climate.onebuilding.org/SMR_SM_Serravalle-Dogana.SMR002_TMYx.2007-2021.zip</v>
      </c>
    </row>
    <row r="10218" spans="1:10" x14ac:dyDescent="0.25">
      <c r="A10218" t="s">
        <v>7424</v>
      </c>
      <c r="B10218" t="s">
        <v>567</v>
      </c>
      <c r="C10218" t="s">
        <v>7427</v>
      </c>
      <c r="D10218" t="s">
        <v>7428</v>
      </c>
      <c r="E10218" t="s">
        <v>78</v>
      </c>
      <c r="F10218">
        <v>43.981270000000002</v>
      </c>
      <c r="G10218">
        <v>12.4895</v>
      </c>
      <c r="H10218">
        <v>2</v>
      </c>
      <c r="I10218">
        <v>89</v>
      </c>
      <c r="J10218" t="str">
        <f>HYPERLINK("https://climate.onebuilding.org/SMR_SM_Serravalle-Dogana.SMR002_TMYx.2009-2023.zip")</f>
        <v>https://climate.onebuilding.org/SMR_SM_Serravalle-Dogana.SMR002_TMYx.2009-2023.zip</v>
      </c>
    </row>
    <row r="10219" spans="1:10" x14ac:dyDescent="0.25">
      <c r="A10219" t="s">
        <v>7424</v>
      </c>
      <c r="B10219" t="s">
        <v>567</v>
      </c>
      <c r="C10219" t="s">
        <v>7427</v>
      </c>
      <c r="D10219" t="s">
        <v>7428</v>
      </c>
      <c r="E10219" t="s">
        <v>78</v>
      </c>
      <c r="F10219">
        <v>43.981270000000002</v>
      </c>
      <c r="G10219">
        <v>12.4895</v>
      </c>
      <c r="H10219">
        <v>2</v>
      </c>
      <c r="I10219">
        <v>89</v>
      </c>
      <c r="J10219" t="str">
        <f>HYPERLINK("https://climate.onebuilding.org/SMR_SM_Serravalle-Dogana.SMR002_TMYx.zip")</f>
        <v>https://climate.onebuilding.org/SMR_SM_Serravalle-Dogana.SMR002_TMYx.zip</v>
      </c>
    </row>
    <row r="10220" spans="1:10" x14ac:dyDescent="0.25">
      <c r="A10220" t="s">
        <v>7429</v>
      </c>
      <c r="B10220" t="s">
        <v>7430</v>
      </c>
      <c r="C10220" t="s">
        <v>7431</v>
      </c>
      <c r="D10220">
        <v>130670</v>
      </c>
      <c r="E10220" t="s">
        <v>7432</v>
      </c>
      <c r="F10220">
        <v>46.1</v>
      </c>
      <c r="G10220">
        <v>19.7667</v>
      </c>
      <c r="H10220">
        <v>1</v>
      </c>
      <c r="I10220">
        <v>105</v>
      </c>
      <c r="J10220" t="str">
        <f>HYPERLINK("https://climate.onebuilding.org/WMO_Region_6_Europe/SRB_Serbia/VVR_Vojvodina_Stat_Region/SRB_VVR_Palic.130670_TMYx.2004-2018.zip")</f>
        <v>https://climate.onebuilding.org/WMO_Region_6_Europe/SRB_Serbia/VVR_Vojvodina_Stat_Region/SRB_VVR_Palic.130670_TMYx.2004-2018.zip</v>
      </c>
    </row>
    <row r="10221" spans="1:10" x14ac:dyDescent="0.25">
      <c r="A10221" t="s">
        <v>7429</v>
      </c>
      <c r="B10221" t="s">
        <v>7430</v>
      </c>
      <c r="C10221" t="s">
        <v>7431</v>
      </c>
      <c r="D10221">
        <v>130670</v>
      </c>
      <c r="E10221" t="s">
        <v>14</v>
      </c>
      <c r="F10221">
        <v>46.1</v>
      </c>
      <c r="G10221">
        <v>19.7667</v>
      </c>
      <c r="H10221">
        <v>1</v>
      </c>
      <c r="I10221">
        <v>105</v>
      </c>
      <c r="J10221" t="str">
        <f>HYPERLINK("https://climate.onebuilding.org/WMO_Region_6_Europe/SRB_Serbia/VVR_Vojvodina_Stat_Region/SRB_VVR_Palic.130670_TMYx.2007-2021.zip")</f>
        <v>https://climate.onebuilding.org/WMO_Region_6_Europe/SRB_Serbia/VVR_Vojvodina_Stat_Region/SRB_VVR_Palic.130670_TMYx.2007-2021.zip</v>
      </c>
    </row>
    <row r="10222" spans="1:10" x14ac:dyDescent="0.25">
      <c r="A10222" t="s">
        <v>7429</v>
      </c>
      <c r="B10222" t="s">
        <v>7430</v>
      </c>
      <c r="C10222" t="s">
        <v>7431</v>
      </c>
      <c r="D10222">
        <v>130670</v>
      </c>
      <c r="E10222" t="s">
        <v>14</v>
      </c>
      <c r="F10222">
        <v>46.1</v>
      </c>
      <c r="G10222">
        <v>19.7667</v>
      </c>
      <c r="H10222">
        <v>1</v>
      </c>
      <c r="I10222">
        <v>105</v>
      </c>
      <c r="J10222" t="str">
        <f>HYPERLINK("https://climate.onebuilding.org/WMO_Region_6_Europe/SRB_Serbia/VVR_Vojvodina_Stat_Region/SRB_VVR_Palic.130670_TMYx.2009-2023.zip")</f>
        <v>https://climate.onebuilding.org/WMO_Region_6_Europe/SRB_Serbia/VVR_Vojvodina_Stat_Region/SRB_VVR_Palic.130670_TMYx.2009-2023.zip</v>
      </c>
    </row>
    <row r="10223" spans="1:10" x14ac:dyDescent="0.25">
      <c r="A10223" t="s">
        <v>7429</v>
      </c>
      <c r="B10223" t="s">
        <v>7430</v>
      </c>
      <c r="C10223" t="s">
        <v>7431</v>
      </c>
      <c r="D10223">
        <v>130670</v>
      </c>
      <c r="E10223" t="s">
        <v>14</v>
      </c>
      <c r="F10223">
        <v>46.1</v>
      </c>
      <c r="G10223">
        <v>19.7667</v>
      </c>
      <c r="H10223">
        <v>1</v>
      </c>
      <c r="I10223">
        <v>105</v>
      </c>
      <c r="J10223" t="str">
        <f>HYPERLINK("https://climate.onebuilding.org/WMO_Region_6_Europe/SRB_Serbia/VVR_Vojvodina_Stat_Region/SRB_VVR_Palic.130670_TMYx.zip")</f>
        <v>https://climate.onebuilding.org/WMO_Region_6_Europe/SRB_Serbia/VVR_Vojvodina_Stat_Region/SRB_VVR_Palic.130670_TMYx.zip</v>
      </c>
    </row>
    <row r="10224" spans="1:10" x14ac:dyDescent="0.25">
      <c r="A10224" t="s">
        <v>7429</v>
      </c>
      <c r="B10224" t="s">
        <v>7430</v>
      </c>
      <c r="C10224" t="s">
        <v>7433</v>
      </c>
      <c r="D10224">
        <v>131600</v>
      </c>
      <c r="E10224" t="s">
        <v>7434</v>
      </c>
      <c r="F10224">
        <v>45.7667</v>
      </c>
      <c r="G10224">
        <v>19.149999999999999</v>
      </c>
      <c r="H10224">
        <v>1</v>
      </c>
      <c r="I10224">
        <v>89</v>
      </c>
      <c r="J10224" t="str">
        <f>HYPERLINK("https://climate.onebuilding.org/WMO_Region_6_Europe/SRB_Serbia/VVR_Vojvodina_Stat_Region/SRB_VVR_Sombor.131600_TMYx.2004-2018.zip")</f>
        <v>https://climate.onebuilding.org/WMO_Region_6_Europe/SRB_Serbia/VVR_Vojvodina_Stat_Region/SRB_VVR_Sombor.131600_TMYx.2004-2018.zip</v>
      </c>
    </row>
    <row r="10225" spans="1:10" x14ac:dyDescent="0.25">
      <c r="A10225" t="s">
        <v>7429</v>
      </c>
      <c r="B10225" t="s">
        <v>7430</v>
      </c>
      <c r="C10225" t="s">
        <v>7433</v>
      </c>
      <c r="D10225">
        <v>131600</v>
      </c>
      <c r="E10225" t="s">
        <v>14</v>
      </c>
      <c r="F10225">
        <v>45.7667</v>
      </c>
      <c r="G10225">
        <v>19.149999999999999</v>
      </c>
      <c r="H10225">
        <v>1</v>
      </c>
      <c r="I10225">
        <v>89</v>
      </c>
      <c r="J10225" t="str">
        <f>HYPERLINK("https://climate.onebuilding.org/WMO_Region_6_Europe/SRB_Serbia/VVR_Vojvodina_Stat_Region/SRB_VVR_Sombor.131600_TMYx.2007-2021.zip")</f>
        <v>https://climate.onebuilding.org/WMO_Region_6_Europe/SRB_Serbia/VVR_Vojvodina_Stat_Region/SRB_VVR_Sombor.131600_TMYx.2007-2021.zip</v>
      </c>
    </row>
    <row r="10226" spans="1:10" x14ac:dyDescent="0.25">
      <c r="A10226" t="s">
        <v>7429</v>
      </c>
      <c r="B10226" t="s">
        <v>7430</v>
      </c>
      <c r="C10226" t="s">
        <v>7433</v>
      </c>
      <c r="D10226">
        <v>131600</v>
      </c>
      <c r="E10226" t="s">
        <v>14</v>
      </c>
      <c r="F10226">
        <v>45.7667</v>
      </c>
      <c r="G10226">
        <v>19.149999999999999</v>
      </c>
      <c r="H10226">
        <v>1</v>
      </c>
      <c r="I10226">
        <v>89</v>
      </c>
      <c r="J10226" t="str">
        <f>HYPERLINK("https://climate.onebuilding.org/WMO_Region_6_Europe/SRB_Serbia/VVR_Vojvodina_Stat_Region/SRB_VVR_Sombor.131600_TMYx.2009-2023.zip")</f>
        <v>https://climate.onebuilding.org/WMO_Region_6_Europe/SRB_Serbia/VVR_Vojvodina_Stat_Region/SRB_VVR_Sombor.131600_TMYx.2009-2023.zip</v>
      </c>
    </row>
    <row r="10227" spans="1:10" x14ac:dyDescent="0.25">
      <c r="A10227" t="s">
        <v>7429</v>
      </c>
      <c r="B10227" t="s">
        <v>7430</v>
      </c>
      <c r="C10227" t="s">
        <v>7433</v>
      </c>
      <c r="D10227">
        <v>131600</v>
      </c>
      <c r="E10227" t="s">
        <v>14</v>
      </c>
      <c r="F10227">
        <v>45.7667</v>
      </c>
      <c r="G10227">
        <v>19.149999999999999</v>
      </c>
      <c r="H10227">
        <v>1</v>
      </c>
      <c r="I10227">
        <v>89</v>
      </c>
      <c r="J10227" t="str">
        <f>HYPERLINK("https://climate.onebuilding.org/WMO_Region_6_Europe/SRB_Serbia/VVR_Vojvodina_Stat_Region/SRB_VVR_Sombor.131600_TMYx.zip")</f>
        <v>https://climate.onebuilding.org/WMO_Region_6_Europe/SRB_Serbia/VVR_Vojvodina_Stat_Region/SRB_VVR_Sombor.131600_TMYx.zip</v>
      </c>
    </row>
    <row r="10228" spans="1:10" x14ac:dyDescent="0.25">
      <c r="A10228" t="s">
        <v>7429</v>
      </c>
      <c r="B10228" t="s">
        <v>7430</v>
      </c>
      <c r="C10228" t="s">
        <v>7435</v>
      </c>
      <c r="D10228">
        <v>131680</v>
      </c>
      <c r="E10228" t="s">
        <v>7436</v>
      </c>
      <c r="F10228">
        <v>45.332999999999998</v>
      </c>
      <c r="G10228">
        <v>19.850000000000001</v>
      </c>
      <c r="H10228">
        <v>1</v>
      </c>
      <c r="I10228">
        <v>87</v>
      </c>
      <c r="J10228" t="str">
        <f>HYPERLINK("https://climate.onebuilding.org/WMO_Region_6_Europe/SRB_Serbia/VVR_Vojvodina_Stat_Region/SRB_VVR_Novi.Sad-Rimski.Sancevi.131680_TMYx.2004-2018.zip")</f>
        <v>https://climate.onebuilding.org/WMO_Region_6_Europe/SRB_Serbia/VVR_Vojvodina_Stat_Region/SRB_VVR_Novi.Sad-Rimski.Sancevi.131680_TMYx.2004-2018.zip</v>
      </c>
    </row>
    <row r="10229" spans="1:10" x14ac:dyDescent="0.25">
      <c r="A10229" t="s">
        <v>7429</v>
      </c>
      <c r="B10229" t="s">
        <v>7430</v>
      </c>
      <c r="C10229" t="s">
        <v>7435</v>
      </c>
      <c r="D10229">
        <v>131680</v>
      </c>
      <c r="E10229" t="s">
        <v>14</v>
      </c>
      <c r="F10229">
        <v>45.332999999999998</v>
      </c>
      <c r="G10229">
        <v>19.850000000000001</v>
      </c>
      <c r="H10229">
        <v>1</v>
      </c>
      <c r="I10229">
        <v>87</v>
      </c>
      <c r="J10229" t="str">
        <f>HYPERLINK("https://climate.onebuilding.org/WMO_Region_6_Europe/SRB_Serbia/VVR_Vojvodina_Stat_Region/SRB_VVR_Novi.Sad-Rimski.Sancevi.131680_TMYx.2007-2021.zip")</f>
        <v>https://climate.onebuilding.org/WMO_Region_6_Europe/SRB_Serbia/VVR_Vojvodina_Stat_Region/SRB_VVR_Novi.Sad-Rimski.Sancevi.131680_TMYx.2007-2021.zip</v>
      </c>
    </row>
    <row r="10230" spans="1:10" x14ac:dyDescent="0.25">
      <c r="A10230" t="s">
        <v>7429</v>
      </c>
      <c r="B10230" t="s">
        <v>7430</v>
      </c>
      <c r="C10230" t="s">
        <v>7435</v>
      </c>
      <c r="D10230">
        <v>131680</v>
      </c>
      <c r="E10230" t="s">
        <v>14</v>
      </c>
      <c r="F10230">
        <v>45.332999999999998</v>
      </c>
      <c r="G10230">
        <v>19.850000000000001</v>
      </c>
      <c r="H10230">
        <v>1</v>
      </c>
      <c r="I10230">
        <v>87</v>
      </c>
      <c r="J10230" t="str">
        <f>HYPERLINK("https://climate.onebuilding.org/WMO_Region_6_Europe/SRB_Serbia/VVR_Vojvodina_Stat_Region/SRB_VVR_Novi.Sad-Rimski.Sancevi.131680_TMYx.2009-2023.zip")</f>
        <v>https://climate.onebuilding.org/WMO_Region_6_Europe/SRB_Serbia/VVR_Vojvodina_Stat_Region/SRB_VVR_Novi.Sad-Rimski.Sancevi.131680_TMYx.2009-2023.zip</v>
      </c>
    </row>
    <row r="10231" spans="1:10" x14ac:dyDescent="0.25">
      <c r="A10231" t="s">
        <v>7429</v>
      </c>
      <c r="B10231" t="s">
        <v>7430</v>
      </c>
      <c r="C10231" t="s">
        <v>7435</v>
      </c>
      <c r="D10231">
        <v>131680</v>
      </c>
      <c r="E10231" t="s">
        <v>14</v>
      </c>
      <c r="F10231">
        <v>45.332999999999998</v>
      </c>
      <c r="G10231">
        <v>19.850000000000001</v>
      </c>
      <c r="H10231">
        <v>1</v>
      </c>
      <c r="I10231">
        <v>87</v>
      </c>
      <c r="J10231" t="str">
        <f>HYPERLINK("https://climate.onebuilding.org/WMO_Region_6_Europe/SRB_Serbia/VVR_Vojvodina_Stat_Region/SRB_VVR_Novi.Sad-Rimski.Sancevi.131680_TMYx.zip")</f>
        <v>https://climate.onebuilding.org/WMO_Region_6_Europe/SRB_Serbia/VVR_Vojvodina_Stat_Region/SRB_VVR_Novi.Sad-Rimski.Sancevi.131680_TMYx.zip</v>
      </c>
    </row>
    <row r="10232" spans="1:10" x14ac:dyDescent="0.25">
      <c r="A10232" t="s">
        <v>7429</v>
      </c>
      <c r="B10232" t="s">
        <v>7430</v>
      </c>
      <c r="C10232" t="s">
        <v>7437</v>
      </c>
      <c r="D10232">
        <v>131681</v>
      </c>
      <c r="E10232" t="s">
        <v>14</v>
      </c>
      <c r="F10232">
        <v>45.25</v>
      </c>
      <c r="G10232">
        <v>19.882999999999999</v>
      </c>
      <c r="H10232">
        <v>1</v>
      </c>
      <c r="I10232">
        <v>87</v>
      </c>
      <c r="J10232" t="str">
        <f>HYPERLINK("https://climate.onebuilding.org/WMO_Region_6_Europe/SRB_Serbia/VVR_Vojvodina_Stat_Region/SRB_VVR_Novi.Sad-Petrovaradin.131681_TMYx.zip")</f>
        <v>https://climate.onebuilding.org/WMO_Region_6_Europe/SRB_Serbia/VVR_Vojvodina_Stat_Region/SRB_VVR_Novi.Sad-Petrovaradin.131681_TMYx.zip</v>
      </c>
    </row>
    <row r="10233" spans="1:10" x14ac:dyDescent="0.25">
      <c r="A10233" t="s">
        <v>7429</v>
      </c>
      <c r="B10233" t="s">
        <v>7430</v>
      </c>
      <c r="C10233" t="s">
        <v>7438</v>
      </c>
      <c r="D10233">
        <v>131730</v>
      </c>
      <c r="E10233" t="s">
        <v>7439</v>
      </c>
      <c r="F10233">
        <v>45.366700000000002</v>
      </c>
      <c r="G10233">
        <v>20.416699999999999</v>
      </c>
      <c r="H10233">
        <v>1</v>
      </c>
      <c r="I10233">
        <v>82</v>
      </c>
      <c r="J10233" t="str">
        <f>HYPERLINK("https://climate.onebuilding.org/WMO_Region_6_Europe/SRB_Serbia/VVR_Vojvodina_Stat_Region/SRB_VVR_Zrenjanin.131730_TMYx.2004-2018.zip")</f>
        <v>https://climate.onebuilding.org/WMO_Region_6_Europe/SRB_Serbia/VVR_Vojvodina_Stat_Region/SRB_VVR_Zrenjanin.131730_TMYx.2004-2018.zip</v>
      </c>
    </row>
    <row r="10234" spans="1:10" x14ac:dyDescent="0.25">
      <c r="A10234" t="s">
        <v>7429</v>
      </c>
      <c r="B10234" t="s">
        <v>7430</v>
      </c>
      <c r="C10234" t="s">
        <v>7438</v>
      </c>
      <c r="D10234">
        <v>131730</v>
      </c>
      <c r="E10234" t="s">
        <v>14</v>
      </c>
      <c r="F10234">
        <v>45.366700000000002</v>
      </c>
      <c r="G10234">
        <v>20.416699999999999</v>
      </c>
      <c r="H10234">
        <v>1</v>
      </c>
      <c r="I10234">
        <v>82</v>
      </c>
      <c r="J10234" t="str">
        <f>HYPERLINK("https://climate.onebuilding.org/WMO_Region_6_Europe/SRB_Serbia/VVR_Vojvodina_Stat_Region/SRB_VVR_Zrenjanin.131730_TMYx.2007-2021.zip")</f>
        <v>https://climate.onebuilding.org/WMO_Region_6_Europe/SRB_Serbia/VVR_Vojvodina_Stat_Region/SRB_VVR_Zrenjanin.131730_TMYx.2007-2021.zip</v>
      </c>
    </row>
    <row r="10235" spans="1:10" x14ac:dyDescent="0.25">
      <c r="A10235" t="s">
        <v>7429</v>
      </c>
      <c r="B10235" t="s">
        <v>7430</v>
      </c>
      <c r="C10235" t="s">
        <v>7438</v>
      </c>
      <c r="D10235">
        <v>131730</v>
      </c>
      <c r="E10235" t="s">
        <v>14</v>
      </c>
      <c r="F10235">
        <v>45.366700000000002</v>
      </c>
      <c r="G10235">
        <v>20.416699999999999</v>
      </c>
      <c r="H10235">
        <v>1</v>
      </c>
      <c r="I10235">
        <v>82</v>
      </c>
      <c r="J10235" t="str">
        <f>HYPERLINK("https://climate.onebuilding.org/WMO_Region_6_Europe/SRB_Serbia/VVR_Vojvodina_Stat_Region/SRB_VVR_Zrenjanin.131730_TMYx.2009-2023.zip")</f>
        <v>https://climate.onebuilding.org/WMO_Region_6_Europe/SRB_Serbia/VVR_Vojvodina_Stat_Region/SRB_VVR_Zrenjanin.131730_TMYx.2009-2023.zip</v>
      </c>
    </row>
    <row r="10236" spans="1:10" x14ac:dyDescent="0.25">
      <c r="A10236" t="s">
        <v>7429</v>
      </c>
      <c r="B10236" t="s">
        <v>7430</v>
      </c>
      <c r="C10236" t="s">
        <v>7438</v>
      </c>
      <c r="D10236">
        <v>131730</v>
      </c>
      <c r="E10236" t="s">
        <v>14</v>
      </c>
      <c r="F10236">
        <v>45.366700000000002</v>
      </c>
      <c r="G10236">
        <v>20.416699999999999</v>
      </c>
      <c r="H10236">
        <v>1</v>
      </c>
      <c r="I10236">
        <v>82</v>
      </c>
      <c r="J10236" t="str">
        <f>HYPERLINK("https://climate.onebuilding.org/WMO_Region_6_Europe/SRB_Serbia/VVR_Vojvodina_Stat_Region/SRB_VVR_Zrenjanin.131730_TMYx.zip")</f>
        <v>https://climate.onebuilding.org/WMO_Region_6_Europe/SRB_Serbia/VVR_Vojvodina_Stat_Region/SRB_VVR_Zrenjanin.131730_TMYx.zip</v>
      </c>
    </row>
    <row r="10237" spans="1:10" x14ac:dyDescent="0.25">
      <c r="A10237" t="s">
        <v>7429</v>
      </c>
      <c r="B10237" t="s">
        <v>7430</v>
      </c>
      <c r="C10237" t="s">
        <v>7440</v>
      </c>
      <c r="D10237">
        <v>131740</v>
      </c>
      <c r="E10237" t="s">
        <v>7441</v>
      </c>
      <c r="F10237">
        <v>45.85</v>
      </c>
      <c r="G10237">
        <v>20.466699999999999</v>
      </c>
      <c r="H10237">
        <v>1</v>
      </c>
      <c r="I10237">
        <v>82</v>
      </c>
      <c r="J10237" t="str">
        <f>HYPERLINK("https://climate.onebuilding.org/WMO_Region_6_Europe/SRB_Serbia/VVR_Vojvodina_Stat_Region/SRB_VVR_Kikinda.131740_TMYx.2004-2018.zip")</f>
        <v>https://climate.onebuilding.org/WMO_Region_6_Europe/SRB_Serbia/VVR_Vojvodina_Stat_Region/SRB_VVR_Kikinda.131740_TMYx.2004-2018.zip</v>
      </c>
    </row>
    <row r="10238" spans="1:10" x14ac:dyDescent="0.25">
      <c r="A10238" t="s">
        <v>7429</v>
      </c>
      <c r="B10238" t="s">
        <v>7430</v>
      </c>
      <c r="C10238" t="s">
        <v>7440</v>
      </c>
      <c r="D10238">
        <v>131740</v>
      </c>
      <c r="E10238" t="s">
        <v>14</v>
      </c>
      <c r="F10238">
        <v>45.85</v>
      </c>
      <c r="G10238">
        <v>20.466699999999999</v>
      </c>
      <c r="H10238">
        <v>1</v>
      </c>
      <c r="I10238">
        <v>82</v>
      </c>
      <c r="J10238" t="str">
        <f>HYPERLINK("https://climate.onebuilding.org/WMO_Region_6_Europe/SRB_Serbia/VVR_Vojvodina_Stat_Region/SRB_VVR_Kikinda.131740_TMYx.2007-2021.zip")</f>
        <v>https://climate.onebuilding.org/WMO_Region_6_Europe/SRB_Serbia/VVR_Vojvodina_Stat_Region/SRB_VVR_Kikinda.131740_TMYx.2007-2021.zip</v>
      </c>
    </row>
    <row r="10239" spans="1:10" x14ac:dyDescent="0.25">
      <c r="A10239" t="s">
        <v>7429</v>
      </c>
      <c r="B10239" t="s">
        <v>7430</v>
      </c>
      <c r="C10239" t="s">
        <v>7440</v>
      </c>
      <c r="D10239">
        <v>131740</v>
      </c>
      <c r="E10239" t="s">
        <v>14</v>
      </c>
      <c r="F10239">
        <v>45.85</v>
      </c>
      <c r="G10239">
        <v>20.466699999999999</v>
      </c>
      <c r="H10239">
        <v>1</v>
      </c>
      <c r="I10239">
        <v>82</v>
      </c>
      <c r="J10239" t="str">
        <f>HYPERLINK("https://climate.onebuilding.org/WMO_Region_6_Europe/SRB_Serbia/VVR_Vojvodina_Stat_Region/SRB_VVR_Kikinda.131740_TMYx.2009-2023.zip")</f>
        <v>https://climate.onebuilding.org/WMO_Region_6_Europe/SRB_Serbia/VVR_Vojvodina_Stat_Region/SRB_VVR_Kikinda.131740_TMYx.2009-2023.zip</v>
      </c>
    </row>
    <row r="10240" spans="1:10" x14ac:dyDescent="0.25">
      <c r="A10240" t="s">
        <v>7429</v>
      </c>
      <c r="B10240" t="s">
        <v>7430</v>
      </c>
      <c r="C10240" t="s">
        <v>7440</v>
      </c>
      <c r="D10240">
        <v>131740</v>
      </c>
      <c r="E10240" t="s">
        <v>14</v>
      </c>
      <c r="F10240">
        <v>45.85</v>
      </c>
      <c r="G10240">
        <v>20.466699999999999</v>
      </c>
      <c r="H10240">
        <v>1</v>
      </c>
      <c r="I10240">
        <v>82</v>
      </c>
      <c r="J10240" t="str">
        <f>HYPERLINK("https://climate.onebuilding.org/WMO_Region_6_Europe/SRB_Serbia/VVR_Vojvodina_Stat_Region/SRB_VVR_Kikinda.131740_TMYx.zip")</f>
        <v>https://climate.onebuilding.org/WMO_Region_6_Europe/SRB_Serbia/VVR_Vojvodina_Stat_Region/SRB_VVR_Kikinda.131740_TMYx.zip</v>
      </c>
    </row>
    <row r="10241" spans="1:10" x14ac:dyDescent="0.25">
      <c r="A10241" t="s">
        <v>7429</v>
      </c>
      <c r="B10241" t="s">
        <v>7430</v>
      </c>
      <c r="C10241" t="s">
        <v>7442</v>
      </c>
      <c r="D10241">
        <v>131800</v>
      </c>
      <c r="E10241" t="s">
        <v>7443</v>
      </c>
      <c r="F10241">
        <v>45.05</v>
      </c>
      <c r="G10241">
        <v>21.033300000000001</v>
      </c>
      <c r="H10241">
        <v>1</v>
      </c>
      <c r="I10241">
        <v>91</v>
      </c>
      <c r="J10241" t="str">
        <f>HYPERLINK("https://climate.onebuilding.org/WMO_Region_6_Europe/SRB_Serbia/VVR_Vojvodina_Stat_Region/SRB_VVR_Banatski.Karlovac.131800_TMYx.2004-2018.zip")</f>
        <v>https://climate.onebuilding.org/WMO_Region_6_Europe/SRB_Serbia/VVR_Vojvodina_Stat_Region/SRB_VVR_Banatski.Karlovac.131800_TMYx.2004-2018.zip</v>
      </c>
    </row>
    <row r="10242" spans="1:10" x14ac:dyDescent="0.25">
      <c r="A10242" t="s">
        <v>7429</v>
      </c>
      <c r="B10242" t="s">
        <v>7430</v>
      </c>
      <c r="C10242" t="s">
        <v>7442</v>
      </c>
      <c r="D10242">
        <v>131800</v>
      </c>
      <c r="E10242" t="s">
        <v>14</v>
      </c>
      <c r="F10242">
        <v>45.05</v>
      </c>
      <c r="G10242">
        <v>21.033300000000001</v>
      </c>
      <c r="H10242">
        <v>1</v>
      </c>
      <c r="I10242">
        <v>91</v>
      </c>
      <c r="J10242" t="str">
        <f>HYPERLINK("https://climate.onebuilding.org/WMO_Region_6_Europe/SRB_Serbia/VVR_Vojvodina_Stat_Region/SRB_VVR_Banatski.Karlovac.131800_TMYx.2007-2021.zip")</f>
        <v>https://climate.onebuilding.org/WMO_Region_6_Europe/SRB_Serbia/VVR_Vojvodina_Stat_Region/SRB_VVR_Banatski.Karlovac.131800_TMYx.2007-2021.zip</v>
      </c>
    </row>
    <row r="10243" spans="1:10" x14ac:dyDescent="0.25">
      <c r="A10243" t="s">
        <v>7429</v>
      </c>
      <c r="B10243" t="s">
        <v>7430</v>
      </c>
      <c r="C10243" t="s">
        <v>7442</v>
      </c>
      <c r="D10243">
        <v>131800</v>
      </c>
      <c r="E10243" t="s">
        <v>14</v>
      </c>
      <c r="F10243">
        <v>45.05</v>
      </c>
      <c r="G10243">
        <v>21.033300000000001</v>
      </c>
      <c r="H10243">
        <v>1</v>
      </c>
      <c r="I10243">
        <v>91</v>
      </c>
      <c r="J10243" t="str">
        <f>HYPERLINK("https://climate.onebuilding.org/WMO_Region_6_Europe/SRB_Serbia/VVR_Vojvodina_Stat_Region/SRB_VVR_Banatski.Karlovac.131800_TMYx.2009-2023.zip")</f>
        <v>https://climate.onebuilding.org/WMO_Region_6_Europe/SRB_Serbia/VVR_Vojvodina_Stat_Region/SRB_VVR_Banatski.Karlovac.131800_TMYx.2009-2023.zip</v>
      </c>
    </row>
    <row r="10244" spans="1:10" x14ac:dyDescent="0.25">
      <c r="A10244" t="s">
        <v>7429</v>
      </c>
      <c r="B10244" t="s">
        <v>7430</v>
      </c>
      <c r="C10244" t="s">
        <v>7442</v>
      </c>
      <c r="D10244">
        <v>131800</v>
      </c>
      <c r="E10244" t="s">
        <v>14</v>
      </c>
      <c r="F10244">
        <v>45.05</v>
      </c>
      <c r="G10244">
        <v>21.033300000000001</v>
      </c>
      <c r="H10244">
        <v>1</v>
      </c>
      <c r="I10244">
        <v>91</v>
      </c>
      <c r="J10244" t="str">
        <f>HYPERLINK("https://climate.onebuilding.org/WMO_Region_6_Europe/SRB_Serbia/VVR_Vojvodina_Stat_Region/SRB_VVR_Banatski.Karlovac.131800_TMYx.zip")</f>
        <v>https://climate.onebuilding.org/WMO_Region_6_Europe/SRB_Serbia/VVR_Vojvodina_Stat_Region/SRB_VVR_Banatski.Karlovac.131800_TMYx.zip</v>
      </c>
    </row>
    <row r="10245" spans="1:10" x14ac:dyDescent="0.25">
      <c r="A10245" t="s">
        <v>7429</v>
      </c>
      <c r="B10245" t="s">
        <v>7430</v>
      </c>
      <c r="C10245" t="s">
        <v>7444</v>
      </c>
      <c r="D10245">
        <v>131830</v>
      </c>
      <c r="E10245" t="s">
        <v>7445</v>
      </c>
      <c r="F10245">
        <v>45.15</v>
      </c>
      <c r="G10245">
        <v>21.316700000000001</v>
      </c>
      <c r="H10245">
        <v>1</v>
      </c>
      <c r="I10245">
        <v>85</v>
      </c>
      <c r="J10245" t="str">
        <f>HYPERLINK("https://climate.onebuilding.org/WMO_Region_6_Europe/SRB_Serbia/VVR_Vojvodina_Stat_Region/SRB_VVR_Vrsac.AP.131830_TMYx.2004-2018.zip")</f>
        <v>https://climate.onebuilding.org/WMO_Region_6_Europe/SRB_Serbia/VVR_Vojvodina_Stat_Region/SRB_VVR_Vrsac.AP.131830_TMYx.2004-2018.zip</v>
      </c>
    </row>
    <row r="10246" spans="1:10" x14ac:dyDescent="0.25">
      <c r="A10246" t="s">
        <v>7429</v>
      </c>
      <c r="B10246" t="s">
        <v>7430</v>
      </c>
      <c r="C10246" t="s">
        <v>7444</v>
      </c>
      <c r="D10246">
        <v>131830</v>
      </c>
      <c r="E10246" t="s">
        <v>14</v>
      </c>
      <c r="F10246">
        <v>45.146999999999998</v>
      </c>
      <c r="G10246">
        <v>21.31</v>
      </c>
      <c r="H10246">
        <v>1</v>
      </c>
      <c r="I10246">
        <v>85</v>
      </c>
      <c r="J10246" t="str">
        <f>HYPERLINK("https://climate.onebuilding.org/WMO_Region_6_Europe/SRB_Serbia/VVR_Vojvodina_Stat_Region/SRB_VVR_Vrsac.AP.131830_TMYx.2007-2021.zip")</f>
        <v>https://climate.onebuilding.org/WMO_Region_6_Europe/SRB_Serbia/VVR_Vojvodina_Stat_Region/SRB_VVR_Vrsac.AP.131830_TMYx.2007-2021.zip</v>
      </c>
    </row>
    <row r="10247" spans="1:10" x14ac:dyDescent="0.25">
      <c r="A10247" t="s">
        <v>7429</v>
      </c>
      <c r="B10247" t="s">
        <v>7430</v>
      </c>
      <c r="C10247" t="s">
        <v>7444</v>
      </c>
      <c r="D10247">
        <v>131830</v>
      </c>
      <c r="E10247" t="s">
        <v>14</v>
      </c>
      <c r="F10247">
        <v>45.146999999999998</v>
      </c>
      <c r="G10247">
        <v>21.31</v>
      </c>
      <c r="H10247">
        <v>1</v>
      </c>
      <c r="I10247">
        <v>85</v>
      </c>
      <c r="J10247" t="str">
        <f>HYPERLINK("https://climate.onebuilding.org/WMO_Region_6_Europe/SRB_Serbia/VVR_Vojvodina_Stat_Region/SRB_VVR_Vrsac.AP.131830_TMYx.2009-2023.zip")</f>
        <v>https://climate.onebuilding.org/WMO_Region_6_Europe/SRB_Serbia/VVR_Vojvodina_Stat_Region/SRB_VVR_Vrsac.AP.131830_TMYx.2009-2023.zip</v>
      </c>
    </row>
    <row r="10248" spans="1:10" x14ac:dyDescent="0.25">
      <c r="A10248" t="s">
        <v>7429</v>
      </c>
      <c r="B10248" t="s">
        <v>7430</v>
      </c>
      <c r="C10248" t="s">
        <v>7444</v>
      </c>
      <c r="D10248">
        <v>131830</v>
      </c>
      <c r="E10248" t="s">
        <v>14</v>
      </c>
      <c r="F10248">
        <v>45.146999999999998</v>
      </c>
      <c r="G10248">
        <v>21.31</v>
      </c>
      <c r="H10248">
        <v>1</v>
      </c>
      <c r="I10248">
        <v>85</v>
      </c>
      <c r="J10248" t="str">
        <f>HYPERLINK("https://climate.onebuilding.org/WMO_Region_6_Europe/SRB_Serbia/VVR_Vojvodina_Stat_Region/SRB_VVR_Vrsac.AP.131830_TMYx.zip")</f>
        <v>https://climate.onebuilding.org/WMO_Region_6_Europe/SRB_Serbia/VVR_Vojvodina_Stat_Region/SRB_VVR_Vrsac.AP.131830_TMYx.zip</v>
      </c>
    </row>
    <row r="10249" spans="1:10" x14ac:dyDescent="0.25">
      <c r="A10249" t="s">
        <v>7429</v>
      </c>
      <c r="B10249" t="s">
        <v>7446</v>
      </c>
      <c r="C10249" t="s">
        <v>7447</v>
      </c>
      <c r="D10249">
        <v>132620</v>
      </c>
      <c r="E10249" t="s">
        <v>7448</v>
      </c>
      <c r="F10249">
        <v>44.55</v>
      </c>
      <c r="G10249">
        <v>19.2333</v>
      </c>
      <c r="H10249">
        <v>1</v>
      </c>
      <c r="I10249">
        <v>122</v>
      </c>
      <c r="J10249" t="str">
        <f>HYPERLINK("https://climate.onebuilding.org/WMO_Region_6_Europe/SRB_Serbia/WSR_Sumadija_and_Western_Serbia_Stat_Region/SRB_WSR_Loznica.132620_TMYx.2004-2018.zip")</f>
        <v>https://climate.onebuilding.org/WMO_Region_6_Europe/SRB_Serbia/WSR_Sumadija_and_Western_Serbia_Stat_Region/SRB_WSR_Loznica.132620_TMYx.2004-2018.zip</v>
      </c>
    </row>
    <row r="10250" spans="1:10" x14ac:dyDescent="0.25">
      <c r="A10250" t="s">
        <v>7429</v>
      </c>
      <c r="B10250" t="s">
        <v>7446</v>
      </c>
      <c r="C10250" t="s">
        <v>7447</v>
      </c>
      <c r="D10250">
        <v>132620</v>
      </c>
      <c r="E10250" t="s">
        <v>14</v>
      </c>
      <c r="F10250">
        <v>44.55</v>
      </c>
      <c r="G10250">
        <v>19.2333</v>
      </c>
      <c r="H10250">
        <v>1</v>
      </c>
      <c r="I10250">
        <v>122</v>
      </c>
      <c r="J10250" t="str">
        <f>HYPERLINK("https://climate.onebuilding.org/WMO_Region_6_Europe/SRB_Serbia/WSR_Sumadija_and_Western_Serbia_Stat_Region/SRB_WSR_Loznica.132620_TMYx.2007-2021.zip")</f>
        <v>https://climate.onebuilding.org/WMO_Region_6_Europe/SRB_Serbia/WSR_Sumadija_and_Western_Serbia_Stat_Region/SRB_WSR_Loznica.132620_TMYx.2007-2021.zip</v>
      </c>
    </row>
    <row r="10251" spans="1:10" x14ac:dyDescent="0.25">
      <c r="A10251" t="s">
        <v>7429</v>
      </c>
      <c r="B10251" t="s">
        <v>7446</v>
      </c>
      <c r="C10251" t="s">
        <v>7447</v>
      </c>
      <c r="D10251">
        <v>132620</v>
      </c>
      <c r="E10251" t="s">
        <v>14</v>
      </c>
      <c r="F10251">
        <v>44.55</v>
      </c>
      <c r="G10251">
        <v>19.2333</v>
      </c>
      <c r="H10251">
        <v>1</v>
      </c>
      <c r="I10251">
        <v>122</v>
      </c>
      <c r="J10251" t="str">
        <f>HYPERLINK("https://climate.onebuilding.org/WMO_Region_6_Europe/SRB_Serbia/WSR_Sumadija_and_Western_Serbia_Stat_Region/SRB_WSR_Loznica.132620_TMYx.2009-2023.zip")</f>
        <v>https://climate.onebuilding.org/WMO_Region_6_Europe/SRB_Serbia/WSR_Sumadija_and_Western_Serbia_Stat_Region/SRB_WSR_Loznica.132620_TMYx.2009-2023.zip</v>
      </c>
    </row>
    <row r="10252" spans="1:10" x14ac:dyDescent="0.25">
      <c r="A10252" t="s">
        <v>7429</v>
      </c>
      <c r="B10252" t="s">
        <v>7446</v>
      </c>
      <c r="C10252" t="s">
        <v>7447</v>
      </c>
      <c r="D10252">
        <v>132620</v>
      </c>
      <c r="E10252" t="s">
        <v>14</v>
      </c>
      <c r="F10252">
        <v>44.55</v>
      </c>
      <c r="G10252">
        <v>19.2333</v>
      </c>
      <c r="H10252">
        <v>1</v>
      </c>
      <c r="I10252">
        <v>122</v>
      </c>
      <c r="J10252" t="str">
        <f>HYPERLINK("https://climate.onebuilding.org/WMO_Region_6_Europe/SRB_Serbia/WSR_Sumadija_and_Western_Serbia_Stat_Region/SRB_WSR_Loznica.132620_TMYx.zip")</f>
        <v>https://climate.onebuilding.org/WMO_Region_6_Europe/SRB_Serbia/WSR_Sumadija_and_Western_Serbia_Stat_Region/SRB_WSR_Loznica.132620_TMYx.zip</v>
      </c>
    </row>
    <row r="10253" spans="1:10" x14ac:dyDescent="0.25">
      <c r="A10253" t="s">
        <v>7429</v>
      </c>
      <c r="B10253" t="s">
        <v>7430</v>
      </c>
      <c r="C10253" t="s">
        <v>7449</v>
      </c>
      <c r="D10253">
        <v>132660</v>
      </c>
      <c r="E10253" t="s">
        <v>7450</v>
      </c>
      <c r="F10253">
        <v>45.1</v>
      </c>
      <c r="G10253">
        <v>19.55</v>
      </c>
      <c r="H10253">
        <v>1</v>
      </c>
      <c r="I10253">
        <v>83</v>
      </c>
      <c r="J10253" t="str">
        <f>HYPERLINK("https://climate.onebuilding.org/WMO_Region_6_Europe/SRB_Serbia/VVR_Vojvodina_Stat_Region/SRB_VVR_Sremska.Mitrovica.132660_TMYx.2004-2018.zip")</f>
        <v>https://climate.onebuilding.org/WMO_Region_6_Europe/SRB_Serbia/VVR_Vojvodina_Stat_Region/SRB_VVR_Sremska.Mitrovica.132660_TMYx.2004-2018.zip</v>
      </c>
    </row>
    <row r="10254" spans="1:10" x14ac:dyDescent="0.25">
      <c r="A10254" t="s">
        <v>7429</v>
      </c>
      <c r="B10254" t="s">
        <v>7430</v>
      </c>
      <c r="C10254" t="s">
        <v>7449</v>
      </c>
      <c r="D10254">
        <v>132660</v>
      </c>
      <c r="E10254" t="s">
        <v>14</v>
      </c>
      <c r="F10254">
        <v>45.1</v>
      </c>
      <c r="G10254">
        <v>19.55</v>
      </c>
      <c r="H10254">
        <v>1</v>
      </c>
      <c r="I10254">
        <v>83</v>
      </c>
      <c r="J10254" t="str">
        <f>HYPERLINK("https://climate.onebuilding.org/WMO_Region_6_Europe/SRB_Serbia/VVR_Vojvodina_Stat_Region/SRB_VVR_Sremska.Mitrovica.132660_TMYx.2007-2021.zip")</f>
        <v>https://climate.onebuilding.org/WMO_Region_6_Europe/SRB_Serbia/VVR_Vojvodina_Stat_Region/SRB_VVR_Sremska.Mitrovica.132660_TMYx.2007-2021.zip</v>
      </c>
    </row>
    <row r="10255" spans="1:10" x14ac:dyDescent="0.25">
      <c r="A10255" t="s">
        <v>7429</v>
      </c>
      <c r="B10255" t="s">
        <v>7430</v>
      </c>
      <c r="C10255" t="s">
        <v>7449</v>
      </c>
      <c r="D10255">
        <v>132660</v>
      </c>
      <c r="E10255" t="s">
        <v>14</v>
      </c>
      <c r="F10255">
        <v>45.1</v>
      </c>
      <c r="G10255">
        <v>19.55</v>
      </c>
      <c r="H10255">
        <v>1</v>
      </c>
      <c r="I10255">
        <v>83</v>
      </c>
      <c r="J10255" t="str">
        <f>HYPERLINK("https://climate.onebuilding.org/WMO_Region_6_Europe/SRB_Serbia/VVR_Vojvodina_Stat_Region/SRB_VVR_Sremska.Mitrovica.132660_TMYx.2009-2023.zip")</f>
        <v>https://climate.onebuilding.org/WMO_Region_6_Europe/SRB_Serbia/VVR_Vojvodina_Stat_Region/SRB_VVR_Sremska.Mitrovica.132660_TMYx.2009-2023.zip</v>
      </c>
    </row>
    <row r="10256" spans="1:10" x14ac:dyDescent="0.25">
      <c r="A10256" t="s">
        <v>7429</v>
      </c>
      <c r="B10256" t="s">
        <v>7430</v>
      </c>
      <c r="C10256" t="s">
        <v>7449</v>
      </c>
      <c r="D10256">
        <v>132660</v>
      </c>
      <c r="E10256" t="s">
        <v>14</v>
      </c>
      <c r="F10256">
        <v>45.1</v>
      </c>
      <c r="G10256">
        <v>19.55</v>
      </c>
      <c r="H10256">
        <v>1</v>
      </c>
      <c r="I10256">
        <v>83</v>
      </c>
      <c r="J10256" t="str">
        <f>HYPERLINK("https://climate.onebuilding.org/WMO_Region_6_Europe/SRB_Serbia/VVR_Vojvodina_Stat_Region/SRB_VVR_Sremska.Mitrovica.132660_TMYx.zip")</f>
        <v>https://climate.onebuilding.org/WMO_Region_6_Europe/SRB_Serbia/VVR_Vojvodina_Stat_Region/SRB_VVR_Sremska.Mitrovica.132660_TMYx.zip</v>
      </c>
    </row>
    <row r="10257" spans="1:10" x14ac:dyDescent="0.25">
      <c r="A10257" t="s">
        <v>7429</v>
      </c>
      <c r="B10257" t="s">
        <v>7446</v>
      </c>
      <c r="C10257" t="s">
        <v>7451</v>
      </c>
      <c r="D10257">
        <v>132690</v>
      </c>
      <c r="E10257" t="s">
        <v>7452</v>
      </c>
      <c r="F10257">
        <v>44.265799999999999</v>
      </c>
      <c r="G10257">
        <v>19.893899999999999</v>
      </c>
      <c r="H10257">
        <v>1</v>
      </c>
      <c r="I10257">
        <v>186</v>
      </c>
      <c r="J10257" t="str">
        <f>HYPERLINK("https://climate.onebuilding.org/WMO_Region_6_Europe/SRB_Serbia/WSR_Sumadija_and_Western_Serbia_Stat_Region/SRB_WSR_Valjevo.132690_TMYx.2004-2018.zip")</f>
        <v>https://climate.onebuilding.org/WMO_Region_6_Europe/SRB_Serbia/WSR_Sumadija_and_Western_Serbia_Stat_Region/SRB_WSR_Valjevo.132690_TMYx.2004-2018.zip</v>
      </c>
    </row>
    <row r="10258" spans="1:10" x14ac:dyDescent="0.25">
      <c r="A10258" t="s">
        <v>7429</v>
      </c>
      <c r="B10258" t="s">
        <v>7446</v>
      </c>
      <c r="C10258" t="s">
        <v>7451</v>
      </c>
      <c r="D10258">
        <v>132690</v>
      </c>
      <c r="E10258" t="s">
        <v>14</v>
      </c>
      <c r="F10258">
        <v>44.317</v>
      </c>
      <c r="G10258">
        <v>19.917000000000002</v>
      </c>
      <c r="H10258">
        <v>1</v>
      </c>
      <c r="I10258">
        <v>177</v>
      </c>
      <c r="J10258" t="str">
        <f>HYPERLINK("https://climate.onebuilding.org/WMO_Region_6_Europe/SRB_Serbia/WSR_Sumadija_and_Western_Serbia_Stat_Region/SRB_WSR_Valjevo.132690_TMYx.2007-2021.zip")</f>
        <v>https://climate.onebuilding.org/WMO_Region_6_Europe/SRB_Serbia/WSR_Sumadija_and_Western_Serbia_Stat_Region/SRB_WSR_Valjevo.132690_TMYx.2007-2021.zip</v>
      </c>
    </row>
    <row r="10259" spans="1:10" x14ac:dyDescent="0.25">
      <c r="A10259" t="s">
        <v>7429</v>
      </c>
      <c r="B10259" t="s">
        <v>7446</v>
      </c>
      <c r="C10259" t="s">
        <v>7451</v>
      </c>
      <c r="D10259">
        <v>132690</v>
      </c>
      <c r="E10259" t="s">
        <v>14</v>
      </c>
      <c r="F10259">
        <v>44.317</v>
      </c>
      <c r="G10259">
        <v>19.917000000000002</v>
      </c>
      <c r="H10259">
        <v>1</v>
      </c>
      <c r="I10259">
        <v>177</v>
      </c>
      <c r="J10259" t="str">
        <f>HYPERLINK("https://climate.onebuilding.org/WMO_Region_6_Europe/SRB_Serbia/WSR_Sumadija_and_Western_Serbia_Stat_Region/SRB_WSR_Valjevo.132690_TMYx.2009-2023.zip")</f>
        <v>https://climate.onebuilding.org/WMO_Region_6_Europe/SRB_Serbia/WSR_Sumadija_and_Western_Serbia_Stat_Region/SRB_WSR_Valjevo.132690_TMYx.2009-2023.zip</v>
      </c>
    </row>
    <row r="10260" spans="1:10" x14ac:dyDescent="0.25">
      <c r="A10260" t="s">
        <v>7429</v>
      </c>
      <c r="B10260" t="s">
        <v>7446</v>
      </c>
      <c r="C10260" t="s">
        <v>7451</v>
      </c>
      <c r="D10260">
        <v>132690</v>
      </c>
      <c r="E10260" t="s">
        <v>14</v>
      </c>
      <c r="F10260">
        <v>44.317</v>
      </c>
      <c r="G10260">
        <v>19.917000000000002</v>
      </c>
      <c r="H10260">
        <v>1</v>
      </c>
      <c r="I10260">
        <v>177</v>
      </c>
      <c r="J10260" t="str">
        <f>HYPERLINK("https://climate.onebuilding.org/WMO_Region_6_Europe/SRB_Serbia/WSR_Sumadija_and_Western_Serbia_Stat_Region/SRB_WSR_Valjevo.132690_TMYx.zip")</f>
        <v>https://climate.onebuilding.org/WMO_Region_6_Europe/SRB_Serbia/WSR_Sumadija_and_Western_Serbia_Stat_Region/SRB_WSR_Valjevo.132690_TMYx.zip</v>
      </c>
    </row>
    <row r="10261" spans="1:10" x14ac:dyDescent="0.25">
      <c r="A10261" t="s">
        <v>7429</v>
      </c>
      <c r="B10261" t="s">
        <v>474</v>
      </c>
      <c r="C10261" t="s">
        <v>7453</v>
      </c>
      <c r="D10261">
        <v>132720</v>
      </c>
      <c r="E10261" t="s">
        <v>7454</v>
      </c>
      <c r="F10261">
        <v>44.816699999999997</v>
      </c>
      <c r="G10261">
        <v>20.283300000000001</v>
      </c>
      <c r="H10261">
        <v>1</v>
      </c>
      <c r="I10261">
        <v>102.1</v>
      </c>
      <c r="J10261" t="str">
        <f>HYPERLINK("https://climate.onebuilding.org/WMO_Region_6_Europe/SRB_Serbia/BGR_Belgrade_Stat_Region/SRB_BGR_Surcin-Belgrade-Tesla.Intl.AP.132720_TMYx.2004-2018.zip")</f>
        <v>https://climate.onebuilding.org/WMO_Region_6_Europe/SRB_Serbia/BGR_Belgrade_Stat_Region/SRB_BGR_Surcin-Belgrade-Tesla.Intl.AP.132720_TMYx.2004-2018.zip</v>
      </c>
    </row>
    <row r="10262" spans="1:10" x14ac:dyDescent="0.25">
      <c r="A10262" t="s">
        <v>7429</v>
      </c>
      <c r="B10262" t="s">
        <v>474</v>
      </c>
      <c r="C10262" t="s">
        <v>7453</v>
      </c>
      <c r="D10262">
        <v>132720</v>
      </c>
      <c r="E10262" t="s">
        <v>14</v>
      </c>
      <c r="F10262">
        <v>44.817999999999998</v>
      </c>
      <c r="G10262">
        <v>20.309000000000001</v>
      </c>
      <c r="H10262">
        <v>1</v>
      </c>
      <c r="I10262">
        <v>102.1</v>
      </c>
      <c r="J10262" t="str">
        <f>HYPERLINK("https://climate.onebuilding.org/WMO_Region_6_Europe/SRB_Serbia/BGR_Belgrade_Stat_Region/SRB_BGR_Surcin-Belgrade-Tesla.Intl.AP.132720_TMYx.2007-2021.zip")</f>
        <v>https://climate.onebuilding.org/WMO_Region_6_Europe/SRB_Serbia/BGR_Belgrade_Stat_Region/SRB_BGR_Surcin-Belgrade-Tesla.Intl.AP.132720_TMYx.2007-2021.zip</v>
      </c>
    </row>
    <row r="10263" spans="1:10" x14ac:dyDescent="0.25">
      <c r="A10263" t="s">
        <v>7429</v>
      </c>
      <c r="B10263" t="s">
        <v>474</v>
      </c>
      <c r="C10263" t="s">
        <v>7453</v>
      </c>
      <c r="D10263">
        <v>132720</v>
      </c>
      <c r="E10263" t="s">
        <v>14</v>
      </c>
      <c r="F10263">
        <v>44.817999999999998</v>
      </c>
      <c r="G10263">
        <v>20.309000000000001</v>
      </c>
      <c r="H10263">
        <v>1</v>
      </c>
      <c r="I10263">
        <v>102.1</v>
      </c>
      <c r="J10263" t="str">
        <f>HYPERLINK("https://climate.onebuilding.org/WMO_Region_6_Europe/SRB_Serbia/BGR_Belgrade_Stat_Region/SRB_BGR_Surcin-Belgrade-Tesla.Intl.AP.132720_TMYx.2009-2023.zip")</f>
        <v>https://climate.onebuilding.org/WMO_Region_6_Europe/SRB_Serbia/BGR_Belgrade_Stat_Region/SRB_BGR_Surcin-Belgrade-Tesla.Intl.AP.132720_TMYx.2009-2023.zip</v>
      </c>
    </row>
    <row r="10264" spans="1:10" x14ac:dyDescent="0.25">
      <c r="A10264" t="s">
        <v>7429</v>
      </c>
      <c r="B10264" t="s">
        <v>474</v>
      </c>
      <c r="C10264" t="s">
        <v>7453</v>
      </c>
      <c r="D10264">
        <v>132720</v>
      </c>
      <c r="E10264" t="s">
        <v>14</v>
      </c>
      <c r="F10264">
        <v>44.817999999999998</v>
      </c>
      <c r="G10264">
        <v>20.309000000000001</v>
      </c>
      <c r="H10264">
        <v>1</v>
      </c>
      <c r="I10264">
        <v>102.1</v>
      </c>
      <c r="J10264" t="str">
        <f>HYPERLINK("https://climate.onebuilding.org/WMO_Region_6_Europe/SRB_Serbia/BGR_Belgrade_Stat_Region/SRB_BGR_Surcin-Belgrade-Tesla.Intl.AP.132720_TMYx.zip")</f>
        <v>https://climate.onebuilding.org/WMO_Region_6_Europe/SRB_Serbia/BGR_Belgrade_Stat_Region/SRB_BGR_Surcin-Belgrade-Tesla.Intl.AP.132720_TMYx.zip</v>
      </c>
    </row>
    <row r="10265" spans="1:10" x14ac:dyDescent="0.25">
      <c r="A10265" t="s">
        <v>7429</v>
      </c>
      <c r="B10265" t="s">
        <v>474</v>
      </c>
      <c r="C10265" t="s">
        <v>7455</v>
      </c>
      <c r="D10265">
        <v>132725</v>
      </c>
      <c r="E10265" t="s">
        <v>7456</v>
      </c>
      <c r="F10265">
        <v>44.935000000000002</v>
      </c>
      <c r="G10265">
        <v>20.257999999999999</v>
      </c>
      <c r="H10265">
        <v>1</v>
      </c>
      <c r="I10265">
        <v>80.8</v>
      </c>
      <c r="J10265" t="str">
        <f>HYPERLINK("https://climate.onebuilding.org/WMO_Region_6_Europe/SRB_Serbia/BGR_Belgrade_Stat_Region/SRB_BGR_Belgrade-Batajnica.AB.132725_TMYx.2004-2018.zip")</f>
        <v>https://climate.onebuilding.org/WMO_Region_6_Europe/SRB_Serbia/BGR_Belgrade_Stat_Region/SRB_BGR_Belgrade-Batajnica.AB.132725_TMYx.2004-2018.zip</v>
      </c>
    </row>
    <row r="10266" spans="1:10" x14ac:dyDescent="0.25">
      <c r="A10266" t="s">
        <v>7429</v>
      </c>
      <c r="B10266" t="s">
        <v>474</v>
      </c>
      <c r="C10266" t="s">
        <v>7455</v>
      </c>
      <c r="D10266">
        <v>132725</v>
      </c>
      <c r="E10266" t="s">
        <v>14</v>
      </c>
      <c r="F10266">
        <v>44.935000000000002</v>
      </c>
      <c r="G10266">
        <v>20.257999999999999</v>
      </c>
      <c r="H10266">
        <v>1</v>
      </c>
      <c r="I10266">
        <v>80.8</v>
      </c>
      <c r="J10266" t="str">
        <f>HYPERLINK("https://climate.onebuilding.org/WMO_Region_6_Europe/SRB_Serbia/BGR_Belgrade_Stat_Region/SRB_BGR_Belgrade-Batajnica.AB.132725_TMYx.2007-2021.zip")</f>
        <v>https://climate.onebuilding.org/WMO_Region_6_Europe/SRB_Serbia/BGR_Belgrade_Stat_Region/SRB_BGR_Belgrade-Batajnica.AB.132725_TMYx.2007-2021.zip</v>
      </c>
    </row>
    <row r="10267" spans="1:10" x14ac:dyDescent="0.25">
      <c r="A10267" t="s">
        <v>7429</v>
      </c>
      <c r="B10267" t="s">
        <v>474</v>
      </c>
      <c r="C10267" t="s">
        <v>7455</v>
      </c>
      <c r="D10267">
        <v>132725</v>
      </c>
      <c r="E10267" t="s">
        <v>14</v>
      </c>
      <c r="F10267">
        <v>44.935000000000002</v>
      </c>
      <c r="G10267">
        <v>20.257999999999999</v>
      </c>
      <c r="H10267">
        <v>1</v>
      </c>
      <c r="I10267">
        <v>80.8</v>
      </c>
      <c r="J10267" t="str">
        <f>HYPERLINK("https://climate.onebuilding.org/WMO_Region_6_Europe/SRB_Serbia/BGR_Belgrade_Stat_Region/SRB_BGR_Belgrade-Batajnica.AB.132725_TMYx.2009-2023.zip")</f>
        <v>https://climate.onebuilding.org/WMO_Region_6_Europe/SRB_Serbia/BGR_Belgrade_Stat_Region/SRB_BGR_Belgrade-Batajnica.AB.132725_TMYx.2009-2023.zip</v>
      </c>
    </row>
    <row r="10268" spans="1:10" x14ac:dyDescent="0.25">
      <c r="A10268" t="s">
        <v>7429</v>
      </c>
      <c r="B10268" t="s">
        <v>474</v>
      </c>
      <c r="C10268" t="s">
        <v>7455</v>
      </c>
      <c r="D10268">
        <v>132725</v>
      </c>
      <c r="E10268" t="s">
        <v>14</v>
      </c>
      <c r="F10268">
        <v>44.935000000000002</v>
      </c>
      <c r="G10268">
        <v>20.257999999999999</v>
      </c>
      <c r="H10268">
        <v>1</v>
      </c>
      <c r="I10268">
        <v>80.8</v>
      </c>
      <c r="J10268" t="str">
        <f>HYPERLINK("https://climate.onebuilding.org/WMO_Region_6_Europe/SRB_Serbia/BGR_Belgrade_Stat_Region/SRB_BGR_Belgrade-Batajnica.AB.132725_TMYx.zip")</f>
        <v>https://climate.onebuilding.org/WMO_Region_6_Europe/SRB_Serbia/BGR_Belgrade_Stat_Region/SRB_BGR_Belgrade-Batajnica.AB.132725_TMYx.zip</v>
      </c>
    </row>
    <row r="10269" spans="1:10" x14ac:dyDescent="0.25">
      <c r="A10269" t="s">
        <v>7429</v>
      </c>
      <c r="B10269" t="s">
        <v>474</v>
      </c>
      <c r="C10269" t="s">
        <v>7457</v>
      </c>
      <c r="D10269">
        <v>132740</v>
      </c>
      <c r="E10269" t="s">
        <v>7458</v>
      </c>
      <c r="F10269">
        <v>44.8</v>
      </c>
      <c r="G10269">
        <v>20.466699999999999</v>
      </c>
      <c r="H10269">
        <v>1</v>
      </c>
      <c r="I10269">
        <v>132</v>
      </c>
      <c r="J10269" t="str">
        <f>HYPERLINK("https://climate.onebuilding.org/WMO_Region_6_Europe/SRB_Serbia/BGR_Belgrade_Stat_Region/SRB_BGR_Belgrade.132740_TMYx.2004-2018.zip")</f>
        <v>https://climate.onebuilding.org/WMO_Region_6_Europe/SRB_Serbia/BGR_Belgrade_Stat_Region/SRB_BGR_Belgrade.132740_TMYx.2004-2018.zip</v>
      </c>
    </row>
    <row r="10270" spans="1:10" x14ac:dyDescent="0.25">
      <c r="A10270" t="s">
        <v>7429</v>
      </c>
      <c r="B10270" t="s">
        <v>474</v>
      </c>
      <c r="C10270" t="s">
        <v>7457</v>
      </c>
      <c r="D10270">
        <v>132740</v>
      </c>
      <c r="E10270" t="s">
        <v>14</v>
      </c>
      <c r="F10270">
        <v>44.8</v>
      </c>
      <c r="G10270">
        <v>20.466699999999999</v>
      </c>
      <c r="H10270">
        <v>1</v>
      </c>
      <c r="I10270">
        <v>132</v>
      </c>
      <c r="J10270" t="str">
        <f>HYPERLINK("https://climate.onebuilding.org/WMO_Region_6_Europe/SRB_Serbia/BGR_Belgrade_Stat_Region/SRB_BGR_Belgrade.132740_TMYx.2007-2021.zip")</f>
        <v>https://climate.onebuilding.org/WMO_Region_6_Europe/SRB_Serbia/BGR_Belgrade_Stat_Region/SRB_BGR_Belgrade.132740_TMYx.2007-2021.zip</v>
      </c>
    </row>
    <row r="10271" spans="1:10" x14ac:dyDescent="0.25">
      <c r="A10271" t="s">
        <v>7429</v>
      </c>
      <c r="B10271" t="s">
        <v>474</v>
      </c>
      <c r="C10271" t="s">
        <v>7457</v>
      </c>
      <c r="D10271">
        <v>132740</v>
      </c>
      <c r="E10271" t="s">
        <v>14</v>
      </c>
      <c r="F10271">
        <v>44.8</v>
      </c>
      <c r="G10271">
        <v>20.466699999999999</v>
      </c>
      <c r="H10271">
        <v>1</v>
      </c>
      <c r="I10271">
        <v>132</v>
      </c>
      <c r="J10271" t="str">
        <f>HYPERLINK("https://climate.onebuilding.org/WMO_Region_6_Europe/SRB_Serbia/BGR_Belgrade_Stat_Region/SRB_BGR_Belgrade.132740_TMYx.2009-2023.zip")</f>
        <v>https://climate.onebuilding.org/WMO_Region_6_Europe/SRB_Serbia/BGR_Belgrade_Stat_Region/SRB_BGR_Belgrade.132740_TMYx.2009-2023.zip</v>
      </c>
    </row>
    <row r="10272" spans="1:10" x14ac:dyDescent="0.25">
      <c r="A10272" t="s">
        <v>7429</v>
      </c>
      <c r="B10272" t="s">
        <v>474</v>
      </c>
      <c r="C10272" t="s">
        <v>7457</v>
      </c>
      <c r="D10272">
        <v>132740</v>
      </c>
      <c r="E10272" t="s">
        <v>14</v>
      </c>
      <c r="F10272">
        <v>44.8</v>
      </c>
      <c r="G10272">
        <v>20.466699999999999</v>
      </c>
      <c r="H10272">
        <v>1</v>
      </c>
      <c r="I10272">
        <v>132</v>
      </c>
      <c r="J10272" t="str">
        <f>HYPERLINK("https://climate.onebuilding.org/WMO_Region_6_Europe/SRB_Serbia/BGR_Belgrade_Stat_Region/SRB_BGR_Belgrade.132740_TMYx.zip")</f>
        <v>https://climate.onebuilding.org/WMO_Region_6_Europe/SRB_Serbia/BGR_Belgrade_Stat_Region/SRB_BGR_Belgrade.132740_TMYx.zip</v>
      </c>
    </row>
    <row r="10273" spans="1:10" x14ac:dyDescent="0.25">
      <c r="A10273" t="s">
        <v>7429</v>
      </c>
      <c r="B10273" t="s">
        <v>474</v>
      </c>
      <c r="C10273" t="s">
        <v>7459</v>
      </c>
      <c r="D10273">
        <v>132750</v>
      </c>
      <c r="E10273" t="s">
        <v>14</v>
      </c>
      <c r="F10273">
        <v>44.7667</v>
      </c>
      <c r="G10273">
        <v>20.416699999999999</v>
      </c>
      <c r="H10273">
        <v>1</v>
      </c>
      <c r="I10273">
        <v>203</v>
      </c>
      <c r="J10273" t="str">
        <f>HYPERLINK("https://climate.onebuilding.org/WMO_Region_6_Europe/SRB_Serbia/BGR_Belgrade_Stat_Region/SRB_BGR_Belgrade-Kosutnjak.132750_TMYx.zip")</f>
        <v>https://climate.onebuilding.org/WMO_Region_6_Europe/SRB_Serbia/BGR_Belgrade_Stat_Region/SRB_BGR_Belgrade-Kosutnjak.132750_TMYx.zip</v>
      </c>
    </row>
    <row r="10274" spans="1:10" x14ac:dyDescent="0.25">
      <c r="A10274" t="s">
        <v>7429</v>
      </c>
      <c r="B10274" t="s">
        <v>7446</v>
      </c>
      <c r="C10274" t="s">
        <v>7460</v>
      </c>
      <c r="D10274">
        <v>132780</v>
      </c>
      <c r="E10274" t="s">
        <v>7461</v>
      </c>
      <c r="F10274">
        <v>44.033299999999997</v>
      </c>
      <c r="G10274">
        <v>20.933299999999999</v>
      </c>
      <c r="H10274">
        <v>1</v>
      </c>
      <c r="I10274">
        <v>185</v>
      </c>
      <c r="J10274" t="str">
        <f>HYPERLINK("https://climate.onebuilding.org/WMO_Region_6_Europe/SRB_Serbia/WSR_Sumadija_and_Western_Serbia_Stat_Region/SRB_WSR_Kragujevac.132780_TMYx.2004-2018.zip")</f>
        <v>https://climate.onebuilding.org/WMO_Region_6_Europe/SRB_Serbia/WSR_Sumadija_and_Western_Serbia_Stat_Region/SRB_WSR_Kragujevac.132780_TMYx.2004-2018.zip</v>
      </c>
    </row>
    <row r="10275" spans="1:10" x14ac:dyDescent="0.25">
      <c r="A10275" t="s">
        <v>7429</v>
      </c>
      <c r="B10275" t="s">
        <v>7446</v>
      </c>
      <c r="C10275" t="s">
        <v>7460</v>
      </c>
      <c r="D10275">
        <v>132780</v>
      </c>
      <c r="E10275" t="s">
        <v>14</v>
      </c>
      <c r="F10275">
        <v>44.033299999999997</v>
      </c>
      <c r="G10275">
        <v>20.933299999999999</v>
      </c>
      <c r="H10275">
        <v>1</v>
      </c>
      <c r="I10275">
        <v>185</v>
      </c>
      <c r="J10275" t="str">
        <f>HYPERLINK("https://climate.onebuilding.org/WMO_Region_6_Europe/SRB_Serbia/WSR_Sumadija_and_Western_Serbia_Stat_Region/SRB_WSR_Kragujevac.132780_TMYx.2007-2021.zip")</f>
        <v>https://climate.onebuilding.org/WMO_Region_6_Europe/SRB_Serbia/WSR_Sumadija_and_Western_Serbia_Stat_Region/SRB_WSR_Kragujevac.132780_TMYx.2007-2021.zip</v>
      </c>
    </row>
    <row r="10276" spans="1:10" x14ac:dyDescent="0.25">
      <c r="A10276" t="s">
        <v>7429</v>
      </c>
      <c r="B10276" t="s">
        <v>7446</v>
      </c>
      <c r="C10276" t="s">
        <v>7460</v>
      </c>
      <c r="D10276">
        <v>132780</v>
      </c>
      <c r="E10276" t="s">
        <v>14</v>
      </c>
      <c r="F10276">
        <v>44.033299999999997</v>
      </c>
      <c r="G10276">
        <v>20.933299999999999</v>
      </c>
      <c r="H10276">
        <v>1</v>
      </c>
      <c r="I10276">
        <v>185</v>
      </c>
      <c r="J10276" t="str">
        <f>HYPERLINK("https://climate.onebuilding.org/WMO_Region_6_Europe/SRB_Serbia/WSR_Sumadija_and_Western_Serbia_Stat_Region/SRB_WSR_Kragujevac.132780_TMYx.2009-2023.zip")</f>
        <v>https://climate.onebuilding.org/WMO_Region_6_Europe/SRB_Serbia/WSR_Sumadija_and_Western_Serbia_Stat_Region/SRB_WSR_Kragujevac.132780_TMYx.2009-2023.zip</v>
      </c>
    </row>
    <row r="10277" spans="1:10" x14ac:dyDescent="0.25">
      <c r="A10277" t="s">
        <v>7429</v>
      </c>
      <c r="B10277" t="s">
        <v>7446</v>
      </c>
      <c r="C10277" t="s">
        <v>7460</v>
      </c>
      <c r="D10277">
        <v>132780</v>
      </c>
      <c r="E10277" t="s">
        <v>14</v>
      </c>
      <c r="F10277">
        <v>44.033299999999997</v>
      </c>
      <c r="G10277">
        <v>20.933299999999999</v>
      </c>
      <c r="H10277">
        <v>1</v>
      </c>
      <c r="I10277">
        <v>185</v>
      </c>
      <c r="J10277" t="str">
        <f>HYPERLINK("https://climate.onebuilding.org/WMO_Region_6_Europe/SRB_Serbia/WSR_Sumadija_and_Western_Serbia_Stat_Region/SRB_WSR_Kragujevac.132780_TMYx.zip")</f>
        <v>https://climate.onebuilding.org/WMO_Region_6_Europe/SRB_Serbia/WSR_Sumadija_and_Western_Serbia_Stat_Region/SRB_WSR_Kragujevac.132780_TMYx.zip</v>
      </c>
    </row>
    <row r="10278" spans="1:10" x14ac:dyDescent="0.25">
      <c r="A10278" t="s">
        <v>7429</v>
      </c>
      <c r="B10278" t="s">
        <v>5769</v>
      </c>
      <c r="C10278" t="s">
        <v>7462</v>
      </c>
      <c r="D10278">
        <v>132790</v>
      </c>
      <c r="E10278" t="s">
        <v>7463</v>
      </c>
      <c r="F10278">
        <v>44.366700000000002</v>
      </c>
      <c r="G10278">
        <v>20.95</v>
      </c>
      <c r="H10278">
        <v>1</v>
      </c>
      <c r="I10278">
        <v>122</v>
      </c>
      <c r="J10278" t="str">
        <f>HYPERLINK("https://climate.onebuilding.org/WMO_Region_6_Europe/SRB_Serbia/ESR_Southern_and_Eastern_Serbia_Stat_Region/SRB_ESR_Smederevska.Palanka.132790_TMYx.2004-2018.zip")</f>
        <v>https://climate.onebuilding.org/WMO_Region_6_Europe/SRB_Serbia/ESR_Southern_and_Eastern_Serbia_Stat_Region/SRB_ESR_Smederevska.Palanka.132790_TMYx.2004-2018.zip</v>
      </c>
    </row>
    <row r="10279" spans="1:10" x14ac:dyDescent="0.25">
      <c r="A10279" t="s">
        <v>7429</v>
      </c>
      <c r="B10279" t="s">
        <v>5769</v>
      </c>
      <c r="C10279" t="s">
        <v>7462</v>
      </c>
      <c r="D10279">
        <v>132790</v>
      </c>
      <c r="E10279" t="s">
        <v>14</v>
      </c>
      <c r="F10279">
        <v>44.366700000000002</v>
      </c>
      <c r="G10279">
        <v>20.95</v>
      </c>
      <c r="H10279">
        <v>1</v>
      </c>
      <c r="I10279">
        <v>122</v>
      </c>
      <c r="J10279" t="str">
        <f>HYPERLINK("https://climate.onebuilding.org/WMO_Region_6_Europe/SRB_Serbia/ESR_Southern_and_Eastern_Serbia_Stat_Region/SRB_ESR_Smederevska.Palanka.132790_TMYx.2007-2021.zip")</f>
        <v>https://climate.onebuilding.org/WMO_Region_6_Europe/SRB_Serbia/ESR_Southern_and_Eastern_Serbia_Stat_Region/SRB_ESR_Smederevska.Palanka.132790_TMYx.2007-2021.zip</v>
      </c>
    </row>
    <row r="10280" spans="1:10" x14ac:dyDescent="0.25">
      <c r="A10280" t="s">
        <v>7429</v>
      </c>
      <c r="B10280" t="s">
        <v>5769</v>
      </c>
      <c r="C10280" t="s">
        <v>7462</v>
      </c>
      <c r="D10280">
        <v>132790</v>
      </c>
      <c r="E10280" t="s">
        <v>14</v>
      </c>
      <c r="F10280">
        <v>44.366700000000002</v>
      </c>
      <c r="G10280">
        <v>20.95</v>
      </c>
      <c r="H10280">
        <v>1</v>
      </c>
      <c r="I10280">
        <v>122</v>
      </c>
      <c r="J10280" t="str">
        <f>HYPERLINK("https://climate.onebuilding.org/WMO_Region_6_Europe/SRB_Serbia/ESR_Southern_and_Eastern_Serbia_Stat_Region/SRB_ESR_Smederevska.Palanka.132790_TMYx.2009-2023.zip")</f>
        <v>https://climate.onebuilding.org/WMO_Region_6_Europe/SRB_Serbia/ESR_Southern_and_Eastern_Serbia_Stat_Region/SRB_ESR_Smederevska.Palanka.132790_TMYx.2009-2023.zip</v>
      </c>
    </row>
    <row r="10281" spans="1:10" x14ac:dyDescent="0.25">
      <c r="A10281" t="s">
        <v>7429</v>
      </c>
      <c r="B10281" t="s">
        <v>5769</v>
      </c>
      <c r="C10281" t="s">
        <v>7462</v>
      </c>
      <c r="D10281">
        <v>132790</v>
      </c>
      <c r="E10281" t="s">
        <v>14</v>
      </c>
      <c r="F10281">
        <v>44.366700000000002</v>
      </c>
      <c r="G10281">
        <v>20.95</v>
      </c>
      <c r="H10281">
        <v>1</v>
      </c>
      <c r="I10281">
        <v>122</v>
      </c>
      <c r="J10281" t="str">
        <f>HYPERLINK("https://climate.onebuilding.org/WMO_Region_6_Europe/SRB_Serbia/ESR_Southern_and_Eastern_Serbia_Stat_Region/SRB_ESR_Smederevska.Palanka.132790_TMYx.zip")</f>
        <v>https://climate.onebuilding.org/WMO_Region_6_Europe/SRB_Serbia/ESR_Southern_and_Eastern_Serbia_Stat_Region/SRB_ESR_Smederevska.Palanka.132790_TMYx.zip</v>
      </c>
    </row>
    <row r="10282" spans="1:10" x14ac:dyDescent="0.25">
      <c r="A10282" t="s">
        <v>7429</v>
      </c>
      <c r="B10282" t="s">
        <v>5769</v>
      </c>
      <c r="C10282" t="s">
        <v>7464</v>
      </c>
      <c r="D10282">
        <v>132850</v>
      </c>
      <c r="E10282" t="s">
        <v>7465</v>
      </c>
      <c r="F10282">
        <v>44.75</v>
      </c>
      <c r="G10282">
        <v>21.5167</v>
      </c>
      <c r="H10282">
        <v>1</v>
      </c>
      <c r="I10282">
        <v>84</v>
      </c>
      <c r="J10282" t="str">
        <f>HYPERLINK("https://climate.onebuilding.org/WMO_Region_6_Europe/SRB_Serbia/ESR_Southern_and_Eastern_Serbia_Stat_Region/SRB_ESR_Veliko.Gradiste.132850_TMYx.2004-2018.zip")</f>
        <v>https://climate.onebuilding.org/WMO_Region_6_Europe/SRB_Serbia/ESR_Southern_and_Eastern_Serbia_Stat_Region/SRB_ESR_Veliko.Gradiste.132850_TMYx.2004-2018.zip</v>
      </c>
    </row>
    <row r="10283" spans="1:10" x14ac:dyDescent="0.25">
      <c r="A10283" t="s">
        <v>7429</v>
      </c>
      <c r="B10283" t="s">
        <v>5769</v>
      </c>
      <c r="C10283" t="s">
        <v>7464</v>
      </c>
      <c r="D10283">
        <v>132850</v>
      </c>
      <c r="E10283" t="s">
        <v>14</v>
      </c>
      <c r="F10283">
        <v>44.75</v>
      </c>
      <c r="G10283">
        <v>21.5167</v>
      </c>
      <c r="H10283">
        <v>1</v>
      </c>
      <c r="I10283">
        <v>84</v>
      </c>
      <c r="J10283" t="str">
        <f>HYPERLINK("https://climate.onebuilding.org/WMO_Region_6_Europe/SRB_Serbia/ESR_Southern_and_Eastern_Serbia_Stat_Region/SRB_ESR_Veliko.Gradiste.132850_TMYx.2007-2021.zip")</f>
        <v>https://climate.onebuilding.org/WMO_Region_6_Europe/SRB_Serbia/ESR_Southern_and_Eastern_Serbia_Stat_Region/SRB_ESR_Veliko.Gradiste.132850_TMYx.2007-2021.zip</v>
      </c>
    </row>
    <row r="10284" spans="1:10" x14ac:dyDescent="0.25">
      <c r="A10284" t="s">
        <v>7429</v>
      </c>
      <c r="B10284" t="s">
        <v>5769</v>
      </c>
      <c r="C10284" t="s">
        <v>7464</v>
      </c>
      <c r="D10284">
        <v>132850</v>
      </c>
      <c r="E10284" t="s">
        <v>14</v>
      </c>
      <c r="F10284">
        <v>44.75</v>
      </c>
      <c r="G10284">
        <v>21.5167</v>
      </c>
      <c r="H10284">
        <v>1</v>
      </c>
      <c r="I10284">
        <v>84</v>
      </c>
      <c r="J10284" t="str">
        <f>HYPERLINK("https://climate.onebuilding.org/WMO_Region_6_Europe/SRB_Serbia/ESR_Southern_and_Eastern_Serbia_Stat_Region/SRB_ESR_Veliko.Gradiste.132850_TMYx.2009-2023.zip")</f>
        <v>https://climate.onebuilding.org/WMO_Region_6_Europe/SRB_Serbia/ESR_Southern_and_Eastern_Serbia_Stat_Region/SRB_ESR_Veliko.Gradiste.132850_TMYx.2009-2023.zip</v>
      </c>
    </row>
    <row r="10285" spans="1:10" x14ac:dyDescent="0.25">
      <c r="A10285" t="s">
        <v>7429</v>
      </c>
      <c r="B10285" t="s">
        <v>5769</v>
      </c>
      <c r="C10285" t="s">
        <v>7464</v>
      </c>
      <c r="D10285">
        <v>132850</v>
      </c>
      <c r="E10285" t="s">
        <v>14</v>
      </c>
      <c r="F10285">
        <v>44.75</v>
      </c>
      <c r="G10285">
        <v>21.5167</v>
      </c>
      <c r="H10285">
        <v>1</v>
      </c>
      <c r="I10285">
        <v>84</v>
      </c>
      <c r="J10285" t="str">
        <f>HYPERLINK("https://climate.onebuilding.org/WMO_Region_6_Europe/SRB_Serbia/ESR_Southern_and_Eastern_Serbia_Stat_Region/SRB_ESR_Veliko.Gradiste.132850_TMYx.zip")</f>
        <v>https://climate.onebuilding.org/WMO_Region_6_Europe/SRB_Serbia/ESR_Southern_and_Eastern_Serbia_Stat_Region/SRB_ESR_Veliko.Gradiste.132850_TMYx.zip</v>
      </c>
    </row>
    <row r="10286" spans="1:10" x14ac:dyDescent="0.25">
      <c r="A10286" t="s">
        <v>7429</v>
      </c>
      <c r="B10286" t="s">
        <v>5769</v>
      </c>
      <c r="C10286" t="s">
        <v>7466</v>
      </c>
      <c r="D10286">
        <v>132890</v>
      </c>
      <c r="E10286" t="s">
        <v>7467</v>
      </c>
      <c r="F10286">
        <v>44.116700000000002</v>
      </c>
      <c r="G10286">
        <v>21.95</v>
      </c>
      <c r="H10286">
        <v>1</v>
      </c>
      <c r="I10286">
        <v>1039</v>
      </c>
      <c r="J10286" t="str">
        <f>HYPERLINK("https://climate.onebuilding.org/WMO_Region_6_Europe/SRB_Serbia/ESR_Southern_and_Eastern_Serbia_Stat_Region/SRB_ESR_Crni.Vrh.Mtn.132890_TMYx.2004-2018.zip")</f>
        <v>https://climate.onebuilding.org/WMO_Region_6_Europe/SRB_Serbia/ESR_Southern_and_Eastern_Serbia_Stat_Region/SRB_ESR_Crni.Vrh.Mtn.132890_TMYx.2004-2018.zip</v>
      </c>
    </row>
    <row r="10287" spans="1:10" x14ac:dyDescent="0.25">
      <c r="A10287" t="s">
        <v>7429</v>
      </c>
      <c r="B10287" t="s">
        <v>5769</v>
      </c>
      <c r="C10287" t="s">
        <v>7466</v>
      </c>
      <c r="D10287">
        <v>132890</v>
      </c>
      <c r="E10287" t="s">
        <v>14</v>
      </c>
      <c r="F10287">
        <v>44.1297</v>
      </c>
      <c r="G10287">
        <v>21.964200000000002</v>
      </c>
      <c r="H10287">
        <v>1</v>
      </c>
      <c r="I10287">
        <v>1039</v>
      </c>
      <c r="J10287" t="str">
        <f>HYPERLINK("https://climate.onebuilding.org/WMO_Region_6_Europe/SRB_Serbia/ESR_Southern_and_Eastern_Serbia_Stat_Region/SRB_ESR_Crni.Vrh.Mtn.132890_TMYx.2007-2021.zip")</f>
        <v>https://climate.onebuilding.org/WMO_Region_6_Europe/SRB_Serbia/ESR_Southern_and_Eastern_Serbia_Stat_Region/SRB_ESR_Crni.Vrh.Mtn.132890_TMYx.2007-2021.zip</v>
      </c>
    </row>
    <row r="10288" spans="1:10" x14ac:dyDescent="0.25">
      <c r="A10288" t="s">
        <v>7429</v>
      </c>
      <c r="B10288" t="s">
        <v>5769</v>
      </c>
      <c r="C10288" t="s">
        <v>7466</v>
      </c>
      <c r="D10288">
        <v>132890</v>
      </c>
      <c r="E10288" t="s">
        <v>14</v>
      </c>
      <c r="F10288">
        <v>44.1297</v>
      </c>
      <c r="G10288">
        <v>21.964200000000002</v>
      </c>
      <c r="H10288">
        <v>1</v>
      </c>
      <c r="I10288">
        <v>1039</v>
      </c>
      <c r="J10288" t="str">
        <f>HYPERLINK("https://climate.onebuilding.org/WMO_Region_6_Europe/SRB_Serbia/ESR_Southern_and_Eastern_Serbia_Stat_Region/SRB_ESR_Crni.Vrh.Mtn.132890_TMYx.2009-2023.zip")</f>
        <v>https://climate.onebuilding.org/WMO_Region_6_Europe/SRB_Serbia/ESR_Southern_and_Eastern_Serbia_Stat_Region/SRB_ESR_Crni.Vrh.Mtn.132890_TMYx.2009-2023.zip</v>
      </c>
    </row>
    <row r="10289" spans="1:10" x14ac:dyDescent="0.25">
      <c r="A10289" t="s">
        <v>7429</v>
      </c>
      <c r="B10289" t="s">
        <v>5769</v>
      </c>
      <c r="C10289" t="s">
        <v>7466</v>
      </c>
      <c r="D10289">
        <v>132890</v>
      </c>
      <c r="E10289" t="s">
        <v>14</v>
      </c>
      <c r="F10289">
        <v>44.1297</v>
      </c>
      <c r="G10289">
        <v>21.964200000000002</v>
      </c>
      <c r="H10289">
        <v>1</v>
      </c>
      <c r="I10289">
        <v>1039</v>
      </c>
      <c r="J10289" t="str">
        <f>HYPERLINK("https://climate.onebuilding.org/WMO_Region_6_Europe/SRB_Serbia/ESR_Southern_and_Eastern_Serbia_Stat_Region/SRB_ESR_Crni.Vrh.Mtn.132890_TMYx.zip")</f>
        <v>https://climate.onebuilding.org/WMO_Region_6_Europe/SRB_Serbia/ESR_Southern_and_Eastern_Serbia_Stat_Region/SRB_ESR_Crni.Vrh.Mtn.132890_TMYx.zip</v>
      </c>
    </row>
    <row r="10290" spans="1:10" x14ac:dyDescent="0.25">
      <c r="A10290" t="s">
        <v>7429</v>
      </c>
      <c r="B10290" t="s">
        <v>5769</v>
      </c>
      <c r="C10290" t="s">
        <v>7468</v>
      </c>
      <c r="D10290">
        <v>132950</v>
      </c>
      <c r="E10290" t="s">
        <v>7469</v>
      </c>
      <c r="F10290">
        <v>44.2333</v>
      </c>
      <c r="G10290">
        <v>22.55</v>
      </c>
      <c r="H10290">
        <v>1</v>
      </c>
      <c r="I10290">
        <v>44</v>
      </c>
      <c r="J10290" t="str">
        <f>HYPERLINK("https://climate.onebuilding.org/WMO_Region_6_Europe/SRB_Serbia/ESR_Southern_and_Eastern_Serbia_Stat_Region/SRB_ESR_Negotin.132950_TMYx.2004-2018.zip")</f>
        <v>https://climate.onebuilding.org/WMO_Region_6_Europe/SRB_Serbia/ESR_Southern_and_Eastern_Serbia_Stat_Region/SRB_ESR_Negotin.132950_TMYx.2004-2018.zip</v>
      </c>
    </row>
    <row r="10291" spans="1:10" x14ac:dyDescent="0.25">
      <c r="A10291" t="s">
        <v>7429</v>
      </c>
      <c r="B10291" t="s">
        <v>5769</v>
      </c>
      <c r="C10291" t="s">
        <v>7468</v>
      </c>
      <c r="D10291">
        <v>132950</v>
      </c>
      <c r="E10291" t="s">
        <v>14</v>
      </c>
      <c r="F10291">
        <v>44.2333</v>
      </c>
      <c r="G10291">
        <v>22.55</v>
      </c>
      <c r="H10291">
        <v>1</v>
      </c>
      <c r="I10291">
        <v>44</v>
      </c>
      <c r="J10291" t="str">
        <f>HYPERLINK("https://climate.onebuilding.org/WMO_Region_6_Europe/SRB_Serbia/ESR_Southern_and_Eastern_Serbia_Stat_Region/SRB_ESR_Negotin.132950_TMYx.2007-2021.zip")</f>
        <v>https://climate.onebuilding.org/WMO_Region_6_Europe/SRB_Serbia/ESR_Southern_and_Eastern_Serbia_Stat_Region/SRB_ESR_Negotin.132950_TMYx.2007-2021.zip</v>
      </c>
    </row>
    <row r="10292" spans="1:10" x14ac:dyDescent="0.25">
      <c r="A10292" t="s">
        <v>7429</v>
      </c>
      <c r="B10292" t="s">
        <v>5769</v>
      </c>
      <c r="C10292" t="s">
        <v>7468</v>
      </c>
      <c r="D10292">
        <v>132950</v>
      </c>
      <c r="E10292" t="s">
        <v>14</v>
      </c>
      <c r="F10292">
        <v>44.2333</v>
      </c>
      <c r="G10292">
        <v>22.55</v>
      </c>
      <c r="H10292">
        <v>1</v>
      </c>
      <c r="I10292">
        <v>44</v>
      </c>
      <c r="J10292" t="str">
        <f>HYPERLINK("https://climate.onebuilding.org/WMO_Region_6_Europe/SRB_Serbia/ESR_Southern_and_Eastern_Serbia_Stat_Region/SRB_ESR_Negotin.132950_TMYx.2009-2023.zip")</f>
        <v>https://climate.onebuilding.org/WMO_Region_6_Europe/SRB_Serbia/ESR_Southern_and_Eastern_Serbia_Stat_Region/SRB_ESR_Negotin.132950_TMYx.2009-2023.zip</v>
      </c>
    </row>
    <row r="10293" spans="1:10" x14ac:dyDescent="0.25">
      <c r="A10293" t="s">
        <v>7429</v>
      </c>
      <c r="B10293" t="s">
        <v>5769</v>
      </c>
      <c r="C10293" t="s">
        <v>7468</v>
      </c>
      <c r="D10293">
        <v>132950</v>
      </c>
      <c r="E10293" t="s">
        <v>14</v>
      </c>
      <c r="F10293">
        <v>44.2333</v>
      </c>
      <c r="G10293">
        <v>22.55</v>
      </c>
      <c r="H10293">
        <v>1</v>
      </c>
      <c r="I10293">
        <v>44</v>
      </c>
      <c r="J10293" t="str">
        <f>HYPERLINK("https://climate.onebuilding.org/WMO_Region_6_Europe/SRB_Serbia/ESR_Southern_and_Eastern_Serbia_Stat_Region/SRB_ESR_Negotin.132950_TMYx.zip")</f>
        <v>https://climate.onebuilding.org/WMO_Region_6_Europe/SRB_Serbia/ESR_Southern_and_Eastern_Serbia_Stat_Region/SRB_ESR_Negotin.132950_TMYx.zip</v>
      </c>
    </row>
    <row r="10294" spans="1:10" x14ac:dyDescent="0.25">
      <c r="A10294" t="s">
        <v>7429</v>
      </c>
      <c r="B10294" t="s">
        <v>7446</v>
      </c>
      <c r="C10294" t="s">
        <v>7470</v>
      </c>
      <c r="D10294">
        <v>133670</v>
      </c>
      <c r="E10294" t="s">
        <v>7471</v>
      </c>
      <c r="F10294">
        <v>43.7333</v>
      </c>
      <c r="G10294">
        <v>19.716699999999999</v>
      </c>
      <c r="H10294">
        <v>1</v>
      </c>
      <c r="I10294">
        <v>1029</v>
      </c>
      <c r="J10294" t="str">
        <f>HYPERLINK("https://climate.onebuilding.org/WMO_Region_6_Europe/SRB_Serbia/WSR_Sumadija_and_Western_Serbia_Stat_Region/SRB_WSR_Zlatibor.133670_TMYx.2004-2018.zip")</f>
        <v>https://climate.onebuilding.org/WMO_Region_6_Europe/SRB_Serbia/WSR_Sumadija_and_Western_Serbia_Stat_Region/SRB_WSR_Zlatibor.133670_TMYx.2004-2018.zip</v>
      </c>
    </row>
    <row r="10295" spans="1:10" x14ac:dyDescent="0.25">
      <c r="A10295" t="s">
        <v>7429</v>
      </c>
      <c r="B10295" t="s">
        <v>7446</v>
      </c>
      <c r="C10295" t="s">
        <v>7470</v>
      </c>
      <c r="D10295">
        <v>133670</v>
      </c>
      <c r="E10295" t="s">
        <v>14</v>
      </c>
      <c r="F10295">
        <v>43.7333</v>
      </c>
      <c r="G10295">
        <v>19.716699999999999</v>
      </c>
      <c r="H10295">
        <v>1</v>
      </c>
      <c r="I10295">
        <v>1029</v>
      </c>
      <c r="J10295" t="str">
        <f>HYPERLINK("https://climate.onebuilding.org/WMO_Region_6_Europe/SRB_Serbia/WSR_Sumadija_and_Western_Serbia_Stat_Region/SRB_WSR_Zlatibor.133670_TMYx.2007-2021.zip")</f>
        <v>https://climate.onebuilding.org/WMO_Region_6_Europe/SRB_Serbia/WSR_Sumadija_and_Western_Serbia_Stat_Region/SRB_WSR_Zlatibor.133670_TMYx.2007-2021.zip</v>
      </c>
    </row>
    <row r="10296" spans="1:10" x14ac:dyDescent="0.25">
      <c r="A10296" t="s">
        <v>7429</v>
      </c>
      <c r="B10296" t="s">
        <v>7446</v>
      </c>
      <c r="C10296" t="s">
        <v>7470</v>
      </c>
      <c r="D10296">
        <v>133670</v>
      </c>
      <c r="E10296" t="s">
        <v>14</v>
      </c>
      <c r="F10296">
        <v>43.7333</v>
      </c>
      <c r="G10296">
        <v>19.716699999999999</v>
      </c>
      <c r="H10296">
        <v>1</v>
      </c>
      <c r="I10296">
        <v>1029</v>
      </c>
      <c r="J10296" t="str">
        <f>HYPERLINK("https://climate.onebuilding.org/WMO_Region_6_Europe/SRB_Serbia/WSR_Sumadija_and_Western_Serbia_Stat_Region/SRB_WSR_Zlatibor.133670_TMYx.2009-2023.zip")</f>
        <v>https://climate.onebuilding.org/WMO_Region_6_Europe/SRB_Serbia/WSR_Sumadija_and_Western_Serbia_Stat_Region/SRB_WSR_Zlatibor.133670_TMYx.2009-2023.zip</v>
      </c>
    </row>
    <row r="10297" spans="1:10" x14ac:dyDescent="0.25">
      <c r="A10297" t="s">
        <v>7429</v>
      </c>
      <c r="B10297" t="s">
        <v>7446</v>
      </c>
      <c r="C10297" t="s">
        <v>7470</v>
      </c>
      <c r="D10297">
        <v>133670</v>
      </c>
      <c r="E10297" t="s">
        <v>14</v>
      </c>
      <c r="F10297">
        <v>43.7333</v>
      </c>
      <c r="G10297">
        <v>19.716699999999999</v>
      </c>
      <c r="H10297">
        <v>1</v>
      </c>
      <c r="I10297">
        <v>1029</v>
      </c>
      <c r="J10297" t="str">
        <f>HYPERLINK("https://climate.onebuilding.org/WMO_Region_6_Europe/SRB_Serbia/WSR_Sumadija_and_Western_Serbia_Stat_Region/SRB_WSR_Zlatibor.133670_TMYx.zip")</f>
        <v>https://climate.onebuilding.org/WMO_Region_6_Europe/SRB_Serbia/WSR_Sumadija_and_Western_Serbia_Stat_Region/SRB_WSR_Zlatibor.133670_TMYx.zip</v>
      </c>
    </row>
    <row r="10298" spans="1:10" x14ac:dyDescent="0.25">
      <c r="A10298" t="s">
        <v>7429</v>
      </c>
      <c r="B10298" t="s">
        <v>7446</v>
      </c>
      <c r="C10298" t="s">
        <v>7472</v>
      </c>
      <c r="D10298">
        <v>133690</v>
      </c>
      <c r="E10298" t="s">
        <v>7473</v>
      </c>
      <c r="F10298">
        <v>43.283299999999997</v>
      </c>
      <c r="G10298">
        <v>20</v>
      </c>
      <c r="H10298">
        <v>1</v>
      </c>
      <c r="I10298">
        <v>1039</v>
      </c>
      <c r="J10298" t="str">
        <f>HYPERLINK("https://climate.onebuilding.org/WMO_Region_6_Europe/SRB_Serbia/WSR_Sumadija_and_Western_Serbia_Stat_Region/SRB_WSR_Sjenica.133690_TMYx.2004-2018.zip")</f>
        <v>https://climate.onebuilding.org/WMO_Region_6_Europe/SRB_Serbia/WSR_Sumadija_and_Western_Serbia_Stat_Region/SRB_WSR_Sjenica.133690_TMYx.2004-2018.zip</v>
      </c>
    </row>
    <row r="10299" spans="1:10" x14ac:dyDescent="0.25">
      <c r="A10299" t="s">
        <v>7429</v>
      </c>
      <c r="B10299" t="s">
        <v>7446</v>
      </c>
      <c r="C10299" t="s">
        <v>7472</v>
      </c>
      <c r="D10299">
        <v>133690</v>
      </c>
      <c r="E10299" t="s">
        <v>14</v>
      </c>
      <c r="F10299">
        <v>43.283299999999997</v>
      </c>
      <c r="G10299">
        <v>20</v>
      </c>
      <c r="H10299">
        <v>1</v>
      </c>
      <c r="I10299">
        <v>1039</v>
      </c>
      <c r="J10299" t="str">
        <f>HYPERLINK("https://climate.onebuilding.org/WMO_Region_6_Europe/SRB_Serbia/WSR_Sumadija_and_Western_Serbia_Stat_Region/SRB_WSR_Sjenica.133690_TMYx.2007-2021.zip")</f>
        <v>https://climate.onebuilding.org/WMO_Region_6_Europe/SRB_Serbia/WSR_Sumadija_and_Western_Serbia_Stat_Region/SRB_WSR_Sjenica.133690_TMYx.2007-2021.zip</v>
      </c>
    </row>
    <row r="10300" spans="1:10" x14ac:dyDescent="0.25">
      <c r="A10300" t="s">
        <v>7429</v>
      </c>
      <c r="B10300" t="s">
        <v>7446</v>
      </c>
      <c r="C10300" t="s">
        <v>7472</v>
      </c>
      <c r="D10300">
        <v>133690</v>
      </c>
      <c r="E10300" t="s">
        <v>14</v>
      </c>
      <c r="F10300">
        <v>43.283299999999997</v>
      </c>
      <c r="G10300">
        <v>20</v>
      </c>
      <c r="H10300">
        <v>1</v>
      </c>
      <c r="I10300">
        <v>1039</v>
      </c>
      <c r="J10300" t="str">
        <f>HYPERLINK("https://climate.onebuilding.org/WMO_Region_6_Europe/SRB_Serbia/WSR_Sumadija_and_Western_Serbia_Stat_Region/SRB_WSR_Sjenica.133690_TMYx.2009-2023.zip")</f>
        <v>https://climate.onebuilding.org/WMO_Region_6_Europe/SRB_Serbia/WSR_Sumadija_and_Western_Serbia_Stat_Region/SRB_WSR_Sjenica.133690_TMYx.2009-2023.zip</v>
      </c>
    </row>
    <row r="10301" spans="1:10" x14ac:dyDescent="0.25">
      <c r="A10301" t="s">
        <v>7429</v>
      </c>
      <c r="B10301" t="s">
        <v>7446</v>
      </c>
      <c r="C10301" t="s">
        <v>7472</v>
      </c>
      <c r="D10301">
        <v>133690</v>
      </c>
      <c r="E10301" t="s">
        <v>14</v>
      </c>
      <c r="F10301">
        <v>43.283299999999997</v>
      </c>
      <c r="G10301">
        <v>20</v>
      </c>
      <c r="H10301">
        <v>1</v>
      </c>
      <c r="I10301">
        <v>1039</v>
      </c>
      <c r="J10301" t="str">
        <f>HYPERLINK("https://climate.onebuilding.org/WMO_Region_6_Europe/SRB_Serbia/WSR_Sumadija_and_Western_Serbia_Stat_Region/SRB_WSR_Sjenica.133690_TMYx.zip")</f>
        <v>https://climate.onebuilding.org/WMO_Region_6_Europe/SRB_Serbia/WSR_Sumadija_and_Western_Serbia_Stat_Region/SRB_WSR_Sjenica.133690_TMYx.zip</v>
      </c>
    </row>
    <row r="10302" spans="1:10" x14ac:dyDescent="0.25">
      <c r="A10302" t="s">
        <v>7429</v>
      </c>
      <c r="B10302" t="s">
        <v>7446</v>
      </c>
      <c r="C10302" t="s">
        <v>7474</v>
      </c>
      <c r="D10302">
        <v>133700</v>
      </c>
      <c r="E10302" t="s">
        <v>7475</v>
      </c>
      <c r="F10302">
        <v>43.833300000000001</v>
      </c>
      <c r="G10302">
        <v>20.033300000000001</v>
      </c>
      <c r="H10302">
        <v>1</v>
      </c>
      <c r="I10302">
        <v>312</v>
      </c>
      <c r="J10302" t="str">
        <f>HYPERLINK("https://climate.onebuilding.org/WMO_Region_6_Europe/SRB_Serbia/WSR_Sumadija_and_Western_Serbia_Stat_Region/SRB_WSR_Pozega-Uzicka.133700_TMYx.2004-2018.zip")</f>
        <v>https://climate.onebuilding.org/WMO_Region_6_Europe/SRB_Serbia/WSR_Sumadija_and_Western_Serbia_Stat_Region/SRB_WSR_Pozega-Uzicka.133700_TMYx.2004-2018.zip</v>
      </c>
    </row>
    <row r="10303" spans="1:10" x14ac:dyDescent="0.25">
      <c r="A10303" t="s">
        <v>7429</v>
      </c>
      <c r="B10303" t="s">
        <v>7446</v>
      </c>
      <c r="C10303" t="s">
        <v>7474</v>
      </c>
      <c r="D10303">
        <v>133700</v>
      </c>
      <c r="E10303" t="s">
        <v>14</v>
      </c>
      <c r="F10303">
        <v>43.833300000000001</v>
      </c>
      <c r="G10303">
        <v>20.033300000000001</v>
      </c>
      <c r="H10303">
        <v>1</v>
      </c>
      <c r="I10303">
        <v>312</v>
      </c>
      <c r="J10303" t="str">
        <f>HYPERLINK("https://climate.onebuilding.org/WMO_Region_6_Europe/SRB_Serbia/WSR_Sumadija_and_Western_Serbia_Stat_Region/SRB_WSR_Pozega-Uzicka.133700_TMYx.2007-2021.zip")</f>
        <v>https://climate.onebuilding.org/WMO_Region_6_Europe/SRB_Serbia/WSR_Sumadija_and_Western_Serbia_Stat_Region/SRB_WSR_Pozega-Uzicka.133700_TMYx.2007-2021.zip</v>
      </c>
    </row>
    <row r="10304" spans="1:10" x14ac:dyDescent="0.25">
      <c r="A10304" t="s">
        <v>7429</v>
      </c>
      <c r="B10304" t="s">
        <v>7446</v>
      </c>
      <c r="C10304" t="s">
        <v>7474</v>
      </c>
      <c r="D10304">
        <v>133700</v>
      </c>
      <c r="E10304" t="s">
        <v>14</v>
      </c>
      <c r="F10304">
        <v>43.833300000000001</v>
      </c>
      <c r="G10304">
        <v>20.033300000000001</v>
      </c>
      <c r="H10304">
        <v>1</v>
      </c>
      <c r="I10304">
        <v>312</v>
      </c>
      <c r="J10304" t="str">
        <f>HYPERLINK("https://climate.onebuilding.org/WMO_Region_6_Europe/SRB_Serbia/WSR_Sumadija_and_Western_Serbia_Stat_Region/SRB_WSR_Pozega-Uzicka.133700_TMYx.2009-2023.zip")</f>
        <v>https://climate.onebuilding.org/WMO_Region_6_Europe/SRB_Serbia/WSR_Sumadija_and_Western_Serbia_Stat_Region/SRB_WSR_Pozega-Uzicka.133700_TMYx.2009-2023.zip</v>
      </c>
    </row>
    <row r="10305" spans="1:10" x14ac:dyDescent="0.25">
      <c r="A10305" t="s">
        <v>7429</v>
      </c>
      <c r="B10305" t="s">
        <v>7446</v>
      </c>
      <c r="C10305" t="s">
        <v>7474</v>
      </c>
      <c r="D10305">
        <v>133700</v>
      </c>
      <c r="E10305" t="s">
        <v>14</v>
      </c>
      <c r="F10305">
        <v>43.833300000000001</v>
      </c>
      <c r="G10305">
        <v>20.033300000000001</v>
      </c>
      <c r="H10305">
        <v>1</v>
      </c>
      <c r="I10305">
        <v>312</v>
      </c>
      <c r="J10305" t="str">
        <f>HYPERLINK("https://climate.onebuilding.org/WMO_Region_6_Europe/SRB_Serbia/WSR_Sumadija_and_Western_Serbia_Stat_Region/SRB_WSR_Pozega-Uzicka.133700_TMYx.zip")</f>
        <v>https://climate.onebuilding.org/WMO_Region_6_Europe/SRB_Serbia/WSR_Sumadija_and_Western_Serbia_Stat_Region/SRB_WSR_Pozega-Uzicka.133700_TMYx.zip</v>
      </c>
    </row>
    <row r="10306" spans="1:10" x14ac:dyDescent="0.25">
      <c r="A10306" t="s">
        <v>7429</v>
      </c>
      <c r="B10306" t="s">
        <v>7446</v>
      </c>
      <c r="C10306" t="s">
        <v>7476</v>
      </c>
      <c r="D10306">
        <v>133760</v>
      </c>
      <c r="E10306" t="s">
        <v>7477</v>
      </c>
      <c r="F10306">
        <v>43.7</v>
      </c>
      <c r="G10306">
        <v>20.7</v>
      </c>
      <c r="H10306">
        <v>1</v>
      </c>
      <c r="I10306">
        <v>217</v>
      </c>
      <c r="J10306" t="str">
        <f>HYPERLINK("https://climate.onebuilding.org/WMO_Region_6_Europe/SRB_Serbia/WSR_Sumadija_and_Western_Serbia_Stat_Region/SRB_WSR_Kraljevo.133760_TMYx.2004-2018.zip")</f>
        <v>https://climate.onebuilding.org/WMO_Region_6_Europe/SRB_Serbia/WSR_Sumadija_and_Western_Serbia_Stat_Region/SRB_WSR_Kraljevo.133760_TMYx.2004-2018.zip</v>
      </c>
    </row>
    <row r="10307" spans="1:10" x14ac:dyDescent="0.25">
      <c r="A10307" t="s">
        <v>7429</v>
      </c>
      <c r="B10307" t="s">
        <v>7446</v>
      </c>
      <c r="C10307" t="s">
        <v>7476</v>
      </c>
      <c r="D10307">
        <v>133760</v>
      </c>
      <c r="E10307" t="s">
        <v>14</v>
      </c>
      <c r="F10307">
        <v>43.7</v>
      </c>
      <c r="G10307">
        <v>20.7</v>
      </c>
      <c r="H10307">
        <v>1</v>
      </c>
      <c r="I10307">
        <v>217</v>
      </c>
      <c r="J10307" t="str">
        <f>HYPERLINK("https://climate.onebuilding.org/WMO_Region_6_Europe/SRB_Serbia/WSR_Sumadija_and_Western_Serbia_Stat_Region/SRB_WSR_Kraljevo.133760_TMYx.2007-2021.zip")</f>
        <v>https://climate.onebuilding.org/WMO_Region_6_Europe/SRB_Serbia/WSR_Sumadija_and_Western_Serbia_Stat_Region/SRB_WSR_Kraljevo.133760_TMYx.2007-2021.zip</v>
      </c>
    </row>
    <row r="10308" spans="1:10" x14ac:dyDescent="0.25">
      <c r="A10308" t="s">
        <v>7429</v>
      </c>
      <c r="B10308" t="s">
        <v>7446</v>
      </c>
      <c r="C10308" t="s">
        <v>7476</v>
      </c>
      <c r="D10308">
        <v>133760</v>
      </c>
      <c r="E10308" t="s">
        <v>14</v>
      </c>
      <c r="F10308">
        <v>43.7</v>
      </c>
      <c r="G10308">
        <v>20.7</v>
      </c>
      <c r="H10308">
        <v>1</v>
      </c>
      <c r="I10308">
        <v>217</v>
      </c>
      <c r="J10308" t="str">
        <f>HYPERLINK("https://climate.onebuilding.org/WMO_Region_6_Europe/SRB_Serbia/WSR_Sumadija_and_Western_Serbia_Stat_Region/SRB_WSR_Kraljevo.133760_TMYx.2009-2023.zip")</f>
        <v>https://climate.onebuilding.org/WMO_Region_6_Europe/SRB_Serbia/WSR_Sumadija_and_Western_Serbia_Stat_Region/SRB_WSR_Kraljevo.133760_TMYx.2009-2023.zip</v>
      </c>
    </row>
    <row r="10309" spans="1:10" x14ac:dyDescent="0.25">
      <c r="A10309" t="s">
        <v>7429</v>
      </c>
      <c r="B10309" t="s">
        <v>7446</v>
      </c>
      <c r="C10309" t="s">
        <v>7476</v>
      </c>
      <c r="D10309">
        <v>133760</v>
      </c>
      <c r="E10309" t="s">
        <v>14</v>
      </c>
      <c r="F10309">
        <v>43.7</v>
      </c>
      <c r="G10309">
        <v>20.7</v>
      </c>
      <c r="H10309">
        <v>1</v>
      </c>
      <c r="I10309">
        <v>217</v>
      </c>
      <c r="J10309" t="str">
        <f>HYPERLINK("https://climate.onebuilding.org/WMO_Region_6_Europe/SRB_Serbia/WSR_Sumadija_and_Western_Serbia_Stat_Region/SRB_WSR_Kraljevo.133760_TMYx.zip")</f>
        <v>https://climate.onebuilding.org/WMO_Region_6_Europe/SRB_Serbia/WSR_Sumadija_and_Western_Serbia_Stat_Region/SRB_WSR_Kraljevo.133760_TMYx.zip</v>
      </c>
    </row>
    <row r="10310" spans="1:10" x14ac:dyDescent="0.25">
      <c r="A10310" t="s">
        <v>7429</v>
      </c>
      <c r="B10310" t="s">
        <v>7446</v>
      </c>
      <c r="C10310" t="s">
        <v>7478</v>
      </c>
      <c r="D10310">
        <v>133766</v>
      </c>
      <c r="E10310" t="s">
        <v>7479</v>
      </c>
      <c r="F10310">
        <v>43.9</v>
      </c>
      <c r="G10310">
        <v>19.7</v>
      </c>
      <c r="H10310">
        <v>1</v>
      </c>
      <c r="I10310">
        <v>904</v>
      </c>
      <c r="J10310" t="str">
        <f>HYPERLINK("https://climate.onebuilding.org/WMO_Region_6_Europe/SRB_Serbia/WSR_Sumadija_and_Western_Serbia_Stat_Region/SRB_WSR_Uzice.Ponikve.AP.133766_TMYx.2004-2018.zip")</f>
        <v>https://climate.onebuilding.org/WMO_Region_6_Europe/SRB_Serbia/WSR_Sumadija_and_Western_Serbia_Stat_Region/SRB_WSR_Uzice.Ponikve.AP.133766_TMYx.2004-2018.zip</v>
      </c>
    </row>
    <row r="10311" spans="1:10" x14ac:dyDescent="0.25">
      <c r="A10311" t="s">
        <v>7429</v>
      </c>
      <c r="B10311" t="s">
        <v>7446</v>
      </c>
      <c r="C10311" t="s">
        <v>7478</v>
      </c>
      <c r="D10311">
        <v>133766</v>
      </c>
      <c r="E10311" t="s">
        <v>14</v>
      </c>
      <c r="F10311">
        <v>43.9</v>
      </c>
      <c r="G10311">
        <v>19.7</v>
      </c>
      <c r="H10311">
        <v>1</v>
      </c>
      <c r="I10311">
        <v>904</v>
      </c>
      <c r="J10311" t="str">
        <f>HYPERLINK("https://climate.onebuilding.org/WMO_Region_6_Europe/SRB_Serbia/WSR_Sumadija_and_Western_Serbia_Stat_Region/SRB_WSR_Uzice.Ponikve.AP.133766_TMYx.2007-2021.zip")</f>
        <v>https://climate.onebuilding.org/WMO_Region_6_Europe/SRB_Serbia/WSR_Sumadija_and_Western_Serbia_Stat_Region/SRB_WSR_Uzice.Ponikve.AP.133766_TMYx.2007-2021.zip</v>
      </c>
    </row>
    <row r="10312" spans="1:10" x14ac:dyDescent="0.25">
      <c r="A10312" t="s">
        <v>7429</v>
      </c>
      <c r="B10312" t="s">
        <v>7446</v>
      </c>
      <c r="C10312" t="s">
        <v>7478</v>
      </c>
      <c r="D10312">
        <v>133766</v>
      </c>
      <c r="E10312" t="s">
        <v>14</v>
      </c>
      <c r="F10312">
        <v>43.9</v>
      </c>
      <c r="G10312">
        <v>19.7</v>
      </c>
      <c r="H10312">
        <v>1</v>
      </c>
      <c r="I10312">
        <v>904</v>
      </c>
      <c r="J10312" t="str">
        <f>HYPERLINK("https://climate.onebuilding.org/WMO_Region_6_Europe/SRB_Serbia/WSR_Sumadija_and_Western_Serbia_Stat_Region/SRB_WSR_Uzice.Ponikve.AP.133766_TMYx.2009-2023.zip")</f>
        <v>https://climate.onebuilding.org/WMO_Region_6_Europe/SRB_Serbia/WSR_Sumadija_and_Western_Serbia_Stat_Region/SRB_WSR_Uzice.Ponikve.AP.133766_TMYx.2009-2023.zip</v>
      </c>
    </row>
    <row r="10313" spans="1:10" x14ac:dyDescent="0.25">
      <c r="A10313" t="s">
        <v>7429</v>
      </c>
      <c r="B10313" t="s">
        <v>7446</v>
      </c>
      <c r="C10313" t="s">
        <v>7478</v>
      </c>
      <c r="D10313">
        <v>133766</v>
      </c>
      <c r="E10313" t="s">
        <v>14</v>
      </c>
      <c r="F10313">
        <v>43.9</v>
      </c>
      <c r="G10313">
        <v>19.7</v>
      </c>
      <c r="H10313">
        <v>1</v>
      </c>
      <c r="I10313">
        <v>904</v>
      </c>
      <c r="J10313" t="str">
        <f>HYPERLINK("https://climate.onebuilding.org/WMO_Region_6_Europe/SRB_Serbia/WSR_Sumadija_and_Western_Serbia_Stat_Region/SRB_WSR_Uzice.Ponikve.AP.133766_TMYx.zip")</f>
        <v>https://climate.onebuilding.org/WMO_Region_6_Europe/SRB_Serbia/WSR_Sumadija_and_Western_Serbia_Stat_Region/SRB_WSR_Uzice.Ponikve.AP.133766_TMYx.zip</v>
      </c>
    </row>
    <row r="10314" spans="1:10" x14ac:dyDescent="0.25">
      <c r="A10314" t="s">
        <v>7429</v>
      </c>
      <c r="B10314" t="s">
        <v>7446</v>
      </c>
      <c r="C10314" t="s">
        <v>7480</v>
      </c>
      <c r="D10314">
        <v>133780</v>
      </c>
      <c r="E10314" t="s">
        <v>7481</v>
      </c>
      <c r="F10314">
        <v>43.283299999999997</v>
      </c>
      <c r="G10314">
        <v>20.8</v>
      </c>
      <c r="H10314">
        <v>1</v>
      </c>
      <c r="I10314">
        <v>1713</v>
      </c>
      <c r="J10314" t="str">
        <f>HYPERLINK("https://climate.onebuilding.org/WMO_Region_6_Europe/SRB_Serbia/WSR_Sumadija_and_Western_Serbia_Stat_Region/SRB_WSR_Kopaonik.Mtn.Resort.133780_TMYx.2004-2018.zip")</f>
        <v>https://climate.onebuilding.org/WMO_Region_6_Europe/SRB_Serbia/WSR_Sumadija_and_Western_Serbia_Stat_Region/SRB_WSR_Kopaonik.Mtn.Resort.133780_TMYx.2004-2018.zip</v>
      </c>
    </row>
    <row r="10315" spans="1:10" x14ac:dyDescent="0.25">
      <c r="A10315" t="s">
        <v>7429</v>
      </c>
      <c r="B10315" t="s">
        <v>7446</v>
      </c>
      <c r="C10315" t="s">
        <v>7480</v>
      </c>
      <c r="D10315">
        <v>133780</v>
      </c>
      <c r="E10315" t="s">
        <v>14</v>
      </c>
      <c r="F10315">
        <v>43.283299999999997</v>
      </c>
      <c r="G10315">
        <v>20.8</v>
      </c>
      <c r="H10315">
        <v>1</v>
      </c>
      <c r="I10315">
        <v>1713</v>
      </c>
      <c r="J10315" t="str">
        <f>HYPERLINK("https://climate.onebuilding.org/WMO_Region_6_Europe/SRB_Serbia/WSR_Sumadija_and_Western_Serbia_Stat_Region/SRB_WSR_Kopaonik.Mtn.Resort.133780_TMYx.2007-2021.zip")</f>
        <v>https://climate.onebuilding.org/WMO_Region_6_Europe/SRB_Serbia/WSR_Sumadija_and_Western_Serbia_Stat_Region/SRB_WSR_Kopaonik.Mtn.Resort.133780_TMYx.2007-2021.zip</v>
      </c>
    </row>
    <row r="10316" spans="1:10" x14ac:dyDescent="0.25">
      <c r="A10316" t="s">
        <v>7429</v>
      </c>
      <c r="B10316" t="s">
        <v>7446</v>
      </c>
      <c r="C10316" t="s">
        <v>7480</v>
      </c>
      <c r="D10316">
        <v>133780</v>
      </c>
      <c r="E10316" t="s">
        <v>14</v>
      </c>
      <c r="F10316">
        <v>43.283299999999997</v>
      </c>
      <c r="G10316">
        <v>20.8</v>
      </c>
      <c r="H10316">
        <v>1</v>
      </c>
      <c r="I10316">
        <v>1713</v>
      </c>
      <c r="J10316" t="str">
        <f>HYPERLINK("https://climate.onebuilding.org/WMO_Region_6_Europe/SRB_Serbia/WSR_Sumadija_and_Western_Serbia_Stat_Region/SRB_WSR_Kopaonik.Mtn.Resort.133780_TMYx.2009-2023.zip")</f>
        <v>https://climate.onebuilding.org/WMO_Region_6_Europe/SRB_Serbia/WSR_Sumadija_and_Western_Serbia_Stat_Region/SRB_WSR_Kopaonik.Mtn.Resort.133780_TMYx.2009-2023.zip</v>
      </c>
    </row>
    <row r="10317" spans="1:10" x14ac:dyDescent="0.25">
      <c r="A10317" t="s">
        <v>7429</v>
      </c>
      <c r="B10317" t="s">
        <v>7446</v>
      </c>
      <c r="C10317" t="s">
        <v>7480</v>
      </c>
      <c r="D10317">
        <v>133780</v>
      </c>
      <c r="E10317" t="s">
        <v>14</v>
      </c>
      <c r="F10317">
        <v>43.283299999999997</v>
      </c>
      <c r="G10317">
        <v>20.8</v>
      </c>
      <c r="H10317">
        <v>1</v>
      </c>
      <c r="I10317">
        <v>1713</v>
      </c>
      <c r="J10317" t="str">
        <f>HYPERLINK("https://climate.onebuilding.org/WMO_Region_6_Europe/SRB_Serbia/WSR_Sumadija_and_Western_Serbia_Stat_Region/SRB_WSR_Kopaonik.Mtn.Resort.133780_TMYx.zip")</f>
        <v>https://climate.onebuilding.org/WMO_Region_6_Europe/SRB_Serbia/WSR_Sumadija_and_Western_Serbia_Stat_Region/SRB_WSR_Kopaonik.Mtn.Resort.133780_TMYx.zip</v>
      </c>
    </row>
    <row r="10318" spans="1:10" x14ac:dyDescent="0.25">
      <c r="A10318" t="s">
        <v>7429</v>
      </c>
      <c r="B10318" t="s">
        <v>5769</v>
      </c>
      <c r="C10318" t="s">
        <v>7482</v>
      </c>
      <c r="D10318">
        <v>133820</v>
      </c>
      <c r="E10318" t="s">
        <v>14</v>
      </c>
      <c r="F10318">
        <v>43.133000000000003</v>
      </c>
      <c r="G10318">
        <v>21.266999999999999</v>
      </c>
      <c r="H10318">
        <v>1</v>
      </c>
      <c r="I10318">
        <v>383</v>
      </c>
      <c r="J10318" t="str">
        <f>HYPERLINK("https://climate.onebuilding.org/WMO_Region_6_Europe/SRB_Serbia/ESR_Southern_and_Eastern_Serbia_Stat_Region/SRB_ESR_Kursumlija.133820_TMYx.zip")</f>
        <v>https://climate.onebuilding.org/WMO_Region_6_Europe/SRB_Serbia/ESR_Southern_and_Eastern_Serbia_Stat_Region/SRB_ESR_Kursumlija.133820_TMYx.zip</v>
      </c>
    </row>
    <row r="10319" spans="1:10" x14ac:dyDescent="0.25">
      <c r="A10319" t="s">
        <v>7429</v>
      </c>
      <c r="B10319" t="s">
        <v>7446</v>
      </c>
      <c r="C10319" t="s">
        <v>7483</v>
      </c>
      <c r="D10319">
        <v>133830</v>
      </c>
      <c r="E10319" t="s">
        <v>7484</v>
      </c>
      <c r="F10319">
        <v>43.566699999999997</v>
      </c>
      <c r="G10319">
        <v>21.35</v>
      </c>
      <c r="H10319">
        <v>1</v>
      </c>
      <c r="I10319">
        <v>167</v>
      </c>
      <c r="J10319" t="str">
        <f>HYPERLINK("https://climate.onebuilding.org/WMO_Region_6_Europe/SRB_Serbia/WSR_Sumadija_and_Western_Serbia_Stat_Region/SRB_WSR_Krusevac.133830_TMYx.2004-2018.zip")</f>
        <v>https://climate.onebuilding.org/WMO_Region_6_Europe/SRB_Serbia/WSR_Sumadija_and_Western_Serbia_Stat_Region/SRB_WSR_Krusevac.133830_TMYx.2004-2018.zip</v>
      </c>
    </row>
    <row r="10320" spans="1:10" x14ac:dyDescent="0.25">
      <c r="A10320" t="s">
        <v>7429</v>
      </c>
      <c r="B10320" t="s">
        <v>7446</v>
      </c>
      <c r="C10320" t="s">
        <v>7483</v>
      </c>
      <c r="D10320">
        <v>133830</v>
      </c>
      <c r="E10320" t="s">
        <v>14</v>
      </c>
      <c r="F10320">
        <v>43.564100000000003</v>
      </c>
      <c r="G10320">
        <v>21.34</v>
      </c>
      <c r="H10320">
        <v>1</v>
      </c>
      <c r="I10320">
        <v>167</v>
      </c>
      <c r="J10320" t="str">
        <f>HYPERLINK("https://climate.onebuilding.org/WMO_Region_6_Europe/SRB_Serbia/WSR_Sumadija_and_Western_Serbia_Stat_Region/SRB_WSR_Krusevac.133830_TMYx.2007-2021.zip")</f>
        <v>https://climate.onebuilding.org/WMO_Region_6_Europe/SRB_Serbia/WSR_Sumadija_and_Western_Serbia_Stat_Region/SRB_WSR_Krusevac.133830_TMYx.2007-2021.zip</v>
      </c>
    </row>
    <row r="10321" spans="1:10" x14ac:dyDescent="0.25">
      <c r="A10321" t="s">
        <v>7429</v>
      </c>
      <c r="B10321" t="s">
        <v>7446</v>
      </c>
      <c r="C10321" t="s">
        <v>7483</v>
      </c>
      <c r="D10321">
        <v>133830</v>
      </c>
      <c r="E10321" t="s">
        <v>14</v>
      </c>
      <c r="F10321">
        <v>43.564100000000003</v>
      </c>
      <c r="G10321">
        <v>21.34</v>
      </c>
      <c r="H10321">
        <v>1</v>
      </c>
      <c r="I10321">
        <v>167</v>
      </c>
      <c r="J10321" t="str">
        <f>HYPERLINK("https://climate.onebuilding.org/WMO_Region_6_Europe/SRB_Serbia/WSR_Sumadija_and_Western_Serbia_Stat_Region/SRB_WSR_Krusevac.133830_TMYx.2009-2023.zip")</f>
        <v>https://climate.onebuilding.org/WMO_Region_6_Europe/SRB_Serbia/WSR_Sumadija_and_Western_Serbia_Stat_Region/SRB_WSR_Krusevac.133830_TMYx.2009-2023.zip</v>
      </c>
    </row>
    <row r="10322" spans="1:10" x14ac:dyDescent="0.25">
      <c r="A10322" t="s">
        <v>7429</v>
      </c>
      <c r="B10322" t="s">
        <v>7446</v>
      </c>
      <c r="C10322" t="s">
        <v>7483</v>
      </c>
      <c r="D10322">
        <v>133830</v>
      </c>
      <c r="E10322" t="s">
        <v>14</v>
      </c>
      <c r="F10322">
        <v>43.564100000000003</v>
      </c>
      <c r="G10322">
        <v>21.34</v>
      </c>
      <c r="H10322">
        <v>1</v>
      </c>
      <c r="I10322">
        <v>167</v>
      </c>
      <c r="J10322" t="str">
        <f>HYPERLINK("https://climate.onebuilding.org/WMO_Region_6_Europe/SRB_Serbia/WSR_Sumadija_and_Western_Serbia_Stat_Region/SRB_WSR_Krusevac.133830_TMYx.zip")</f>
        <v>https://climate.onebuilding.org/WMO_Region_6_Europe/SRB_Serbia/WSR_Sumadija_and_Western_Serbia_Stat_Region/SRB_WSR_Krusevac.133830_TMYx.zip</v>
      </c>
    </row>
    <row r="10323" spans="1:10" x14ac:dyDescent="0.25">
      <c r="A10323" t="s">
        <v>7429</v>
      </c>
      <c r="B10323" t="s">
        <v>5769</v>
      </c>
      <c r="C10323" t="s">
        <v>7485</v>
      </c>
      <c r="D10323">
        <v>133840</v>
      </c>
      <c r="E10323" t="s">
        <v>7486</v>
      </c>
      <c r="F10323">
        <v>43.933300000000003</v>
      </c>
      <c r="G10323">
        <v>21.383299999999998</v>
      </c>
      <c r="H10323">
        <v>1</v>
      </c>
      <c r="I10323">
        <v>125</v>
      </c>
      <c r="J10323" t="str">
        <f>HYPERLINK("https://climate.onebuilding.org/WMO_Region_6_Europe/SRB_Serbia/ESR_Southern_and_Eastern_Serbia_Stat_Region/SRB_ESR_Cuprija.133840_TMYx.2004-2018.zip")</f>
        <v>https://climate.onebuilding.org/WMO_Region_6_Europe/SRB_Serbia/ESR_Southern_and_Eastern_Serbia_Stat_Region/SRB_ESR_Cuprija.133840_TMYx.2004-2018.zip</v>
      </c>
    </row>
    <row r="10324" spans="1:10" x14ac:dyDescent="0.25">
      <c r="A10324" t="s">
        <v>7429</v>
      </c>
      <c r="B10324" t="s">
        <v>5769</v>
      </c>
      <c r="C10324" t="s">
        <v>7485</v>
      </c>
      <c r="D10324">
        <v>133840</v>
      </c>
      <c r="E10324" t="s">
        <v>14</v>
      </c>
      <c r="F10324">
        <v>43.933300000000003</v>
      </c>
      <c r="G10324">
        <v>21.383299999999998</v>
      </c>
      <c r="H10324">
        <v>1</v>
      </c>
      <c r="I10324">
        <v>125</v>
      </c>
      <c r="J10324" t="str">
        <f>HYPERLINK("https://climate.onebuilding.org/WMO_Region_6_Europe/SRB_Serbia/ESR_Southern_and_Eastern_Serbia_Stat_Region/SRB_ESR_Cuprija.133840_TMYx.2007-2021.zip")</f>
        <v>https://climate.onebuilding.org/WMO_Region_6_Europe/SRB_Serbia/ESR_Southern_and_Eastern_Serbia_Stat_Region/SRB_ESR_Cuprija.133840_TMYx.2007-2021.zip</v>
      </c>
    </row>
    <row r="10325" spans="1:10" x14ac:dyDescent="0.25">
      <c r="A10325" t="s">
        <v>7429</v>
      </c>
      <c r="B10325" t="s">
        <v>5769</v>
      </c>
      <c r="C10325" t="s">
        <v>7485</v>
      </c>
      <c r="D10325">
        <v>133840</v>
      </c>
      <c r="E10325" t="s">
        <v>14</v>
      </c>
      <c r="F10325">
        <v>43.933300000000003</v>
      </c>
      <c r="G10325">
        <v>21.383299999999998</v>
      </c>
      <c r="H10325">
        <v>1</v>
      </c>
      <c r="I10325">
        <v>125</v>
      </c>
      <c r="J10325" t="str">
        <f>HYPERLINK("https://climate.onebuilding.org/WMO_Region_6_Europe/SRB_Serbia/ESR_Southern_and_Eastern_Serbia_Stat_Region/SRB_ESR_Cuprija.133840_TMYx.2009-2023.zip")</f>
        <v>https://climate.onebuilding.org/WMO_Region_6_Europe/SRB_Serbia/ESR_Southern_and_Eastern_Serbia_Stat_Region/SRB_ESR_Cuprija.133840_TMYx.2009-2023.zip</v>
      </c>
    </row>
    <row r="10326" spans="1:10" x14ac:dyDescent="0.25">
      <c r="A10326" t="s">
        <v>7429</v>
      </c>
      <c r="B10326" t="s">
        <v>5769</v>
      </c>
      <c r="C10326" t="s">
        <v>7485</v>
      </c>
      <c r="D10326">
        <v>133840</v>
      </c>
      <c r="E10326" t="s">
        <v>14</v>
      </c>
      <c r="F10326">
        <v>43.933300000000003</v>
      </c>
      <c r="G10326">
        <v>21.383299999999998</v>
      </c>
      <c r="H10326">
        <v>1</v>
      </c>
      <c r="I10326">
        <v>125</v>
      </c>
      <c r="J10326" t="str">
        <f>HYPERLINK("https://climate.onebuilding.org/WMO_Region_6_Europe/SRB_Serbia/ESR_Southern_and_Eastern_Serbia_Stat_Region/SRB_ESR_Cuprija.133840_TMYx.zip")</f>
        <v>https://climate.onebuilding.org/WMO_Region_6_Europe/SRB_Serbia/ESR_Southern_and_Eastern_Serbia_Stat_Region/SRB_ESR_Cuprija.133840_TMYx.zip</v>
      </c>
    </row>
    <row r="10327" spans="1:10" x14ac:dyDescent="0.25">
      <c r="A10327" t="s">
        <v>7429</v>
      </c>
      <c r="B10327" t="s">
        <v>5769</v>
      </c>
      <c r="C10327" t="s">
        <v>7487</v>
      </c>
      <c r="D10327">
        <v>133880</v>
      </c>
      <c r="E10327" t="s">
        <v>7488</v>
      </c>
      <c r="F10327">
        <v>43.337000000000003</v>
      </c>
      <c r="G10327">
        <v>21.853999999999999</v>
      </c>
      <c r="H10327">
        <v>1</v>
      </c>
      <c r="I10327">
        <v>197.5</v>
      </c>
      <c r="J10327" t="str">
        <f>HYPERLINK("https://climate.onebuilding.org/WMO_Region_6_Europe/SRB_Serbia/ESR_Southern_and_Eastern_Serbia_Stat_Region/SRB_ESR_Nis-Constantine.AP.133880_TMYx.2004-2018.zip")</f>
        <v>https://climate.onebuilding.org/WMO_Region_6_Europe/SRB_Serbia/ESR_Southern_and_Eastern_Serbia_Stat_Region/SRB_ESR_Nis-Constantine.AP.133880_TMYx.2004-2018.zip</v>
      </c>
    </row>
    <row r="10328" spans="1:10" x14ac:dyDescent="0.25">
      <c r="A10328" t="s">
        <v>7429</v>
      </c>
      <c r="B10328" t="s">
        <v>5769</v>
      </c>
      <c r="C10328" t="s">
        <v>7487</v>
      </c>
      <c r="D10328">
        <v>133880</v>
      </c>
      <c r="E10328" t="s">
        <v>14</v>
      </c>
      <c r="F10328">
        <v>43.337000000000003</v>
      </c>
      <c r="G10328">
        <v>21.853999999999999</v>
      </c>
      <c r="H10328">
        <v>1</v>
      </c>
      <c r="I10328">
        <v>197.5</v>
      </c>
      <c r="J10328" t="str">
        <f>HYPERLINK("https://climate.onebuilding.org/WMO_Region_6_Europe/SRB_Serbia/ESR_Southern_and_Eastern_Serbia_Stat_Region/SRB_ESR_Nis-Constantine.AP.133880_TMYx.2007-2021.zip")</f>
        <v>https://climate.onebuilding.org/WMO_Region_6_Europe/SRB_Serbia/ESR_Southern_and_Eastern_Serbia_Stat_Region/SRB_ESR_Nis-Constantine.AP.133880_TMYx.2007-2021.zip</v>
      </c>
    </row>
    <row r="10329" spans="1:10" x14ac:dyDescent="0.25">
      <c r="A10329" t="s">
        <v>7429</v>
      </c>
      <c r="B10329" t="s">
        <v>5769</v>
      </c>
      <c r="C10329" t="s">
        <v>7487</v>
      </c>
      <c r="D10329">
        <v>133880</v>
      </c>
      <c r="E10329" t="s">
        <v>14</v>
      </c>
      <c r="F10329">
        <v>43.337000000000003</v>
      </c>
      <c r="G10329">
        <v>21.853999999999999</v>
      </c>
      <c r="H10329">
        <v>1</v>
      </c>
      <c r="I10329">
        <v>197.5</v>
      </c>
      <c r="J10329" t="str">
        <f>HYPERLINK("https://climate.onebuilding.org/WMO_Region_6_Europe/SRB_Serbia/ESR_Southern_and_Eastern_Serbia_Stat_Region/SRB_ESR_Nis-Constantine.AP.133880_TMYx.2009-2023.zip")</f>
        <v>https://climate.onebuilding.org/WMO_Region_6_Europe/SRB_Serbia/ESR_Southern_and_Eastern_Serbia_Stat_Region/SRB_ESR_Nis-Constantine.AP.133880_TMYx.2009-2023.zip</v>
      </c>
    </row>
    <row r="10330" spans="1:10" x14ac:dyDescent="0.25">
      <c r="A10330" t="s">
        <v>7429</v>
      </c>
      <c r="B10330" t="s">
        <v>5769</v>
      </c>
      <c r="C10330" t="s">
        <v>7487</v>
      </c>
      <c r="D10330">
        <v>133880</v>
      </c>
      <c r="E10330" t="s">
        <v>14</v>
      </c>
      <c r="F10330">
        <v>43.337000000000003</v>
      </c>
      <c r="G10330">
        <v>21.853999999999999</v>
      </c>
      <c r="H10330">
        <v>1</v>
      </c>
      <c r="I10330">
        <v>197.5</v>
      </c>
      <c r="J10330" t="str">
        <f>HYPERLINK("https://climate.onebuilding.org/WMO_Region_6_Europe/SRB_Serbia/ESR_Southern_and_Eastern_Serbia_Stat_Region/SRB_ESR_Nis-Constantine.AP.133880_TMYx.zip")</f>
        <v>https://climate.onebuilding.org/WMO_Region_6_Europe/SRB_Serbia/ESR_Southern_and_Eastern_Serbia_Stat_Region/SRB_ESR_Nis-Constantine.AP.133880_TMYx.zip</v>
      </c>
    </row>
    <row r="10331" spans="1:10" x14ac:dyDescent="0.25">
      <c r="A10331" t="s">
        <v>7429</v>
      </c>
      <c r="B10331" t="s">
        <v>5769</v>
      </c>
      <c r="C10331" t="s">
        <v>7489</v>
      </c>
      <c r="D10331">
        <v>133890</v>
      </c>
      <c r="E10331" t="s">
        <v>7490</v>
      </c>
      <c r="F10331">
        <v>42.9833</v>
      </c>
      <c r="G10331">
        <v>21.95</v>
      </c>
      <c r="H10331">
        <v>1</v>
      </c>
      <c r="I10331">
        <v>232</v>
      </c>
      <c r="J10331" t="str">
        <f>HYPERLINK("https://climate.onebuilding.org/WMO_Region_6_Europe/SRB_Serbia/ESR_Southern_and_Eastern_Serbia_Stat_Region/SRB_ESR_Leskovac.133890_TMYx.2004-2018.zip")</f>
        <v>https://climate.onebuilding.org/WMO_Region_6_Europe/SRB_Serbia/ESR_Southern_and_Eastern_Serbia_Stat_Region/SRB_ESR_Leskovac.133890_TMYx.2004-2018.zip</v>
      </c>
    </row>
    <row r="10332" spans="1:10" x14ac:dyDescent="0.25">
      <c r="A10332" t="s">
        <v>7429</v>
      </c>
      <c r="B10332" t="s">
        <v>5769</v>
      </c>
      <c r="C10332" t="s">
        <v>7489</v>
      </c>
      <c r="D10332">
        <v>133890</v>
      </c>
      <c r="E10332" t="s">
        <v>14</v>
      </c>
      <c r="F10332">
        <v>42.9833</v>
      </c>
      <c r="G10332">
        <v>21.95</v>
      </c>
      <c r="H10332">
        <v>1</v>
      </c>
      <c r="I10332">
        <v>232</v>
      </c>
      <c r="J10332" t="str">
        <f>HYPERLINK("https://climate.onebuilding.org/WMO_Region_6_Europe/SRB_Serbia/ESR_Southern_and_Eastern_Serbia_Stat_Region/SRB_ESR_Leskovac.133890_TMYx.2007-2021.zip")</f>
        <v>https://climate.onebuilding.org/WMO_Region_6_Europe/SRB_Serbia/ESR_Southern_and_Eastern_Serbia_Stat_Region/SRB_ESR_Leskovac.133890_TMYx.2007-2021.zip</v>
      </c>
    </row>
    <row r="10333" spans="1:10" x14ac:dyDescent="0.25">
      <c r="A10333" t="s">
        <v>7429</v>
      </c>
      <c r="B10333" t="s">
        <v>5769</v>
      </c>
      <c r="C10333" t="s">
        <v>7489</v>
      </c>
      <c r="D10333">
        <v>133890</v>
      </c>
      <c r="E10333" t="s">
        <v>14</v>
      </c>
      <c r="F10333">
        <v>42.9833</v>
      </c>
      <c r="G10333">
        <v>21.95</v>
      </c>
      <c r="H10333">
        <v>1</v>
      </c>
      <c r="I10333">
        <v>232</v>
      </c>
      <c r="J10333" t="str">
        <f>HYPERLINK("https://climate.onebuilding.org/WMO_Region_6_Europe/SRB_Serbia/ESR_Southern_and_Eastern_Serbia_Stat_Region/SRB_ESR_Leskovac.133890_TMYx.2009-2023.zip")</f>
        <v>https://climate.onebuilding.org/WMO_Region_6_Europe/SRB_Serbia/ESR_Southern_and_Eastern_Serbia_Stat_Region/SRB_ESR_Leskovac.133890_TMYx.2009-2023.zip</v>
      </c>
    </row>
    <row r="10334" spans="1:10" x14ac:dyDescent="0.25">
      <c r="A10334" t="s">
        <v>7429</v>
      </c>
      <c r="B10334" t="s">
        <v>5769</v>
      </c>
      <c r="C10334" t="s">
        <v>7489</v>
      </c>
      <c r="D10334">
        <v>133890</v>
      </c>
      <c r="E10334" t="s">
        <v>14</v>
      </c>
      <c r="F10334">
        <v>42.9833</v>
      </c>
      <c r="G10334">
        <v>21.95</v>
      </c>
      <c r="H10334">
        <v>1</v>
      </c>
      <c r="I10334">
        <v>232</v>
      </c>
      <c r="J10334" t="str">
        <f>HYPERLINK("https://climate.onebuilding.org/WMO_Region_6_Europe/SRB_Serbia/ESR_Southern_and_Eastern_Serbia_Stat_Region/SRB_ESR_Leskovac.133890_TMYx.zip")</f>
        <v>https://climate.onebuilding.org/WMO_Region_6_Europe/SRB_Serbia/ESR_Southern_and_Eastern_Serbia_Stat_Region/SRB_ESR_Leskovac.133890_TMYx.zip</v>
      </c>
    </row>
    <row r="10335" spans="1:10" x14ac:dyDescent="0.25">
      <c r="A10335" t="s">
        <v>7429</v>
      </c>
      <c r="B10335" t="s">
        <v>5769</v>
      </c>
      <c r="C10335" t="s">
        <v>7491</v>
      </c>
      <c r="D10335">
        <v>133970</v>
      </c>
      <c r="E10335" t="s">
        <v>7492</v>
      </c>
      <c r="F10335">
        <v>43.0167</v>
      </c>
      <c r="G10335">
        <v>22.75</v>
      </c>
      <c r="H10335">
        <v>1</v>
      </c>
      <c r="I10335">
        <v>450</v>
      </c>
      <c r="J10335" t="str">
        <f>HYPERLINK("https://climate.onebuilding.org/WMO_Region_6_Europe/SRB_Serbia/ESR_Southern_and_Eastern_Serbia_Stat_Region/SRB_ESR_Dimitrovgrad.133970_TMYx.2004-2018.zip")</f>
        <v>https://climate.onebuilding.org/WMO_Region_6_Europe/SRB_Serbia/ESR_Southern_and_Eastern_Serbia_Stat_Region/SRB_ESR_Dimitrovgrad.133970_TMYx.2004-2018.zip</v>
      </c>
    </row>
    <row r="10336" spans="1:10" x14ac:dyDescent="0.25">
      <c r="A10336" t="s">
        <v>7429</v>
      </c>
      <c r="B10336" t="s">
        <v>5769</v>
      </c>
      <c r="C10336" t="s">
        <v>7491</v>
      </c>
      <c r="D10336">
        <v>133970</v>
      </c>
      <c r="E10336" t="s">
        <v>14</v>
      </c>
      <c r="F10336">
        <v>43.0167</v>
      </c>
      <c r="G10336">
        <v>22.75</v>
      </c>
      <c r="H10336">
        <v>1</v>
      </c>
      <c r="I10336">
        <v>450</v>
      </c>
      <c r="J10336" t="str">
        <f>HYPERLINK("https://climate.onebuilding.org/WMO_Region_6_Europe/SRB_Serbia/ESR_Southern_and_Eastern_Serbia_Stat_Region/SRB_ESR_Dimitrovgrad.133970_TMYx.2007-2021.zip")</f>
        <v>https://climate.onebuilding.org/WMO_Region_6_Europe/SRB_Serbia/ESR_Southern_and_Eastern_Serbia_Stat_Region/SRB_ESR_Dimitrovgrad.133970_TMYx.2007-2021.zip</v>
      </c>
    </row>
    <row r="10337" spans="1:10" x14ac:dyDescent="0.25">
      <c r="A10337" t="s">
        <v>7429</v>
      </c>
      <c r="B10337" t="s">
        <v>5769</v>
      </c>
      <c r="C10337" t="s">
        <v>7491</v>
      </c>
      <c r="D10337">
        <v>133970</v>
      </c>
      <c r="E10337" t="s">
        <v>14</v>
      </c>
      <c r="F10337">
        <v>43.0167</v>
      </c>
      <c r="G10337">
        <v>22.75</v>
      </c>
      <c r="H10337">
        <v>1</v>
      </c>
      <c r="I10337">
        <v>450</v>
      </c>
      <c r="J10337" t="str">
        <f>HYPERLINK("https://climate.onebuilding.org/WMO_Region_6_Europe/SRB_Serbia/ESR_Southern_and_Eastern_Serbia_Stat_Region/SRB_ESR_Dimitrovgrad.133970_TMYx.2009-2023.zip")</f>
        <v>https://climate.onebuilding.org/WMO_Region_6_Europe/SRB_Serbia/ESR_Southern_and_Eastern_Serbia_Stat_Region/SRB_ESR_Dimitrovgrad.133970_TMYx.2009-2023.zip</v>
      </c>
    </row>
    <row r="10338" spans="1:10" x14ac:dyDescent="0.25">
      <c r="A10338" t="s">
        <v>7429</v>
      </c>
      <c r="B10338" t="s">
        <v>5769</v>
      </c>
      <c r="C10338" t="s">
        <v>7491</v>
      </c>
      <c r="D10338">
        <v>133970</v>
      </c>
      <c r="E10338" t="s">
        <v>14</v>
      </c>
      <c r="F10338">
        <v>43.0167</v>
      </c>
      <c r="G10338">
        <v>22.75</v>
      </c>
      <c r="H10338">
        <v>1</v>
      </c>
      <c r="I10338">
        <v>450</v>
      </c>
      <c r="J10338" t="str">
        <f>HYPERLINK("https://climate.onebuilding.org/WMO_Region_6_Europe/SRB_Serbia/ESR_Southern_and_Eastern_Serbia_Stat_Region/SRB_ESR_Dimitrovgrad.133970_TMYx.zip")</f>
        <v>https://climate.onebuilding.org/WMO_Region_6_Europe/SRB_Serbia/ESR_Southern_and_Eastern_Serbia_Stat_Region/SRB_ESR_Dimitrovgrad.133970_TMYx.zip</v>
      </c>
    </row>
    <row r="10339" spans="1:10" x14ac:dyDescent="0.25">
      <c r="A10339" t="s">
        <v>7429</v>
      </c>
      <c r="B10339" t="s">
        <v>7493</v>
      </c>
      <c r="C10339" t="s">
        <v>7494</v>
      </c>
      <c r="D10339">
        <v>134730</v>
      </c>
      <c r="E10339" t="s">
        <v>14</v>
      </c>
      <c r="F10339">
        <v>42.666699999999999</v>
      </c>
      <c r="G10339">
        <v>20.3</v>
      </c>
      <c r="H10339">
        <v>1</v>
      </c>
      <c r="I10339">
        <v>499</v>
      </c>
      <c r="J10339" t="str">
        <f>HYPERLINK("https://climate.onebuilding.org/WMO_Region_6_Europe/SRB_Serbia/KMR_Kosovo_and_Metohija_Stat_Region/SRB_KMR_Peja.134730_TMYx.zip")</f>
        <v>https://climate.onebuilding.org/WMO_Region_6_Europe/SRB_Serbia/KMR_Kosovo_and_Metohija_Stat_Region/SRB_KMR_Peja.134730_TMYx.zip</v>
      </c>
    </row>
    <row r="10340" spans="1:10" x14ac:dyDescent="0.25">
      <c r="A10340" t="s">
        <v>7429</v>
      </c>
      <c r="B10340" t="s">
        <v>7493</v>
      </c>
      <c r="C10340" t="s">
        <v>7495</v>
      </c>
      <c r="D10340">
        <v>134770</v>
      </c>
      <c r="E10340" t="s">
        <v>14</v>
      </c>
      <c r="F10340">
        <v>42.216700000000003</v>
      </c>
      <c r="G10340">
        <v>20.7333</v>
      </c>
      <c r="H10340">
        <v>1</v>
      </c>
      <c r="I10340">
        <v>403</v>
      </c>
      <c r="J10340" t="str">
        <f>HYPERLINK("https://climate.onebuilding.org/WMO_Region_6_Europe/SRB_Serbia/KMR_Kosovo_and_Metohija_Stat_Region/SRB_KMR_Prizren.134770_TMYx.2007-2021.zip")</f>
        <v>https://climate.onebuilding.org/WMO_Region_6_Europe/SRB_Serbia/KMR_Kosovo_and_Metohija_Stat_Region/SRB_KMR_Prizren.134770_TMYx.2007-2021.zip</v>
      </c>
    </row>
    <row r="10341" spans="1:10" x14ac:dyDescent="0.25">
      <c r="A10341" t="s">
        <v>7429</v>
      </c>
      <c r="B10341" t="s">
        <v>7493</v>
      </c>
      <c r="C10341" t="s">
        <v>7495</v>
      </c>
      <c r="D10341">
        <v>134770</v>
      </c>
      <c r="E10341" t="s">
        <v>14</v>
      </c>
      <c r="F10341">
        <v>42.216700000000003</v>
      </c>
      <c r="G10341">
        <v>20.7333</v>
      </c>
      <c r="H10341">
        <v>1</v>
      </c>
      <c r="I10341">
        <v>403</v>
      </c>
      <c r="J10341" t="str">
        <f>HYPERLINK("https://climate.onebuilding.org/WMO_Region_6_Europe/SRB_Serbia/KMR_Kosovo_and_Metohija_Stat_Region/SRB_KMR_Prizren.134770_TMYx.zip")</f>
        <v>https://climate.onebuilding.org/WMO_Region_6_Europe/SRB_Serbia/KMR_Kosovo_and_Metohija_Stat_Region/SRB_KMR_Prizren.134770_TMYx.zip</v>
      </c>
    </row>
    <row r="10342" spans="1:10" x14ac:dyDescent="0.25">
      <c r="A10342" t="s">
        <v>7429</v>
      </c>
      <c r="B10342" t="s">
        <v>7493</v>
      </c>
      <c r="C10342" t="s">
        <v>7496</v>
      </c>
      <c r="D10342">
        <v>134810</v>
      </c>
      <c r="E10342" t="s">
        <v>7497</v>
      </c>
      <c r="F10342">
        <v>42.573</v>
      </c>
      <c r="G10342">
        <v>21.036000000000001</v>
      </c>
      <c r="H10342">
        <v>1</v>
      </c>
      <c r="I10342">
        <v>545.29999999999995</v>
      </c>
      <c r="J10342" t="str">
        <f>HYPERLINK("https://climate.onebuilding.org/WMO_Region_6_Europe/SRB_Serbia/KMR_Kosovo_and_Metohija_Stat_Region/SRB_KMR_Pristina.Intl.AP.134810_TMYx.2004-2018.zip")</f>
        <v>https://climate.onebuilding.org/WMO_Region_6_Europe/SRB_Serbia/KMR_Kosovo_and_Metohija_Stat_Region/SRB_KMR_Pristina.Intl.AP.134810_TMYx.2004-2018.zip</v>
      </c>
    </row>
    <row r="10343" spans="1:10" x14ac:dyDescent="0.25">
      <c r="A10343" t="s">
        <v>7429</v>
      </c>
      <c r="B10343" t="s">
        <v>7493</v>
      </c>
      <c r="C10343" t="s">
        <v>7496</v>
      </c>
      <c r="D10343">
        <v>134810</v>
      </c>
      <c r="E10343" t="s">
        <v>14</v>
      </c>
      <c r="F10343">
        <v>42.573</v>
      </c>
      <c r="G10343">
        <v>21.036000000000001</v>
      </c>
      <c r="H10343">
        <v>1</v>
      </c>
      <c r="I10343">
        <v>545.29999999999995</v>
      </c>
      <c r="J10343" t="str">
        <f>HYPERLINK("https://climate.onebuilding.org/WMO_Region_6_Europe/SRB_Serbia/KMR_Kosovo_and_Metohija_Stat_Region/SRB_KMR_Pristina.Intl.AP.134810_TMYx.2007-2021.zip")</f>
        <v>https://climate.onebuilding.org/WMO_Region_6_Europe/SRB_Serbia/KMR_Kosovo_and_Metohija_Stat_Region/SRB_KMR_Pristina.Intl.AP.134810_TMYx.2007-2021.zip</v>
      </c>
    </row>
    <row r="10344" spans="1:10" x14ac:dyDescent="0.25">
      <c r="A10344" t="s">
        <v>7429</v>
      </c>
      <c r="B10344" t="s">
        <v>7493</v>
      </c>
      <c r="C10344" t="s">
        <v>7496</v>
      </c>
      <c r="D10344">
        <v>134810</v>
      </c>
      <c r="E10344" t="s">
        <v>14</v>
      </c>
      <c r="F10344">
        <v>42.573</v>
      </c>
      <c r="G10344">
        <v>21.036000000000001</v>
      </c>
      <c r="H10344">
        <v>1</v>
      </c>
      <c r="I10344">
        <v>545.29999999999995</v>
      </c>
      <c r="J10344" t="str">
        <f>HYPERLINK("https://climate.onebuilding.org/WMO_Region_6_Europe/SRB_Serbia/KMR_Kosovo_and_Metohija_Stat_Region/SRB_KMR_Pristina.Intl.AP.134810_TMYx.2009-2023.zip")</f>
        <v>https://climate.onebuilding.org/WMO_Region_6_Europe/SRB_Serbia/KMR_Kosovo_and_Metohija_Stat_Region/SRB_KMR_Pristina.Intl.AP.134810_TMYx.2009-2023.zip</v>
      </c>
    </row>
    <row r="10345" spans="1:10" x14ac:dyDescent="0.25">
      <c r="A10345" t="s">
        <v>7429</v>
      </c>
      <c r="B10345" t="s">
        <v>7493</v>
      </c>
      <c r="C10345" t="s">
        <v>7496</v>
      </c>
      <c r="D10345">
        <v>134810</v>
      </c>
      <c r="E10345" t="s">
        <v>14</v>
      </c>
      <c r="F10345">
        <v>42.573</v>
      </c>
      <c r="G10345">
        <v>21.036000000000001</v>
      </c>
      <c r="H10345">
        <v>1</v>
      </c>
      <c r="I10345">
        <v>545.29999999999995</v>
      </c>
      <c r="J10345" t="str">
        <f>HYPERLINK("https://climate.onebuilding.org/WMO_Region_6_Europe/SRB_Serbia/KMR_Kosovo_and_Metohija_Stat_Region/SRB_KMR_Pristina.Intl.AP.134810_TMYx.zip")</f>
        <v>https://climate.onebuilding.org/WMO_Region_6_Europe/SRB_Serbia/KMR_Kosovo_and_Metohija_Stat_Region/SRB_KMR_Pristina.Intl.AP.134810_TMYx.zip</v>
      </c>
    </row>
    <row r="10346" spans="1:10" x14ac:dyDescent="0.25">
      <c r="A10346" t="s">
        <v>7429</v>
      </c>
      <c r="B10346" t="s">
        <v>5769</v>
      </c>
      <c r="C10346" t="s">
        <v>7498</v>
      </c>
      <c r="D10346">
        <v>134890</v>
      </c>
      <c r="E10346" t="s">
        <v>7499</v>
      </c>
      <c r="F10346">
        <v>42.55</v>
      </c>
      <c r="G10346">
        <v>21.916699999999999</v>
      </c>
      <c r="H10346">
        <v>1</v>
      </c>
      <c r="I10346">
        <v>434</v>
      </c>
      <c r="J10346" t="str">
        <f>HYPERLINK("https://climate.onebuilding.org/WMO_Region_6_Europe/SRB_Serbia/ESR_Southern_and_Eastern_Serbia_Stat_Region/SRB_ESR_Vranje.134890_TMYx.2004-2018.zip")</f>
        <v>https://climate.onebuilding.org/WMO_Region_6_Europe/SRB_Serbia/ESR_Southern_and_Eastern_Serbia_Stat_Region/SRB_ESR_Vranje.134890_TMYx.2004-2018.zip</v>
      </c>
    </row>
    <row r="10347" spans="1:10" x14ac:dyDescent="0.25">
      <c r="A10347" t="s">
        <v>7429</v>
      </c>
      <c r="B10347" t="s">
        <v>5769</v>
      </c>
      <c r="C10347" t="s">
        <v>7498</v>
      </c>
      <c r="D10347">
        <v>134890</v>
      </c>
      <c r="E10347" t="s">
        <v>14</v>
      </c>
      <c r="F10347">
        <v>42.55</v>
      </c>
      <c r="G10347">
        <v>21.916699999999999</v>
      </c>
      <c r="H10347">
        <v>1</v>
      </c>
      <c r="I10347">
        <v>434</v>
      </c>
      <c r="J10347" t="str">
        <f>HYPERLINK("https://climate.onebuilding.org/WMO_Region_6_Europe/SRB_Serbia/ESR_Southern_and_Eastern_Serbia_Stat_Region/SRB_ESR_Vranje.134890_TMYx.2007-2021.zip")</f>
        <v>https://climate.onebuilding.org/WMO_Region_6_Europe/SRB_Serbia/ESR_Southern_and_Eastern_Serbia_Stat_Region/SRB_ESR_Vranje.134890_TMYx.2007-2021.zip</v>
      </c>
    </row>
    <row r="10348" spans="1:10" x14ac:dyDescent="0.25">
      <c r="A10348" t="s">
        <v>7429</v>
      </c>
      <c r="B10348" t="s">
        <v>5769</v>
      </c>
      <c r="C10348" t="s">
        <v>7498</v>
      </c>
      <c r="D10348">
        <v>134890</v>
      </c>
      <c r="E10348" t="s">
        <v>14</v>
      </c>
      <c r="F10348">
        <v>42.55</v>
      </c>
      <c r="G10348">
        <v>21.916699999999999</v>
      </c>
      <c r="H10348">
        <v>1</v>
      </c>
      <c r="I10348">
        <v>434</v>
      </c>
      <c r="J10348" t="str">
        <f>HYPERLINK("https://climate.onebuilding.org/WMO_Region_6_Europe/SRB_Serbia/ESR_Southern_and_Eastern_Serbia_Stat_Region/SRB_ESR_Vranje.134890_TMYx.2009-2023.zip")</f>
        <v>https://climate.onebuilding.org/WMO_Region_6_Europe/SRB_Serbia/ESR_Southern_and_Eastern_Serbia_Stat_Region/SRB_ESR_Vranje.134890_TMYx.2009-2023.zip</v>
      </c>
    </row>
    <row r="10349" spans="1:10" x14ac:dyDescent="0.25">
      <c r="A10349" t="s">
        <v>7429</v>
      </c>
      <c r="B10349" t="s">
        <v>5769</v>
      </c>
      <c r="C10349" t="s">
        <v>7498</v>
      </c>
      <c r="D10349">
        <v>134890</v>
      </c>
      <c r="E10349" t="s">
        <v>14</v>
      </c>
      <c r="F10349">
        <v>42.55</v>
      </c>
      <c r="G10349">
        <v>21.916699999999999</v>
      </c>
      <c r="H10349">
        <v>1</v>
      </c>
      <c r="I10349">
        <v>434</v>
      </c>
      <c r="J10349" t="str">
        <f>HYPERLINK("https://climate.onebuilding.org/WMO_Region_6_Europe/SRB_Serbia/ESR_Southern_and_Eastern_Serbia_Stat_Region/SRB_ESR_Vranje.134890_TMYx.zip")</f>
        <v>https://climate.onebuilding.org/WMO_Region_6_Europe/SRB_Serbia/ESR_Southern_and_Eastern_Serbia_Stat_Region/SRB_ESR_Vranje.134890_TMYx.zip</v>
      </c>
    </row>
    <row r="10350" spans="1:10" x14ac:dyDescent="0.25">
      <c r="A10350" t="s">
        <v>7500</v>
      </c>
      <c r="B10350" t="s">
        <v>564</v>
      </c>
      <c r="C10350" t="s">
        <v>7501</v>
      </c>
      <c r="D10350">
        <v>118010</v>
      </c>
      <c r="E10350" t="s">
        <v>7502</v>
      </c>
      <c r="F10350">
        <v>48.4</v>
      </c>
      <c r="G10350">
        <v>17.149999999999999</v>
      </c>
      <c r="H10350">
        <v>1</v>
      </c>
      <c r="I10350">
        <v>207</v>
      </c>
      <c r="J10350" t="str">
        <f>HYPERLINK("https://climate.onebuilding.org/WMO_Region_6_Europe/SVK_Slovakia/BL_Bratislava/SVK_BL_Malacky.AP.118010_TMYx.2004-2018.zip")</f>
        <v>https://climate.onebuilding.org/WMO_Region_6_Europe/SVK_Slovakia/BL_Bratislava/SVK_BL_Malacky.AP.118010_TMYx.2004-2018.zip</v>
      </c>
    </row>
    <row r="10351" spans="1:10" x14ac:dyDescent="0.25">
      <c r="A10351" t="s">
        <v>7500</v>
      </c>
      <c r="B10351" t="s">
        <v>564</v>
      </c>
      <c r="C10351" t="s">
        <v>7501</v>
      </c>
      <c r="D10351">
        <v>118010</v>
      </c>
      <c r="E10351" t="s">
        <v>14</v>
      </c>
      <c r="F10351">
        <v>48.4</v>
      </c>
      <c r="G10351">
        <v>17.149999999999999</v>
      </c>
      <c r="H10351">
        <v>1</v>
      </c>
      <c r="I10351">
        <v>207</v>
      </c>
      <c r="J10351" t="str">
        <f>HYPERLINK("https://climate.onebuilding.org/WMO_Region_6_Europe/SVK_Slovakia/BL_Bratislava/SVK_BL_Malacky.AP.118010_TMYx.2007-2021.zip")</f>
        <v>https://climate.onebuilding.org/WMO_Region_6_Europe/SVK_Slovakia/BL_Bratislava/SVK_BL_Malacky.AP.118010_TMYx.2007-2021.zip</v>
      </c>
    </row>
    <row r="10352" spans="1:10" x14ac:dyDescent="0.25">
      <c r="A10352" t="s">
        <v>7500</v>
      </c>
      <c r="B10352" t="s">
        <v>564</v>
      </c>
      <c r="C10352" t="s">
        <v>7501</v>
      </c>
      <c r="D10352">
        <v>118010</v>
      </c>
      <c r="E10352" t="s">
        <v>14</v>
      </c>
      <c r="F10352">
        <v>48.4</v>
      </c>
      <c r="G10352">
        <v>17.149999999999999</v>
      </c>
      <c r="H10352">
        <v>1</v>
      </c>
      <c r="I10352">
        <v>207</v>
      </c>
      <c r="J10352" t="str">
        <f>HYPERLINK("https://climate.onebuilding.org/WMO_Region_6_Europe/SVK_Slovakia/BL_Bratislava/SVK_BL_Malacky.AP.118010_TMYx.2009-2023.zip")</f>
        <v>https://climate.onebuilding.org/WMO_Region_6_Europe/SVK_Slovakia/BL_Bratislava/SVK_BL_Malacky.AP.118010_TMYx.2009-2023.zip</v>
      </c>
    </row>
    <row r="10353" spans="1:10" x14ac:dyDescent="0.25">
      <c r="A10353" t="s">
        <v>7500</v>
      </c>
      <c r="B10353" t="s">
        <v>564</v>
      </c>
      <c r="C10353" t="s">
        <v>7501</v>
      </c>
      <c r="D10353">
        <v>118010</v>
      </c>
      <c r="E10353" t="s">
        <v>14</v>
      </c>
      <c r="F10353">
        <v>48.4</v>
      </c>
      <c r="G10353">
        <v>17.149999999999999</v>
      </c>
      <c r="H10353">
        <v>1</v>
      </c>
      <c r="I10353">
        <v>207</v>
      </c>
      <c r="J10353" t="str">
        <f>HYPERLINK("https://climate.onebuilding.org/WMO_Region_6_Europe/SVK_Slovakia/BL_Bratislava/SVK_BL_Malacky.AP.118010_TMYx.zip")</f>
        <v>https://climate.onebuilding.org/WMO_Region_6_Europe/SVK_Slovakia/BL_Bratislava/SVK_BL_Malacky.AP.118010_TMYx.zip</v>
      </c>
    </row>
    <row r="10354" spans="1:10" x14ac:dyDescent="0.25">
      <c r="A10354" t="s">
        <v>7500</v>
      </c>
      <c r="B10354" t="s">
        <v>564</v>
      </c>
      <c r="C10354" t="s">
        <v>7503</v>
      </c>
      <c r="D10354">
        <v>118120</v>
      </c>
      <c r="E10354" t="s">
        <v>7504</v>
      </c>
      <c r="F10354">
        <v>48.25</v>
      </c>
      <c r="G10354">
        <v>17.149999999999999</v>
      </c>
      <c r="H10354">
        <v>1</v>
      </c>
      <c r="I10354">
        <v>513</v>
      </c>
      <c r="J10354" t="str">
        <f>HYPERLINK("https://climate.onebuilding.org/WMO_Region_6_Europe/SVK_Slovakia/BL_Bratislava/SVK_BL_Maly.Javornik.118120_TMYx.2004-2018.zip")</f>
        <v>https://climate.onebuilding.org/WMO_Region_6_Europe/SVK_Slovakia/BL_Bratislava/SVK_BL_Maly.Javornik.118120_TMYx.2004-2018.zip</v>
      </c>
    </row>
    <row r="10355" spans="1:10" x14ac:dyDescent="0.25">
      <c r="A10355" t="s">
        <v>7500</v>
      </c>
      <c r="B10355" t="s">
        <v>564</v>
      </c>
      <c r="C10355" t="s">
        <v>7503</v>
      </c>
      <c r="D10355">
        <v>118120</v>
      </c>
      <c r="E10355" t="s">
        <v>14</v>
      </c>
      <c r="F10355">
        <v>48.25</v>
      </c>
      <c r="G10355">
        <v>17.149999999999999</v>
      </c>
      <c r="H10355">
        <v>1</v>
      </c>
      <c r="I10355">
        <v>513</v>
      </c>
      <c r="J10355" t="str">
        <f>HYPERLINK("https://climate.onebuilding.org/WMO_Region_6_Europe/SVK_Slovakia/BL_Bratislava/SVK_BL_Maly.Javornik.118120_TMYx.2007-2021.zip")</f>
        <v>https://climate.onebuilding.org/WMO_Region_6_Europe/SVK_Slovakia/BL_Bratislava/SVK_BL_Maly.Javornik.118120_TMYx.2007-2021.zip</v>
      </c>
    </row>
    <row r="10356" spans="1:10" x14ac:dyDescent="0.25">
      <c r="A10356" t="s">
        <v>7500</v>
      </c>
      <c r="B10356" t="s">
        <v>564</v>
      </c>
      <c r="C10356" t="s">
        <v>7503</v>
      </c>
      <c r="D10356">
        <v>118120</v>
      </c>
      <c r="E10356" t="s">
        <v>14</v>
      </c>
      <c r="F10356">
        <v>48.25</v>
      </c>
      <c r="G10356">
        <v>17.149999999999999</v>
      </c>
      <c r="H10356">
        <v>1</v>
      </c>
      <c r="I10356">
        <v>513</v>
      </c>
      <c r="J10356" t="str">
        <f>HYPERLINK("https://climate.onebuilding.org/WMO_Region_6_Europe/SVK_Slovakia/BL_Bratislava/SVK_BL_Maly.Javornik.118120_TMYx.2009-2023.zip")</f>
        <v>https://climate.onebuilding.org/WMO_Region_6_Europe/SVK_Slovakia/BL_Bratislava/SVK_BL_Maly.Javornik.118120_TMYx.2009-2023.zip</v>
      </c>
    </row>
    <row r="10357" spans="1:10" x14ac:dyDescent="0.25">
      <c r="A10357" t="s">
        <v>7500</v>
      </c>
      <c r="B10357" t="s">
        <v>564</v>
      </c>
      <c r="C10357" t="s">
        <v>7503</v>
      </c>
      <c r="D10357">
        <v>118120</v>
      </c>
      <c r="E10357" t="s">
        <v>14</v>
      </c>
      <c r="F10357">
        <v>48.25</v>
      </c>
      <c r="G10357">
        <v>17.149999999999999</v>
      </c>
      <c r="H10357">
        <v>1</v>
      </c>
      <c r="I10357">
        <v>513</v>
      </c>
      <c r="J10357" t="str">
        <f>HYPERLINK("https://climate.onebuilding.org/WMO_Region_6_Europe/SVK_Slovakia/BL_Bratislava/SVK_BL_Maly.Javornik.118120_TMYx.zip")</f>
        <v>https://climate.onebuilding.org/WMO_Region_6_Europe/SVK_Slovakia/BL_Bratislava/SVK_BL_Maly.Javornik.118120_TMYx.zip</v>
      </c>
    </row>
    <row r="10358" spans="1:10" x14ac:dyDescent="0.25">
      <c r="A10358" t="s">
        <v>7500</v>
      </c>
      <c r="B10358" t="s">
        <v>564</v>
      </c>
      <c r="C10358" t="s">
        <v>7505</v>
      </c>
      <c r="D10358">
        <v>118130</v>
      </c>
      <c r="E10358" t="s">
        <v>7506</v>
      </c>
      <c r="F10358">
        <v>48.167000000000002</v>
      </c>
      <c r="G10358">
        <v>17.117000000000001</v>
      </c>
      <c r="H10358">
        <v>1</v>
      </c>
      <c r="I10358">
        <v>163.1</v>
      </c>
      <c r="J10358" t="str">
        <f>HYPERLINK("https://climate.onebuilding.org/WMO_Region_6_Europe/SVK_Slovakia/BL_Bratislava/SVK_BL_Bratislava.Loliba.118130_TMYx.2004-2018.zip")</f>
        <v>https://climate.onebuilding.org/WMO_Region_6_Europe/SVK_Slovakia/BL_Bratislava/SVK_BL_Bratislava.Loliba.118130_TMYx.2004-2018.zip</v>
      </c>
    </row>
    <row r="10359" spans="1:10" x14ac:dyDescent="0.25">
      <c r="A10359" t="s">
        <v>7500</v>
      </c>
      <c r="B10359" t="s">
        <v>564</v>
      </c>
      <c r="C10359" t="s">
        <v>7505</v>
      </c>
      <c r="D10359">
        <v>118130</v>
      </c>
      <c r="E10359" t="s">
        <v>14</v>
      </c>
      <c r="F10359">
        <v>48.167000000000002</v>
      </c>
      <c r="G10359">
        <v>17.117000000000001</v>
      </c>
      <c r="H10359">
        <v>1</v>
      </c>
      <c r="I10359">
        <v>163.1</v>
      </c>
      <c r="J10359" t="str">
        <f>HYPERLINK("https://climate.onebuilding.org/WMO_Region_6_Europe/SVK_Slovakia/BL_Bratislava/SVK_BL_Bratislava.Loliba.118130_TMYx.2007-2021.zip")</f>
        <v>https://climate.onebuilding.org/WMO_Region_6_Europe/SVK_Slovakia/BL_Bratislava/SVK_BL_Bratislava.Loliba.118130_TMYx.2007-2021.zip</v>
      </c>
    </row>
    <row r="10360" spans="1:10" x14ac:dyDescent="0.25">
      <c r="A10360" t="s">
        <v>7500</v>
      </c>
      <c r="B10360" t="s">
        <v>564</v>
      </c>
      <c r="C10360" t="s">
        <v>7505</v>
      </c>
      <c r="D10360">
        <v>118130</v>
      </c>
      <c r="E10360" t="s">
        <v>14</v>
      </c>
      <c r="F10360">
        <v>48.167000000000002</v>
      </c>
      <c r="G10360">
        <v>17.117000000000001</v>
      </c>
      <c r="H10360">
        <v>1</v>
      </c>
      <c r="I10360">
        <v>163.1</v>
      </c>
      <c r="J10360" t="str">
        <f>HYPERLINK("https://climate.onebuilding.org/WMO_Region_6_Europe/SVK_Slovakia/BL_Bratislava/SVK_BL_Bratislava.Loliba.118130_TMYx.2009-2023.zip")</f>
        <v>https://climate.onebuilding.org/WMO_Region_6_Europe/SVK_Slovakia/BL_Bratislava/SVK_BL_Bratislava.Loliba.118130_TMYx.2009-2023.zip</v>
      </c>
    </row>
    <row r="10361" spans="1:10" x14ac:dyDescent="0.25">
      <c r="A10361" t="s">
        <v>7500</v>
      </c>
      <c r="B10361" t="s">
        <v>564</v>
      </c>
      <c r="C10361" t="s">
        <v>7505</v>
      </c>
      <c r="D10361">
        <v>118130</v>
      </c>
      <c r="E10361" t="s">
        <v>14</v>
      </c>
      <c r="F10361">
        <v>48.167000000000002</v>
      </c>
      <c r="G10361">
        <v>17.117000000000001</v>
      </c>
      <c r="H10361">
        <v>1</v>
      </c>
      <c r="I10361">
        <v>163.1</v>
      </c>
      <c r="J10361" t="str">
        <f>HYPERLINK("https://climate.onebuilding.org/WMO_Region_6_Europe/SVK_Slovakia/BL_Bratislava/SVK_BL_Bratislava.Loliba.118130_TMYx.zip")</f>
        <v>https://climate.onebuilding.org/WMO_Region_6_Europe/SVK_Slovakia/BL_Bratislava/SVK_BL_Bratislava.Loliba.118130_TMYx.zip</v>
      </c>
    </row>
    <row r="10362" spans="1:10" x14ac:dyDescent="0.25">
      <c r="A10362" t="s">
        <v>7500</v>
      </c>
      <c r="B10362" t="s">
        <v>564</v>
      </c>
      <c r="C10362" t="s">
        <v>7507</v>
      </c>
      <c r="D10362">
        <v>118160</v>
      </c>
      <c r="E10362" t="s">
        <v>7508</v>
      </c>
      <c r="F10362">
        <v>48.170299999999997</v>
      </c>
      <c r="G10362">
        <v>17.2075</v>
      </c>
      <c r="H10362">
        <v>1</v>
      </c>
      <c r="I10362">
        <v>134</v>
      </c>
      <c r="J10362" t="str">
        <f>HYPERLINK("https://climate.onebuilding.org/WMO_Region_6_Europe/SVK_Slovakia/BL_Bratislava/SVK_BL_Bratislava-Stefanik.AP.118160_TMYx.2004-2018.zip")</f>
        <v>https://climate.onebuilding.org/WMO_Region_6_Europe/SVK_Slovakia/BL_Bratislava/SVK_BL_Bratislava-Stefanik.AP.118160_TMYx.2004-2018.zip</v>
      </c>
    </row>
    <row r="10363" spans="1:10" x14ac:dyDescent="0.25">
      <c r="A10363" t="s">
        <v>7500</v>
      </c>
      <c r="B10363" t="s">
        <v>564</v>
      </c>
      <c r="C10363" t="s">
        <v>7507</v>
      </c>
      <c r="D10363">
        <v>118160</v>
      </c>
      <c r="E10363" t="s">
        <v>14</v>
      </c>
      <c r="F10363">
        <v>48.170299999999997</v>
      </c>
      <c r="G10363">
        <v>17.2075</v>
      </c>
      <c r="H10363">
        <v>1</v>
      </c>
      <c r="I10363">
        <v>134</v>
      </c>
      <c r="J10363" t="str">
        <f>HYPERLINK("https://climate.onebuilding.org/WMO_Region_6_Europe/SVK_Slovakia/BL_Bratislava/SVK_BL_Bratislava-Stefanik.AP.118160_TMYx.2007-2021.zip")</f>
        <v>https://climate.onebuilding.org/WMO_Region_6_Europe/SVK_Slovakia/BL_Bratislava/SVK_BL_Bratislava-Stefanik.AP.118160_TMYx.2007-2021.zip</v>
      </c>
    </row>
    <row r="10364" spans="1:10" x14ac:dyDescent="0.25">
      <c r="A10364" t="s">
        <v>7500</v>
      </c>
      <c r="B10364" t="s">
        <v>564</v>
      </c>
      <c r="C10364" t="s">
        <v>7507</v>
      </c>
      <c r="D10364">
        <v>118160</v>
      </c>
      <c r="E10364" t="s">
        <v>14</v>
      </c>
      <c r="F10364">
        <v>48.170299999999997</v>
      </c>
      <c r="G10364">
        <v>17.2075</v>
      </c>
      <c r="H10364">
        <v>1</v>
      </c>
      <c r="I10364">
        <v>134</v>
      </c>
      <c r="J10364" t="str">
        <f>HYPERLINK("https://climate.onebuilding.org/WMO_Region_6_Europe/SVK_Slovakia/BL_Bratislava/SVK_BL_Bratislava-Stefanik.AP.118160_TMYx.2009-2023.zip")</f>
        <v>https://climate.onebuilding.org/WMO_Region_6_Europe/SVK_Slovakia/BL_Bratislava/SVK_BL_Bratislava-Stefanik.AP.118160_TMYx.2009-2023.zip</v>
      </c>
    </row>
    <row r="10365" spans="1:10" x14ac:dyDescent="0.25">
      <c r="A10365" t="s">
        <v>7500</v>
      </c>
      <c r="B10365" t="s">
        <v>564</v>
      </c>
      <c r="C10365" t="s">
        <v>7507</v>
      </c>
      <c r="D10365">
        <v>118160</v>
      </c>
      <c r="E10365" t="s">
        <v>14</v>
      </c>
      <c r="F10365">
        <v>48.170299999999997</v>
      </c>
      <c r="G10365">
        <v>17.2075</v>
      </c>
      <c r="H10365">
        <v>1</v>
      </c>
      <c r="I10365">
        <v>134</v>
      </c>
      <c r="J10365" t="str">
        <f>HYPERLINK("https://climate.onebuilding.org/WMO_Region_6_Europe/SVK_Slovakia/BL_Bratislava/SVK_BL_Bratislava-Stefanik.AP.118160_TMYx.zip")</f>
        <v>https://climate.onebuilding.org/WMO_Region_6_Europe/SVK_Slovakia/BL_Bratislava/SVK_BL_Bratislava-Stefanik.AP.118160_TMYx.zip</v>
      </c>
    </row>
    <row r="10366" spans="1:10" x14ac:dyDescent="0.25">
      <c r="A10366" t="s">
        <v>7500</v>
      </c>
      <c r="B10366" t="s">
        <v>2302</v>
      </c>
      <c r="C10366" t="s">
        <v>7509</v>
      </c>
      <c r="D10366">
        <v>118190</v>
      </c>
      <c r="E10366" t="s">
        <v>7510</v>
      </c>
      <c r="F10366">
        <v>48.4833</v>
      </c>
      <c r="G10366">
        <v>17.666699999999999</v>
      </c>
      <c r="H10366">
        <v>1</v>
      </c>
      <c r="I10366">
        <v>178</v>
      </c>
      <c r="J10366" t="str">
        <f>HYPERLINK("https://climate.onebuilding.org/WMO_Region_6_Europe/SVK_Slovakia/TA_Trnava/SVK_TA_Jaslovske.Bohunice.118190_TMYx.2004-2018.zip")</f>
        <v>https://climate.onebuilding.org/WMO_Region_6_Europe/SVK_Slovakia/TA_Trnava/SVK_TA_Jaslovske.Bohunice.118190_TMYx.2004-2018.zip</v>
      </c>
    </row>
    <row r="10367" spans="1:10" x14ac:dyDescent="0.25">
      <c r="A10367" t="s">
        <v>7500</v>
      </c>
      <c r="B10367" t="s">
        <v>2302</v>
      </c>
      <c r="C10367" t="s">
        <v>7509</v>
      </c>
      <c r="D10367">
        <v>118190</v>
      </c>
      <c r="E10367" t="s">
        <v>14</v>
      </c>
      <c r="F10367">
        <v>48.4861</v>
      </c>
      <c r="G10367">
        <v>17.664100000000001</v>
      </c>
      <c r="H10367">
        <v>1</v>
      </c>
      <c r="I10367">
        <v>178</v>
      </c>
      <c r="J10367" t="str">
        <f>HYPERLINK("https://climate.onebuilding.org/WMO_Region_6_Europe/SVK_Slovakia/TA_Trnava/SVK_TA_Jaslovske.Bohunice.118190_TMYx.2007-2021.zip")</f>
        <v>https://climate.onebuilding.org/WMO_Region_6_Europe/SVK_Slovakia/TA_Trnava/SVK_TA_Jaslovske.Bohunice.118190_TMYx.2007-2021.zip</v>
      </c>
    </row>
    <row r="10368" spans="1:10" x14ac:dyDescent="0.25">
      <c r="A10368" t="s">
        <v>7500</v>
      </c>
      <c r="B10368" t="s">
        <v>2302</v>
      </c>
      <c r="C10368" t="s">
        <v>7509</v>
      </c>
      <c r="D10368">
        <v>118190</v>
      </c>
      <c r="E10368" t="s">
        <v>14</v>
      </c>
      <c r="F10368">
        <v>48.4861</v>
      </c>
      <c r="G10368">
        <v>17.664100000000001</v>
      </c>
      <c r="H10368">
        <v>1</v>
      </c>
      <c r="I10368">
        <v>178</v>
      </c>
      <c r="J10368" t="str">
        <f>HYPERLINK("https://climate.onebuilding.org/WMO_Region_6_Europe/SVK_Slovakia/TA_Trnava/SVK_TA_Jaslovske.Bohunice.118190_TMYx.2009-2023.zip")</f>
        <v>https://climate.onebuilding.org/WMO_Region_6_Europe/SVK_Slovakia/TA_Trnava/SVK_TA_Jaslovske.Bohunice.118190_TMYx.2009-2023.zip</v>
      </c>
    </row>
    <row r="10369" spans="1:10" x14ac:dyDescent="0.25">
      <c r="A10369" t="s">
        <v>7500</v>
      </c>
      <c r="B10369" t="s">
        <v>2302</v>
      </c>
      <c r="C10369" t="s">
        <v>7509</v>
      </c>
      <c r="D10369">
        <v>118190</v>
      </c>
      <c r="E10369" t="s">
        <v>14</v>
      </c>
      <c r="F10369">
        <v>48.4861</v>
      </c>
      <c r="G10369">
        <v>17.664100000000001</v>
      </c>
      <c r="H10369">
        <v>1</v>
      </c>
      <c r="I10369">
        <v>178</v>
      </c>
      <c r="J10369" t="str">
        <f>HYPERLINK("https://climate.onebuilding.org/WMO_Region_6_Europe/SVK_Slovakia/TA_Trnava/SVK_TA_Jaslovske.Bohunice.118190_TMYx.zip")</f>
        <v>https://climate.onebuilding.org/WMO_Region_6_Europe/SVK_Slovakia/TA_Trnava/SVK_TA_Jaslovske.Bohunice.118190_TMYx.zip</v>
      </c>
    </row>
    <row r="10370" spans="1:10" x14ac:dyDescent="0.25">
      <c r="A10370" t="s">
        <v>7500</v>
      </c>
      <c r="B10370" t="s">
        <v>2302</v>
      </c>
      <c r="C10370" t="s">
        <v>7511</v>
      </c>
      <c r="D10370">
        <v>118260</v>
      </c>
      <c r="E10370" t="s">
        <v>7512</v>
      </c>
      <c r="F10370">
        <v>48.616700000000002</v>
      </c>
      <c r="G10370">
        <v>17.833300000000001</v>
      </c>
      <c r="H10370">
        <v>1</v>
      </c>
      <c r="I10370">
        <v>164</v>
      </c>
      <c r="J10370" t="str">
        <f>HYPERLINK("https://climate.onebuilding.org/WMO_Region_6_Europe/SVK_Slovakia/TA_Trnava/SVK_TA_Piestany.AP.118260_TMYx.2004-2018.zip")</f>
        <v>https://climate.onebuilding.org/WMO_Region_6_Europe/SVK_Slovakia/TA_Trnava/SVK_TA_Piestany.AP.118260_TMYx.2004-2018.zip</v>
      </c>
    </row>
    <row r="10371" spans="1:10" x14ac:dyDescent="0.25">
      <c r="A10371" t="s">
        <v>7500</v>
      </c>
      <c r="B10371" t="s">
        <v>2302</v>
      </c>
      <c r="C10371" t="s">
        <v>7511</v>
      </c>
      <c r="D10371">
        <v>118260</v>
      </c>
      <c r="E10371" t="s">
        <v>14</v>
      </c>
      <c r="F10371">
        <v>48.616700000000002</v>
      </c>
      <c r="G10371">
        <v>17.833300000000001</v>
      </c>
      <c r="H10371">
        <v>1</v>
      </c>
      <c r="I10371">
        <v>164</v>
      </c>
      <c r="J10371" t="str">
        <f>HYPERLINK("https://climate.onebuilding.org/WMO_Region_6_Europe/SVK_Slovakia/TA_Trnava/SVK_TA_Piestany.AP.118260_TMYx.2007-2021.zip")</f>
        <v>https://climate.onebuilding.org/WMO_Region_6_Europe/SVK_Slovakia/TA_Trnava/SVK_TA_Piestany.AP.118260_TMYx.2007-2021.zip</v>
      </c>
    </row>
    <row r="10372" spans="1:10" x14ac:dyDescent="0.25">
      <c r="A10372" t="s">
        <v>7500</v>
      </c>
      <c r="B10372" t="s">
        <v>2302</v>
      </c>
      <c r="C10372" t="s">
        <v>7511</v>
      </c>
      <c r="D10372">
        <v>118260</v>
      </c>
      <c r="E10372" t="s">
        <v>14</v>
      </c>
      <c r="F10372">
        <v>48.616700000000002</v>
      </c>
      <c r="G10372">
        <v>17.833300000000001</v>
      </c>
      <c r="H10372">
        <v>1</v>
      </c>
      <c r="I10372">
        <v>164</v>
      </c>
      <c r="J10372" t="str">
        <f>HYPERLINK("https://climate.onebuilding.org/WMO_Region_6_Europe/SVK_Slovakia/TA_Trnava/SVK_TA_Piestany.AP.118260_TMYx.2009-2023.zip")</f>
        <v>https://climate.onebuilding.org/WMO_Region_6_Europe/SVK_Slovakia/TA_Trnava/SVK_TA_Piestany.AP.118260_TMYx.2009-2023.zip</v>
      </c>
    </row>
    <row r="10373" spans="1:10" x14ac:dyDescent="0.25">
      <c r="A10373" t="s">
        <v>7500</v>
      </c>
      <c r="B10373" t="s">
        <v>2302</v>
      </c>
      <c r="C10373" t="s">
        <v>7511</v>
      </c>
      <c r="D10373">
        <v>118260</v>
      </c>
      <c r="E10373" t="s">
        <v>14</v>
      </c>
      <c r="F10373">
        <v>48.616700000000002</v>
      </c>
      <c r="G10373">
        <v>17.833300000000001</v>
      </c>
      <c r="H10373">
        <v>1</v>
      </c>
      <c r="I10373">
        <v>164</v>
      </c>
      <c r="J10373" t="str">
        <f>HYPERLINK("https://climate.onebuilding.org/WMO_Region_6_Europe/SVK_Slovakia/TA_Trnava/SVK_TA_Piestany.AP.118260_TMYx.zip")</f>
        <v>https://climate.onebuilding.org/WMO_Region_6_Europe/SVK_Slovakia/TA_Trnava/SVK_TA_Piestany.AP.118260_TMYx.zip</v>
      </c>
    </row>
    <row r="10374" spans="1:10" x14ac:dyDescent="0.25">
      <c r="A10374" t="s">
        <v>7500</v>
      </c>
      <c r="B10374" t="s">
        <v>7513</v>
      </c>
      <c r="C10374" t="s">
        <v>7514</v>
      </c>
      <c r="D10374">
        <v>118410</v>
      </c>
      <c r="E10374" t="s">
        <v>7515</v>
      </c>
      <c r="F10374">
        <v>49.232500000000002</v>
      </c>
      <c r="G10374">
        <v>18.6142</v>
      </c>
      <c r="H10374">
        <v>1</v>
      </c>
      <c r="I10374">
        <v>311</v>
      </c>
      <c r="J10374" t="str">
        <f>HYPERLINK("https://climate.onebuilding.org/WMO_Region_6_Europe/SVK_Slovakia/ZI_Zilina/SVK_ZI_Zilina.AP.118410_TMYx.2004-2018.zip")</f>
        <v>https://climate.onebuilding.org/WMO_Region_6_Europe/SVK_Slovakia/ZI_Zilina/SVK_ZI_Zilina.AP.118410_TMYx.2004-2018.zip</v>
      </c>
    </row>
    <row r="10375" spans="1:10" x14ac:dyDescent="0.25">
      <c r="A10375" t="s">
        <v>7500</v>
      </c>
      <c r="B10375" t="s">
        <v>7513</v>
      </c>
      <c r="C10375" t="s">
        <v>7514</v>
      </c>
      <c r="D10375">
        <v>118410</v>
      </c>
      <c r="E10375" t="s">
        <v>14</v>
      </c>
      <c r="F10375">
        <v>49.232500000000002</v>
      </c>
      <c r="G10375">
        <v>18.6142</v>
      </c>
      <c r="H10375">
        <v>1</v>
      </c>
      <c r="I10375">
        <v>311</v>
      </c>
      <c r="J10375" t="str">
        <f>HYPERLINK("https://climate.onebuilding.org/WMO_Region_6_Europe/SVK_Slovakia/ZI_Zilina/SVK_ZI_Zilina.AP.118410_TMYx.2007-2021.zip")</f>
        <v>https://climate.onebuilding.org/WMO_Region_6_Europe/SVK_Slovakia/ZI_Zilina/SVK_ZI_Zilina.AP.118410_TMYx.2007-2021.zip</v>
      </c>
    </row>
    <row r="10376" spans="1:10" x14ac:dyDescent="0.25">
      <c r="A10376" t="s">
        <v>7500</v>
      </c>
      <c r="B10376" t="s">
        <v>7513</v>
      </c>
      <c r="C10376" t="s">
        <v>7514</v>
      </c>
      <c r="D10376">
        <v>118410</v>
      </c>
      <c r="E10376" t="s">
        <v>14</v>
      </c>
      <c r="F10376">
        <v>49.232500000000002</v>
      </c>
      <c r="G10376">
        <v>18.6142</v>
      </c>
      <c r="H10376">
        <v>1</v>
      </c>
      <c r="I10376">
        <v>311</v>
      </c>
      <c r="J10376" t="str">
        <f>HYPERLINK("https://climate.onebuilding.org/WMO_Region_6_Europe/SVK_Slovakia/ZI_Zilina/SVK_ZI_Zilina.AP.118410_TMYx.2009-2023.zip")</f>
        <v>https://climate.onebuilding.org/WMO_Region_6_Europe/SVK_Slovakia/ZI_Zilina/SVK_ZI_Zilina.AP.118410_TMYx.2009-2023.zip</v>
      </c>
    </row>
    <row r="10377" spans="1:10" x14ac:dyDescent="0.25">
      <c r="A10377" t="s">
        <v>7500</v>
      </c>
      <c r="B10377" t="s">
        <v>7513</v>
      </c>
      <c r="C10377" t="s">
        <v>7514</v>
      </c>
      <c r="D10377">
        <v>118410</v>
      </c>
      <c r="E10377" t="s">
        <v>14</v>
      </c>
      <c r="F10377">
        <v>49.232500000000002</v>
      </c>
      <c r="G10377">
        <v>18.6142</v>
      </c>
      <c r="H10377">
        <v>1</v>
      </c>
      <c r="I10377">
        <v>311</v>
      </c>
      <c r="J10377" t="str">
        <f>HYPERLINK("https://climate.onebuilding.org/WMO_Region_6_Europe/SVK_Slovakia/ZI_Zilina/SVK_ZI_Zilina.AP.118410_TMYx.zip")</f>
        <v>https://climate.onebuilding.org/WMO_Region_6_Europe/SVK_Slovakia/ZI_Zilina/SVK_ZI_Zilina.AP.118410_TMYx.zip</v>
      </c>
    </row>
    <row r="10378" spans="1:10" x14ac:dyDescent="0.25">
      <c r="A10378" t="s">
        <v>7500</v>
      </c>
      <c r="B10378" t="s">
        <v>1149</v>
      </c>
      <c r="C10378" t="s">
        <v>7516</v>
      </c>
      <c r="D10378">
        <v>118550</v>
      </c>
      <c r="E10378" t="s">
        <v>7517</v>
      </c>
      <c r="F10378">
        <v>48.283299999999997</v>
      </c>
      <c r="G10378">
        <v>18.133299999999998</v>
      </c>
      <c r="H10378">
        <v>1</v>
      </c>
      <c r="I10378">
        <v>136</v>
      </c>
      <c r="J10378" t="str">
        <f>HYPERLINK("https://climate.onebuilding.org/WMO_Region_6_Europe/SVK_Slovakia/NI_Nitra/SVK_NI_Nitra.AP.118550_TMYx.2004-2018.zip")</f>
        <v>https://climate.onebuilding.org/WMO_Region_6_Europe/SVK_Slovakia/NI_Nitra/SVK_NI_Nitra.AP.118550_TMYx.2004-2018.zip</v>
      </c>
    </row>
    <row r="10379" spans="1:10" x14ac:dyDescent="0.25">
      <c r="A10379" t="s">
        <v>7500</v>
      </c>
      <c r="B10379" t="s">
        <v>1149</v>
      </c>
      <c r="C10379" t="s">
        <v>7516</v>
      </c>
      <c r="D10379">
        <v>118550</v>
      </c>
      <c r="E10379" t="s">
        <v>14</v>
      </c>
      <c r="F10379">
        <v>48.283299999999997</v>
      </c>
      <c r="G10379">
        <v>18.133299999999998</v>
      </c>
      <c r="H10379">
        <v>1</v>
      </c>
      <c r="I10379">
        <v>136</v>
      </c>
      <c r="J10379" t="str">
        <f>HYPERLINK("https://climate.onebuilding.org/WMO_Region_6_Europe/SVK_Slovakia/NI_Nitra/SVK_NI_Nitra.AP.118550_TMYx.2007-2021.zip")</f>
        <v>https://climate.onebuilding.org/WMO_Region_6_Europe/SVK_Slovakia/NI_Nitra/SVK_NI_Nitra.AP.118550_TMYx.2007-2021.zip</v>
      </c>
    </row>
    <row r="10380" spans="1:10" x14ac:dyDescent="0.25">
      <c r="A10380" t="s">
        <v>7500</v>
      </c>
      <c r="B10380" t="s">
        <v>1149</v>
      </c>
      <c r="C10380" t="s">
        <v>7516</v>
      </c>
      <c r="D10380">
        <v>118550</v>
      </c>
      <c r="E10380" t="s">
        <v>14</v>
      </c>
      <c r="F10380">
        <v>48.283299999999997</v>
      </c>
      <c r="G10380">
        <v>18.133299999999998</v>
      </c>
      <c r="H10380">
        <v>1</v>
      </c>
      <c r="I10380">
        <v>136</v>
      </c>
      <c r="J10380" t="str">
        <f>HYPERLINK("https://climate.onebuilding.org/WMO_Region_6_Europe/SVK_Slovakia/NI_Nitra/SVK_NI_Nitra.AP.118550_TMYx.2009-2023.zip")</f>
        <v>https://climate.onebuilding.org/WMO_Region_6_Europe/SVK_Slovakia/NI_Nitra/SVK_NI_Nitra.AP.118550_TMYx.2009-2023.zip</v>
      </c>
    </row>
    <row r="10381" spans="1:10" x14ac:dyDescent="0.25">
      <c r="A10381" t="s">
        <v>7500</v>
      </c>
      <c r="B10381" t="s">
        <v>1149</v>
      </c>
      <c r="C10381" t="s">
        <v>7516</v>
      </c>
      <c r="D10381">
        <v>118550</v>
      </c>
      <c r="E10381" t="s">
        <v>14</v>
      </c>
      <c r="F10381">
        <v>48.283299999999997</v>
      </c>
      <c r="G10381">
        <v>18.133299999999998</v>
      </c>
      <c r="H10381">
        <v>1</v>
      </c>
      <c r="I10381">
        <v>136</v>
      </c>
      <c r="J10381" t="str">
        <f>HYPERLINK("https://climate.onebuilding.org/WMO_Region_6_Europe/SVK_Slovakia/NI_Nitra/SVK_NI_Nitra.AP.118550_TMYx.zip")</f>
        <v>https://climate.onebuilding.org/WMO_Region_6_Europe/SVK_Slovakia/NI_Nitra/SVK_NI_Nitra.AP.118550_TMYx.zip</v>
      </c>
    </row>
    <row r="10382" spans="1:10" x14ac:dyDescent="0.25">
      <c r="A10382" t="s">
        <v>7500</v>
      </c>
      <c r="B10382" t="s">
        <v>1149</v>
      </c>
      <c r="C10382" t="s">
        <v>7518</v>
      </c>
      <c r="D10382">
        <v>118560</v>
      </c>
      <c r="E10382" t="s">
        <v>7519</v>
      </c>
      <c r="F10382">
        <v>48.283299999999997</v>
      </c>
      <c r="G10382">
        <v>18.45</v>
      </c>
      <c r="H10382">
        <v>1</v>
      </c>
      <c r="I10382">
        <v>262</v>
      </c>
      <c r="J10382" t="str">
        <f>HYPERLINK("https://climate.onebuilding.org/WMO_Region_6_Europe/SVK_Slovakia/NI_Nitra/SVK_NI_Mochovce.118560_TMYx.2004-2018.zip")</f>
        <v>https://climate.onebuilding.org/WMO_Region_6_Europe/SVK_Slovakia/NI_Nitra/SVK_NI_Mochovce.118560_TMYx.2004-2018.zip</v>
      </c>
    </row>
    <row r="10383" spans="1:10" x14ac:dyDescent="0.25">
      <c r="A10383" t="s">
        <v>7500</v>
      </c>
      <c r="B10383" t="s">
        <v>1149</v>
      </c>
      <c r="C10383" t="s">
        <v>7518</v>
      </c>
      <c r="D10383">
        <v>118560</v>
      </c>
      <c r="E10383" t="s">
        <v>14</v>
      </c>
      <c r="F10383">
        <v>48.288899999999998</v>
      </c>
      <c r="G10383">
        <v>18.454999999999998</v>
      </c>
      <c r="H10383">
        <v>1</v>
      </c>
      <c r="I10383">
        <v>262</v>
      </c>
      <c r="J10383" t="str">
        <f>HYPERLINK("https://climate.onebuilding.org/WMO_Region_6_Europe/SVK_Slovakia/NI_Nitra/SVK_NI_Mochovce.118560_TMYx.2007-2021.zip")</f>
        <v>https://climate.onebuilding.org/WMO_Region_6_Europe/SVK_Slovakia/NI_Nitra/SVK_NI_Mochovce.118560_TMYx.2007-2021.zip</v>
      </c>
    </row>
    <row r="10384" spans="1:10" x14ac:dyDescent="0.25">
      <c r="A10384" t="s">
        <v>7500</v>
      </c>
      <c r="B10384" t="s">
        <v>1149</v>
      </c>
      <c r="C10384" t="s">
        <v>7518</v>
      </c>
      <c r="D10384">
        <v>118560</v>
      </c>
      <c r="E10384" t="s">
        <v>14</v>
      </c>
      <c r="F10384">
        <v>48.288899999999998</v>
      </c>
      <c r="G10384">
        <v>18.454999999999998</v>
      </c>
      <c r="H10384">
        <v>1</v>
      </c>
      <c r="I10384">
        <v>262</v>
      </c>
      <c r="J10384" t="str">
        <f>HYPERLINK("https://climate.onebuilding.org/WMO_Region_6_Europe/SVK_Slovakia/NI_Nitra/SVK_NI_Mochovce.118560_TMYx.2009-2023.zip")</f>
        <v>https://climate.onebuilding.org/WMO_Region_6_Europe/SVK_Slovakia/NI_Nitra/SVK_NI_Mochovce.118560_TMYx.2009-2023.zip</v>
      </c>
    </row>
    <row r="10385" spans="1:10" x14ac:dyDescent="0.25">
      <c r="A10385" t="s">
        <v>7500</v>
      </c>
      <c r="B10385" t="s">
        <v>1149</v>
      </c>
      <c r="C10385" t="s">
        <v>7518</v>
      </c>
      <c r="D10385">
        <v>118560</v>
      </c>
      <c r="E10385" t="s">
        <v>14</v>
      </c>
      <c r="F10385">
        <v>48.288899999999998</v>
      </c>
      <c r="G10385">
        <v>18.454999999999998</v>
      </c>
      <c r="H10385">
        <v>1</v>
      </c>
      <c r="I10385">
        <v>262</v>
      </c>
      <c r="J10385" t="str">
        <f>HYPERLINK("https://climate.onebuilding.org/WMO_Region_6_Europe/SVK_Slovakia/NI_Nitra/SVK_NI_Mochovce.118560_TMYx.zip")</f>
        <v>https://climate.onebuilding.org/WMO_Region_6_Europe/SVK_Slovakia/NI_Nitra/SVK_NI_Mochovce.118560_TMYx.zip</v>
      </c>
    </row>
    <row r="10386" spans="1:10" x14ac:dyDescent="0.25">
      <c r="A10386" t="s">
        <v>7500</v>
      </c>
      <c r="B10386" t="s">
        <v>1149</v>
      </c>
      <c r="C10386" t="s">
        <v>7520</v>
      </c>
      <c r="D10386">
        <v>118580</v>
      </c>
      <c r="E10386" t="s">
        <v>7521</v>
      </c>
      <c r="F10386">
        <v>47.866700000000002</v>
      </c>
      <c r="G10386">
        <v>18.2</v>
      </c>
      <c r="H10386">
        <v>1</v>
      </c>
      <c r="I10386">
        <v>124</v>
      </c>
      <c r="J10386" t="str">
        <f>HYPERLINK("https://climate.onebuilding.org/WMO_Region_6_Europe/SVK_Slovakia/NI_Nitra/SVK_NI_Hurbanovo.118580_TMYx.2004-2018.zip")</f>
        <v>https://climate.onebuilding.org/WMO_Region_6_Europe/SVK_Slovakia/NI_Nitra/SVK_NI_Hurbanovo.118580_TMYx.2004-2018.zip</v>
      </c>
    </row>
    <row r="10387" spans="1:10" x14ac:dyDescent="0.25">
      <c r="A10387" t="s">
        <v>7500</v>
      </c>
      <c r="B10387" t="s">
        <v>1149</v>
      </c>
      <c r="C10387" t="s">
        <v>7520</v>
      </c>
      <c r="D10387">
        <v>118580</v>
      </c>
      <c r="E10387" t="s">
        <v>14</v>
      </c>
      <c r="F10387">
        <v>47.866700000000002</v>
      </c>
      <c r="G10387">
        <v>18.2</v>
      </c>
      <c r="H10387">
        <v>1</v>
      </c>
      <c r="I10387">
        <v>124</v>
      </c>
      <c r="J10387" t="str">
        <f>HYPERLINK("https://climate.onebuilding.org/WMO_Region_6_Europe/SVK_Slovakia/NI_Nitra/SVK_NI_Hurbanovo.118580_TMYx.2007-2021.zip")</f>
        <v>https://climate.onebuilding.org/WMO_Region_6_Europe/SVK_Slovakia/NI_Nitra/SVK_NI_Hurbanovo.118580_TMYx.2007-2021.zip</v>
      </c>
    </row>
    <row r="10388" spans="1:10" x14ac:dyDescent="0.25">
      <c r="A10388" t="s">
        <v>7500</v>
      </c>
      <c r="B10388" t="s">
        <v>1149</v>
      </c>
      <c r="C10388" t="s">
        <v>7520</v>
      </c>
      <c r="D10388">
        <v>118580</v>
      </c>
      <c r="E10388" t="s">
        <v>14</v>
      </c>
      <c r="F10388">
        <v>47.866700000000002</v>
      </c>
      <c r="G10388">
        <v>18.2</v>
      </c>
      <c r="H10388">
        <v>1</v>
      </c>
      <c r="I10388">
        <v>124</v>
      </c>
      <c r="J10388" t="str">
        <f>HYPERLINK("https://climate.onebuilding.org/WMO_Region_6_Europe/SVK_Slovakia/NI_Nitra/SVK_NI_Hurbanovo.118580_TMYx.2009-2023.zip")</f>
        <v>https://climate.onebuilding.org/WMO_Region_6_Europe/SVK_Slovakia/NI_Nitra/SVK_NI_Hurbanovo.118580_TMYx.2009-2023.zip</v>
      </c>
    </row>
    <row r="10389" spans="1:10" x14ac:dyDescent="0.25">
      <c r="A10389" t="s">
        <v>7500</v>
      </c>
      <c r="B10389" t="s">
        <v>1149</v>
      </c>
      <c r="C10389" t="s">
        <v>7520</v>
      </c>
      <c r="D10389">
        <v>118580</v>
      </c>
      <c r="E10389" t="s">
        <v>14</v>
      </c>
      <c r="F10389">
        <v>47.866700000000002</v>
      </c>
      <c r="G10389">
        <v>18.2</v>
      </c>
      <c r="H10389">
        <v>1</v>
      </c>
      <c r="I10389">
        <v>124</v>
      </c>
      <c r="J10389" t="str">
        <f>HYPERLINK("https://climate.onebuilding.org/WMO_Region_6_Europe/SVK_Slovakia/NI_Nitra/SVK_NI_Hurbanovo.118580_TMYx.zip")</f>
        <v>https://climate.onebuilding.org/WMO_Region_6_Europe/SVK_Slovakia/NI_Nitra/SVK_NI_Hurbanovo.118580_TMYx.zip</v>
      </c>
    </row>
    <row r="10390" spans="1:10" x14ac:dyDescent="0.25">
      <c r="A10390" t="s">
        <v>7500</v>
      </c>
      <c r="B10390" t="s">
        <v>4683</v>
      </c>
      <c r="C10390" t="s">
        <v>7522</v>
      </c>
      <c r="D10390">
        <v>118670</v>
      </c>
      <c r="E10390" t="s">
        <v>7523</v>
      </c>
      <c r="F10390">
        <v>48.7667</v>
      </c>
      <c r="G10390">
        <v>18.600000000000001</v>
      </c>
      <c r="H10390">
        <v>1</v>
      </c>
      <c r="I10390">
        <v>261</v>
      </c>
      <c r="J10390" t="str">
        <f>HYPERLINK("https://climate.onebuilding.org/WMO_Region_6_Europe/SVK_Slovakia/TC_Trencin/SVK_TC_Prievidza.AP.118670_TMYx.2004-2018.zip")</f>
        <v>https://climate.onebuilding.org/WMO_Region_6_Europe/SVK_Slovakia/TC_Trencin/SVK_TC_Prievidza.AP.118670_TMYx.2004-2018.zip</v>
      </c>
    </row>
    <row r="10391" spans="1:10" x14ac:dyDescent="0.25">
      <c r="A10391" t="s">
        <v>7500</v>
      </c>
      <c r="B10391" t="s">
        <v>4683</v>
      </c>
      <c r="C10391" t="s">
        <v>7522</v>
      </c>
      <c r="D10391">
        <v>118670</v>
      </c>
      <c r="E10391" t="s">
        <v>14</v>
      </c>
      <c r="F10391">
        <v>48.7667</v>
      </c>
      <c r="G10391">
        <v>18.600000000000001</v>
      </c>
      <c r="H10391">
        <v>1</v>
      </c>
      <c r="I10391">
        <v>261</v>
      </c>
      <c r="J10391" t="str">
        <f>HYPERLINK("https://climate.onebuilding.org/WMO_Region_6_Europe/SVK_Slovakia/TC_Trencin/SVK_TC_Prievidza.AP.118670_TMYx.2007-2021.zip")</f>
        <v>https://climate.onebuilding.org/WMO_Region_6_Europe/SVK_Slovakia/TC_Trencin/SVK_TC_Prievidza.AP.118670_TMYx.2007-2021.zip</v>
      </c>
    </row>
    <row r="10392" spans="1:10" x14ac:dyDescent="0.25">
      <c r="A10392" t="s">
        <v>7500</v>
      </c>
      <c r="B10392" t="s">
        <v>4683</v>
      </c>
      <c r="C10392" t="s">
        <v>7522</v>
      </c>
      <c r="D10392">
        <v>118670</v>
      </c>
      <c r="E10392" t="s">
        <v>14</v>
      </c>
      <c r="F10392">
        <v>48.7667</v>
      </c>
      <c r="G10392">
        <v>18.600000000000001</v>
      </c>
      <c r="H10392">
        <v>1</v>
      </c>
      <c r="I10392">
        <v>261</v>
      </c>
      <c r="J10392" t="str">
        <f>HYPERLINK("https://climate.onebuilding.org/WMO_Region_6_Europe/SVK_Slovakia/TC_Trencin/SVK_TC_Prievidza.AP.118670_TMYx.2009-2023.zip")</f>
        <v>https://climate.onebuilding.org/WMO_Region_6_Europe/SVK_Slovakia/TC_Trencin/SVK_TC_Prievidza.AP.118670_TMYx.2009-2023.zip</v>
      </c>
    </row>
    <row r="10393" spans="1:10" x14ac:dyDescent="0.25">
      <c r="A10393" t="s">
        <v>7500</v>
      </c>
      <c r="B10393" t="s">
        <v>4683</v>
      </c>
      <c r="C10393" t="s">
        <v>7522</v>
      </c>
      <c r="D10393">
        <v>118670</v>
      </c>
      <c r="E10393" t="s">
        <v>14</v>
      </c>
      <c r="F10393">
        <v>48.7667</v>
      </c>
      <c r="G10393">
        <v>18.600000000000001</v>
      </c>
      <c r="H10393">
        <v>1</v>
      </c>
      <c r="I10393">
        <v>261</v>
      </c>
      <c r="J10393" t="str">
        <f>HYPERLINK("https://climate.onebuilding.org/WMO_Region_6_Europe/SVK_Slovakia/TC_Trencin/SVK_TC_Prievidza.AP.118670_TMYx.zip")</f>
        <v>https://climate.onebuilding.org/WMO_Region_6_Europe/SVK_Slovakia/TC_Trencin/SVK_TC_Prievidza.AP.118670_TMYx.zip</v>
      </c>
    </row>
    <row r="10394" spans="1:10" x14ac:dyDescent="0.25">
      <c r="A10394" t="s">
        <v>7500</v>
      </c>
      <c r="B10394" t="s">
        <v>5453</v>
      </c>
      <c r="C10394" t="s">
        <v>7524</v>
      </c>
      <c r="D10394">
        <v>118800</v>
      </c>
      <c r="E10394" t="s">
        <v>7525</v>
      </c>
      <c r="F10394">
        <v>48.168900000000001</v>
      </c>
      <c r="G10394">
        <v>18.875</v>
      </c>
      <c r="H10394">
        <v>1</v>
      </c>
      <c r="I10394">
        <v>140</v>
      </c>
      <c r="J10394" t="str">
        <f>HYPERLINK("https://climate.onebuilding.org/WMO_Region_6_Europe/SVK_Slovakia/BC_Banska_Bystrica/SVK_BC_Dudince.118800_TMYx.2004-2018.zip")</f>
        <v>https://climate.onebuilding.org/WMO_Region_6_Europe/SVK_Slovakia/BC_Banska_Bystrica/SVK_BC_Dudince.118800_TMYx.2004-2018.zip</v>
      </c>
    </row>
    <row r="10395" spans="1:10" x14ac:dyDescent="0.25">
      <c r="A10395" t="s">
        <v>7500</v>
      </c>
      <c r="B10395" t="s">
        <v>5453</v>
      </c>
      <c r="C10395" t="s">
        <v>7524</v>
      </c>
      <c r="D10395">
        <v>118800</v>
      </c>
      <c r="E10395" t="s">
        <v>14</v>
      </c>
      <c r="F10395">
        <v>48.167000000000002</v>
      </c>
      <c r="G10395">
        <v>18.867000000000001</v>
      </c>
      <c r="H10395">
        <v>1</v>
      </c>
      <c r="I10395">
        <v>140</v>
      </c>
      <c r="J10395" t="str">
        <f>HYPERLINK("https://climate.onebuilding.org/WMO_Region_6_Europe/SVK_Slovakia/BC_Banska_Bystrica/SVK_BC_Dudince.118800_TMYx.2007-2021.zip")</f>
        <v>https://climate.onebuilding.org/WMO_Region_6_Europe/SVK_Slovakia/BC_Banska_Bystrica/SVK_BC_Dudince.118800_TMYx.2007-2021.zip</v>
      </c>
    </row>
    <row r="10396" spans="1:10" x14ac:dyDescent="0.25">
      <c r="A10396" t="s">
        <v>7500</v>
      </c>
      <c r="B10396" t="s">
        <v>5453</v>
      </c>
      <c r="C10396" t="s">
        <v>7524</v>
      </c>
      <c r="D10396">
        <v>118800</v>
      </c>
      <c r="E10396" t="s">
        <v>14</v>
      </c>
      <c r="F10396">
        <v>48.167000000000002</v>
      </c>
      <c r="G10396">
        <v>18.867000000000001</v>
      </c>
      <c r="H10396">
        <v>1</v>
      </c>
      <c r="I10396">
        <v>140</v>
      </c>
      <c r="J10396" t="str">
        <f>HYPERLINK("https://climate.onebuilding.org/WMO_Region_6_Europe/SVK_Slovakia/BC_Banska_Bystrica/SVK_BC_Dudince.118800_TMYx.2009-2023.zip")</f>
        <v>https://climate.onebuilding.org/WMO_Region_6_Europe/SVK_Slovakia/BC_Banska_Bystrica/SVK_BC_Dudince.118800_TMYx.2009-2023.zip</v>
      </c>
    </row>
    <row r="10397" spans="1:10" x14ac:dyDescent="0.25">
      <c r="A10397" t="s">
        <v>7500</v>
      </c>
      <c r="B10397" t="s">
        <v>5453</v>
      </c>
      <c r="C10397" t="s">
        <v>7524</v>
      </c>
      <c r="D10397">
        <v>118800</v>
      </c>
      <c r="E10397" t="s">
        <v>14</v>
      </c>
      <c r="F10397">
        <v>48.167000000000002</v>
      </c>
      <c r="G10397">
        <v>18.867000000000001</v>
      </c>
      <c r="H10397">
        <v>1</v>
      </c>
      <c r="I10397">
        <v>140</v>
      </c>
      <c r="J10397" t="str">
        <f>HYPERLINK("https://climate.onebuilding.org/WMO_Region_6_Europe/SVK_Slovakia/BC_Banska_Bystrica/SVK_BC_Dudince.118800_TMYx.zip")</f>
        <v>https://climate.onebuilding.org/WMO_Region_6_Europe/SVK_Slovakia/BC_Banska_Bystrica/SVK_BC_Dudince.118800_TMYx.zip</v>
      </c>
    </row>
    <row r="10398" spans="1:10" x14ac:dyDescent="0.25">
      <c r="A10398" t="s">
        <v>7500</v>
      </c>
      <c r="B10398" t="s">
        <v>5453</v>
      </c>
      <c r="C10398" t="s">
        <v>7526</v>
      </c>
      <c r="D10398">
        <v>119030</v>
      </c>
      <c r="E10398" t="s">
        <v>7527</v>
      </c>
      <c r="F10398">
        <v>48.65</v>
      </c>
      <c r="G10398">
        <v>19.149999999999999</v>
      </c>
      <c r="H10398">
        <v>1</v>
      </c>
      <c r="I10398">
        <v>315</v>
      </c>
      <c r="J10398" t="str">
        <f>HYPERLINK("https://climate.onebuilding.org/WMO_Region_6_Europe/SVK_Slovakia/BC_Banska_Bystrica/SVK_BC_Sliac.AP.119030_TMYx.2004-2018.zip")</f>
        <v>https://climate.onebuilding.org/WMO_Region_6_Europe/SVK_Slovakia/BC_Banska_Bystrica/SVK_BC_Sliac.AP.119030_TMYx.2004-2018.zip</v>
      </c>
    </row>
    <row r="10399" spans="1:10" x14ac:dyDescent="0.25">
      <c r="A10399" t="s">
        <v>7500</v>
      </c>
      <c r="B10399" t="s">
        <v>5453</v>
      </c>
      <c r="C10399" t="s">
        <v>7526</v>
      </c>
      <c r="D10399">
        <v>119030</v>
      </c>
      <c r="E10399" t="s">
        <v>14</v>
      </c>
      <c r="F10399">
        <v>48.65</v>
      </c>
      <c r="G10399">
        <v>19.149999999999999</v>
      </c>
      <c r="H10399">
        <v>1</v>
      </c>
      <c r="I10399">
        <v>315</v>
      </c>
      <c r="J10399" t="str">
        <f>HYPERLINK("https://climate.onebuilding.org/WMO_Region_6_Europe/SVK_Slovakia/BC_Banska_Bystrica/SVK_BC_Sliac.AP.119030_TMYx.2007-2021.zip")</f>
        <v>https://climate.onebuilding.org/WMO_Region_6_Europe/SVK_Slovakia/BC_Banska_Bystrica/SVK_BC_Sliac.AP.119030_TMYx.2007-2021.zip</v>
      </c>
    </row>
    <row r="10400" spans="1:10" x14ac:dyDescent="0.25">
      <c r="A10400" t="s">
        <v>7500</v>
      </c>
      <c r="B10400" t="s">
        <v>5453</v>
      </c>
      <c r="C10400" t="s">
        <v>7526</v>
      </c>
      <c r="D10400">
        <v>119030</v>
      </c>
      <c r="E10400" t="s">
        <v>14</v>
      </c>
      <c r="F10400">
        <v>48.65</v>
      </c>
      <c r="G10400">
        <v>19.149999999999999</v>
      </c>
      <c r="H10400">
        <v>1</v>
      </c>
      <c r="I10400">
        <v>315</v>
      </c>
      <c r="J10400" t="str">
        <f>HYPERLINK("https://climate.onebuilding.org/WMO_Region_6_Europe/SVK_Slovakia/BC_Banska_Bystrica/SVK_BC_Sliac.AP.119030_TMYx.2009-2023.zip")</f>
        <v>https://climate.onebuilding.org/WMO_Region_6_Europe/SVK_Slovakia/BC_Banska_Bystrica/SVK_BC_Sliac.AP.119030_TMYx.2009-2023.zip</v>
      </c>
    </row>
    <row r="10401" spans="1:10" x14ac:dyDescent="0.25">
      <c r="A10401" t="s">
        <v>7500</v>
      </c>
      <c r="B10401" t="s">
        <v>5453</v>
      </c>
      <c r="C10401" t="s">
        <v>7526</v>
      </c>
      <c r="D10401">
        <v>119030</v>
      </c>
      <c r="E10401" t="s">
        <v>14</v>
      </c>
      <c r="F10401">
        <v>48.65</v>
      </c>
      <c r="G10401">
        <v>19.149999999999999</v>
      </c>
      <c r="H10401">
        <v>1</v>
      </c>
      <c r="I10401">
        <v>315</v>
      </c>
      <c r="J10401" t="str">
        <f>HYPERLINK("https://climate.onebuilding.org/WMO_Region_6_Europe/SVK_Slovakia/BC_Banska_Bystrica/SVK_BC_Sliac.AP.119030_TMYx.zip")</f>
        <v>https://climate.onebuilding.org/WMO_Region_6_Europe/SVK_Slovakia/BC_Banska_Bystrica/SVK_BC_Sliac.AP.119030_TMYx.zip</v>
      </c>
    </row>
    <row r="10402" spans="1:10" x14ac:dyDescent="0.25">
      <c r="A10402" t="s">
        <v>7500</v>
      </c>
      <c r="B10402" t="s">
        <v>7513</v>
      </c>
      <c r="C10402" t="s">
        <v>7528</v>
      </c>
      <c r="D10402">
        <v>119160</v>
      </c>
      <c r="E10402" t="s">
        <v>7529</v>
      </c>
      <c r="F10402">
        <v>48.9833</v>
      </c>
      <c r="G10402">
        <v>19.600000000000001</v>
      </c>
      <c r="H10402">
        <v>1</v>
      </c>
      <c r="I10402">
        <v>2007</v>
      </c>
      <c r="J10402" t="str">
        <f>HYPERLINK("https://climate.onebuilding.org/WMO_Region_6_Europe/SVK_Slovakia/ZI_Zilina/SVK_ZI_Chopok.Mtn.119160_TMYx.2004-2018.zip")</f>
        <v>https://climate.onebuilding.org/WMO_Region_6_Europe/SVK_Slovakia/ZI_Zilina/SVK_ZI_Chopok.Mtn.119160_TMYx.2004-2018.zip</v>
      </c>
    </row>
    <row r="10403" spans="1:10" x14ac:dyDescent="0.25">
      <c r="A10403" t="s">
        <v>7500</v>
      </c>
      <c r="B10403" t="s">
        <v>7513</v>
      </c>
      <c r="C10403" t="s">
        <v>7528</v>
      </c>
      <c r="D10403">
        <v>119160</v>
      </c>
      <c r="E10403" t="s">
        <v>14</v>
      </c>
      <c r="F10403">
        <v>48.943300000000001</v>
      </c>
      <c r="G10403">
        <v>19.589200000000002</v>
      </c>
      <c r="H10403">
        <v>1</v>
      </c>
      <c r="I10403">
        <v>2007</v>
      </c>
      <c r="J10403" t="str">
        <f>HYPERLINK("https://climate.onebuilding.org/WMO_Region_6_Europe/SVK_Slovakia/ZI_Zilina/SVK_ZI_Chopok.Mtn.119160_TMYx.2007-2021.zip")</f>
        <v>https://climate.onebuilding.org/WMO_Region_6_Europe/SVK_Slovakia/ZI_Zilina/SVK_ZI_Chopok.Mtn.119160_TMYx.2007-2021.zip</v>
      </c>
    </row>
    <row r="10404" spans="1:10" x14ac:dyDescent="0.25">
      <c r="A10404" t="s">
        <v>7500</v>
      </c>
      <c r="B10404" t="s">
        <v>7513</v>
      </c>
      <c r="C10404" t="s">
        <v>7528</v>
      </c>
      <c r="D10404">
        <v>119160</v>
      </c>
      <c r="E10404" t="s">
        <v>14</v>
      </c>
      <c r="F10404">
        <v>48.943300000000001</v>
      </c>
      <c r="G10404">
        <v>19.589200000000002</v>
      </c>
      <c r="H10404">
        <v>1</v>
      </c>
      <c r="I10404">
        <v>2007</v>
      </c>
      <c r="J10404" t="str">
        <f>HYPERLINK("https://climate.onebuilding.org/WMO_Region_6_Europe/SVK_Slovakia/ZI_Zilina/SVK_ZI_Chopok.Mtn.119160_TMYx.2009-2023.zip")</f>
        <v>https://climate.onebuilding.org/WMO_Region_6_Europe/SVK_Slovakia/ZI_Zilina/SVK_ZI_Chopok.Mtn.119160_TMYx.2009-2023.zip</v>
      </c>
    </row>
    <row r="10405" spans="1:10" x14ac:dyDescent="0.25">
      <c r="A10405" t="s">
        <v>7500</v>
      </c>
      <c r="B10405" t="s">
        <v>7513</v>
      </c>
      <c r="C10405" t="s">
        <v>7528</v>
      </c>
      <c r="D10405">
        <v>119160</v>
      </c>
      <c r="E10405" t="s">
        <v>14</v>
      </c>
      <c r="F10405">
        <v>48.943300000000001</v>
      </c>
      <c r="G10405">
        <v>19.589200000000002</v>
      </c>
      <c r="H10405">
        <v>1</v>
      </c>
      <c r="I10405">
        <v>2007</v>
      </c>
      <c r="J10405" t="str">
        <f>HYPERLINK("https://climate.onebuilding.org/WMO_Region_6_Europe/SVK_Slovakia/ZI_Zilina/SVK_ZI_Chopok.Mtn.119160_TMYx.zip")</f>
        <v>https://climate.onebuilding.org/WMO_Region_6_Europe/SVK_Slovakia/ZI_Zilina/SVK_ZI_Chopok.Mtn.119160_TMYx.zip</v>
      </c>
    </row>
    <row r="10406" spans="1:10" x14ac:dyDescent="0.25">
      <c r="A10406" t="s">
        <v>7500</v>
      </c>
      <c r="B10406" t="s">
        <v>7513</v>
      </c>
      <c r="C10406" t="s">
        <v>7530</v>
      </c>
      <c r="D10406">
        <v>119180</v>
      </c>
      <c r="E10406" t="s">
        <v>7531</v>
      </c>
      <c r="F10406">
        <v>49.366700000000002</v>
      </c>
      <c r="G10406">
        <v>19.683299999999999</v>
      </c>
      <c r="H10406">
        <v>1</v>
      </c>
      <c r="I10406">
        <v>693</v>
      </c>
      <c r="J10406" t="str">
        <f>HYPERLINK("https://climate.onebuilding.org/WMO_Region_6_Europe/SVK_Slovakia/ZI_Zilina/SVK_ZI_Liesek.119180_TMYx.2004-2018.zip")</f>
        <v>https://climate.onebuilding.org/WMO_Region_6_Europe/SVK_Slovakia/ZI_Zilina/SVK_ZI_Liesek.119180_TMYx.2004-2018.zip</v>
      </c>
    </row>
    <row r="10407" spans="1:10" x14ac:dyDescent="0.25">
      <c r="A10407" t="s">
        <v>7500</v>
      </c>
      <c r="B10407" t="s">
        <v>7513</v>
      </c>
      <c r="C10407" t="s">
        <v>7530</v>
      </c>
      <c r="D10407">
        <v>119180</v>
      </c>
      <c r="E10407" t="s">
        <v>14</v>
      </c>
      <c r="F10407">
        <v>49.366700000000002</v>
      </c>
      <c r="G10407">
        <v>19.683299999999999</v>
      </c>
      <c r="H10407">
        <v>1</v>
      </c>
      <c r="I10407">
        <v>693</v>
      </c>
      <c r="J10407" t="str">
        <f>HYPERLINK("https://climate.onebuilding.org/WMO_Region_6_Europe/SVK_Slovakia/ZI_Zilina/SVK_ZI_Liesek.119180_TMYx.2007-2021.zip")</f>
        <v>https://climate.onebuilding.org/WMO_Region_6_Europe/SVK_Slovakia/ZI_Zilina/SVK_ZI_Liesek.119180_TMYx.2007-2021.zip</v>
      </c>
    </row>
    <row r="10408" spans="1:10" x14ac:dyDescent="0.25">
      <c r="A10408" t="s">
        <v>7500</v>
      </c>
      <c r="B10408" t="s">
        <v>7513</v>
      </c>
      <c r="C10408" t="s">
        <v>7530</v>
      </c>
      <c r="D10408">
        <v>119180</v>
      </c>
      <c r="E10408" t="s">
        <v>14</v>
      </c>
      <c r="F10408">
        <v>49.366700000000002</v>
      </c>
      <c r="G10408">
        <v>19.683299999999999</v>
      </c>
      <c r="H10408">
        <v>1</v>
      </c>
      <c r="I10408">
        <v>693</v>
      </c>
      <c r="J10408" t="str">
        <f>HYPERLINK("https://climate.onebuilding.org/WMO_Region_6_Europe/SVK_Slovakia/ZI_Zilina/SVK_ZI_Liesek.119180_TMYx.2009-2023.zip")</f>
        <v>https://climate.onebuilding.org/WMO_Region_6_Europe/SVK_Slovakia/ZI_Zilina/SVK_ZI_Liesek.119180_TMYx.2009-2023.zip</v>
      </c>
    </row>
    <row r="10409" spans="1:10" x14ac:dyDescent="0.25">
      <c r="A10409" t="s">
        <v>7500</v>
      </c>
      <c r="B10409" t="s">
        <v>7513</v>
      </c>
      <c r="C10409" t="s">
        <v>7530</v>
      </c>
      <c r="D10409">
        <v>119180</v>
      </c>
      <c r="E10409" t="s">
        <v>14</v>
      </c>
      <c r="F10409">
        <v>49.366700000000002</v>
      </c>
      <c r="G10409">
        <v>19.683299999999999</v>
      </c>
      <c r="H10409">
        <v>1</v>
      </c>
      <c r="I10409">
        <v>693</v>
      </c>
      <c r="J10409" t="str">
        <f>HYPERLINK("https://climate.onebuilding.org/WMO_Region_6_Europe/SVK_Slovakia/ZI_Zilina/SVK_ZI_Liesek.119180_TMYx.zip")</f>
        <v>https://climate.onebuilding.org/WMO_Region_6_Europe/SVK_Slovakia/ZI_Zilina/SVK_ZI_Liesek.119180_TMYx.zip</v>
      </c>
    </row>
    <row r="10410" spans="1:10" x14ac:dyDescent="0.25">
      <c r="A10410" t="s">
        <v>7500</v>
      </c>
      <c r="B10410" t="s">
        <v>5453</v>
      </c>
      <c r="C10410" t="s">
        <v>7532</v>
      </c>
      <c r="D10410">
        <v>119270</v>
      </c>
      <c r="E10410" t="s">
        <v>7533</v>
      </c>
      <c r="F10410">
        <v>48.333300000000001</v>
      </c>
      <c r="G10410">
        <v>19.7333</v>
      </c>
      <c r="H10410">
        <v>1</v>
      </c>
      <c r="I10410">
        <v>215</v>
      </c>
      <c r="J10410" t="str">
        <f>HYPERLINK("https://climate.onebuilding.org/WMO_Region_6_Europe/SVK_Slovakia/BC_Banska_Bystrica/SVK_BC_Lucenec.119270_TMYx.2004-2018.zip")</f>
        <v>https://climate.onebuilding.org/WMO_Region_6_Europe/SVK_Slovakia/BC_Banska_Bystrica/SVK_BC_Lucenec.119270_TMYx.2004-2018.zip</v>
      </c>
    </row>
    <row r="10411" spans="1:10" x14ac:dyDescent="0.25">
      <c r="A10411" t="s">
        <v>7500</v>
      </c>
      <c r="B10411" t="s">
        <v>5453</v>
      </c>
      <c r="C10411" t="s">
        <v>7532</v>
      </c>
      <c r="D10411">
        <v>119270</v>
      </c>
      <c r="E10411" t="s">
        <v>14</v>
      </c>
      <c r="F10411">
        <v>48.333300000000001</v>
      </c>
      <c r="G10411">
        <v>19.7333</v>
      </c>
      <c r="H10411">
        <v>1</v>
      </c>
      <c r="I10411">
        <v>215</v>
      </c>
      <c r="J10411" t="str">
        <f>HYPERLINK("https://climate.onebuilding.org/WMO_Region_6_Europe/SVK_Slovakia/BC_Banska_Bystrica/SVK_BC_Lucenec.119270_TMYx.2007-2021.zip")</f>
        <v>https://climate.onebuilding.org/WMO_Region_6_Europe/SVK_Slovakia/BC_Banska_Bystrica/SVK_BC_Lucenec.119270_TMYx.2007-2021.zip</v>
      </c>
    </row>
    <row r="10412" spans="1:10" x14ac:dyDescent="0.25">
      <c r="A10412" t="s">
        <v>7500</v>
      </c>
      <c r="B10412" t="s">
        <v>5453</v>
      </c>
      <c r="C10412" t="s">
        <v>7532</v>
      </c>
      <c r="D10412">
        <v>119270</v>
      </c>
      <c r="E10412" t="s">
        <v>14</v>
      </c>
      <c r="F10412">
        <v>48.333300000000001</v>
      </c>
      <c r="G10412">
        <v>19.7333</v>
      </c>
      <c r="H10412">
        <v>1</v>
      </c>
      <c r="I10412">
        <v>215</v>
      </c>
      <c r="J10412" t="str">
        <f>HYPERLINK("https://climate.onebuilding.org/WMO_Region_6_Europe/SVK_Slovakia/BC_Banska_Bystrica/SVK_BC_Lucenec.119270_TMYx.2009-2023.zip")</f>
        <v>https://climate.onebuilding.org/WMO_Region_6_Europe/SVK_Slovakia/BC_Banska_Bystrica/SVK_BC_Lucenec.119270_TMYx.2009-2023.zip</v>
      </c>
    </row>
    <row r="10413" spans="1:10" x14ac:dyDescent="0.25">
      <c r="A10413" t="s">
        <v>7500</v>
      </c>
      <c r="B10413" t="s">
        <v>5453</v>
      </c>
      <c r="C10413" t="s">
        <v>7532</v>
      </c>
      <c r="D10413">
        <v>119270</v>
      </c>
      <c r="E10413" t="s">
        <v>14</v>
      </c>
      <c r="F10413">
        <v>48.333300000000001</v>
      </c>
      <c r="G10413">
        <v>19.7333</v>
      </c>
      <c r="H10413">
        <v>1</v>
      </c>
      <c r="I10413">
        <v>215</v>
      </c>
      <c r="J10413" t="str">
        <f>HYPERLINK("https://climate.onebuilding.org/WMO_Region_6_Europe/SVK_Slovakia/BC_Banska_Bystrica/SVK_BC_Lucenec.119270_TMYx.zip")</f>
        <v>https://climate.onebuilding.org/WMO_Region_6_Europe/SVK_Slovakia/BC_Banska_Bystrica/SVK_BC_Lucenec.119270_TMYx.zip</v>
      </c>
    </row>
    <row r="10414" spans="1:10" x14ac:dyDescent="0.25">
      <c r="A10414" t="s">
        <v>7500</v>
      </c>
      <c r="B10414" t="s">
        <v>498</v>
      </c>
      <c r="C10414" t="s">
        <v>7534</v>
      </c>
      <c r="D10414">
        <v>119300</v>
      </c>
      <c r="E10414" t="s">
        <v>7535</v>
      </c>
      <c r="F10414">
        <v>49.2</v>
      </c>
      <c r="G10414">
        <v>20.216699999999999</v>
      </c>
      <c r="H10414">
        <v>1</v>
      </c>
      <c r="I10414">
        <v>2635</v>
      </c>
      <c r="J10414" t="str">
        <f>HYPERLINK("https://climate.onebuilding.org/WMO_Region_6_Europe/SVK_Slovakia/PV_Presov/SVK_PV_Lomnicky.Stit.Mtn.119300_TMYx.2004-2018.zip")</f>
        <v>https://climate.onebuilding.org/WMO_Region_6_Europe/SVK_Slovakia/PV_Presov/SVK_PV_Lomnicky.Stit.Mtn.119300_TMYx.2004-2018.zip</v>
      </c>
    </row>
    <row r="10415" spans="1:10" x14ac:dyDescent="0.25">
      <c r="A10415" t="s">
        <v>7500</v>
      </c>
      <c r="B10415" t="s">
        <v>498</v>
      </c>
      <c r="C10415" t="s">
        <v>7534</v>
      </c>
      <c r="D10415">
        <v>119300</v>
      </c>
      <c r="E10415" t="s">
        <v>14</v>
      </c>
      <c r="F10415">
        <v>49.195099999999996</v>
      </c>
      <c r="G10415">
        <v>20.213100000000001</v>
      </c>
      <c r="H10415">
        <v>1</v>
      </c>
      <c r="I10415">
        <v>2635</v>
      </c>
      <c r="J10415" t="str">
        <f>HYPERLINK("https://climate.onebuilding.org/WMO_Region_6_Europe/SVK_Slovakia/PV_Presov/SVK_PV_Lomnicky.Stit.Mtn.119300_TMYx.2007-2021.zip")</f>
        <v>https://climate.onebuilding.org/WMO_Region_6_Europe/SVK_Slovakia/PV_Presov/SVK_PV_Lomnicky.Stit.Mtn.119300_TMYx.2007-2021.zip</v>
      </c>
    </row>
    <row r="10416" spans="1:10" x14ac:dyDescent="0.25">
      <c r="A10416" t="s">
        <v>7500</v>
      </c>
      <c r="B10416" t="s">
        <v>498</v>
      </c>
      <c r="C10416" t="s">
        <v>7534</v>
      </c>
      <c r="D10416">
        <v>119300</v>
      </c>
      <c r="E10416" t="s">
        <v>14</v>
      </c>
      <c r="F10416">
        <v>49.195099999999996</v>
      </c>
      <c r="G10416">
        <v>20.213100000000001</v>
      </c>
      <c r="H10416">
        <v>1</v>
      </c>
      <c r="I10416">
        <v>2635</v>
      </c>
      <c r="J10416" t="str">
        <f>HYPERLINK("https://climate.onebuilding.org/WMO_Region_6_Europe/SVK_Slovakia/PV_Presov/SVK_PV_Lomnicky.Stit.Mtn.119300_TMYx.2009-2023.zip")</f>
        <v>https://climate.onebuilding.org/WMO_Region_6_Europe/SVK_Slovakia/PV_Presov/SVK_PV_Lomnicky.Stit.Mtn.119300_TMYx.2009-2023.zip</v>
      </c>
    </row>
    <row r="10417" spans="1:10" x14ac:dyDescent="0.25">
      <c r="A10417" t="s">
        <v>7500</v>
      </c>
      <c r="B10417" t="s">
        <v>498</v>
      </c>
      <c r="C10417" t="s">
        <v>7534</v>
      </c>
      <c r="D10417">
        <v>119300</v>
      </c>
      <c r="E10417" t="s">
        <v>14</v>
      </c>
      <c r="F10417">
        <v>49.195099999999996</v>
      </c>
      <c r="G10417">
        <v>20.213100000000001</v>
      </c>
      <c r="H10417">
        <v>1</v>
      </c>
      <c r="I10417">
        <v>2635</v>
      </c>
      <c r="J10417" t="str">
        <f>HYPERLINK("https://climate.onebuilding.org/WMO_Region_6_Europe/SVK_Slovakia/PV_Presov/SVK_PV_Lomnicky.Stit.Mtn.119300_TMYx.zip")</f>
        <v>https://climate.onebuilding.org/WMO_Region_6_Europe/SVK_Slovakia/PV_Presov/SVK_PV_Lomnicky.Stit.Mtn.119300_TMYx.zip</v>
      </c>
    </row>
    <row r="10418" spans="1:10" x14ac:dyDescent="0.25">
      <c r="A10418" t="s">
        <v>7500</v>
      </c>
      <c r="B10418" t="s">
        <v>498</v>
      </c>
      <c r="C10418" t="s">
        <v>7536</v>
      </c>
      <c r="D10418">
        <v>119330</v>
      </c>
      <c r="E10418" t="s">
        <v>14</v>
      </c>
      <c r="F10418">
        <v>48.933</v>
      </c>
      <c r="G10418">
        <v>22</v>
      </c>
      <c r="H10418">
        <v>1</v>
      </c>
      <c r="I10418">
        <v>177</v>
      </c>
      <c r="J10418" t="str">
        <f>HYPERLINK("https://climate.onebuilding.org/WMO_Region_6_Europe/SVK_Slovakia/PV_Presov/SVK_PV_Strbske.Pleso.119330_TMYx.2007-2021.zip")</f>
        <v>https://climate.onebuilding.org/WMO_Region_6_Europe/SVK_Slovakia/PV_Presov/SVK_PV_Strbske.Pleso.119330_TMYx.2007-2021.zip</v>
      </c>
    </row>
    <row r="10419" spans="1:10" x14ac:dyDescent="0.25">
      <c r="A10419" t="s">
        <v>7500</v>
      </c>
      <c r="B10419" t="s">
        <v>498</v>
      </c>
      <c r="C10419" t="s">
        <v>7536</v>
      </c>
      <c r="D10419">
        <v>119330</v>
      </c>
      <c r="E10419" t="s">
        <v>14</v>
      </c>
      <c r="F10419">
        <v>49.119639999999997</v>
      </c>
      <c r="G10419">
        <v>20.063389999999998</v>
      </c>
      <c r="H10419">
        <v>1</v>
      </c>
      <c r="I10419">
        <v>1331</v>
      </c>
      <c r="J10419" t="str">
        <f>HYPERLINK("https://climate.onebuilding.org/WMO_Region_6_Europe/SVK_Slovakia/PV_Presov/SVK_PV_Strbske.Pleso.119330_TMYx.2009-2023.zip")</f>
        <v>https://climate.onebuilding.org/WMO_Region_6_Europe/SVK_Slovakia/PV_Presov/SVK_PV_Strbske.Pleso.119330_TMYx.2009-2023.zip</v>
      </c>
    </row>
    <row r="10420" spans="1:10" x14ac:dyDescent="0.25">
      <c r="A10420" t="s">
        <v>7500</v>
      </c>
      <c r="B10420" t="s">
        <v>498</v>
      </c>
      <c r="C10420" t="s">
        <v>7536</v>
      </c>
      <c r="D10420">
        <v>119330</v>
      </c>
      <c r="E10420" t="s">
        <v>14</v>
      </c>
      <c r="F10420">
        <v>49.119639999999997</v>
      </c>
      <c r="G10420">
        <v>20.063389999999998</v>
      </c>
      <c r="H10420">
        <v>1</v>
      </c>
      <c r="I10420">
        <v>1331</v>
      </c>
      <c r="J10420" t="str">
        <f>HYPERLINK("https://climate.onebuilding.org/WMO_Region_6_Europe/SVK_Slovakia/PV_Presov/SVK_PV_Strbske.Pleso.119330_TMYx.zip")</f>
        <v>https://climate.onebuilding.org/WMO_Region_6_Europe/SVK_Slovakia/PV_Presov/SVK_PV_Strbske.Pleso.119330_TMYx.zip</v>
      </c>
    </row>
    <row r="10421" spans="1:10" x14ac:dyDescent="0.25">
      <c r="A10421" t="s">
        <v>7500</v>
      </c>
      <c r="B10421" t="s">
        <v>498</v>
      </c>
      <c r="C10421" t="s">
        <v>7537</v>
      </c>
      <c r="D10421">
        <v>119340</v>
      </c>
      <c r="E10421" t="s">
        <v>7538</v>
      </c>
      <c r="F10421">
        <v>49.066699999999997</v>
      </c>
      <c r="G10421">
        <v>20.25</v>
      </c>
      <c r="H10421">
        <v>1</v>
      </c>
      <c r="I10421">
        <v>696</v>
      </c>
      <c r="J10421" t="str">
        <f>HYPERLINK("https://climate.onebuilding.org/WMO_Region_6_Europe/SVK_Slovakia/PV_Presov/SVK_PV_Poprad-Tatry.AP.119340_TMYx.2004-2018.zip")</f>
        <v>https://climate.onebuilding.org/WMO_Region_6_Europe/SVK_Slovakia/PV_Presov/SVK_PV_Poprad-Tatry.AP.119340_TMYx.2004-2018.zip</v>
      </c>
    </row>
    <row r="10422" spans="1:10" x14ac:dyDescent="0.25">
      <c r="A10422" t="s">
        <v>7500</v>
      </c>
      <c r="B10422" t="s">
        <v>498</v>
      </c>
      <c r="C10422" t="s">
        <v>7537</v>
      </c>
      <c r="D10422">
        <v>119340</v>
      </c>
      <c r="E10422" t="s">
        <v>14</v>
      </c>
      <c r="F10422">
        <v>49.073999999999998</v>
      </c>
      <c r="G10422">
        <v>20.241</v>
      </c>
      <c r="H10422">
        <v>1</v>
      </c>
      <c r="I10422">
        <v>696</v>
      </c>
      <c r="J10422" t="str">
        <f>HYPERLINK("https://climate.onebuilding.org/WMO_Region_6_Europe/SVK_Slovakia/PV_Presov/SVK_PV_Poprad-Tatry.AP.119340_TMYx.2007-2021.zip")</f>
        <v>https://climate.onebuilding.org/WMO_Region_6_Europe/SVK_Slovakia/PV_Presov/SVK_PV_Poprad-Tatry.AP.119340_TMYx.2007-2021.zip</v>
      </c>
    </row>
    <row r="10423" spans="1:10" x14ac:dyDescent="0.25">
      <c r="A10423" t="s">
        <v>7500</v>
      </c>
      <c r="B10423" t="s">
        <v>498</v>
      </c>
      <c r="C10423" t="s">
        <v>7537</v>
      </c>
      <c r="D10423">
        <v>119340</v>
      </c>
      <c r="E10423" t="s">
        <v>14</v>
      </c>
      <c r="F10423">
        <v>49.073999999999998</v>
      </c>
      <c r="G10423">
        <v>20.241</v>
      </c>
      <c r="H10423">
        <v>1</v>
      </c>
      <c r="I10423">
        <v>696</v>
      </c>
      <c r="J10423" t="str">
        <f>HYPERLINK("https://climate.onebuilding.org/WMO_Region_6_Europe/SVK_Slovakia/PV_Presov/SVK_PV_Poprad-Tatry.AP.119340_TMYx.2009-2023.zip")</f>
        <v>https://climate.onebuilding.org/WMO_Region_6_Europe/SVK_Slovakia/PV_Presov/SVK_PV_Poprad-Tatry.AP.119340_TMYx.2009-2023.zip</v>
      </c>
    </row>
    <row r="10424" spans="1:10" x14ac:dyDescent="0.25">
      <c r="A10424" t="s">
        <v>7500</v>
      </c>
      <c r="B10424" t="s">
        <v>498</v>
      </c>
      <c r="C10424" t="s">
        <v>7537</v>
      </c>
      <c r="D10424">
        <v>119340</v>
      </c>
      <c r="E10424" t="s">
        <v>14</v>
      </c>
      <c r="F10424">
        <v>49.073999999999998</v>
      </c>
      <c r="G10424">
        <v>20.241</v>
      </c>
      <c r="H10424">
        <v>1</v>
      </c>
      <c r="I10424">
        <v>696</v>
      </c>
      <c r="J10424" t="str">
        <f>HYPERLINK("https://climate.onebuilding.org/WMO_Region_6_Europe/SVK_Slovakia/PV_Presov/SVK_PV_Poprad-Tatry.AP.119340_TMYx.zip")</f>
        <v>https://climate.onebuilding.org/WMO_Region_6_Europe/SVK_Slovakia/PV_Presov/SVK_PV_Poprad-Tatry.AP.119340_TMYx.zip</v>
      </c>
    </row>
    <row r="10425" spans="1:10" x14ac:dyDescent="0.25">
      <c r="A10425" t="s">
        <v>7500</v>
      </c>
      <c r="B10425" t="s">
        <v>5453</v>
      </c>
      <c r="C10425" t="s">
        <v>7539</v>
      </c>
      <c r="D10425">
        <v>119380</v>
      </c>
      <c r="E10425" t="s">
        <v>7540</v>
      </c>
      <c r="F10425">
        <v>48.85</v>
      </c>
      <c r="G10425">
        <v>20.183299999999999</v>
      </c>
      <c r="H10425">
        <v>1</v>
      </c>
      <c r="I10425">
        <v>906</v>
      </c>
      <c r="J10425" t="str">
        <f>HYPERLINK("https://climate.onebuilding.org/WMO_Region_6_Europe/SVK_Slovakia/BC_Banska_Bystrica/SVK_BC_Telgart.119380_TMYx.2004-2018.zip")</f>
        <v>https://climate.onebuilding.org/WMO_Region_6_Europe/SVK_Slovakia/BC_Banska_Bystrica/SVK_BC_Telgart.119380_TMYx.2004-2018.zip</v>
      </c>
    </row>
    <row r="10426" spans="1:10" x14ac:dyDescent="0.25">
      <c r="A10426" t="s">
        <v>7500</v>
      </c>
      <c r="B10426" t="s">
        <v>5453</v>
      </c>
      <c r="C10426" t="s">
        <v>7539</v>
      </c>
      <c r="D10426">
        <v>119380</v>
      </c>
      <c r="E10426" t="s">
        <v>14</v>
      </c>
      <c r="F10426">
        <v>48.85</v>
      </c>
      <c r="G10426">
        <v>20.183299999999999</v>
      </c>
      <c r="H10426">
        <v>1</v>
      </c>
      <c r="I10426">
        <v>906</v>
      </c>
      <c r="J10426" t="str">
        <f>HYPERLINK("https://climate.onebuilding.org/WMO_Region_6_Europe/SVK_Slovakia/BC_Banska_Bystrica/SVK_BC_Telgart.119380_TMYx.2007-2021.zip")</f>
        <v>https://climate.onebuilding.org/WMO_Region_6_Europe/SVK_Slovakia/BC_Banska_Bystrica/SVK_BC_Telgart.119380_TMYx.2007-2021.zip</v>
      </c>
    </row>
    <row r="10427" spans="1:10" x14ac:dyDescent="0.25">
      <c r="A10427" t="s">
        <v>7500</v>
      </c>
      <c r="B10427" t="s">
        <v>5453</v>
      </c>
      <c r="C10427" t="s">
        <v>7539</v>
      </c>
      <c r="D10427">
        <v>119380</v>
      </c>
      <c r="E10427" t="s">
        <v>14</v>
      </c>
      <c r="F10427">
        <v>48.85</v>
      </c>
      <c r="G10427">
        <v>20.183299999999999</v>
      </c>
      <c r="H10427">
        <v>1</v>
      </c>
      <c r="I10427">
        <v>906</v>
      </c>
      <c r="J10427" t="str">
        <f>HYPERLINK("https://climate.onebuilding.org/WMO_Region_6_Europe/SVK_Slovakia/BC_Banska_Bystrica/SVK_BC_Telgart.119380_TMYx.2009-2023.zip")</f>
        <v>https://climate.onebuilding.org/WMO_Region_6_Europe/SVK_Slovakia/BC_Banska_Bystrica/SVK_BC_Telgart.119380_TMYx.2009-2023.zip</v>
      </c>
    </row>
    <row r="10428" spans="1:10" x14ac:dyDescent="0.25">
      <c r="A10428" t="s">
        <v>7500</v>
      </c>
      <c r="B10428" t="s">
        <v>5453</v>
      </c>
      <c r="C10428" t="s">
        <v>7539</v>
      </c>
      <c r="D10428">
        <v>119380</v>
      </c>
      <c r="E10428" t="s">
        <v>14</v>
      </c>
      <c r="F10428">
        <v>48.85</v>
      </c>
      <c r="G10428">
        <v>20.183299999999999</v>
      </c>
      <c r="H10428">
        <v>1</v>
      </c>
      <c r="I10428">
        <v>906</v>
      </c>
      <c r="J10428" t="str">
        <f>HYPERLINK("https://climate.onebuilding.org/WMO_Region_6_Europe/SVK_Slovakia/BC_Banska_Bystrica/SVK_BC_Telgart.119380_TMYx.zip")</f>
        <v>https://climate.onebuilding.org/WMO_Region_6_Europe/SVK_Slovakia/BC_Banska_Bystrica/SVK_BC_Telgart.119380_TMYx.zip</v>
      </c>
    </row>
    <row r="10429" spans="1:10" x14ac:dyDescent="0.25">
      <c r="A10429" t="s">
        <v>7500</v>
      </c>
      <c r="B10429" t="s">
        <v>498</v>
      </c>
      <c r="C10429" t="s">
        <v>7541</v>
      </c>
      <c r="D10429">
        <v>119520</v>
      </c>
      <c r="E10429" t="s">
        <v>7542</v>
      </c>
      <c r="F10429">
        <v>49.033299999999997</v>
      </c>
      <c r="G10429">
        <v>20.316700000000001</v>
      </c>
      <c r="H10429">
        <v>1</v>
      </c>
      <c r="I10429">
        <v>703</v>
      </c>
      <c r="J10429" t="str">
        <f>HYPERLINK("https://climate.onebuilding.org/WMO_Region_6_Europe/SVK_Slovakia/PV_Presov/SVK_PV_Poprad.Ganovce.119520_TMYx.2004-2018.zip")</f>
        <v>https://climate.onebuilding.org/WMO_Region_6_Europe/SVK_Slovakia/PV_Presov/SVK_PV_Poprad.Ganovce.119520_TMYx.2004-2018.zip</v>
      </c>
    </row>
    <row r="10430" spans="1:10" x14ac:dyDescent="0.25">
      <c r="A10430" t="s">
        <v>7500</v>
      </c>
      <c r="B10430" t="s">
        <v>498</v>
      </c>
      <c r="C10430" t="s">
        <v>7541</v>
      </c>
      <c r="D10430">
        <v>119520</v>
      </c>
      <c r="E10430" t="s">
        <v>14</v>
      </c>
      <c r="F10430">
        <v>49.033299999999997</v>
      </c>
      <c r="G10430">
        <v>20.316700000000001</v>
      </c>
      <c r="H10430">
        <v>1</v>
      </c>
      <c r="I10430">
        <v>703</v>
      </c>
      <c r="J10430" t="str">
        <f>HYPERLINK("https://climate.onebuilding.org/WMO_Region_6_Europe/SVK_Slovakia/PV_Presov/SVK_PV_Poprad.Ganovce.119520_TMYx.2007-2021.zip")</f>
        <v>https://climate.onebuilding.org/WMO_Region_6_Europe/SVK_Slovakia/PV_Presov/SVK_PV_Poprad.Ganovce.119520_TMYx.2007-2021.zip</v>
      </c>
    </row>
    <row r="10431" spans="1:10" x14ac:dyDescent="0.25">
      <c r="A10431" t="s">
        <v>7500</v>
      </c>
      <c r="B10431" t="s">
        <v>498</v>
      </c>
      <c r="C10431" t="s">
        <v>7541</v>
      </c>
      <c r="D10431">
        <v>119520</v>
      </c>
      <c r="E10431" t="s">
        <v>14</v>
      </c>
      <c r="F10431">
        <v>49.033299999999997</v>
      </c>
      <c r="G10431">
        <v>20.316700000000001</v>
      </c>
      <c r="H10431">
        <v>1</v>
      </c>
      <c r="I10431">
        <v>703</v>
      </c>
      <c r="J10431" t="str">
        <f>HYPERLINK("https://climate.onebuilding.org/WMO_Region_6_Europe/SVK_Slovakia/PV_Presov/SVK_PV_Poprad.Ganovce.119520_TMYx.2009-2023.zip")</f>
        <v>https://climate.onebuilding.org/WMO_Region_6_Europe/SVK_Slovakia/PV_Presov/SVK_PV_Poprad.Ganovce.119520_TMYx.2009-2023.zip</v>
      </c>
    </row>
    <row r="10432" spans="1:10" x14ac:dyDescent="0.25">
      <c r="A10432" t="s">
        <v>7500</v>
      </c>
      <c r="B10432" t="s">
        <v>498</v>
      </c>
      <c r="C10432" t="s">
        <v>7541</v>
      </c>
      <c r="D10432">
        <v>119520</v>
      </c>
      <c r="E10432" t="s">
        <v>14</v>
      </c>
      <c r="F10432">
        <v>49.033299999999997</v>
      </c>
      <c r="G10432">
        <v>20.316700000000001</v>
      </c>
      <c r="H10432">
        <v>1</v>
      </c>
      <c r="I10432">
        <v>703</v>
      </c>
      <c r="J10432" t="str">
        <f>HYPERLINK("https://climate.onebuilding.org/WMO_Region_6_Europe/SVK_Slovakia/PV_Presov/SVK_PV_Poprad.Ganovce.119520_TMYx.zip")</f>
        <v>https://climate.onebuilding.org/WMO_Region_6_Europe/SVK_Slovakia/PV_Presov/SVK_PV_Poprad.Ganovce.119520_TMYx.zip</v>
      </c>
    </row>
    <row r="10433" spans="1:10" x14ac:dyDescent="0.25">
      <c r="A10433" t="s">
        <v>7500</v>
      </c>
      <c r="B10433" t="s">
        <v>498</v>
      </c>
      <c r="C10433" t="s">
        <v>7543</v>
      </c>
      <c r="D10433">
        <v>119550</v>
      </c>
      <c r="E10433" t="s">
        <v>7544</v>
      </c>
      <c r="F10433">
        <v>49.033299999999997</v>
      </c>
      <c r="G10433">
        <v>21.316700000000001</v>
      </c>
      <c r="H10433">
        <v>1</v>
      </c>
      <c r="I10433">
        <v>324</v>
      </c>
      <c r="J10433" t="str">
        <f>HYPERLINK("https://climate.onebuilding.org/WMO_Region_6_Europe/SVK_Slovakia/PV_Presov/SVK_PV_Presov.119550_TMYx.2004-2018.zip")</f>
        <v>https://climate.onebuilding.org/WMO_Region_6_Europe/SVK_Slovakia/PV_Presov/SVK_PV_Presov.119550_TMYx.2004-2018.zip</v>
      </c>
    </row>
    <row r="10434" spans="1:10" x14ac:dyDescent="0.25">
      <c r="A10434" t="s">
        <v>7500</v>
      </c>
      <c r="B10434" t="s">
        <v>498</v>
      </c>
      <c r="C10434" t="s">
        <v>7543</v>
      </c>
      <c r="D10434">
        <v>119550</v>
      </c>
      <c r="E10434" t="s">
        <v>14</v>
      </c>
      <c r="F10434">
        <v>49.033299999999997</v>
      </c>
      <c r="G10434">
        <v>21.316700000000001</v>
      </c>
      <c r="H10434">
        <v>1</v>
      </c>
      <c r="I10434">
        <v>324</v>
      </c>
      <c r="J10434" t="str">
        <f>HYPERLINK("https://climate.onebuilding.org/WMO_Region_6_Europe/SVK_Slovakia/PV_Presov/SVK_PV_Presov.119550_TMYx.2007-2021.zip")</f>
        <v>https://climate.onebuilding.org/WMO_Region_6_Europe/SVK_Slovakia/PV_Presov/SVK_PV_Presov.119550_TMYx.2007-2021.zip</v>
      </c>
    </row>
    <row r="10435" spans="1:10" x14ac:dyDescent="0.25">
      <c r="A10435" t="s">
        <v>7500</v>
      </c>
      <c r="B10435" t="s">
        <v>498</v>
      </c>
      <c r="C10435" t="s">
        <v>7543</v>
      </c>
      <c r="D10435">
        <v>119550</v>
      </c>
      <c r="E10435" t="s">
        <v>14</v>
      </c>
      <c r="F10435">
        <v>49.033299999999997</v>
      </c>
      <c r="G10435">
        <v>21.316700000000001</v>
      </c>
      <c r="H10435">
        <v>1</v>
      </c>
      <c r="I10435">
        <v>324</v>
      </c>
      <c r="J10435" t="str">
        <f>HYPERLINK("https://climate.onebuilding.org/WMO_Region_6_Europe/SVK_Slovakia/PV_Presov/SVK_PV_Presov.119550_TMYx.2009-2023.zip")</f>
        <v>https://climate.onebuilding.org/WMO_Region_6_Europe/SVK_Slovakia/PV_Presov/SVK_PV_Presov.119550_TMYx.2009-2023.zip</v>
      </c>
    </row>
    <row r="10436" spans="1:10" x14ac:dyDescent="0.25">
      <c r="A10436" t="s">
        <v>7500</v>
      </c>
      <c r="B10436" t="s">
        <v>498</v>
      </c>
      <c r="C10436" t="s">
        <v>7543</v>
      </c>
      <c r="D10436">
        <v>119550</v>
      </c>
      <c r="E10436" t="s">
        <v>14</v>
      </c>
      <c r="F10436">
        <v>49.033299999999997</v>
      </c>
      <c r="G10436">
        <v>21.316700000000001</v>
      </c>
      <c r="H10436">
        <v>1</v>
      </c>
      <c r="I10436">
        <v>324</v>
      </c>
      <c r="J10436" t="str">
        <f>HYPERLINK("https://climate.onebuilding.org/WMO_Region_6_Europe/SVK_Slovakia/PV_Presov/SVK_PV_Presov.119550_TMYx.zip")</f>
        <v>https://climate.onebuilding.org/WMO_Region_6_Europe/SVK_Slovakia/PV_Presov/SVK_PV_Presov.119550_TMYx.zip</v>
      </c>
    </row>
    <row r="10437" spans="1:10" x14ac:dyDescent="0.25">
      <c r="A10437" t="s">
        <v>7500</v>
      </c>
      <c r="B10437" t="s">
        <v>7545</v>
      </c>
      <c r="C10437" t="s">
        <v>7546</v>
      </c>
      <c r="D10437">
        <v>119580</v>
      </c>
      <c r="E10437" t="s">
        <v>7547</v>
      </c>
      <c r="F10437">
        <v>48.783299999999997</v>
      </c>
      <c r="G10437">
        <v>20.9833</v>
      </c>
      <c r="H10437">
        <v>1</v>
      </c>
      <c r="I10437">
        <v>1246</v>
      </c>
      <c r="J10437" t="str">
        <f>HYPERLINK("https://climate.onebuilding.org/WMO_Region_6_Europe/SVK_Slovakia/KI_Kosice/SVK_KI_Kojsovska.Hola.Mtn.119580_TMYx.2004-2018.zip")</f>
        <v>https://climate.onebuilding.org/WMO_Region_6_Europe/SVK_Slovakia/KI_Kosice/SVK_KI_Kojsovska.Hola.Mtn.119580_TMYx.2004-2018.zip</v>
      </c>
    </row>
    <row r="10438" spans="1:10" x14ac:dyDescent="0.25">
      <c r="A10438" t="s">
        <v>7500</v>
      </c>
      <c r="B10438" t="s">
        <v>7545</v>
      </c>
      <c r="C10438" t="s">
        <v>7546</v>
      </c>
      <c r="D10438">
        <v>119580</v>
      </c>
      <c r="E10438" t="s">
        <v>14</v>
      </c>
      <c r="F10438">
        <v>48.783299999999997</v>
      </c>
      <c r="G10438">
        <v>20.9833</v>
      </c>
      <c r="H10438">
        <v>1</v>
      </c>
      <c r="I10438">
        <v>1246</v>
      </c>
      <c r="J10438" t="str">
        <f>HYPERLINK("https://climate.onebuilding.org/WMO_Region_6_Europe/SVK_Slovakia/KI_Kosice/SVK_KI_Kojsovska.Hola.Mtn.119580_TMYx.2007-2021.zip")</f>
        <v>https://climate.onebuilding.org/WMO_Region_6_Europe/SVK_Slovakia/KI_Kosice/SVK_KI_Kojsovska.Hola.Mtn.119580_TMYx.2007-2021.zip</v>
      </c>
    </row>
    <row r="10439" spans="1:10" x14ac:dyDescent="0.25">
      <c r="A10439" t="s">
        <v>7500</v>
      </c>
      <c r="B10439" t="s">
        <v>7545</v>
      </c>
      <c r="C10439" t="s">
        <v>7546</v>
      </c>
      <c r="D10439">
        <v>119580</v>
      </c>
      <c r="E10439" t="s">
        <v>14</v>
      </c>
      <c r="F10439">
        <v>48.783299999999997</v>
      </c>
      <c r="G10439">
        <v>20.9833</v>
      </c>
      <c r="H10439">
        <v>1</v>
      </c>
      <c r="I10439">
        <v>1246</v>
      </c>
      <c r="J10439" t="str">
        <f>HYPERLINK("https://climate.onebuilding.org/WMO_Region_6_Europe/SVK_Slovakia/KI_Kosice/SVK_KI_Kojsovska.Hola.Mtn.119580_TMYx.2009-2023.zip")</f>
        <v>https://climate.onebuilding.org/WMO_Region_6_Europe/SVK_Slovakia/KI_Kosice/SVK_KI_Kojsovska.Hola.Mtn.119580_TMYx.2009-2023.zip</v>
      </c>
    </row>
    <row r="10440" spans="1:10" x14ac:dyDescent="0.25">
      <c r="A10440" t="s">
        <v>7500</v>
      </c>
      <c r="B10440" t="s">
        <v>7545</v>
      </c>
      <c r="C10440" t="s">
        <v>7546</v>
      </c>
      <c r="D10440">
        <v>119580</v>
      </c>
      <c r="E10440" t="s">
        <v>14</v>
      </c>
      <c r="F10440">
        <v>48.783299999999997</v>
      </c>
      <c r="G10440">
        <v>20.9833</v>
      </c>
      <c r="H10440">
        <v>1</v>
      </c>
      <c r="I10440">
        <v>1246</v>
      </c>
      <c r="J10440" t="str">
        <f>HYPERLINK("https://climate.onebuilding.org/WMO_Region_6_Europe/SVK_Slovakia/KI_Kosice/SVK_KI_Kojsovska.Hola.Mtn.119580_TMYx.zip")</f>
        <v>https://climate.onebuilding.org/WMO_Region_6_Europe/SVK_Slovakia/KI_Kosice/SVK_KI_Kojsovska.Hola.Mtn.119580_TMYx.zip</v>
      </c>
    </row>
    <row r="10441" spans="1:10" x14ac:dyDescent="0.25">
      <c r="A10441" t="s">
        <v>7500</v>
      </c>
      <c r="B10441" t="s">
        <v>7545</v>
      </c>
      <c r="C10441" t="s">
        <v>7548</v>
      </c>
      <c r="D10441">
        <v>119680</v>
      </c>
      <c r="E10441" t="s">
        <v>7549</v>
      </c>
      <c r="F10441">
        <v>48.673000000000002</v>
      </c>
      <c r="G10441">
        <v>21.238199999999999</v>
      </c>
      <c r="H10441">
        <v>1</v>
      </c>
      <c r="I10441">
        <v>231</v>
      </c>
      <c r="J10441" t="str">
        <f>HYPERLINK("https://climate.onebuilding.org/WMO_Region_6_Europe/SVK_Slovakia/KI_Kosice/SVK_KI_Kosice.AP.119680_TMYx.2004-2018.zip")</f>
        <v>https://climate.onebuilding.org/WMO_Region_6_Europe/SVK_Slovakia/KI_Kosice/SVK_KI_Kosice.AP.119680_TMYx.2004-2018.zip</v>
      </c>
    </row>
    <row r="10442" spans="1:10" x14ac:dyDescent="0.25">
      <c r="A10442" t="s">
        <v>7500</v>
      </c>
      <c r="B10442" t="s">
        <v>7545</v>
      </c>
      <c r="C10442" t="s">
        <v>7548</v>
      </c>
      <c r="D10442">
        <v>119680</v>
      </c>
      <c r="E10442" t="s">
        <v>14</v>
      </c>
      <c r="F10442">
        <v>48.662999999999997</v>
      </c>
      <c r="G10442">
        <v>21.241</v>
      </c>
      <c r="H10442">
        <v>1</v>
      </c>
      <c r="I10442">
        <v>231</v>
      </c>
      <c r="J10442" t="str">
        <f>HYPERLINK("https://climate.onebuilding.org/WMO_Region_6_Europe/SVK_Slovakia/KI_Kosice/SVK_KI_Kosice.AP.119680_TMYx.2007-2021.zip")</f>
        <v>https://climate.onebuilding.org/WMO_Region_6_Europe/SVK_Slovakia/KI_Kosice/SVK_KI_Kosice.AP.119680_TMYx.2007-2021.zip</v>
      </c>
    </row>
    <row r="10443" spans="1:10" x14ac:dyDescent="0.25">
      <c r="A10443" t="s">
        <v>7500</v>
      </c>
      <c r="B10443" t="s">
        <v>7545</v>
      </c>
      <c r="C10443" t="s">
        <v>7548</v>
      </c>
      <c r="D10443">
        <v>119680</v>
      </c>
      <c r="E10443" t="s">
        <v>14</v>
      </c>
      <c r="F10443">
        <v>48.662999999999997</v>
      </c>
      <c r="G10443">
        <v>21.241</v>
      </c>
      <c r="H10443">
        <v>1</v>
      </c>
      <c r="I10443">
        <v>231</v>
      </c>
      <c r="J10443" t="str">
        <f>HYPERLINK("https://climate.onebuilding.org/WMO_Region_6_Europe/SVK_Slovakia/KI_Kosice/SVK_KI_Kosice.AP.119680_TMYx.2009-2023.zip")</f>
        <v>https://climate.onebuilding.org/WMO_Region_6_Europe/SVK_Slovakia/KI_Kosice/SVK_KI_Kosice.AP.119680_TMYx.2009-2023.zip</v>
      </c>
    </row>
    <row r="10444" spans="1:10" x14ac:dyDescent="0.25">
      <c r="A10444" t="s">
        <v>7500</v>
      </c>
      <c r="B10444" t="s">
        <v>7545</v>
      </c>
      <c r="C10444" t="s">
        <v>7548</v>
      </c>
      <c r="D10444">
        <v>119680</v>
      </c>
      <c r="E10444" t="s">
        <v>14</v>
      </c>
      <c r="F10444">
        <v>48.662999999999997</v>
      </c>
      <c r="G10444">
        <v>21.241</v>
      </c>
      <c r="H10444">
        <v>1</v>
      </c>
      <c r="I10444">
        <v>231</v>
      </c>
      <c r="J10444" t="str">
        <f>HYPERLINK("https://climate.onebuilding.org/WMO_Region_6_Europe/SVK_Slovakia/KI_Kosice/SVK_KI_Kosice.AP.119680_TMYx.zip")</f>
        <v>https://climate.onebuilding.org/WMO_Region_6_Europe/SVK_Slovakia/KI_Kosice/SVK_KI_Kosice.AP.119680_TMYx.zip</v>
      </c>
    </row>
    <row r="10445" spans="1:10" x14ac:dyDescent="0.25">
      <c r="A10445" t="s">
        <v>7500</v>
      </c>
      <c r="B10445" t="s">
        <v>498</v>
      </c>
      <c r="C10445" t="s">
        <v>7550</v>
      </c>
      <c r="D10445">
        <v>119760</v>
      </c>
      <c r="E10445" t="s">
        <v>7551</v>
      </c>
      <c r="F10445">
        <v>49.216700000000003</v>
      </c>
      <c r="G10445">
        <v>21.65</v>
      </c>
      <c r="H10445">
        <v>1</v>
      </c>
      <c r="I10445">
        <v>217</v>
      </c>
      <c r="J10445" t="str">
        <f>HYPERLINK("https://climate.onebuilding.org/WMO_Region_6_Europe/SVK_Slovakia/PV_Presov/SVK_PV_Stropkov.Tisinec.119760_TMYx.2004-2018.zip")</f>
        <v>https://climate.onebuilding.org/WMO_Region_6_Europe/SVK_Slovakia/PV_Presov/SVK_PV_Stropkov.Tisinec.119760_TMYx.2004-2018.zip</v>
      </c>
    </row>
    <row r="10446" spans="1:10" x14ac:dyDescent="0.25">
      <c r="A10446" t="s">
        <v>7500</v>
      </c>
      <c r="B10446" t="s">
        <v>498</v>
      </c>
      <c r="C10446" t="s">
        <v>7550</v>
      </c>
      <c r="D10446">
        <v>119760</v>
      </c>
      <c r="E10446" t="s">
        <v>14</v>
      </c>
      <c r="F10446">
        <v>49.216700000000003</v>
      </c>
      <c r="G10446">
        <v>21.65</v>
      </c>
      <c r="H10446">
        <v>1</v>
      </c>
      <c r="I10446">
        <v>217</v>
      </c>
      <c r="J10446" t="str">
        <f>HYPERLINK("https://climate.onebuilding.org/WMO_Region_6_Europe/SVK_Slovakia/PV_Presov/SVK_PV_Stropkov.Tisinec.119760_TMYx.2007-2021.zip")</f>
        <v>https://climate.onebuilding.org/WMO_Region_6_Europe/SVK_Slovakia/PV_Presov/SVK_PV_Stropkov.Tisinec.119760_TMYx.2007-2021.zip</v>
      </c>
    </row>
    <row r="10447" spans="1:10" x14ac:dyDescent="0.25">
      <c r="A10447" t="s">
        <v>7500</v>
      </c>
      <c r="B10447" t="s">
        <v>498</v>
      </c>
      <c r="C10447" t="s">
        <v>7550</v>
      </c>
      <c r="D10447">
        <v>119760</v>
      </c>
      <c r="E10447" t="s">
        <v>14</v>
      </c>
      <c r="F10447">
        <v>49.216700000000003</v>
      </c>
      <c r="G10447">
        <v>21.65</v>
      </c>
      <c r="H10447">
        <v>1</v>
      </c>
      <c r="I10447">
        <v>217</v>
      </c>
      <c r="J10447" t="str">
        <f>HYPERLINK("https://climate.onebuilding.org/WMO_Region_6_Europe/SVK_Slovakia/PV_Presov/SVK_PV_Stropkov.Tisinec.119760_TMYx.2009-2023.zip")</f>
        <v>https://climate.onebuilding.org/WMO_Region_6_Europe/SVK_Slovakia/PV_Presov/SVK_PV_Stropkov.Tisinec.119760_TMYx.2009-2023.zip</v>
      </c>
    </row>
    <row r="10448" spans="1:10" x14ac:dyDescent="0.25">
      <c r="A10448" t="s">
        <v>7500</v>
      </c>
      <c r="B10448" t="s">
        <v>498</v>
      </c>
      <c r="C10448" t="s">
        <v>7550</v>
      </c>
      <c r="D10448">
        <v>119760</v>
      </c>
      <c r="E10448" t="s">
        <v>14</v>
      </c>
      <c r="F10448">
        <v>49.216700000000003</v>
      </c>
      <c r="G10448">
        <v>21.65</v>
      </c>
      <c r="H10448">
        <v>1</v>
      </c>
      <c r="I10448">
        <v>217</v>
      </c>
      <c r="J10448" t="str">
        <f>HYPERLINK("https://climate.onebuilding.org/WMO_Region_6_Europe/SVK_Slovakia/PV_Presov/SVK_PV_Stropkov.Tisinec.119760_TMYx.zip")</f>
        <v>https://climate.onebuilding.org/WMO_Region_6_Europe/SVK_Slovakia/PV_Presov/SVK_PV_Stropkov.Tisinec.119760_TMYx.zip</v>
      </c>
    </row>
    <row r="10449" spans="1:10" x14ac:dyDescent="0.25">
      <c r="A10449" t="s">
        <v>7500</v>
      </c>
      <c r="B10449" t="s">
        <v>7545</v>
      </c>
      <c r="C10449" t="s">
        <v>7552</v>
      </c>
      <c r="D10449">
        <v>119780</v>
      </c>
      <c r="E10449" t="s">
        <v>7553</v>
      </c>
      <c r="F10449">
        <v>48.666699999999999</v>
      </c>
      <c r="G10449">
        <v>21.7333</v>
      </c>
      <c r="H10449">
        <v>1</v>
      </c>
      <c r="I10449">
        <v>106</v>
      </c>
      <c r="J10449" t="str">
        <f>HYPERLINK("https://climate.onebuilding.org/WMO_Region_6_Europe/SVK_Slovakia/KI_Kosice/SVK_KI_Milhostov.119780_TMYx.2004-2018.zip")</f>
        <v>https://climate.onebuilding.org/WMO_Region_6_Europe/SVK_Slovakia/KI_Kosice/SVK_KI_Milhostov.119780_TMYx.2004-2018.zip</v>
      </c>
    </row>
    <row r="10450" spans="1:10" x14ac:dyDescent="0.25">
      <c r="A10450" t="s">
        <v>7500</v>
      </c>
      <c r="B10450" t="s">
        <v>7545</v>
      </c>
      <c r="C10450" t="s">
        <v>7552</v>
      </c>
      <c r="D10450">
        <v>119780</v>
      </c>
      <c r="E10450" t="s">
        <v>14</v>
      </c>
      <c r="F10450">
        <v>48.666699999999999</v>
      </c>
      <c r="G10450">
        <v>21.7333</v>
      </c>
      <c r="H10450">
        <v>1</v>
      </c>
      <c r="I10450">
        <v>106</v>
      </c>
      <c r="J10450" t="str">
        <f>HYPERLINK("https://climate.onebuilding.org/WMO_Region_6_Europe/SVK_Slovakia/KI_Kosice/SVK_KI_Milhostov.119780_TMYx.2007-2021.zip")</f>
        <v>https://climate.onebuilding.org/WMO_Region_6_Europe/SVK_Slovakia/KI_Kosice/SVK_KI_Milhostov.119780_TMYx.2007-2021.zip</v>
      </c>
    </row>
    <row r="10451" spans="1:10" x14ac:dyDescent="0.25">
      <c r="A10451" t="s">
        <v>7500</v>
      </c>
      <c r="B10451" t="s">
        <v>7545</v>
      </c>
      <c r="C10451" t="s">
        <v>7552</v>
      </c>
      <c r="D10451">
        <v>119780</v>
      </c>
      <c r="E10451" t="s">
        <v>14</v>
      </c>
      <c r="F10451">
        <v>48.666699999999999</v>
      </c>
      <c r="G10451">
        <v>21.7333</v>
      </c>
      <c r="H10451">
        <v>1</v>
      </c>
      <c r="I10451">
        <v>106</v>
      </c>
      <c r="J10451" t="str">
        <f>HYPERLINK("https://climate.onebuilding.org/WMO_Region_6_Europe/SVK_Slovakia/KI_Kosice/SVK_KI_Milhostov.119780_TMYx.2009-2023.zip")</f>
        <v>https://climate.onebuilding.org/WMO_Region_6_Europe/SVK_Slovakia/KI_Kosice/SVK_KI_Milhostov.119780_TMYx.2009-2023.zip</v>
      </c>
    </row>
    <row r="10452" spans="1:10" x14ac:dyDescent="0.25">
      <c r="A10452" t="s">
        <v>7500</v>
      </c>
      <c r="B10452" t="s">
        <v>7545</v>
      </c>
      <c r="C10452" t="s">
        <v>7552</v>
      </c>
      <c r="D10452">
        <v>119780</v>
      </c>
      <c r="E10452" t="s">
        <v>14</v>
      </c>
      <c r="F10452">
        <v>48.666699999999999</v>
      </c>
      <c r="G10452">
        <v>21.7333</v>
      </c>
      <c r="H10452">
        <v>1</v>
      </c>
      <c r="I10452">
        <v>106</v>
      </c>
      <c r="J10452" t="str">
        <f>HYPERLINK("https://climate.onebuilding.org/WMO_Region_6_Europe/SVK_Slovakia/KI_Kosice/SVK_KI_Milhostov.119780_TMYx.zip")</f>
        <v>https://climate.onebuilding.org/WMO_Region_6_Europe/SVK_Slovakia/KI_Kosice/SVK_KI_Milhostov.119780_TMYx.zip</v>
      </c>
    </row>
    <row r="10453" spans="1:10" x14ac:dyDescent="0.25">
      <c r="A10453" t="s">
        <v>7500</v>
      </c>
      <c r="B10453" t="s">
        <v>498</v>
      </c>
      <c r="C10453" t="s">
        <v>7554</v>
      </c>
      <c r="D10453">
        <v>119930</v>
      </c>
      <c r="E10453" t="s">
        <v>7555</v>
      </c>
      <c r="F10453">
        <v>48.933300000000003</v>
      </c>
      <c r="G10453">
        <v>22</v>
      </c>
      <c r="H10453">
        <v>1</v>
      </c>
      <c r="I10453">
        <v>178</v>
      </c>
      <c r="J10453" t="str">
        <f>HYPERLINK("https://climate.onebuilding.org/WMO_Region_6_Europe/SVK_Slovakia/PV_Presov/SVK_PV_Kamenica.nad.Cirochou.119930_TMYx.2004-2018.zip")</f>
        <v>https://climate.onebuilding.org/WMO_Region_6_Europe/SVK_Slovakia/PV_Presov/SVK_PV_Kamenica.nad.Cirochou.119930_TMYx.2004-2018.zip</v>
      </c>
    </row>
    <row r="10454" spans="1:10" x14ac:dyDescent="0.25">
      <c r="A10454" t="s">
        <v>7500</v>
      </c>
      <c r="B10454" t="s">
        <v>498</v>
      </c>
      <c r="C10454" t="s">
        <v>7554</v>
      </c>
      <c r="D10454">
        <v>119930</v>
      </c>
      <c r="E10454" t="s">
        <v>14</v>
      </c>
      <c r="F10454">
        <v>48.933300000000003</v>
      </c>
      <c r="G10454">
        <v>22</v>
      </c>
      <c r="H10454">
        <v>1</v>
      </c>
      <c r="I10454">
        <v>178</v>
      </c>
      <c r="J10454" t="str">
        <f>HYPERLINK("https://climate.onebuilding.org/WMO_Region_6_Europe/SVK_Slovakia/PV_Presov/SVK_PV_Kamenica.nad.Cirochou.119930_TMYx.2007-2021.zip")</f>
        <v>https://climate.onebuilding.org/WMO_Region_6_Europe/SVK_Slovakia/PV_Presov/SVK_PV_Kamenica.nad.Cirochou.119930_TMYx.2007-2021.zip</v>
      </c>
    </row>
    <row r="10455" spans="1:10" x14ac:dyDescent="0.25">
      <c r="A10455" t="s">
        <v>7500</v>
      </c>
      <c r="B10455" t="s">
        <v>498</v>
      </c>
      <c r="C10455" t="s">
        <v>7554</v>
      </c>
      <c r="D10455">
        <v>119930</v>
      </c>
      <c r="E10455" t="s">
        <v>14</v>
      </c>
      <c r="F10455">
        <v>48.933300000000003</v>
      </c>
      <c r="G10455">
        <v>22</v>
      </c>
      <c r="H10455">
        <v>1</v>
      </c>
      <c r="I10455">
        <v>178</v>
      </c>
      <c r="J10455" t="str">
        <f>HYPERLINK("https://climate.onebuilding.org/WMO_Region_6_Europe/SVK_Slovakia/PV_Presov/SVK_PV_Kamenica.nad.Cirochou.119930_TMYx.2009-2023.zip")</f>
        <v>https://climate.onebuilding.org/WMO_Region_6_Europe/SVK_Slovakia/PV_Presov/SVK_PV_Kamenica.nad.Cirochou.119930_TMYx.2009-2023.zip</v>
      </c>
    </row>
    <row r="10456" spans="1:10" x14ac:dyDescent="0.25">
      <c r="A10456" t="s">
        <v>7500</v>
      </c>
      <c r="B10456" t="s">
        <v>498</v>
      </c>
      <c r="C10456" t="s">
        <v>7554</v>
      </c>
      <c r="D10456">
        <v>119930</v>
      </c>
      <c r="E10456" t="s">
        <v>14</v>
      </c>
      <c r="F10456">
        <v>48.933300000000003</v>
      </c>
      <c r="G10456">
        <v>22</v>
      </c>
      <c r="H10456">
        <v>1</v>
      </c>
      <c r="I10456">
        <v>178</v>
      </c>
      <c r="J10456" t="str">
        <f>HYPERLINK("https://climate.onebuilding.org/WMO_Region_6_Europe/SVK_Slovakia/PV_Presov/SVK_PV_Kamenica.nad.Cirochou.119930_TMYx.zip")</f>
        <v>https://climate.onebuilding.org/WMO_Region_6_Europe/SVK_Slovakia/PV_Presov/SVK_PV_Kamenica.nad.Cirochou.119930_TMYx.zip</v>
      </c>
    </row>
    <row r="10457" spans="1:10" x14ac:dyDescent="0.25">
      <c r="A10457" t="s">
        <v>7556</v>
      </c>
      <c r="B10457" t="s">
        <v>7557</v>
      </c>
      <c r="C10457" t="s">
        <v>7558</v>
      </c>
      <c r="D10457">
        <v>130200</v>
      </c>
      <c r="E10457" t="s">
        <v>14</v>
      </c>
      <c r="F10457">
        <v>46.4542</v>
      </c>
      <c r="G10457">
        <v>15.3324</v>
      </c>
      <c r="H10457">
        <v>1</v>
      </c>
      <c r="I10457">
        <v>1485</v>
      </c>
      <c r="J10457" t="str">
        <f>HYPERLINK("https://climate.onebuilding.org/WMO_Region_6_Europe/SVN_Slovenia/GO_Gorenjska_Upper_Carniola/SVN_GO_Rogla.Ski.Resort.130200_TMYx.zip")</f>
        <v>https://climate.onebuilding.org/WMO_Region_6_Europe/SVN_Slovenia/GO_Gorenjska_Upper_Carniola/SVN_GO_Rogla.Ski.Resort.130200_TMYx.zip</v>
      </c>
    </row>
    <row r="10458" spans="1:10" x14ac:dyDescent="0.25">
      <c r="A10458" t="s">
        <v>7556</v>
      </c>
      <c r="B10458" t="s">
        <v>521</v>
      </c>
      <c r="C10458" t="s">
        <v>4932</v>
      </c>
      <c r="D10458">
        <v>132180</v>
      </c>
      <c r="E10458" t="s">
        <v>14</v>
      </c>
      <c r="F10458">
        <v>44.986400000000003</v>
      </c>
      <c r="G10458">
        <v>14.903600000000001</v>
      </c>
      <c r="H10458">
        <v>1</v>
      </c>
      <c r="I10458">
        <v>51</v>
      </c>
      <c r="J10458" t="str">
        <f>HYPERLINK("https://climate.onebuilding.org/WMO_Region_6_Europe/SVN_Slovenia/DO_Jugovzhodna_Southeast_Slovenia/SVN_DO_Senj.132180_TMYx.zip")</f>
        <v>https://climate.onebuilding.org/WMO_Region_6_Europe/SVN_Slovenia/DO_Jugovzhodna_Southeast_Slovenia/SVN_DO_Senj.132180_TMYx.zip</v>
      </c>
    </row>
    <row r="10459" spans="1:10" x14ac:dyDescent="0.25">
      <c r="A10459" t="s">
        <v>7556</v>
      </c>
      <c r="B10459" t="s">
        <v>4938</v>
      </c>
      <c r="C10459" t="s">
        <v>7559</v>
      </c>
      <c r="D10459">
        <v>140050</v>
      </c>
      <c r="E10459" t="s">
        <v>14</v>
      </c>
      <c r="F10459">
        <v>46.337600000000002</v>
      </c>
      <c r="G10459">
        <v>13.5525</v>
      </c>
      <c r="H10459">
        <v>1</v>
      </c>
      <c r="I10459">
        <v>455</v>
      </c>
      <c r="J10459" t="str">
        <f>HYPERLINK("https://climate.onebuilding.org/WMO_Region_6_Europe/SVN_Slovenia/SP_Goriska_Gorizia/SVN_SP_Bovec-Kanin.Sella.Nevea.Ski.Resort.140050_TMYx.zip")</f>
        <v>https://climate.onebuilding.org/WMO_Region_6_Europe/SVN_Slovenia/SP_Goriska_Gorizia/SVN_SP_Bovec-Kanin.Sella.Nevea.Ski.Resort.140050_TMYx.zip</v>
      </c>
    </row>
    <row r="10460" spans="1:10" x14ac:dyDescent="0.25">
      <c r="A10460" t="s">
        <v>7556</v>
      </c>
      <c r="B10460" t="s">
        <v>4938</v>
      </c>
      <c r="C10460" t="s">
        <v>7560</v>
      </c>
      <c r="D10460">
        <v>140060</v>
      </c>
      <c r="E10460" t="s">
        <v>14</v>
      </c>
      <c r="F10460">
        <v>46.263599999999997</v>
      </c>
      <c r="G10460">
        <v>13.8408</v>
      </c>
      <c r="H10460">
        <v>1</v>
      </c>
      <c r="I10460">
        <v>1535</v>
      </c>
      <c r="J10460" t="str">
        <f>HYPERLINK("https://climate.onebuilding.org/WMO_Region_6_Europe/SVN_Slovenia/SP_Goriska_Gorizia/SVN_SP_Vogel.Ski.Resort-Triglav.Natl.Park.140060_TMYx.2007-2021.zip")</f>
        <v>https://climate.onebuilding.org/WMO_Region_6_Europe/SVN_Slovenia/SP_Goriska_Gorizia/SVN_SP_Vogel.Ski.Resort-Triglav.Natl.Park.140060_TMYx.2007-2021.zip</v>
      </c>
    </row>
    <row r="10461" spans="1:10" x14ac:dyDescent="0.25">
      <c r="A10461" t="s">
        <v>7556</v>
      </c>
      <c r="B10461" t="s">
        <v>4938</v>
      </c>
      <c r="C10461" t="s">
        <v>7560</v>
      </c>
      <c r="D10461">
        <v>140060</v>
      </c>
      <c r="E10461" t="s">
        <v>14</v>
      </c>
      <c r="F10461">
        <v>46.263599999999997</v>
      </c>
      <c r="G10461">
        <v>13.8408</v>
      </c>
      <c r="H10461">
        <v>1</v>
      </c>
      <c r="I10461">
        <v>1535</v>
      </c>
      <c r="J10461" t="str">
        <f>HYPERLINK("https://climate.onebuilding.org/WMO_Region_6_Europe/SVN_Slovenia/SP_Goriska_Gorizia/SVN_SP_Vogel.Ski.Resort-Triglav.Natl.Park.140060_TMYx.2009-2023.zip")</f>
        <v>https://climate.onebuilding.org/WMO_Region_6_Europe/SVN_Slovenia/SP_Goriska_Gorizia/SVN_SP_Vogel.Ski.Resort-Triglav.Natl.Park.140060_TMYx.2009-2023.zip</v>
      </c>
    </row>
    <row r="10462" spans="1:10" x14ac:dyDescent="0.25">
      <c r="A10462" t="s">
        <v>7556</v>
      </c>
      <c r="B10462" t="s">
        <v>4938</v>
      </c>
      <c r="C10462" t="s">
        <v>7560</v>
      </c>
      <c r="D10462">
        <v>140060</v>
      </c>
      <c r="E10462" t="s">
        <v>14</v>
      </c>
      <c r="F10462">
        <v>46.263599999999997</v>
      </c>
      <c r="G10462">
        <v>13.8408</v>
      </c>
      <c r="H10462">
        <v>1</v>
      </c>
      <c r="I10462">
        <v>1535</v>
      </c>
      <c r="J10462" t="str">
        <f>HYPERLINK("https://climate.onebuilding.org/WMO_Region_6_Europe/SVN_Slovenia/SP_Goriska_Gorizia/SVN_SP_Vogel.Ski.Resort-Triglav.Natl.Park.140060_TMYx.zip")</f>
        <v>https://climate.onebuilding.org/WMO_Region_6_Europe/SVN_Slovenia/SP_Goriska_Gorizia/SVN_SP_Vogel.Ski.Resort-Triglav.Natl.Park.140060_TMYx.zip</v>
      </c>
    </row>
    <row r="10463" spans="1:10" x14ac:dyDescent="0.25">
      <c r="A10463" t="s">
        <v>7556</v>
      </c>
      <c r="B10463" t="s">
        <v>7557</v>
      </c>
      <c r="C10463" t="s">
        <v>7561</v>
      </c>
      <c r="D10463">
        <v>140070</v>
      </c>
      <c r="E10463" t="s">
        <v>7562</v>
      </c>
      <c r="F10463">
        <v>46.497500000000002</v>
      </c>
      <c r="G10463">
        <v>13.717499999999999</v>
      </c>
      <c r="H10463">
        <v>1</v>
      </c>
      <c r="I10463">
        <v>864.5</v>
      </c>
      <c r="J10463" t="str">
        <f>HYPERLINK("https://climate.onebuilding.org/WMO_Region_6_Europe/SVN_Slovenia/GO_Gorenjska_Upper_Carniola/SVN_GO_Ratece.140070_TMYx.2004-2018.zip")</f>
        <v>https://climate.onebuilding.org/WMO_Region_6_Europe/SVN_Slovenia/GO_Gorenjska_Upper_Carniola/SVN_GO_Ratece.140070_TMYx.2004-2018.zip</v>
      </c>
    </row>
    <row r="10464" spans="1:10" x14ac:dyDescent="0.25">
      <c r="A10464" t="s">
        <v>7556</v>
      </c>
      <c r="B10464" t="s">
        <v>7557</v>
      </c>
      <c r="C10464" t="s">
        <v>7561</v>
      </c>
      <c r="D10464">
        <v>140070</v>
      </c>
      <c r="E10464" t="s">
        <v>14</v>
      </c>
      <c r="F10464">
        <v>46.497500000000002</v>
      </c>
      <c r="G10464">
        <v>13.717499999999999</v>
      </c>
      <c r="H10464">
        <v>1</v>
      </c>
      <c r="I10464">
        <v>864.5</v>
      </c>
      <c r="J10464" t="str">
        <f>HYPERLINK("https://climate.onebuilding.org/WMO_Region_6_Europe/SVN_Slovenia/GO_Gorenjska_Upper_Carniola/SVN_GO_Ratece.140070_TMYx.2007-2021.zip")</f>
        <v>https://climate.onebuilding.org/WMO_Region_6_Europe/SVN_Slovenia/GO_Gorenjska_Upper_Carniola/SVN_GO_Ratece.140070_TMYx.2007-2021.zip</v>
      </c>
    </row>
    <row r="10465" spans="1:10" x14ac:dyDescent="0.25">
      <c r="A10465" t="s">
        <v>7556</v>
      </c>
      <c r="B10465" t="s">
        <v>7557</v>
      </c>
      <c r="C10465" t="s">
        <v>7561</v>
      </c>
      <c r="D10465">
        <v>140070</v>
      </c>
      <c r="E10465" t="s">
        <v>14</v>
      </c>
      <c r="F10465">
        <v>46.497500000000002</v>
      </c>
      <c r="G10465">
        <v>13.717499999999999</v>
      </c>
      <c r="H10465">
        <v>1</v>
      </c>
      <c r="I10465">
        <v>864.5</v>
      </c>
      <c r="J10465" t="str">
        <f>HYPERLINK("https://climate.onebuilding.org/WMO_Region_6_Europe/SVN_Slovenia/GO_Gorenjska_Upper_Carniola/SVN_GO_Ratece.140070_TMYx.2009-2023.zip")</f>
        <v>https://climate.onebuilding.org/WMO_Region_6_Europe/SVN_Slovenia/GO_Gorenjska_Upper_Carniola/SVN_GO_Ratece.140070_TMYx.2009-2023.zip</v>
      </c>
    </row>
    <row r="10466" spans="1:10" x14ac:dyDescent="0.25">
      <c r="A10466" t="s">
        <v>7556</v>
      </c>
      <c r="B10466" t="s">
        <v>7557</v>
      </c>
      <c r="C10466" t="s">
        <v>7561</v>
      </c>
      <c r="D10466">
        <v>140070</v>
      </c>
      <c r="E10466" t="s">
        <v>14</v>
      </c>
      <c r="F10466">
        <v>46.497500000000002</v>
      </c>
      <c r="G10466">
        <v>13.717499999999999</v>
      </c>
      <c r="H10466">
        <v>1</v>
      </c>
      <c r="I10466">
        <v>864.5</v>
      </c>
      <c r="J10466" t="str">
        <f>HYPERLINK("https://climate.onebuilding.org/WMO_Region_6_Europe/SVN_Slovenia/GO_Gorenjska_Upper_Carniola/SVN_GO_Ratece.140070_TMYx.zip")</f>
        <v>https://climate.onebuilding.org/WMO_Region_6_Europe/SVN_Slovenia/GO_Gorenjska_Upper_Carniola/SVN_GO_Ratece.140070_TMYx.zip</v>
      </c>
    </row>
    <row r="10467" spans="1:10" x14ac:dyDescent="0.25">
      <c r="A10467" t="s">
        <v>7556</v>
      </c>
      <c r="B10467" t="s">
        <v>7557</v>
      </c>
      <c r="C10467" t="s">
        <v>7563</v>
      </c>
      <c r="D10467">
        <v>140080</v>
      </c>
      <c r="E10467" t="s">
        <v>7564</v>
      </c>
      <c r="F10467">
        <v>46.378900000000002</v>
      </c>
      <c r="G10467">
        <v>13.8489</v>
      </c>
      <c r="H10467">
        <v>1</v>
      </c>
      <c r="I10467">
        <v>2515</v>
      </c>
      <c r="J10467" t="str">
        <f>HYPERLINK("https://climate.onebuilding.org/WMO_Region_6_Europe/SVN_Slovenia/GO_Gorenjska_Upper_Carniola/SVN_GO_Kredarica-Trugkav.Mtn.Lodge.140080_TMYx.2004-2018.zip")</f>
        <v>https://climate.onebuilding.org/WMO_Region_6_Europe/SVN_Slovenia/GO_Gorenjska_Upper_Carniola/SVN_GO_Kredarica-Trugkav.Mtn.Lodge.140080_TMYx.2004-2018.zip</v>
      </c>
    </row>
    <row r="10468" spans="1:10" x14ac:dyDescent="0.25">
      <c r="A10468" t="s">
        <v>7556</v>
      </c>
      <c r="B10468" t="s">
        <v>7557</v>
      </c>
      <c r="C10468" t="s">
        <v>7563</v>
      </c>
      <c r="D10468">
        <v>140080</v>
      </c>
      <c r="E10468" t="s">
        <v>14</v>
      </c>
      <c r="F10468">
        <v>46.378900000000002</v>
      </c>
      <c r="G10468">
        <v>13.8489</v>
      </c>
      <c r="H10468">
        <v>1</v>
      </c>
      <c r="I10468">
        <v>2515</v>
      </c>
      <c r="J10468" t="str">
        <f>HYPERLINK("https://climate.onebuilding.org/WMO_Region_6_Europe/SVN_Slovenia/GO_Gorenjska_Upper_Carniola/SVN_GO_Kredarica-Trugkav.Mtn.Lodge.140080_TMYx.2007-2021.zip")</f>
        <v>https://climate.onebuilding.org/WMO_Region_6_Europe/SVN_Slovenia/GO_Gorenjska_Upper_Carniola/SVN_GO_Kredarica-Trugkav.Mtn.Lodge.140080_TMYx.2007-2021.zip</v>
      </c>
    </row>
    <row r="10469" spans="1:10" x14ac:dyDescent="0.25">
      <c r="A10469" t="s">
        <v>7556</v>
      </c>
      <c r="B10469" t="s">
        <v>7557</v>
      </c>
      <c r="C10469" t="s">
        <v>7563</v>
      </c>
      <c r="D10469">
        <v>140080</v>
      </c>
      <c r="E10469" t="s">
        <v>14</v>
      </c>
      <c r="F10469">
        <v>46.378900000000002</v>
      </c>
      <c r="G10469">
        <v>13.8489</v>
      </c>
      <c r="H10469">
        <v>1</v>
      </c>
      <c r="I10469">
        <v>2515</v>
      </c>
      <c r="J10469" t="str">
        <f>HYPERLINK("https://climate.onebuilding.org/WMO_Region_6_Europe/SVN_Slovenia/GO_Gorenjska_Upper_Carniola/SVN_GO_Kredarica-Trugkav.Mtn.Lodge.140080_TMYx.2009-2023.zip")</f>
        <v>https://climate.onebuilding.org/WMO_Region_6_Europe/SVN_Slovenia/GO_Gorenjska_Upper_Carniola/SVN_GO_Kredarica-Trugkav.Mtn.Lodge.140080_TMYx.2009-2023.zip</v>
      </c>
    </row>
    <row r="10470" spans="1:10" x14ac:dyDescent="0.25">
      <c r="A10470" t="s">
        <v>7556</v>
      </c>
      <c r="B10470" t="s">
        <v>7557</v>
      </c>
      <c r="C10470" t="s">
        <v>7563</v>
      </c>
      <c r="D10470">
        <v>140080</v>
      </c>
      <c r="E10470" t="s">
        <v>14</v>
      </c>
      <c r="F10470">
        <v>46.378900000000002</v>
      </c>
      <c r="G10470">
        <v>13.8489</v>
      </c>
      <c r="H10470">
        <v>1</v>
      </c>
      <c r="I10470">
        <v>2515</v>
      </c>
      <c r="J10470" t="str">
        <f>HYPERLINK("https://climate.onebuilding.org/WMO_Region_6_Europe/SVN_Slovenia/GO_Gorenjska_Upper_Carniola/SVN_GO_Kredarica-Trugkav.Mtn.Lodge.140080_TMYx.zip")</f>
        <v>https://climate.onebuilding.org/WMO_Region_6_Europe/SVN_Slovenia/GO_Gorenjska_Upper_Carniola/SVN_GO_Kredarica-Trugkav.Mtn.Lodge.140080_TMYx.zip</v>
      </c>
    </row>
    <row r="10471" spans="1:10" x14ac:dyDescent="0.25">
      <c r="A10471" t="s">
        <v>7556</v>
      </c>
      <c r="B10471" t="s">
        <v>93</v>
      </c>
      <c r="C10471" t="s">
        <v>7565</v>
      </c>
      <c r="D10471">
        <v>140090</v>
      </c>
      <c r="E10471" t="s">
        <v>14</v>
      </c>
      <c r="F10471">
        <v>46.024999999999999</v>
      </c>
      <c r="G10471">
        <v>13.9031</v>
      </c>
      <c r="H10471">
        <v>1</v>
      </c>
      <c r="I10471">
        <v>1067</v>
      </c>
      <c r="J10471" t="str">
        <f>HYPERLINK("https://climate.onebuilding.org/WMO_Region_6_Europe/SVN_Slovenia/NO_Primorkso-Notranjska_Littoral-inner_Carniola/SVN_NO_Vojsko.140090_TMYx.2007-2021.zip")</f>
        <v>https://climate.onebuilding.org/WMO_Region_6_Europe/SVN_Slovenia/NO_Primorkso-Notranjska_Littoral-inner_Carniola/SVN_NO_Vojsko.140090_TMYx.2007-2021.zip</v>
      </c>
    </row>
    <row r="10472" spans="1:10" x14ac:dyDescent="0.25">
      <c r="A10472" t="s">
        <v>7556</v>
      </c>
      <c r="B10472" t="s">
        <v>93</v>
      </c>
      <c r="C10472" t="s">
        <v>7565</v>
      </c>
      <c r="D10472">
        <v>140090</v>
      </c>
      <c r="E10472" t="s">
        <v>14</v>
      </c>
      <c r="F10472">
        <v>46.024999999999999</v>
      </c>
      <c r="G10472">
        <v>13.9031</v>
      </c>
      <c r="H10472">
        <v>1</v>
      </c>
      <c r="I10472">
        <v>1067</v>
      </c>
      <c r="J10472" t="str">
        <f>HYPERLINK("https://climate.onebuilding.org/WMO_Region_6_Europe/SVN_Slovenia/NO_Primorkso-Notranjska_Littoral-inner_Carniola/SVN_NO_Vojsko.140090_TMYx.2009-2023.zip")</f>
        <v>https://climate.onebuilding.org/WMO_Region_6_Europe/SVN_Slovenia/NO_Primorkso-Notranjska_Littoral-inner_Carniola/SVN_NO_Vojsko.140090_TMYx.2009-2023.zip</v>
      </c>
    </row>
    <row r="10473" spans="1:10" x14ac:dyDescent="0.25">
      <c r="A10473" t="s">
        <v>7556</v>
      </c>
      <c r="B10473" t="s">
        <v>93</v>
      </c>
      <c r="C10473" t="s">
        <v>7565</v>
      </c>
      <c r="D10473">
        <v>140090</v>
      </c>
      <c r="E10473" t="s">
        <v>14</v>
      </c>
      <c r="F10473">
        <v>46.024999999999999</v>
      </c>
      <c r="G10473">
        <v>13.9031</v>
      </c>
      <c r="H10473">
        <v>1</v>
      </c>
      <c r="I10473">
        <v>1067</v>
      </c>
      <c r="J10473" t="str">
        <f>HYPERLINK("https://climate.onebuilding.org/WMO_Region_6_Europe/SVN_Slovenia/NO_Primorkso-Notranjska_Littoral-inner_Carniola/SVN_NO_Vojsko.140090_TMYx.zip")</f>
        <v>https://climate.onebuilding.org/WMO_Region_6_Europe/SVN_Slovenia/NO_Primorkso-Notranjska_Littoral-inner_Carniola/SVN_NO_Vojsko.140090_TMYx.zip</v>
      </c>
    </row>
    <row r="10474" spans="1:10" x14ac:dyDescent="0.25">
      <c r="A10474" t="s">
        <v>7556</v>
      </c>
      <c r="B10474" t="s">
        <v>7557</v>
      </c>
      <c r="C10474" t="s">
        <v>7566</v>
      </c>
      <c r="D10474">
        <v>140100</v>
      </c>
      <c r="E10474" t="s">
        <v>7567</v>
      </c>
      <c r="F10474">
        <v>46.361899999999999</v>
      </c>
      <c r="G10474">
        <v>14.1717</v>
      </c>
      <c r="H10474">
        <v>1</v>
      </c>
      <c r="I10474">
        <v>515</v>
      </c>
      <c r="J10474" t="str">
        <f>HYPERLINK("https://climate.onebuilding.org/WMO_Region_6_Europe/SVN_Slovenia/GO_Gorenjska_Upper_Carniola/SVN_GO_Lesce.AP.140100_TMYx.2004-2018.zip")</f>
        <v>https://climate.onebuilding.org/WMO_Region_6_Europe/SVN_Slovenia/GO_Gorenjska_Upper_Carniola/SVN_GO_Lesce.AP.140100_TMYx.2004-2018.zip</v>
      </c>
    </row>
    <row r="10475" spans="1:10" x14ac:dyDescent="0.25">
      <c r="A10475" t="s">
        <v>7556</v>
      </c>
      <c r="B10475" t="s">
        <v>7557</v>
      </c>
      <c r="C10475" t="s">
        <v>7566</v>
      </c>
      <c r="D10475">
        <v>140100</v>
      </c>
      <c r="E10475" t="s">
        <v>14</v>
      </c>
      <c r="F10475">
        <v>46.361899999999999</v>
      </c>
      <c r="G10475">
        <v>14.1717</v>
      </c>
      <c r="H10475">
        <v>1</v>
      </c>
      <c r="I10475">
        <v>515</v>
      </c>
      <c r="J10475" t="str">
        <f>HYPERLINK("https://climate.onebuilding.org/WMO_Region_6_Europe/SVN_Slovenia/GO_Gorenjska_Upper_Carniola/SVN_GO_Lesce.AP.140100_TMYx.2007-2021.zip")</f>
        <v>https://climate.onebuilding.org/WMO_Region_6_Europe/SVN_Slovenia/GO_Gorenjska_Upper_Carniola/SVN_GO_Lesce.AP.140100_TMYx.2007-2021.zip</v>
      </c>
    </row>
    <row r="10476" spans="1:10" x14ac:dyDescent="0.25">
      <c r="A10476" t="s">
        <v>7556</v>
      </c>
      <c r="B10476" t="s">
        <v>7557</v>
      </c>
      <c r="C10476" t="s">
        <v>7566</v>
      </c>
      <c r="D10476">
        <v>140100</v>
      </c>
      <c r="E10476" t="s">
        <v>14</v>
      </c>
      <c r="F10476">
        <v>46.361899999999999</v>
      </c>
      <c r="G10476">
        <v>14.1717</v>
      </c>
      <c r="H10476">
        <v>1</v>
      </c>
      <c r="I10476">
        <v>515</v>
      </c>
      <c r="J10476" t="str">
        <f>HYPERLINK("https://climate.onebuilding.org/WMO_Region_6_Europe/SVN_Slovenia/GO_Gorenjska_Upper_Carniola/SVN_GO_Lesce.AP.140100_TMYx.2009-2023.zip")</f>
        <v>https://climate.onebuilding.org/WMO_Region_6_Europe/SVN_Slovenia/GO_Gorenjska_Upper_Carniola/SVN_GO_Lesce.AP.140100_TMYx.2009-2023.zip</v>
      </c>
    </row>
    <row r="10477" spans="1:10" x14ac:dyDescent="0.25">
      <c r="A10477" t="s">
        <v>7556</v>
      </c>
      <c r="B10477" t="s">
        <v>7557</v>
      </c>
      <c r="C10477" t="s">
        <v>7566</v>
      </c>
      <c r="D10477">
        <v>140100</v>
      </c>
      <c r="E10477" t="s">
        <v>14</v>
      </c>
      <c r="F10477">
        <v>46.361899999999999</v>
      </c>
      <c r="G10477">
        <v>14.1717</v>
      </c>
      <c r="H10477">
        <v>1</v>
      </c>
      <c r="I10477">
        <v>515</v>
      </c>
      <c r="J10477" t="str">
        <f>HYPERLINK("https://climate.onebuilding.org/WMO_Region_6_Europe/SVN_Slovenia/GO_Gorenjska_Upper_Carniola/SVN_GO_Lesce.AP.140100_TMYx.zip")</f>
        <v>https://climate.onebuilding.org/WMO_Region_6_Europe/SVN_Slovenia/GO_Gorenjska_Upper_Carniola/SVN_GO_Lesce.AP.140100_TMYx.zip</v>
      </c>
    </row>
    <row r="10478" spans="1:10" x14ac:dyDescent="0.25">
      <c r="A10478" t="s">
        <v>7556</v>
      </c>
      <c r="B10478" t="s">
        <v>7568</v>
      </c>
      <c r="C10478" t="s">
        <v>7569</v>
      </c>
      <c r="D10478">
        <v>140120</v>
      </c>
      <c r="E10478" t="s">
        <v>14</v>
      </c>
      <c r="F10478">
        <v>46.0931</v>
      </c>
      <c r="G10478">
        <v>14.370799999999999</v>
      </c>
      <c r="H10478">
        <v>1</v>
      </c>
      <c r="I10478">
        <v>685</v>
      </c>
      <c r="J10478" t="str">
        <f>HYPERLINK("https://climate.onebuilding.org/WMO_Region_6_Europe/SVN_Slovenia/LJ_Osrednjeslovenska_Central_Slovenia/SVN_LJ_Katarina.Mtn.140120_TMYx.2007-2021.zip")</f>
        <v>https://climate.onebuilding.org/WMO_Region_6_Europe/SVN_Slovenia/LJ_Osrednjeslovenska_Central_Slovenia/SVN_LJ_Katarina.Mtn.140120_TMYx.2007-2021.zip</v>
      </c>
    </row>
    <row r="10479" spans="1:10" x14ac:dyDescent="0.25">
      <c r="A10479" t="s">
        <v>7556</v>
      </c>
      <c r="B10479" t="s">
        <v>7568</v>
      </c>
      <c r="C10479" t="s">
        <v>7569</v>
      </c>
      <c r="D10479">
        <v>140120</v>
      </c>
      <c r="E10479" t="s">
        <v>14</v>
      </c>
      <c r="F10479">
        <v>46.0931</v>
      </c>
      <c r="G10479">
        <v>14.370799999999999</v>
      </c>
      <c r="H10479">
        <v>1</v>
      </c>
      <c r="I10479">
        <v>685</v>
      </c>
      <c r="J10479" t="str">
        <f>HYPERLINK("https://climate.onebuilding.org/WMO_Region_6_Europe/SVN_Slovenia/LJ_Osrednjeslovenska_Central_Slovenia/SVN_LJ_Katarina.Mtn.140120_TMYx.2009-2023.zip")</f>
        <v>https://climate.onebuilding.org/WMO_Region_6_Europe/SVN_Slovenia/LJ_Osrednjeslovenska_Central_Slovenia/SVN_LJ_Katarina.Mtn.140120_TMYx.2009-2023.zip</v>
      </c>
    </row>
    <row r="10480" spans="1:10" x14ac:dyDescent="0.25">
      <c r="A10480" t="s">
        <v>7556</v>
      </c>
      <c r="B10480" t="s">
        <v>7568</v>
      </c>
      <c r="C10480" t="s">
        <v>7569</v>
      </c>
      <c r="D10480">
        <v>140120</v>
      </c>
      <c r="E10480" t="s">
        <v>14</v>
      </c>
      <c r="F10480">
        <v>46.0931</v>
      </c>
      <c r="G10480">
        <v>14.370799999999999</v>
      </c>
      <c r="H10480">
        <v>1</v>
      </c>
      <c r="I10480">
        <v>685</v>
      </c>
      <c r="J10480" t="str">
        <f>HYPERLINK("https://climate.onebuilding.org/WMO_Region_6_Europe/SVN_Slovenia/LJ_Osrednjeslovenska_Central_Slovenia/SVN_LJ_Katarina.Mtn.140120_TMYx.zip")</f>
        <v>https://climate.onebuilding.org/WMO_Region_6_Europe/SVN_Slovenia/LJ_Osrednjeslovenska_Central_Slovenia/SVN_LJ_Katarina.Mtn.140120_TMYx.zip</v>
      </c>
    </row>
    <row r="10481" spans="1:10" x14ac:dyDescent="0.25">
      <c r="A10481" t="s">
        <v>7556</v>
      </c>
      <c r="B10481" t="s">
        <v>7568</v>
      </c>
      <c r="C10481" t="s">
        <v>7570</v>
      </c>
      <c r="D10481">
        <v>140140</v>
      </c>
      <c r="E10481" t="s">
        <v>7571</v>
      </c>
      <c r="F10481">
        <v>46.217500000000001</v>
      </c>
      <c r="G10481">
        <v>14.472799999999999</v>
      </c>
      <c r="H10481">
        <v>1</v>
      </c>
      <c r="I10481">
        <v>388</v>
      </c>
      <c r="J10481" t="str">
        <f>HYPERLINK("https://climate.onebuilding.org/WMO_Region_6_Europe/SVN_Slovenia/LJ_Osrednjeslovenska_Central_Slovenia/SVN_LJ_Ljubljana-Pocnik.Intl.AP.140140_TMYx.2004-2018.zip")</f>
        <v>https://climate.onebuilding.org/WMO_Region_6_Europe/SVN_Slovenia/LJ_Osrednjeslovenska_Central_Slovenia/SVN_LJ_Ljubljana-Pocnik.Intl.AP.140140_TMYx.2004-2018.zip</v>
      </c>
    </row>
    <row r="10482" spans="1:10" x14ac:dyDescent="0.25">
      <c r="A10482" t="s">
        <v>7556</v>
      </c>
      <c r="B10482" t="s">
        <v>7568</v>
      </c>
      <c r="C10482" t="s">
        <v>7570</v>
      </c>
      <c r="D10482">
        <v>140140</v>
      </c>
      <c r="E10482" t="s">
        <v>14</v>
      </c>
      <c r="F10482">
        <v>46.217500000000001</v>
      </c>
      <c r="G10482">
        <v>14.472799999999999</v>
      </c>
      <c r="H10482">
        <v>1</v>
      </c>
      <c r="I10482">
        <v>388</v>
      </c>
      <c r="J10482" t="str">
        <f>HYPERLINK("https://climate.onebuilding.org/WMO_Region_6_Europe/SVN_Slovenia/LJ_Osrednjeslovenska_Central_Slovenia/SVN_LJ_Ljubljana-Pocnik.Intl.AP.140140_TMYx.2007-2021.zip")</f>
        <v>https://climate.onebuilding.org/WMO_Region_6_Europe/SVN_Slovenia/LJ_Osrednjeslovenska_Central_Slovenia/SVN_LJ_Ljubljana-Pocnik.Intl.AP.140140_TMYx.2007-2021.zip</v>
      </c>
    </row>
    <row r="10483" spans="1:10" x14ac:dyDescent="0.25">
      <c r="A10483" t="s">
        <v>7556</v>
      </c>
      <c r="B10483" t="s">
        <v>7568</v>
      </c>
      <c r="C10483" t="s">
        <v>7570</v>
      </c>
      <c r="D10483">
        <v>140140</v>
      </c>
      <c r="E10483" t="s">
        <v>14</v>
      </c>
      <c r="F10483">
        <v>46.217500000000001</v>
      </c>
      <c r="G10483">
        <v>14.472799999999999</v>
      </c>
      <c r="H10483">
        <v>1</v>
      </c>
      <c r="I10483">
        <v>388</v>
      </c>
      <c r="J10483" t="str">
        <f>HYPERLINK("https://climate.onebuilding.org/WMO_Region_6_Europe/SVN_Slovenia/LJ_Osrednjeslovenska_Central_Slovenia/SVN_LJ_Ljubljana-Pocnik.Intl.AP.140140_TMYx.2009-2023.zip")</f>
        <v>https://climate.onebuilding.org/WMO_Region_6_Europe/SVN_Slovenia/LJ_Osrednjeslovenska_Central_Slovenia/SVN_LJ_Ljubljana-Pocnik.Intl.AP.140140_TMYx.2009-2023.zip</v>
      </c>
    </row>
    <row r="10484" spans="1:10" x14ac:dyDescent="0.25">
      <c r="A10484" t="s">
        <v>7556</v>
      </c>
      <c r="B10484" t="s">
        <v>7568</v>
      </c>
      <c r="C10484" t="s">
        <v>7570</v>
      </c>
      <c r="D10484">
        <v>140140</v>
      </c>
      <c r="E10484" t="s">
        <v>14</v>
      </c>
      <c r="F10484">
        <v>46.217500000000001</v>
      </c>
      <c r="G10484">
        <v>14.472799999999999</v>
      </c>
      <c r="H10484">
        <v>1</v>
      </c>
      <c r="I10484">
        <v>388</v>
      </c>
      <c r="J10484" t="str">
        <f>HYPERLINK("https://climate.onebuilding.org/WMO_Region_6_Europe/SVN_Slovenia/LJ_Osrednjeslovenska_Central_Slovenia/SVN_LJ_Ljubljana-Pocnik.Intl.AP.140140_TMYx.zip")</f>
        <v>https://climate.onebuilding.org/WMO_Region_6_Europe/SVN_Slovenia/LJ_Osrednjeslovenska_Central_Slovenia/SVN_LJ_Ljubljana-Pocnik.Intl.AP.140140_TMYx.zip</v>
      </c>
    </row>
    <row r="10485" spans="1:10" x14ac:dyDescent="0.25">
      <c r="A10485" t="s">
        <v>7556</v>
      </c>
      <c r="B10485" t="s">
        <v>7568</v>
      </c>
      <c r="C10485" t="s">
        <v>7572</v>
      </c>
      <c r="D10485">
        <v>140150</v>
      </c>
      <c r="E10485" t="s">
        <v>7573</v>
      </c>
      <c r="F10485">
        <v>46.065600000000003</v>
      </c>
      <c r="G10485">
        <v>14.5122</v>
      </c>
      <c r="H10485">
        <v>1</v>
      </c>
      <c r="I10485">
        <v>298</v>
      </c>
      <c r="J10485" t="str">
        <f>HYPERLINK("https://climate.onebuilding.org/WMO_Region_6_Europe/SVN_Slovenia/LJ_Osrednjeslovenska_Central_Slovenia/SVN_LJ_Ljubljana-Bezigrad.140150_TMYx.2004-2018.zip")</f>
        <v>https://climate.onebuilding.org/WMO_Region_6_Europe/SVN_Slovenia/LJ_Osrednjeslovenska_Central_Slovenia/SVN_LJ_Ljubljana-Bezigrad.140150_TMYx.2004-2018.zip</v>
      </c>
    </row>
    <row r="10486" spans="1:10" x14ac:dyDescent="0.25">
      <c r="A10486" t="s">
        <v>7556</v>
      </c>
      <c r="B10486" t="s">
        <v>7568</v>
      </c>
      <c r="C10486" t="s">
        <v>7572</v>
      </c>
      <c r="D10486">
        <v>140150</v>
      </c>
      <c r="E10486" t="s">
        <v>14</v>
      </c>
      <c r="F10486">
        <v>46.065600000000003</v>
      </c>
      <c r="G10486">
        <v>14.5122</v>
      </c>
      <c r="H10486">
        <v>1</v>
      </c>
      <c r="I10486">
        <v>298</v>
      </c>
      <c r="J10486" t="str">
        <f>HYPERLINK("https://climate.onebuilding.org/WMO_Region_6_Europe/SVN_Slovenia/LJ_Osrednjeslovenska_Central_Slovenia/SVN_LJ_Ljubljana-Bezigrad.140150_TMYx.2007-2021.zip")</f>
        <v>https://climate.onebuilding.org/WMO_Region_6_Europe/SVN_Slovenia/LJ_Osrednjeslovenska_Central_Slovenia/SVN_LJ_Ljubljana-Bezigrad.140150_TMYx.2007-2021.zip</v>
      </c>
    </row>
    <row r="10487" spans="1:10" x14ac:dyDescent="0.25">
      <c r="A10487" t="s">
        <v>7556</v>
      </c>
      <c r="B10487" t="s">
        <v>7568</v>
      </c>
      <c r="C10487" t="s">
        <v>7572</v>
      </c>
      <c r="D10487">
        <v>140150</v>
      </c>
      <c r="E10487" t="s">
        <v>14</v>
      </c>
      <c r="F10487">
        <v>46.065600000000003</v>
      </c>
      <c r="G10487">
        <v>14.5122</v>
      </c>
      <c r="H10487">
        <v>1</v>
      </c>
      <c r="I10487">
        <v>298</v>
      </c>
      <c r="J10487" t="str">
        <f>HYPERLINK("https://climate.onebuilding.org/WMO_Region_6_Europe/SVN_Slovenia/LJ_Osrednjeslovenska_Central_Slovenia/SVN_LJ_Ljubljana-Bezigrad.140150_TMYx.2009-2023.zip")</f>
        <v>https://climate.onebuilding.org/WMO_Region_6_Europe/SVN_Slovenia/LJ_Osrednjeslovenska_Central_Slovenia/SVN_LJ_Ljubljana-Bezigrad.140150_TMYx.2009-2023.zip</v>
      </c>
    </row>
    <row r="10488" spans="1:10" x14ac:dyDescent="0.25">
      <c r="A10488" t="s">
        <v>7556</v>
      </c>
      <c r="B10488" t="s">
        <v>7568</v>
      </c>
      <c r="C10488" t="s">
        <v>7572</v>
      </c>
      <c r="D10488">
        <v>140150</v>
      </c>
      <c r="E10488" t="s">
        <v>14</v>
      </c>
      <c r="F10488">
        <v>46.065600000000003</v>
      </c>
      <c r="G10488">
        <v>14.5122</v>
      </c>
      <c r="H10488">
        <v>1</v>
      </c>
      <c r="I10488">
        <v>298</v>
      </c>
      <c r="J10488" t="str">
        <f>HYPERLINK("https://climate.onebuilding.org/WMO_Region_6_Europe/SVN_Slovenia/LJ_Osrednjeslovenska_Central_Slovenia/SVN_LJ_Ljubljana-Bezigrad.140150_TMYx.zip")</f>
        <v>https://climate.onebuilding.org/WMO_Region_6_Europe/SVN_Slovenia/LJ_Osrednjeslovenska_Central_Slovenia/SVN_LJ_Ljubljana-Bezigrad.140150_TMYx.zip</v>
      </c>
    </row>
    <row r="10489" spans="1:10" x14ac:dyDescent="0.25">
      <c r="A10489" t="s">
        <v>7556</v>
      </c>
      <c r="B10489" t="s">
        <v>7574</v>
      </c>
      <c r="C10489" t="s">
        <v>7575</v>
      </c>
      <c r="D10489">
        <v>140210</v>
      </c>
      <c r="E10489" t="s">
        <v>7576</v>
      </c>
      <c r="F10489">
        <v>46.489400000000003</v>
      </c>
      <c r="G10489">
        <v>15.1111</v>
      </c>
      <c r="H10489">
        <v>1</v>
      </c>
      <c r="I10489">
        <v>444</v>
      </c>
      <c r="J10489" t="str">
        <f>HYPERLINK("https://climate.onebuilding.org/WMO_Region_6_Europe/SVN_Slovenia/KO_Koroska_Carinthia/SVN_KO_Slovenj.Gradec.140210_TMYx.2004-2018.zip")</f>
        <v>https://climate.onebuilding.org/WMO_Region_6_Europe/SVN_Slovenia/KO_Koroska_Carinthia/SVN_KO_Slovenj.Gradec.140210_TMYx.2004-2018.zip</v>
      </c>
    </row>
    <row r="10490" spans="1:10" x14ac:dyDescent="0.25">
      <c r="A10490" t="s">
        <v>7556</v>
      </c>
      <c r="B10490" t="s">
        <v>7574</v>
      </c>
      <c r="C10490" t="s">
        <v>7575</v>
      </c>
      <c r="D10490">
        <v>140210</v>
      </c>
      <c r="E10490" t="s">
        <v>14</v>
      </c>
      <c r="F10490">
        <v>46.489400000000003</v>
      </c>
      <c r="G10490">
        <v>15.1111</v>
      </c>
      <c r="H10490">
        <v>1</v>
      </c>
      <c r="I10490">
        <v>444</v>
      </c>
      <c r="J10490" t="str">
        <f>HYPERLINK("https://climate.onebuilding.org/WMO_Region_6_Europe/SVN_Slovenia/KO_Koroska_Carinthia/SVN_KO_Slovenj.Gradec.140210_TMYx.2007-2021.zip")</f>
        <v>https://climate.onebuilding.org/WMO_Region_6_Europe/SVN_Slovenia/KO_Koroska_Carinthia/SVN_KO_Slovenj.Gradec.140210_TMYx.2007-2021.zip</v>
      </c>
    </row>
    <row r="10491" spans="1:10" x14ac:dyDescent="0.25">
      <c r="A10491" t="s">
        <v>7556</v>
      </c>
      <c r="B10491" t="s">
        <v>7574</v>
      </c>
      <c r="C10491" t="s">
        <v>7575</v>
      </c>
      <c r="D10491">
        <v>140210</v>
      </c>
      <c r="E10491" t="s">
        <v>14</v>
      </c>
      <c r="F10491">
        <v>46.489400000000003</v>
      </c>
      <c r="G10491">
        <v>15.1111</v>
      </c>
      <c r="H10491">
        <v>1</v>
      </c>
      <c r="I10491">
        <v>444</v>
      </c>
      <c r="J10491" t="str">
        <f>HYPERLINK("https://climate.onebuilding.org/WMO_Region_6_Europe/SVN_Slovenia/KO_Koroska_Carinthia/SVN_KO_Slovenj.Gradec.140210_TMYx.2009-2023.zip")</f>
        <v>https://climate.onebuilding.org/WMO_Region_6_Europe/SVN_Slovenia/KO_Koroska_Carinthia/SVN_KO_Slovenj.Gradec.140210_TMYx.2009-2023.zip</v>
      </c>
    </row>
    <row r="10492" spans="1:10" x14ac:dyDescent="0.25">
      <c r="A10492" t="s">
        <v>7556</v>
      </c>
      <c r="B10492" t="s">
        <v>7574</v>
      </c>
      <c r="C10492" t="s">
        <v>7575</v>
      </c>
      <c r="D10492">
        <v>140210</v>
      </c>
      <c r="E10492" t="s">
        <v>14</v>
      </c>
      <c r="F10492">
        <v>46.489400000000003</v>
      </c>
      <c r="G10492">
        <v>15.1111</v>
      </c>
      <c r="H10492">
        <v>1</v>
      </c>
      <c r="I10492">
        <v>444</v>
      </c>
      <c r="J10492" t="str">
        <f>HYPERLINK("https://climate.onebuilding.org/WMO_Region_6_Europe/SVN_Slovenia/KO_Koroska_Carinthia/SVN_KO_Slovenj.Gradec.140210_TMYx.zip")</f>
        <v>https://climate.onebuilding.org/WMO_Region_6_Europe/SVN_Slovenia/KO_Koroska_Carinthia/SVN_KO_Slovenj.Gradec.140210_TMYx.zip</v>
      </c>
    </row>
    <row r="10493" spans="1:10" x14ac:dyDescent="0.25">
      <c r="A10493" t="s">
        <v>7556</v>
      </c>
      <c r="B10493" t="s">
        <v>2286</v>
      </c>
      <c r="C10493" t="s">
        <v>7577</v>
      </c>
      <c r="D10493">
        <v>140230</v>
      </c>
      <c r="E10493" t="s">
        <v>7578</v>
      </c>
      <c r="F10493">
        <v>46.236699999999999</v>
      </c>
      <c r="G10493">
        <v>15.2258</v>
      </c>
      <c r="H10493">
        <v>1</v>
      </c>
      <c r="I10493">
        <v>243.6</v>
      </c>
      <c r="J10493" t="str">
        <f>HYPERLINK("https://climate.onebuilding.org/WMO_Region_6_Europe/SVN_Slovenia/SA_Savinjska_Savinja/SVN_SA_Celje.140230_TMYx.2004-2018.zip")</f>
        <v>https://climate.onebuilding.org/WMO_Region_6_Europe/SVN_Slovenia/SA_Savinjska_Savinja/SVN_SA_Celje.140230_TMYx.2004-2018.zip</v>
      </c>
    </row>
    <row r="10494" spans="1:10" x14ac:dyDescent="0.25">
      <c r="A10494" t="s">
        <v>7556</v>
      </c>
      <c r="B10494" t="s">
        <v>2286</v>
      </c>
      <c r="C10494" t="s">
        <v>7577</v>
      </c>
      <c r="D10494">
        <v>140230</v>
      </c>
      <c r="E10494" t="s">
        <v>14</v>
      </c>
      <c r="F10494">
        <v>46.236699999999999</v>
      </c>
      <c r="G10494">
        <v>15.2258</v>
      </c>
      <c r="H10494">
        <v>1</v>
      </c>
      <c r="I10494">
        <v>243.6</v>
      </c>
      <c r="J10494" t="str">
        <f>HYPERLINK("https://climate.onebuilding.org/WMO_Region_6_Europe/SVN_Slovenia/SA_Savinjska_Savinja/SVN_SA_Celje.140230_TMYx.2007-2021.zip")</f>
        <v>https://climate.onebuilding.org/WMO_Region_6_Europe/SVN_Slovenia/SA_Savinjska_Savinja/SVN_SA_Celje.140230_TMYx.2007-2021.zip</v>
      </c>
    </row>
    <row r="10495" spans="1:10" x14ac:dyDescent="0.25">
      <c r="A10495" t="s">
        <v>7556</v>
      </c>
      <c r="B10495" t="s">
        <v>2286</v>
      </c>
      <c r="C10495" t="s">
        <v>7577</v>
      </c>
      <c r="D10495">
        <v>140230</v>
      </c>
      <c r="E10495" t="s">
        <v>14</v>
      </c>
      <c r="F10495">
        <v>46.236699999999999</v>
      </c>
      <c r="G10495">
        <v>15.2258</v>
      </c>
      <c r="H10495">
        <v>1</v>
      </c>
      <c r="I10495">
        <v>243.6</v>
      </c>
      <c r="J10495" t="str">
        <f>HYPERLINK("https://climate.onebuilding.org/WMO_Region_6_Europe/SVN_Slovenia/SA_Savinjska_Savinja/SVN_SA_Celje.140230_TMYx.2009-2023.zip")</f>
        <v>https://climate.onebuilding.org/WMO_Region_6_Europe/SVN_Slovenia/SA_Savinjska_Savinja/SVN_SA_Celje.140230_TMYx.2009-2023.zip</v>
      </c>
    </row>
    <row r="10496" spans="1:10" x14ac:dyDescent="0.25">
      <c r="A10496" t="s">
        <v>7556</v>
      </c>
      <c r="B10496" t="s">
        <v>2286</v>
      </c>
      <c r="C10496" t="s">
        <v>7577</v>
      </c>
      <c r="D10496">
        <v>140230</v>
      </c>
      <c r="E10496" t="s">
        <v>14</v>
      </c>
      <c r="F10496">
        <v>46.236699999999999</v>
      </c>
      <c r="G10496">
        <v>15.2258</v>
      </c>
      <c r="H10496">
        <v>1</v>
      </c>
      <c r="I10496">
        <v>243.6</v>
      </c>
      <c r="J10496" t="str">
        <f>HYPERLINK("https://climate.onebuilding.org/WMO_Region_6_Europe/SVN_Slovenia/SA_Savinjska_Savinja/SVN_SA_Celje.140230_TMYx.zip")</f>
        <v>https://climate.onebuilding.org/WMO_Region_6_Europe/SVN_Slovenia/SA_Savinjska_Savinja/SVN_SA_Celje.140230_TMYx.zip</v>
      </c>
    </row>
    <row r="10497" spans="1:10" x14ac:dyDescent="0.25">
      <c r="A10497" t="s">
        <v>7556</v>
      </c>
      <c r="B10497" t="s">
        <v>7579</v>
      </c>
      <c r="C10497" t="s">
        <v>7580</v>
      </c>
      <c r="D10497">
        <v>140240</v>
      </c>
      <c r="E10497" t="s">
        <v>7581</v>
      </c>
      <c r="F10497">
        <v>46.067799999999998</v>
      </c>
      <c r="G10497">
        <v>15.285</v>
      </c>
      <c r="H10497">
        <v>1</v>
      </c>
      <c r="I10497">
        <v>941</v>
      </c>
      <c r="J10497" t="str">
        <f>HYPERLINK("https://climate.onebuilding.org/WMO_Region_6_Europe/SVN_Slovenia/PS_Posavska_Lower_Sava/SVN_PS_Lisca.Hill-Jurko.Lodge.140240_TMYx.2004-2018.zip")</f>
        <v>https://climate.onebuilding.org/WMO_Region_6_Europe/SVN_Slovenia/PS_Posavska_Lower_Sava/SVN_PS_Lisca.Hill-Jurko.Lodge.140240_TMYx.2004-2018.zip</v>
      </c>
    </row>
    <row r="10498" spans="1:10" x14ac:dyDescent="0.25">
      <c r="A10498" t="s">
        <v>7556</v>
      </c>
      <c r="B10498" t="s">
        <v>7579</v>
      </c>
      <c r="C10498" t="s">
        <v>7580</v>
      </c>
      <c r="D10498">
        <v>140240</v>
      </c>
      <c r="E10498" t="s">
        <v>14</v>
      </c>
      <c r="F10498">
        <v>46.067799999999998</v>
      </c>
      <c r="G10498">
        <v>15.285</v>
      </c>
      <c r="H10498">
        <v>1</v>
      </c>
      <c r="I10498">
        <v>941</v>
      </c>
      <c r="J10498" t="str">
        <f>HYPERLINK("https://climate.onebuilding.org/WMO_Region_6_Europe/SVN_Slovenia/PS_Posavska_Lower_Sava/SVN_PS_Lisca.Hill-Jurko.Lodge.140240_TMYx.2007-2021.zip")</f>
        <v>https://climate.onebuilding.org/WMO_Region_6_Europe/SVN_Slovenia/PS_Posavska_Lower_Sava/SVN_PS_Lisca.Hill-Jurko.Lodge.140240_TMYx.2007-2021.zip</v>
      </c>
    </row>
    <row r="10499" spans="1:10" x14ac:dyDescent="0.25">
      <c r="A10499" t="s">
        <v>7556</v>
      </c>
      <c r="B10499" t="s">
        <v>7579</v>
      </c>
      <c r="C10499" t="s">
        <v>7580</v>
      </c>
      <c r="D10499">
        <v>140240</v>
      </c>
      <c r="E10499" t="s">
        <v>14</v>
      </c>
      <c r="F10499">
        <v>46.067799999999998</v>
      </c>
      <c r="G10499">
        <v>15.285</v>
      </c>
      <c r="H10499">
        <v>1</v>
      </c>
      <c r="I10499">
        <v>941</v>
      </c>
      <c r="J10499" t="str">
        <f>HYPERLINK("https://climate.onebuilding.org/WMO_Region_6_Europe/SVN_Slovenia/PS_Posavska_Lower_Sava/SVN_PS_Lisca.Hill-Jurko.Lodge.140240_TMYx.2009-2023.zip")</f>
        <v>https://climate.onebuilding.org/WMO_Region_6_Europe/SVN_Slovenia/PS_Posavska_Lower_Sava/SVN_PS_Lisca.Hill-Jurko.Lodge.140240_TMYx.2009-2023.zip</v>
      </c>
    </row>
    <row r="10500" spans="1:10" x14ac:dyDescent="0.25">
      <c r="A10500" t="s">
        <v>7556</v>
      </c>
      <c r="B10500" t="s">
        <v>7579</v>
      </c>
      <c r="C10500" t="s">
        <v>7580</v>
      </c>
      <c r="D10500">
        <v>140240</v>
      </c>
      <c r="E10500" t="s">
        <v>14</v>
      </c>
      <c r="F10500">
        <v>46.067799999999998</v>
      </c>
      <c r="G10500">
        <v>15.285</v>
      </c>
      <c r="H10500">
        <v>1</v>
      </c>
      <c r="I10500">
        <v>941</v>
      </c>
      <c r="J10500" t="str">
        <f>HYPERLINK("https://climate.onebuilding.org/WMO_Region_6_Europe/SVN_Slovenia/PS_Posavska_Lower_Sava/SVN_PS_Lisca.Hill-Jurko.Lodge.140240_TMYx.zip")</f>
        <v>https://climate.onebuilding.org/WMO_Region_6_Europe/SVN_Slovenia/PS_Posavska_Lower_Sava/SVN_PS_Lisca.Hill-Jurko.Lodge.140240_TMYx.zip</v>
      </c>
    </row>
    <row r="10501" spans="1:10" x14ac:dyDescent="0.25">
      <c r="A10501" t="s">
        <v>7556</v>
      </c>
      <c r="B10501" t="s">
        <v>495</v>
      </c>
      <c r="C10501" t="s">
        <v>7582</v>
      </c>
      <c r="D10501">
        <v>140250</v>
      </c>
      <c r="E10501" t="s">
        <v>14</v>
      </c>
      <c r="F10501">
        <v>46.533000000000001</v>
      </c>
      <c r="G10501">
        <v>15.65</v>
      </c>
      <c r="H10501">
        <v>1</v>
      </c>
      <c r="I10501">
        <v>278</v>
      </c>
      <c r="J10501" t="str">
        <f>HYPERLINK("https://climate.onebuilding.org/WMO_Region_6_Europe/SVN_Slovenia/PD_Podravska_Drava/SVN_PD_Maribor-Tabor.140250_TMYx.zip")</f>
        <v>https://climate.onebuilding.org/WMO_Region_6_Europe/SVN_Slovenia/PD_Podravska_Drava/SVN_PD_Maribor-Tabor.140250_TMYx.zip</v>
      </c>
    </row>
    <row r="10502" spans="1:10" x14ac:dyDescent="0.25">
      <c r="A10502" t="s">
        <v>7556</v>
      </c>
      <c r="B10502" t="s">
        <v>495</v>
      </c>
      <c r="C10502" t="s">
        <v>7583</v>
      </c>
      <c r="D10502">
        <v>140260</v>
      </c>
      <c r="E10502" t="s">
        <v>7584</v>
      </c>
      <c r="F10502">
        <v>46.48</v>
      </c>
      <c r="G10502">
        <v>15.686</v>
      </c>
      <c r="H10502">
        <v>1</v>
      </c>
      <c r="I10502">
        <v>267</v>
      </c>
      <c r="J10502" t="str">
        <f>HYPERLINK("https://climate.onebuilding.org/WMO_Region_6_Europe/SVN_Slovenia/PD_Podravska_Drava/SVN_PD_Maribor-Rusjan.Intl.AP.140260_TMYx.2004-2018.zip")</f>
        <v>https://climate.onebuilding.org/WMO_Region_6_Europe/SVN_Slovenia/PD_Podravska_Drava/SVN_PD_Maribor-Rusjan.Intl.AP.140260_TMYx.2004-2018.zip</v>
      </c>
    </row>
    <row r="10503" spans="1:10" x14ac:dyDescent="0.25">
      <c r="A10503" t="s">
        <v>7556</v>
      </c>
      <c r="B10503" t="s">
        <v>495</v>
      </c>
      <c r="C10503" t="s">
        <v>7583</v>
      </c>
      <c r="D10503">
        <v>140260</v>
      </c>
      <c r="E10503" t="s">
        <v>14</v>
      </c>
      <c r="F10503">
        <v>46.479700000000001</v>
      </c>
      <c r="G10503">
        <v>15.681900000000001</v>
      </c>
      <c r="H10503">
        <v>1</v>
      </c>
      <c r="I10503">
        <v>267</v>
      </c>
      <c r="J10503" t="str">
        <f>HYPERLINK("https://climate.onebuilding.org/WMO_Region_6_Europe/SVN_Slovenia/PD_Podravska_Drava/SVN_PD_Maribor-Rusjan.Intl.AP.140260_TMYx.2007-2021.zip")</f>
        <v>https://climate.onebuilding.org/WMO_Region_6_Europe/SVN_Slovenia/PD_Podravska_Drava/SVN_PD_Maribor-Rusjan.Intl.AP.140260_TMYx.2007-2021.zip</v>
      </c>
    </row>
    <row r="10504" spans="1:10" x14ac:dyDescent="0.25">
      <c r="A10504" t="s">
        <v>7556</v>
      </c>
      <c r="B10504" t="s">
        <v>495</v>
      </c>
      <c r="C10504" t="s">
        <v>7583</v>
      </c>
      <c r="D10504">
        <v>140260</v>
      </c>
      <c r="E10504" t="s">
        <v>14</v>
      </c>
      <c r="F10504">
        <v>46.479700000000001</v>
      </c>
      <c r="G10504">
        <v>15.681900000000001</v>
      </c>
      <c r="H10504">
        <v>1</v>
      </c>
      <c r="I10504">
        <v>267</v>
      </c>
      <c r="J10504" t="str">
        <f>HYPERLINK("https://climate.onebuilding.org/WMO_Region_6_Europe/SVN_Slovenia/PD_Podravska_Drava/SVN_PD_Maribor-Rusjan.Intl.AP.140260_TMYx.2009-2023.zip")</f>
        <v>https://climate.onebuilding.org/WMO_Region_6_Europe/SVN_Slovenia/PD_Podravska_Drava/SVN_PD_Maribor-Rusjan.Intl.AP.140260_TMYx.2009-2023.zip</v>
      </c>
    </row>
    <row r="10505" spans="1:10" x14ac:dyDescent="0.25">
      <c r="A10505" t="s">
        <v>7556</v>
      </c>
      <c r="B10505" t="s">
        <v>495</v>
      </c>
      <c r="C10505" t="s">
        <v>7583</v>
      </c>
      <c r="D10505">
        <v>140260</v>
      </c>
      <c r="E10505" t="s">
        <v>14</v>
      </c>
      <c r="F10505">
        <v>46.479700000000001</v>
      </c>
      <c r="G10505">
        <v>15.681900000000001</v>
      </c>
      <c r="H10505">
        <v>1</v>
      </c>
      <c r="I10505">
        <v>267</v>
      </c>
      <c r="J10505" t="str">
        <f>HYPERLINK("https://climate.onebuilding.org/WMO_Region_6_Europe/SVN_Slovenia/PD_Podravska_Drava/SVN_PD_Maribor-Rusjan.Intl.AP.140260_TMYx.zip")</f>
        <v>https://climate.onebuilding.org/WMO_Region_6_Europe/SVN_Slovenia/PD_Podravska_Drava/SVN_PD_Maribor-Rusjan.Intl.AP.140260_TMYx.zip</v>
      </c>
    </row>
    <row r="10506" spans="1:10" x14ac:dyDescent="0.25">
      <c r="A10506" t="s">
        <v>7556</v>
      </c>
      <c r="B10506" t="s">
        <v>1221</v>
      </c>
      <c r="C10506" t="s">
        <v>7585</v>
      </c>
      <c r="D10506">
        <v>140310</v>
      </c>
      <c r="E10506" t="s">
        <v>7586</v>
      </c>
      <c r="F10506">
        <v>46.652000000000001</v>
      </c>
      <c r="G10506">
        <v>16.191400000000002</v>
      </c>
      <c r="H10506">
        <v>1</v>
      </c>
      <c r="I10506">
        <v>186.7</v>
      </c>
      <c r="J10506" t="str">
        <f>HYPERLINK("https://climate.onebuilding.org/WMO_Region_6_Europe/SVN_Slovenia/PM_Pomurska_Mura/SVN_PM_Murska.Sobota.140310_TMYx.2004-2018.zip")</f>
        <v>https://climate.onebuilding.org/WMO_Region_6_Europe/SVN_Slovenia/PM_Pomurska_Mura/SVN_PM_Murska.Sobota.140310_TMYx.2004-2018.zip</v>
      </c>
    </row>
    <row r="10507" spans="1:10" x14ac:dyDescent="0.25">
      <c r="A10507" t="s">
        <v>7556</v>
      </c>
      <c r="B10507" t="s">
        <v>1221</v>
      </c>
      <c r="C10507" t="s">
        <v>7585</v>
      </c>
      <c r="D10507">
        <v>140310</v>
      </c>
      <c r="E10507" t="s">
        <v>14</v>
      </c>
      <c r="F10507">
        <v>46.652000000000001</v>
      </c>
      <c r="G10507">
        <v>16.191400000000002</v>
      </c>
      <c r="H10507">
        <v>1</v>
      </c>
      <c r="I10507">
        <v>186.7</v>
      </c>
      <c r="J10507" t="str">
        <f>HYPERLINK("https://climate.onebuilding.org/WMO_Region_6_Europe/SVN_Slovenia/PM_Pomurska_Mura/SVN_PM_Murska.Sobota.140310_TMYx.2007-2021.zip")</f>
        <v>https://climate.onebuilding.org/WMO_Region_6_Europe/SVN_Slovenia/PM_Pomurska_Mura/SVN_PM_Murska.Sobota.140310_TMYx.2007-2021.zip</v>
      </c>
    </row>
    <row r="10508" spans="1:10" x14ac:dyDescent="0.25">
      <c r="A10508" t="s">
        <v>7556</v>
      </c>
      <c r="B10508" t="s">
        <v>1221</v>
      </c>
      <c r="C10508" t="s">
        <v>7585</v>
      </c>
      <c r="D10508">
        <v>140310</v>
      </c>
      <c r="E10508" t="s">
        <v>14</v>
      </c>
      <c r="F10508">
        <v>46.652000000000001</v>
      </c>
      <c r="G10508">
        <v>16.191400000000002</v>
      </c>
      <c r="H10508">
        <v>1</v>
      </c>
      <c r="I10508">
        <v>186.7</v>
      </c>
      <c r="J10508" t="str">
        <f>HYPERLINK("https://climate.onebuilding.org/WMO_Region_6_Europe/SVN_Slovenia/PM_Pomurska_Mura/SVN_PM_Murska.Sobota.140310_TMYx.2009-2023.zip")</f>
        <v>https://climate.onebuilding.org/WMO_Region_6_Europe/SVN_Slovenia/PM_Pomurska_Mura/SVN_PM_Murska.Sobota.140310_TMYx.2009-2023.zip</v>
      </c>
    </row>
    <row r="10509" spans="1:10" x14ac:dyDescent="0.25">
      <c r="A10509" t="s">
        <v>7556</v>
      </c>
      <c r="B10509" t="s">
        <v>1221</v>
      </c>
      <c r="C10509" t="s">
        <v>7585</v>
      </c>
      <c r="D10509">
        <v>140310</v>
      </c>
      <c r="E10509" t="s">
        <v>14</v>
      </c>
      <c r="F10509">
        <v>46.652000000000001</v>
      </c>
      <c r="G10509">
        <v>16.191400000000002</v>
      </c>
      <c r="H10509">
        <v>1</v>
      </c>
      <c r="I10509">
        <v>186.7</v>
      </c>
      <c r="J10509" t="str">
        <f>HYPERLINK("https://climate.onebuilding.org/WMO_Region_6_Europe/SVN_Slovenia/PM_Pomurska_Mura/SVN_PM_Murska.Sobota.140310_TMYx.zip")</f>
        <v>https://climate.onebuilding.org/WMO_Region_6_Europe/SVN_Slovenia/PM_Pomurska_Mura/SVN_PM_Murska.Sobota.140310_TMYx.zip</v>
      </c>
    </row>
    <row r="10510" spans="1:10" x14ac:dyDescent="0.25">
      <c r="A10510" t="s">
        <v>7556</v>
      </c>
      <c r="B10510" t="s">
        <v>93</v>
      </c>
      <c r="C10510" t="s">
        <v>7587</v>
      </c>
      <c r="D10510">
        <v>141050</v>
      </c>
      <c r="E10510" t="s">
        <v>7588</v>
      </c>
      <c r="F10510">
        <v>45.475299999999997</v>
      </c>
      <c r="G10510">
        <v>13.6158</v>
      </c>
      <c r="H10510">
        <v>1</v>
      </c>
      <c r="I10510">
        <v>2.1</v>
      </c>
      <c r="J10510" t="str">
        <f>HYPERLINK("https://climate.onebuilding.org/WMO_Region_6_Europe/SVN_Slovenia/NO_Primorkso-Notranjska_Littoral-inner_Carniola/SVN_NO_Portoroz.AP.141050_TMYx.2004-2018.zip")</f>
        <v>https://climate.onebuilding.org/WMO_Region_6_Europe/SVN_Slovenia/NO_Primorkso-Notranjska_Littoral-inner_Carniola/SVN_NO_Portoroz.AP.141050_TMYx.2004-2018.zip</v>
      </c>
    </row>
    <row r="10511" spans="1:10" x14ac:dyDescent="0.25">
      <c r="A10511" t="s">
        <v>7556</v>
      </c>
      <c r="B10511" t="s">
        <v>93</v>
      </c>
      <c r="C10511" t="s">
        <v>7587</v>
      </c>
      <c r="D10511">
        <v>141050</v>
      </c>
      <c r="E10511" t="s">
        <v>14</v>
      </c>
      <c r="F10511">
        <v>45.475299999999997</v>
      </c>
      <c r="G10511">
        <v>13.6158</v>
      </c>
      <c r="H10511">
        <v>1</v>
      </c>
      <c r="I10511">
        <v>2.1</v>
      </c>
      <c r="J10511" t="str">
        <f>HYPERLINK("https://climate.onebuilding.org/WMO_Region_6_Europe/SVN_Slovenia/NO_Primorkso-Notranjska_Littoral-inner_Carniola/SVN_NO_Portoroz.AP.141050_TMYx.2007-2021.zip")</f>
        <v>https://climate.onebuilding.org/WMO_Region_6_Europe/SVN_Slovenia/NO_Primorkso-Notranjska_Littoral-inner_Carniola/SVN_NO_Portoroz.AP.141050_TMYx.2007-2021.zip</v>
      </c>
    </row>
    <row r="10512" spans="1:10" x14ac:dyDescent="0.25">
      <c r="A10512" t="s">
        <v>7556</v>
      </c>
      <c r="B10512" t="s">
        <v>93</v>
      </c>
      <c r="C10512" t="s">
        <v>7587</v>
      </c>
      <c r="D10512">
        <v>141050</v>
      </c>
      <c r="E10512" t="s">
        <v>14</v>
      </c>
      <c r="F10512">
        <v>45.475299999999997</v>
      </c>
      <c r="G10512">
        <v>13.6158</v>
      </c>
      <c r="H10512">
        <v>1</v>
      </c>
      <c r="I10512">
        <v>2.1</v>
      </c>
      <c r="J10512" t="str">
        <f>HYPERLINK("https://climate.onebuilding.org/WMO_Region_6_Europe/SVN_Slovenia/NO_Primorkso-Notranjska_Littoral-inner_Carniola/SVN_NO_Portoroz.AP.141050_TMYx.2009-2023.zip")</f>
        <v>https://climate.onebuilding.org/WMO_Region_6_Europe/SVN_Slovenia/NO_Primorkso-Notranjska_Littoral-inner_Carniola/SVN_NO_Portoroz.AP.141050_TMYx.2009-2023.zip</v>
      </c>
    </row>
    <row r="10513" spans="1:10" x14ac:dyDescent="0.25">
      <c r="A10513" t="s">
        <v>7556</v>
      </c>
      <c r="B10513" t="s">
        <v>93</v>
      </c>
      <c r="C10513" t="s">
        <v>7587</v>
      </c>
      <c r="D10513">
        <v>141050</v>
      </c>
      <c r="E10513" t="s">
        <v>14</v>
      </c>
      <c r="F10513">
        <v>45.475299999999997</v>
      </c>
      <c r="G10513">
        <v>13.6158</v>
      </c>
      <c r="H10513">
        <v>1</v>
      </c>
      <c r="I10513">
        <v>2.1</v>
      </c>
      <c r="J10513" t="str">
        <f>HYPERLINK("https://climate.onebuilding.org/WMO_Region_6_Europe/SVN_Slovenia/NO_Primorkso-Notranjska_Littoral-inner_Carniola/SVN_NO_Portoroz.AP.141050_TMYx.zip")</f>
        <v>https://climate.onebuilding.org/WMO_Region_6_Europe/SVN_Slovenia/NO_Primorkso-Notranjska_Littoral-inner_Carniola/SVN_NO_Portoroz.AP.141050_TMYx.zip</v>
      </c>
    </row>
    <row r="10514" spans="1:10" x14ac:dyDescent="0.25">
      <c r="A10514" t="s">
        <v>7556</v>
      </c>
      <c r="B10514" t="s">
        <v>4938</v>
      </c>
      <c r="C10514" t="s">
        <v>7589</v>
      </c>
      <c r="D10514">
        <v>141060</v>
      </c>
      <c r="E10514" t="s">
        <v>7590</v>
      </c>
      <c r="F10514">
        <v>45.895600000000002</v>
      </c>
      <c r="G10514">
        <v>13.6244</v>
      </c>
      <c r="H10514">
        <v>1</v>
      </c>
      <c r="I10514">
        <v>56.1</v>
      </c>
      <c r="J10514" t="str">
        <f>HYPERLINK("https://climate.onebuilding.org/WMO_Region_6_Europe/SVN_Slovenia/SP_Goriska_Gorizia/SVN_SP_Nova.Gorica.141060_TMYx.2004-2018.zip")</f>
        <v>https://climate.onebuilding.org/WMO_Region_6_Europe/SVN_Slovenia/SP_Goriska_Gorizia/SVN_SP_Nova.Gorica.141060_TMYx.2004-2018.zip</v>
      </c>
    </row>
    <row r="10515" spans="1:10" x14ac:dyDescent="0.25">
      <c r="A10515" t="s">
        <v>7556</v>
      </c>
      <c r="B10515" t="s">
        <v>4938</v>
      </c>
      <c r="C10515" t="s">
        <v>7589</v>
      </c>
      <c r="D10515">
        <v>141060</v>
      </c>
      <c r="E10515" t="s">
        <v>14</v>
      </c>
      <c r="F10515">
        <v>45.895600000000002</v>
      </c>
      <c r="G10515">
        <v>13.6244</v>
      </c>
      <c r="H10515">
        <v>1</v>
      </c>
      <c r="I10515">
        <v>56.1</v>
      </c>
      <c r="J10515" t="str">
        <f>HYPERLINK("https://climate.onebuilding.org/WMO_Region_6_Europe/SVN_Slovenia/SP_Goriska_Gorizia/SVN_SP_Nova.Gorica.141060_TMYx.2007-2021.zip")</f>
        <v>https://climate.onebuilding.org/WMO_Region_6_Europe/SVN_Slovenia/SP_Goriska_Gorizia/SVN_SP_Nova.Gorica.141060_TMYx.2007-2021.zip</v>
      </c>
    </row>
    <row r="10516" spans="1:10" x14ac:dyDescent="0.25">
      <c r="A10516" t="s">
        <v>7556</v>
      </c>
      <c r="B10516" t="s">
        <v>4938</v>
      </c>
      <c r="C10516" t="s">
        <v>7589</v>
      </c>
      <c r="D10516">
        <v>141060</v>
      </c>
      <c r="E10516" t="s">
        <v>14</v>
      </c>
      <c r="F10516">
        <v>45.895600000000002</v>
      </c>
      <c r="G10516">
        <v>13.6244</v>
      </c>
      <c r="H10516">
        <v>1</v>
      </c>
      <c r="I10516">
        <v>56.1</v>
      </c>
      <c r="J10516" t="str">
        <f>HYPERLINK("https://climate.onebuilding.org/WMO_Region_6_Europe/SVN_Slovenia/SP_Goriska_Gorizia/SVN_SP_Nova.Gorica.141060_TMYx.2009-2023.zip")</f>
        <v>https://climate.onebuilding.org/WMO_Region_6_Europe/SVN_Slovenia/SP_Goriska_Gorizia/SVN_SP_Nova.Gorica.141060_TMYx.2009-2023.zip</v>
      </c>
    </row>
    <row r="10517" spans="1:10" x14ac:dyDescent="0.25">
      <c r="A10517" t="s">
        <v>7556</v>
      </c>
      <c r="B10517" t="s">
        <v>4938</v>
      </c>
      <c r="C10517" t="s">
        <v>7589</v>
      </c>
      <c r="D10517">
        <v>141060</v>
      </c>
      <c r="E10517" t="s">
        <v>14</v>
      </c>
      <c r="F10517">
        <v>45.895600000000002</v>
      </c>
      <c r="G10517">
        <v>13.6244</v>
      </c>
      <c r="H10517">
        <v>1</v>
      </c>
      <c r="I10517">
        <v>56.1</v>
      </c>
      <c r="J10517" t="str">
        <f>HYPERLINK("https://climate.onebuilding.org/WMO_Region_6_Europe/SVN_Slovenia/SP_Goriska_Gorizia/SVN_SP_Nova.Gorica.141060_TMYx.zip")</f>
        <v>https://climate.onebuilding.org/WMO_Region_6_Europe/SVN_Slovenia/SP_Goriska_Gorizia/SVN_SP_Nova.Gorica.141060_TMYx.zip</v>
      </c>
    </row>
    <row r="10518" spans="1:10" x14ac:dyDescent="0.25">
      <c r="A10518" t="s">
        <v>7556</v>
      </c>
      <c r="B10518" t="s">
        <v>93</v>
      </c>
      <c r="C10518" t="s">
        <v>7591</v>
      </c>
      <c r="D10518">
        <v>141110</v>
      </c>
      <c r="E10518" t="s">
        <v>14</v>
      </c>
      <c r="F10518">
        <v>45.567</v>
      </c>
      <c r="G10518">
        <v>14.25</v>
      </c>
      <c r="H10518">
        <v>1</v>
      </c>
      <c r="I10518">
        <v>413</v>
      </c>
      <c r="J10518" t="str">
        <f>HYPERLINK("https://climate.onebuilding.org/WMO_Region_6_Europe/SVN_Slovenia/NO_Primorkso-Notranjska_Littoral-inner_Carniola/SVN_NO_Ilirska.Bistrica.141110_TMYx.zip")</f>
        <v>https://climate.onebuilding.org/WMO_Region_6_Europe/SVN_Slovenia/NO_Primorkso-Notranjska_Littoral-inner_Carniola/SVN_NO_Ilirska.Bistrica.141110_TMYx.zip</v>
      </c>
    </row>
    <row r="10519" spans="1:10" x14ac:dyDescent="0.25">
      <c r="A10519" t="s">
        <v>7556</v>
      </c>
      <c r="B10519" t="s">
        <v>93</v>
      </c>
      <c r="C10519" t="s">
        <v>7592</v>
      </c>
      <c r="D10519">
        <v>141120</v>
      </c>
      <c r="E10519" t="s">
        <v>7593</v>
      </c>
      <c r="F10519">
        <v>45.766100000000002</v>
      </c>
      <c r="G10519">
        <v>14.1928</v>
      </c>
      <c r="H10519">
        <v>1</v>
      </c>
      <c r="I10519">
        <v>533</v>
      </c>
      <c r="J10519" t="str">
        <f>HYPERLINK("https://climate.onebuilding.org/WMO_Region_6_Europe/SVN_Slovenia/NO_Primorkso-Notranjska_Littoral-inner_Carniola/SVN_NO_Postojna.141120_TMYx.2004-2018.zip")</f>
        <v>https://climate.onebuilding.org/WMO_Region_6_Europe/SVN_Slovenia/NO_Primorkso-Notranjska_Littoral-inner_Carniola/SVN_NO_Postojna.141120_TMYx.2004-2018.zip</v>
      </c>
    </row>
    <row r="10520" spans="1:10" x14ac:dyDescent="0.25">
      <c r="A10520" t="s">
        <v>7556</v>
      </c>
      <c r="B10520" t="s">
        <v>93</v>
      </c>
      <c r="C10520" t="s">
        <v>7592</v>
      </c>
      <c r="D10520">
        <v>141120</v>
      </c>
      <c r="E10520" t="s">
        <v>14</v>
      </c>
      <c r="F10520">
        <v>45.766100000000002</v>
      </c>
      <c r="G10520">
        <v>14.1928</v>
      </c>
      <c r="H10520">
        <v>1</v>
      </c>
      <c r="I10520">
        <v>533</v>
      </c>
      <c r="J10520" t="str">
        <f>HYPERLINK("https://climate.onebuilding.org/WMO_Region_6_Europe/SVN_Slovenia/NO_Primorkso-Notranjska_Littoral-inner_Carniola/SVN_NO_Postojna.141120_TMYx.2007-2021.zip")</f>
        <v>https://climate.onebuilding.org/WMO_Region_6_Europe/SVN_Slovenia/NO_Primorkso-Notranjska_Littoral-inner_Carniola/SVN_NO_Postojna.141120_TMYx.2007-2021.zip</v>
      </c>
    </row>
    <row r="10521" spans="1:10" x14ac:dyDescent="0.25">
      <c r="A10521" t="s">
        <v>7556</v>
      </c>
      <c r="B10521" t="s">
        <v>93</v>
      </c>
      <c r="C10521" t="s">
        <v>7592</v>
      </c>
      <c r="D10521">
        <v>141120</v>
      </c>
      <c r="E10521" t="s">
        <v>14</v>
      </c>
      <c r="F10521">
        <v>45.766100000000002</v>
      </c>
      <c r="G10521">
        <v>14.1928</v>
      </c>
      <c r="H10521">
        <v>1</v>
      </c>
      <c r="I10521">
        <v>533</v>
      </c>
      <c r="J10521" t="str">
        <f>HYPERLINK("https://climate.onebuilding.org/WMO_Region_6_Europe/SVN_Slovenia/NO_Primorkso-Notranjska_Littoral-inner_Carniola/SVN_NO_Postojna.141120_TMYx.2009-2023.zip")</f>
        <v>https://climate.onebuilding.org/WMO_Region_6_Europe/SVN_Slovenia/NO_Primorkso-Notranjska_Littoral-inner_Carniola/SVN_NO_Postojna.141120_TMYx.2009-2023.zip</v>
      </c>
    </row>
    <row r="10522" spans="1:10" x14ac:dyDescent="0.25">
      <c r="A10522" t="s">
        <v>7556</v>
      </c>
      <c r="B10522" t="s">
        <v>93</v>
      </c>
      <c r="C10522" t="s">
        <v>7592</v>
      </c>
      <c r="D10522">
        <v>141120</v>
      </c>
      <c r="E10522" t="s">
        <v>14</v>
      </c>
      <c r="F10522">
        <v>45.766100000000002</v>
      </c>
      <c r="G10522">
        <v>14.1928</v>
      </c>
      <c r="H10522">
        <v>1</v>
      </c>
      <c r="I10522">
        <v>533</v>
      </c>
      <c r="J10522" t="str">
        <f>HYPERLINK("https://climate.onebuilding.org/WMO_Region_6_Europe/SVN_Slovenia/NO_Primorkso-Notranjska_Littoral-inner_Carniola/SVN_NO_Postojna.141120_TMYx.zip")</f>
        <v>https://climate.onebuilding.org/WMO_Region_6_Europe/SVN_Slovenia/NO_Primorkso-Notranjska_Littoral-inner_Carniola/SVN_NO_Postojna.141120_TMYx.zip</v>
      </c>
    </row>
    <row r="10523" spans="1:10" x14ac:dyDescent="0.25">
      <c r="A10523" t="s">
        <v>7556</v>
      </c>
      <c r="B10523" t="s">
        <v>521</v>
      </c>
      <c r="C10523" t="s">
        <v>7594</v>
      </c>
      <c r="D10523">
        <v>141180</v>
      </c>
      <c r="E10523" t="s">
        <v>7595</v>
      </c>
      <c r="F10523">
        <v>45.645800000000001</v>
      </c>
      <c r="G10523">
        <v>14.85</v>
      </c>
      <c r="H10523">
        <v>1</v>
      </c>
      <c r="I10523">
        <v>467</v>
      </c>
      <c r="J10523" t="str">
        <f>HYPERLINK("https://climate.onebuilding.org/WMO_Region_6_Europe/SVN_Slovenia/DO_Jugovzhodna_Southeast_Slovenia/SVN_DO_Kocevje.141180_TMYx.2004-2018.zip")</f>
        <v>https://climate.onebuilding.org/WMO_Region_6_Europe/SVN_Slovenia/DO_Jugovzhodna_Southeast_Slovenia/SVN_DO_Kocevje.141180_TMYx.2004-2018.zip</v>
      </c>
    </row>
    <row r="10524" spans="1:10" x14ac:dyDescent="0.25">
      <c r="A10524" t="s">
        <v>7556</v>
      </c>
      <c r="B10524" t="s">
        <v>521</v>
      </c>
      <c r="C10524" t="s">
        <v>7594</v>
      </c>
      <c r="D10524">
        <v>141180</v>
      </c>
      <c r="E10524" t="s">
        <v>14</v>
      </c>
      <c r="F10524">
        <v>45.645800000000001</v>
      </c>
      <c r="G10524">
        <v>14.85</v>
      </c>
      <c r="H10524">
        <v>1</v>
      </c>
      <c r="I10524">
        <v>467</v>
      </c>
      <c r="J10524" t="str">
        <f>HYPERLINK("https://climate.onebuilding.org/WMO_Region_6_Europe/SVN_Slovenia/DO_Jugovzhodna_Southeast_Slovenia/SVN_DO_Kocevje.141180_TMYx.2007-2021.zip")</f>
        <v>https://climate.onebuilding.org/WMO_Region_6_Europe/SVN_Slovenia/DO_Jugovzhodna_Southeast_Slovenia/SVN_DO_Kocevje.141180_TMYx.2007-2021.zip</v>
      </c>
    </row>
    <row r="10525" spans="1:10" x14ac:dyDescent="0.25">
      <c r="A10525" t="s">
        <v>7556</v>
      </c>
      <c r="B10525" t="s">
        <v>521</v>
      </c>
      <c r="C10525" t="s">
        <v>7594</v>
      </c>
      <c r="D10525">
        <v>141180</v>
      </c>
      <c r="E10525" t="s">
        <v>14</v>
      </c>
      <c r="F10525">
        <v>45.645800000000001</v>
      </c>
      <c r="G10525">
        <v>14.85</v>
      </c>
      <c r="H10525">
        <v>1</v>
      </c>
      <c r="I10525">
        <v>467</v>
      </c>
      <c r="J10525" t="str">
        <f>HYPERLINK("https://climate.onebuilding.org/WMO_Region_6_Europe/SVN_Slovenia/DO_Jugovzhodna_Southeast_Slovenia/SVN_DO_Kocevje.141180_TMYx.2009-2023.zip")</f>
        <v>https://climate.onebuilding.org/WMO_Region_6_Europe/SVN_Slovenia/DO_Jugovzhodna_Southeast_Slovenia/SVN_DO_Kocevje.141180_TMYx.2009-2023.zip</v>
      </c>
    </row>
    <row r="10526" spans="1:10" x14ac:dyDescent="0.25">
      <c r="A10526" t="s">
        <v>7556</v>
      </c>
      <c r="B10526" t="s">
        <v>521</v>
      </c>
      <c r="C10526" t="s">
        <v>7594</v>
      </c>
      <c r="D10526">
        <v>141180</v>
      </c>
      <c r="E10526" t="s">
        <v>14</v>
      </c>
      <c r="F10526">
        <v>45.645800000000001</v>
      </c>
      <c r="G10526">
        <v>14.85</v>
      </c>
      <c r="H10526">
        <v>1</v>
      </c>
      <c r="I10526">
        <v>467</v>
      </c>
      <c r="J10526" t="str">
        <f>HYPERLINK("https://climate.onebuilding.org/WMO_Region_6_Europe/SVN_Slovenia/DO_Jugovzhodna_Southeast_Slovenia/SVN_DO_Kocevje.141180_TMYx.zip")</f>
        <v>https://climate.onebuilding.org/WMO_Region_6_Europe/SVN_Slovenia/DO_Jugovzhodna_Southeast_Slovenia/SVN_DO_Kocevje.141180_TMYx.zip</v>
      </c>
    </row>
    <row r="10527" spans="1:10" x14ac:dyDescent="0.25">
      <c r="A10527" t="s">
        <v>7556</v>
      </c>
      <c r="B10527" t="s">
        <v>521</v>
      </c>
      <c r="C10527" t="s">
        <v>7596</v>
      </c>
      <c r="D10527">
        <v>141200</v>
      </c>
      <c r="E10527" t="s">
        <v>7597</v>
      </c>
      <c r="F10527">
        <v>45.56</v>
      </c>
      <c r="G10527">
        <v>15.146100000000001</v>
      </c>
      <c r="H10527">
        <v>1</v>
      </c>
      <c r="I10527">
        <v>157</v>
      </c>
      <c r="J10527" t="str">
        <f>HYPERLINK("https://climate.onebuilding.org/WMO_Region_6_Europe/SVN_Slovenia/DO_Jugovzhodna_Southeast_Slovenia/SVN_DO_Crnomelj.141200_TMYx.2004-2018.zip")</f>
        <v>https://climate.onebuilding.org/WMO_Region_6_Europe/SVN_Slovenia/DO_Jugovzhodna_Southeast_Slovenia/SVN_DO_Crnomelj.141200_TMYx.2004-2018.zip</v>
      </c>
    </row>
    <row r="10528" spans="1:10" x14ac:dyDescent="0.25">
      <c r="A10528" t="s">
        <v>7556</v>
      </c>
      <c r="B10528" t="s">
        <v>521</v>
      </c>
      <c r="C10528" t="s">
        <v>7596</v>
      </c>
      <c r="D10528">
        <v>141200</v>
      </c>
      <c r="E10528" t="s">
        <v>14</v>
      </c>
      <c r="F10528">
        <v>45.56</v>
      </c>
      <c r="G10528">
        <v>15.146100000000001</v>
      </c>
      <c r="H10528">
        <v>1</v>
      </c>
      <c r="I10528">
        <v>157</v>
      </c>
      <c r="J10528" t="str">
        <f>HYPERLINK("https://climate.onebuilding.org/WMO_Region_6_Europe/SVN_Slovenia/DO_Jugovzhodna_Southeast_Slovenia/SVN_DO_Crnomelj.141200_TMYx.2007-2021.zip")</f>
        <v>https://climate.onebuilding.org/WMO_Region_6_Europe/SVN_Slovenia/DO_Jugovzhodna_Southeast_Slovenia/SVN_DO_Crnomelj.141200_TMYx.2007-2021.zip</v>
      </c>
    </row>
    <row r="10529" spans="1:10" x14ac:dyDescent="0.25">
      <c r="A10529" t="s">
        <v>7556</v>
      </c>
      <c r="B10529" t="s">
        <v>521</v>
      </c>
      <c r="C10529" t="s">
        <v>7596</v>
      </c>
      <c r="D10529">
        <v>141200</v>
      </c>
      <c r="E10529" t="s">
        <v>14</v>
      </c>
      <c r="F10529">
        <v>45.56</v>
      </c>
      <c r="G10529">
        <v>15.146100000000001</v>
      </c>
      <c r="H10529">
        <v>1</v>
      </c>
      <c r="I10529">
        <v>157</v>
      </c>
      <c r="J10529" t="str">
        <f>HYPERLINK("https://climate.onebuilding.org/WMO_Region_6_Europe/SVN_Slovenia/DO_Jugovzhodna_Southeast_Slovenia/SVN_DO_Crnomelj.141200_TMYx.2009-2023.zip")</f>
        <v>https://climate.onebuilding.org/WMO_Region_6_Europe/SVN_Slovenia/DO_Jugovzhodna_Southeast_Slovenia/SVN_DO_Crnomelj.141200_TMYx.2009-2023.zip</v>
      </c>
    </row>
    <row r="10530" spans="1:10" x14ac:dyDescent="0.25">
      <c r="A10530" t="s">
        <v>7556</v>
      </c>
      <c r="B10530" t="s">
        <v>521</v>
      </c>
      <c r="C10530" t="s">
        <v>7596</v>
      </c>
      <c r="D10530">
        <v>141200</v>
      </c>
      <c r="E10530" t="s">
        <v>14</v>
      </c>
      <c r="F10530">
        <v>45.56</v>
      </c>
      <c r="G10530">
        <v>15.146100000000001</v>
      </c>
      <c r="H10530">
        <v>1</v>
      </c>
      <c r="I10530">
        <v>157</v>
      </c>
      <c r="J10530" t="str">
        <f>HYPERLINK("https://climate.onebuilding.org/WMO_Region_6_Europe/SVN_Slovenia/DO_Jugovzhodna_Southeast_Slovenia/SVN_DO_Crnomelj.141200_TMYx.zip")</f>
        <v>https://climate.onebuilding.org/WMO_Region_6_Europe/SVN_Slovenia/DO_Jugovzhodna_Southeast_Slovenia/SVN_DO_Crnomelj.141200_TMYx.zip</v>
      </c>
    </row>
    <row r="10531" spans="1:10" x14ac:dyDescent="0.25">
      <c r="A10531" t="s">
        <v>7556</v>
      </c>
      <c r="B10531" t="s">
        <v>521</v>
      </c>
      <c r="C10531" t="s">
        <v>7598</v>
      </c>
      <c r="D10531">
        <v>141210</v>
      </c>
      <c r="E10531" t="s">
        <v>7599</v>
      </c>
      <c r="F10531">
        <v>45.801900000000003</v>
      </c>
      <c r="G10531">
        <v>15.177199999999999</v>
      </c>
      <c r="H10531">
        <v>1</v>
      </c>
      <c r="I10531">
        <v>220</v>
      </c>
      <c r="J10531" t="str">
        <f>HYPERLINK("https://climate.onebuilding.org/WMO_Region_6_Europe/SVN_Slovenia/DO_Jugovzhodna_Southeast_Slovenia/SVN_DO_Novo.Mesto.141210_TMYx.2004-2018.zip")</f>
        <v>https://climate.onebuilding.org/WMO_Region_6_Europe/SVN_Slovenia/DO_Jugovzhodna_Southeast_Slovenia/SVN_DO_Novo.Mesto.141210_TMYx.2004-2018.zip</v>
      </c>
    </row>
    <row r="10532" spans="1:10" x14ac:dyDescent="0.25">
      <c r="A10532" t="s">
        <v>7556</v>
      </c>
      <c r="B10532" t="s">
        <v>521</v>
      </c>
      <c r="C10532" t="s">
        <v>7598</v>
      </c>
      <c r="D10532">
        <v>141210</v>
      </c>
      <c r="E10532" t="s">
        <v>14</v>
      </c>
      <c r="F10532">
        <v>45.801900000000003</v>
      </c>
      <c r="G10532">
        <v>15.177199999999999</v>
      </c>
      <c r="H10532">
        <v>1</v>
      </c>
      <c r="I10532">
        <v>220</v>
      </c>
      <c r="J10532" t="str">
        <f>HYPERLINK("https://climate.onebuilding.org/WMO_Region_6_Europe/SVN_Slovenia/DO_Jugovzhodna_Southeast_Slovenia/SVN_DO_Novo.Mesto.141210_TMYx.2007-2021.zip")</f>
        <v>https://climate.onebuilding.org/WMO_Region_6_Europe/SVN_Slovenia/DO_Jugovzhodna_Southeast_Slovenia/SVN_DO_Novo.Mesto.141210_TMYx.2007-2021.zip</v>
      </c>
    </row>
    <row r="10533" spans="1:10" x14ac:dyDescent="0.25">
      <c r="A10533" t="s">
        <v>7556</v>
      </c>
      <c r="B10533" t="s">
        <v>521</v>
      </c>
      <c r="C10533" t="s">
        <v>7598</v>
      </c>
      <c r="D10533">
        <v>141210</v>
      </c>
      <c r="E10533" t="s">
        <v>14</v>
      </c>
      <c r="F10533">
        <v>45.801900000000003</v>
      </c>
      <c r="G10533">
        <v>15.177199999999999</v>
      </c>
      <c r="H10533">
        <v>1</v>
      </c>
      <c r="I10533">
        <v>220</v>
      </c>
      <c r="J10533" t="str">
        <f>HYPERLINK("https://climate.onebuilding.org/WMO_Region_6_Europe/SVN_Slovenia/DO_Jugovzhodna_Southeast_Slovenia/SVN_DO_Novo.Mesto.141210_TMYx.2009-2023.zip")</f>
        <v>https://climate.onebuilding.org/WMO_Region_6_Europe/SVN_Slovenia/DO_Jugovzhodna_Southeast_Slovenia/SVN_DO_Novo.Mesto.141210_TMYx.2009-2023.zip</v>
      </c>
    </row>
    <row r="10534" spans="1:10" x14ac:dyDescent="0.25">
      <c r="A10534" t="s">
        <v>7556</v>
      </c>
      <c r="B10534" t="s">
        <v>521</v>
      </c>
      <c r="C10534" t="s">
        <v>7598</v>
      </c>
      <c r="D10534">
        <v>141210</v>
      </c>
      <c r="E10534" t="s">
        <v>14</v>
      </c>
      <c r="F10534">
        <v>45.801900000000003</v>
      </c>
      <c r="G10534">
        <v>15.177199999999999</v>
      </c>
      <c r="H10534">
        <v>1</v>
      </c>
      <c r="I10534">
        <v>220</v>
      </c>
      <c r="J10534" t="str">
        <f>HYPERLINK("https://climate.onebuilding.org/WMO_Region_6_Europe/SVN_Slovenia/DO_Jugovzhodna_Southeast_Slovenia/SVN_DO_Novo.Mesto.141210_TMYx.zip")</f>
        <v>https://climate.onebuilding.org/WMO_Region_6_Europe/SVN_Slovenia/DO_Jugovzhodna_Southeast_Slovenia/SVN_DO_Novo.Mesto.141210_TMYx.zip</v>
      </c>
    </row>
    <row r="10535" spans="1:10" x14ac:dyDescent="0.25">
      <c r="A10535" t="s">
        <v>7556</v>
      </c>
      <c r="B10535" t="s">
        <v>7579</v>
      </c>
      <c r="C10535" t="s">
        <v>7600</v>
      </c>
      <c r="D10535">
        <v>141220</v>
      </c>
      <c r="E10535" t="s">
        <v>7601</v>
      </c>
      <c r="F10535">
        <v>45.898600000000002</v>
      </c>
      <c r="G10535">
        <v>15.5183</v>
      </c>
      <c r="H10535">
        <v>1</v>
      </c>
      <c r="I10535">
        <v>161.6</v>
      </c>
      <c r="J10535" t="str">
        <f>HYPERLINK("https://climate.onebuilding.org/WMO_Region_6_Europe/SVN_Slovenia/PS_Posavska_Lower_Sava/SVN_PS_Kriki-Cerklje.AB.141220_TMYx.2004-2018.zip")</f>
        <v>https://climate.onebuilding.org/WMO_Region_6_Europe/SVN_Slovenia/PS_Posavska_Lower_Sava/SVN_PS_Kriki-Cerklje.AB.141220_TMYx.2004-2018.zip</v>
      </c>
    </row>
    <row r="10536" spans="1:10" x14ac:dyDescent="0.25">
      <c r="A10536" t="s">
        <v>7556</v>
      </c>
      <c r="B10536" t="s">
        <v>7579</v>
      </c>
      <c r="C10536" t="s">
        <v>7600</v>
      </c>
      <c r="D10536">
        <v>141220</v>
      </c>
      <c r="E10536" t="s">
        <v>14</v>
      </c>
      <c r="F10536">
        <v>45.9009</v>
      </c>
      <c r="G10536">
        <v>15.516</v>
      </c>
      <c r="H10536">
        <v>1</v>
      </c>
      <c r="I10536">
        <v>161.6</v>
      </c>
      <c r="J10536" t="str">
        <f>HYPERLINK("https://climate.onebuilding.org/WMO_Region_6_Europe/SVN_Slovenia/PS_Posavska_Lower_Sava/SVN_PS_Kriki-Cerklje.AB.141220_TMYx.2007-2021.zip")</f>
        <v>https://climate.onebuilding.org/WMO_Region_6_Europe/SVN_Slovenia/PS_Posavska_Lower_Sava/SVN_PS_Kriki-Cerklje.AB.141220_TMYx.2007-2021.zip</v>
      </c>
    </row>
    <row r="10537" spans="1:10" x14ac:dyDescent="0.25">
      <c r="A10537" t="s">
        <v>7556</v>
      </c>
      <c r="B10537" t="s">
        <v>7579</v>
      </c>
      <c r="C10537" t="s">
        <v>7600</v>
      </c>
      <c r="D10537">
        <v>141220</v>
      </c>
      <c r="E10537" t="s">
        <v>14</v>
      </c>
      <c r="F10537">
        <v>45.9009</v>
      </c>
      <c r="G10537">
        <v>15.516</v>
      </c>
      <c r="H10537">
        <v>1</v>
      </c>
      <c r="I10537">
        <v>161.6</v>
      </c>
      <c r="J10537" t="str">
        <f>HYPERLINK("https://climate.onebuilding.org/WMO_Region_6_Europe/SVN_Slovenia/PS_Posavska_Lower_Sava/SVN_PS_Kriki-Cerklje.AB.141220_TMYx.2009-2023.zip")</f>
        <v>https://climate.onebuilding.org/WMO_Region_6_Europe/SVN_Slovenia/PS_Posavska_Lower_Sava/SVN_PS_Kriki-Cerklje.AB.141220_TMYx.2009-2023.zip</v>
      </c>
    </row>
    <row r="10538" spans="1:10" x14ac:dyDescent="0.25">
      <c r="A10538" t="s">
        <v>7556</v>
      </c>
      <c r="B10538" t="s">
        <v>7579</v>
      </c>
      <c r="C10538" t="s">
        <v>7600</v>
      </c>
      <c r="D10538">
        <v>141220</v>
      </c>
      <c r="E10538" t="s">
        <v>14</v>
      </c>
      <c r="F10538">
        <v>45.9009</v>
      </c>
      <c r="G10538">
        <v>15.516</v>
      </c>
      <c r="H10538">
        <v>1</v>
      </c>
      <c r="I10538">
        <v>161.6</v>
      </c>
      <c r="J10538" t="str">
        <f>HYPERLINK("https://climate.onebuilding.org/WMO_Region_6_Europe/SVN_Slovenia/PS_Posavska_Lower_Sava/SVN_PS_Kriki-Cerklje.AB.141220_TMYx.zip")</f>
        <v>https://climate.onebuilding.org/WMO_Region_6_Europe/SVN_Slovenia/PS_Posavska_Lower_Sava/SVN_PS_Kriki-Cerklje.AB.141220_TMYx.zip</v>
      </c>
    </row>
    <row r="10539" spans="1:10" x14ac:dyDescent="0.25">
      <c r="A10539" t="s">
        <v>7602</v>
      </c>
      <c r="B10539" t="s">
        <v>1491</v>
      </c>
      <c r="C10539" t="s">
        <v>7603</v>
      </c>
      <c r="D10539" s="1" t="s">
        <v>7604</v>
      </c>
      <c r="E10539" t="s">
        <v>7605</v>
      </c>
      <c r="F10539">
        <v>56.082999999999998</v>
      </c>
      <c r="G10539">
        <v>13.212999999999999</v>
      </c>
      <c r="H10539">
        <v>1</v>
      </c>
      <c r="I10539">
        <v>42.7</v>
      </c>
      <c r="J10539" t="str">
        <f>HYPERLINK("https://climate.onebuilding.org/WMO_Region_6_Europe/SWE_Sweden/SN_Skane/SWE_SN_Ljungbyhed.AP.020001_TMYx.2004-2018.zip")</f>
        <v>https://climate.onebuilding.org/WMO_Region_6_Europe/SWE_Sweden/SN_Skane/SWE_SN_Ljungbyhed.AP.020001_TMYx.2004-2018.zip</v>
      </c>
    </row>
    <row r="10540" spans="1:10" x14ac:dyDescent="0.25">
      <c r="A10540" t="s">
        <v>7602</v>
      </c>
      <c r="B10540" t="s">
        <v>1491</v>
      </c>
      <c r="C10540" t="s">
        <v>7603</v>
      </c>
      <c r="D10540" s="1" t="s">
        <v>7604</v>
      </c>
      <c r="E10540" t="s">
        <v>14</v>
      </c>
      <c r="F10540">
        <v>56.082999999999998</v>
      </c>
      <c r="G10540">
        <v>13.212999999999999</v>
      </c>
      <c r="H10540">
        <v>1</v>
      </c>
      <c r="I10540">
        <v>42.7</v>
      </c>
      <c r="J10540" t="str">
        <f>HYPERLINK("https://climate.onebuilding.org/WMO_Region_6_Europe/SWE_Sweden/SN_Skane/SWE_SN_Ljungbyhed.AP.020001_TMYx.2007-2021.zip")</f>
        <v>https://climate.onebuilding.org/WMO_Region_6_Europe/SWE_Sweden/SN_Skane/SWE_SN_Ljungbyhed.AP.020001_TMYx.2007-2021.zip</v>
      </c>
    </row>
    <row r="10541" spans="1:10" x14ac:dyDescent="0.25">
      <c r="A10541" t="s">
        <v>7602</v>
      </c>
      <c r="B10541" t="s">
        <v>1491</v>
      </c>
      <c r="C10541" t="s">
        <v>7603</v>
      </c>
      <c r="D10541" s="1" t="s">
        <v>7604</v>
      </c>
      <c r="E10541" t="s">
        <v>14</v>
      </c>
      <c r="F10541">
        <v>56.082999999999998</v>
      </c>
      <c r="G10541">
        <v>13.212999999999999</v>
      </c>
      <c r="H10541">
        <v>1</v>
      </c>
      <c r="I10541">
        <v>42.7</v>
      </c>
      <c r="J10541" t="str">
        <f>HYPERLINK("https://climate.onebuilding.org/WMO_Region_6_Europe/SWE_Sweden/SN_Skane/SWE_SN_Ljungbyhed.AP.020001_TMYx.2009-2023.zip")</f>
        <v>https://climate.onebuilding.org/WMO_Region_6_Europe/SWE_Sweden/SN_Skane/SWE_SN_Ljungbyhed.AP.020001_TMYx.2009-2023.zip</v>
      </c>
    </row>
    <row r="10542" spans="1:10" x14ac:dyDescent="0.25">
      <c r="A10542" t="s">
        <v>7602</v>
      </c>
      <c r="B10542" t="s">
        <v>1491</v>
      </c>
      <c r="C10542" t="s">
        <v>7603</v>
      </c>
      <c r="D10542" s="1" t="s">
        <v>7604</v>
      </c>
      <c r="E10542" t="s">
        <v>14</v>
      </c>
      <c r="F10542">
        <v>56.082999999999998</v>
      </c>
      <c r="G10542">
        <v>13.212999999999999</v>
      </c>
      <c r="H10542">
        <v>1</v>
      </c>
      <c r="I10542">
        <v>42.7</v>
      </c>
      <c r="J10542" t="str">
        <f>HYPERLINK("https://climate.onebuilding.org/WMO_Region_6_Europe/SWE_Sweden/SN_Skane/SWE_SN_Ljungbyhed.AP.020001_TMYx.zip")</f>
        <v>https://climate.onebuilding.org/WMO_Region_6_Europe/SWE_Sweden/SN_Skane/SWE_SN_Ljungbyhed.AP.020001_TMYx.zip</v>
      </c>
    </row>
    <row r="10543" spans="1:10" x14ac:dyDescent="0.25">
      <c r="A10543" t="s">
        <v>7602</v>
      </c>
      <c r="B10543" t="s">
        <v>5921</v>
      </c>
      <c r="C10543" t="s">
        <v>7606</v>
      </c>
      <c r="D10543" s="1" t="s">
        <v>7607</v>
      </c>
      <c r="E10543" t="s">
        <v>7608</v>
      </c>
      <c r="F10543">
        <v>67.726900000000001</v>
      </c>
      <c r="G10543">
        <v>17.4711</v>
      </c>
      <c r="H10543">
        <v>1</v>
      </c>
      <c r="I10543">
        <v>542.70000000000005</v>
      </c>
      <c r="J10543" t="str">
        <f>HYPERLINK("https://climate.onebuilding.org/WMO_Region_6_Europe/SWE_Sweden/NB_Norrbotten/SWE_NB_Ritsem.020130_TMYx.2004-2018.zip")</f>
        <v>https://climate.onebuilding.org/WMO_Region_6_Europe/SWE_Sweden/NB_Norrbotten/SWE_NB_Ritsem.020130_TMYx.2004-2018.zip</v>
      </c>
    </row>
    <row r="10544" spans="1:10" x14ac:dyDescent="0.25">
      <c r="A10544" t="s">
        <v>7602</v>
      </c>
      <c r="B10544" t="s">
        <v>5921</v>
      </c>
      <c r="C10544" t="s">
        <v>7606</v>
      </c>
      <c r="D10544" s="1" t="s">
        <v>7607</v>
      </c>
      <c r="E10544" t="s">
        <v>14</v>
      </c>
      <c r="F10544">
        <v>67.726900000000001</v>
      </c>
      <c r="G10544">
        <v>17.4711</v>
      </c>
      <c r="H10544">
        <v>1</v>
      </c>
      <c r="I10544">
        <v>542.70000000000005</v>
      </c>
      <c r="J10544" t="str">
        <f>HYPERLINK("https://climate.onebuilding.org/WMO_Region_6_Europe/SWE_Sweden/NB_Norrbotten/SWE_NB_Ritsem.020130_TMYx.2007-2021.zip")</f>
        <v>https://climate.onebuilding.org/WMO_Region_6_Europe/SWE_Sweden/NB_Norrbotten/SWE_NB_Ritsem.020130_TMYx.2007-2021.zip</v>
      </c>
    </row>
    <row r="10545" spans="1:10" x14ac:dyDescent="0.25">
      <c r="A10545" t="s">
        <v>7602</v>
      </c>
      <c r="B10545" t="s">
        <v>5921</v>
      </c>
      <c r="C10545" t="s">
        <v>7606</v>
      </c>
      <c r="D10545" s="1" t="s">
        <v>7607</v>
      </c>
      <c r="E10545" t="s">
        <v>14</v>
      </c>
      <c r="F10545">
        <v>67.726900000000001</v>
      </c>
      <c r="G10545">
        <v>17.4711</v>
      </c>
      <c r="H10545">
        <v>1</v>
      </c>
      <c r="I10545">
        <v>542.70000000000005</v>
      </c>
      <c r="J10545" t="str">
        <f>HYPERLINK("https://climate.onebuilding.org/WMO_Region_6_Europe/SWE_Sweden/NB_Norrbotten/SWE_NB_Ritsem.020130_TMYx.2009-2023.zip")</f>
        <v>https://climate.onebuilding.org/WMO_Region_6_Europe/SWE_Sweden/NB_Norrbotten/SWE_NB_Ritsem.020130_TMYx.2009-2023.zip</v>
      </c>
    </row>
    <row r="10546" spans="1:10" x14ac:dyDescent="0.25">
      <c r="A10546" t="s">
        <v>7602</v>
      </c>
      <c r="B10546" t="s">
        <v>5921</v>
      </c>
      <c r="C10546" t="s">
        <v>7606</v>
      </c>
      <c r="D10546" s="1" t="s">
        <v>7607</v>
      </c>
      <c r="E10546" t="s">
        <v>14</v>
      </c>
      <c r="F10546">
        <v>67.726900000000001</v>
      </c>
      <c r="G10546">
        <v>17.4711</v>
      </c>
      <c r="H10546">
        <v>1</v>
      </c>
      <c r="I10546">
        <v>542.70000000000005</v>
      </c>
      <c r="J10546" t="str">
        <f>HYPERLINK("https://climate.onebuilding.org/WMO_Region_6_Europe/SWE_Sweden/NB_Norrbotten/SWE_NB_Ritsem.020130_TMYx.zip")</f>
        <v>https://climate.onebuilding.org/WMO_Region_6_Europe/SWE_Sweden/NB_Norrbotten/SWE_NB_Ritsem.020130_TMYx.zip</v>
      </c>
    </row>
    <row r="10547" spans="1:10" x14ac:dyDescent="0.25">
      <c r="A10547" t="s">
        <v>7602</v>
      </c>
      <c r="B10547" t="s">
        <v>5921</v>
      </c>
      <c r="C10547" t="s">
        <v>7609</v>
      </c>
      <c r="D10547" s="1" t="s">
        <v>7610</v>
      </c>
      <c r="E10547" t="s">
        <v>7611</v>
      </c>
      <c r="F10547">
        <v>68.420299999999997</v>
      </c>
      <c r="G10547">
        <v>18.168099999999999</v>
      </c>
      <c r="H10547">
        <v>1</v>
      </c>
      <c r="I10547">
        <v>517.29999999999995</v>
      </c>
      <c r="J10547" t="str">
        <f>HYPERLINK("https://climate.onebuilding.org/WMO_Region_6_Europe/SWE_Sweden/NB_Norrbotten/SWE_NB_Riksgransen-Katterjakk.Stn.020200_TMYx.2004-2018.zip")</f>
        <v>https://climate.onebuilding.org/WMO_Region_6_Europe/SWE_Sweden/NB_Norrbotten/SWE_NB_Riksgransen-Katterjakk.Stn.020200_TMYx.2004-2018.zip</v>
      </c>
    </row>
    <row r="10548" spans="1:10" x14ac:dyDescent="0.25">
      <c r="A10548" t="s">
        <v>7602</v>
      </c>
      <c r="B10548" t="s">
        <v>5921</v>
      </c>
      <c r="C10548" t="s">
        <v>7609</v>
      </c>
      <c r="D10548" s="1" t="s">
        <v>7610</v>
      </c>
      <c r="E10548" t="s">
        <v>14</v>
      </c>
      <c r="F10548">
        <v>68.420299999999997</v>
      </c>
      <c r="G10548">
        <v>18.168099999999999</v>
      </c>
      <c r="H10548">
        <v>1</v>
      </c>
      <c r="I10548">
        <v>517.29999999999995</v>
      </c>
      <c r="J10548" t="str">
        <f>HYPERLINK("https://climate.onebuilding.org/WMO_Region_6_Europe/SWE_Sweden/NB_Norrbotten/SWE_NB_Riksgransen-Katterjakk.Stn.020200_TMYx.2007-2021.zip")</f>
        <v>https://climate.onebuilding.org/WMO_Region_6_Europe/SWE_Sweden/NB_Norrbotten/SWE_NB_Riksgransen-Katterjakk.Stn.020200_TMYx.2007-2021.zip</v>
      </c>
    </row>
    <row r="10549" spans="1:10" x14ac:dyDescent="0.25">
      <c r="A10549" t="s">
        <v>7602</v>
      </c>
      <c r="B10549" t="s">
        <v>5921</v>
      </c>
      <c r="C10549" t="s">
        <v>7609</v>
      </c>
      <c r="D10549" s="1" t="s">
        <v>7610</v>
      </c>
      <c r="E10549" t="s">
        <v>14</v>
      </c>
      <c r="F10549">
        <v>68.420299999999997</v>
      </c>
      <c r="G10549">
        <v>18.168099999999999</v>
      </c>
      <c r="H10549">
        <v>1</v>
      </c>
      <c r="I10549">
        <v>517.29999999999995</v>
      </c>
      <c r="J10549" t="str">
        <f>HYPERLINK("https://climate.onebuilding.org/WMO_Region_6_Europe/SWE_Sweden/NB_Norrbotten/SWE_NB_Riksgransen-Katterjakk.Stn.020200_TMYx.2009-2023.zip")</f>
        <v>https://climate.onebuilding.org/WMO_Region_6_Europe/SWE_Sweden/NB_Norrbotten/SWE_NB_Riksgransen-Katterjakk.Stn.020200_TMYx.2009-2023.zip</v>
      </c>
    </row>
    <row r="10550" spans="1:10" x14ac:dyDescent="0.25">
      <c r="A10550" t="s">
        <v>7602</v>
      </c>
      <c r="B10550" t="s">
        <v>5921</v>
      </c>
      <c r="C10550" t="s">
        <v>7609</v>
      </c>
      <c r="D10550" s="1" t="s">
        <v>7610</v>
      </c>
      <c r="E10550" t="s">
        <v>14</v>
      </c>
      <c r="F10550">
        <v>68.420299999999997</v>
      </c>
      <c r="G10550">
        <v>18.168099999999999</v>
      </c>
      <c r="H10550">
        <v>1</v>
      </c>
      <c r="I10550">
        <v>517.29999999999995</v>
      </c>
      <c r="J10550" t="str">
        <f>HYPERLINK("https://climate.onebuilding.org/WMO_Region_6_Europe/SWE_Sweden/NB_Norrbotten/SWE_NB_Riksgransen-Katterjakk.Stn.020200_TMYx.zip")</f>
        <v>https://climate.onebuilding.org/WMO_Region_6_Europe/SWE_Sweden/NB_Norrbotten/SWE_NB_Riksgransen-Katterjakk.Stn.020200_TMYx.zip</v>
      </c>
    </row>
    <row r="10551" spans="1:10" x14ac:dyDescent="0.25">
      <c r="A10551" t="s">
        <v>7602</v>
      </c>
      <c r="B10551" t="s">
        <v>5921</v>
      </c>
      <c r="C10551" t="s">
        <v>7612</v>
      </c>
      <c r="D10551" s="1" t="s">
        <v>7613</v>
      </c>
      <c r="E10551" t="s">
        <v>14</v>
      </c>
      <c r="F10551">
        <v>68.433000000000007</v>
      </c>
      <c r="G10551">
        <v>18.632999999999999</v>
      </c>
      <c r="H10551">
        <v>1</v>
      </c>
      <c r="I10551">
        <v>512</v>
      </c>
      <c r="J10551" t="str">
        <f>HYPERLINK("https://climate.onebuilding.org/WMO_Region_6_Europe/SWE_Sweden/NB_Norrbotten/SWE_NB_Tornehamn.020230_TMYx.zip")</f>
        <v>https://climate.onebuilding.org/WMO_Region_6_Europe/SWE_Sweden/NB_Norrbotten/SWE_NB_Tornehamn.020230_TMYx.zip</v>
      </c>
    </row>
    <row r="10552" spans="1:10" x14ac:dyDescent="0.25">
      <c r="A10552" t="s">
        <v>7602</v>
      </c>
      <c r="B10552" t="s">
        <v>5921</v>
      </c>
      <c r="C10552" t="s">
        <v>7614</v>
      </c>
      <c r="D10552" s="1" t="s">
        <v>7615</v>
      </c>
      <c r="E10552" t="s">
        <v>7616</v>
      </c>
      <c r="F10552">
        <v>67.496399999999994</v>
      </c>
      <c r="G10552">
        <v>18.2944</v>
      </c>
      <c r="H10552">
        <v>1</v>
      </c>
      <c r="I10552">
        <v>425.5</v>
      </c>
      <c r="J10552" t="str">
        <f>HYPERLINK("https://climate.onebuilding.org/WMO_Region_6_Europe/SWE_Sweden/NB_Norrbotten/SWE_NB_Stora.Sjofallet.020240_TMYx.2004-2018.zip")</f>
        <v>https://climate.onebuilding.org/WMO_Region_6_Europe/SWE_Sweden/NB_Norrbotten/SWE_NB_Stora.Sjofallet.020240_TMYx.2004-2018.zip</v>
      </c>
    </row>
    <row r="10553" spans="1:10" x14ac:dyDescent="0.25">
      <c r="A10553" t="s">
        <v>7602</v>
      </c>
      <c r="B10553" t="s">
        <v>5921</v>
      </c>
      <c r="C10553" t="s">
        <v>7614</v>
      </c>
      <c r="D10553" s="1" t="s">
        <v>7615</v>
      </c>
      <c r="E10553" t="s">
        <v>14</v>
      </c>
      <c r="F10553">
        <v>67.495000000000005</v>
      </c>
      <c r="G10553">
        <v>18.291</v>
      </c>
      <c r="H10553">
        <v>1</v>
      </c>
      <c r="I10553">
        <v>425.5</v>
      </c>
      <c r="J10553" t="str">
        <f>HYPERLINK("https://climate.onebuilding.org/WMO_Region_6_Europe/SWE_Sweden/NB_Norrbotten/SWE_NB_Stora.Sjofallet.020240_TMYx.2007-2021.zip")</f>
        <v>https://climate.onebuilding.org/WMO_Region_6_Europe/SWE_Sweden/NB_Norrbotten/SWE_NB_Stora.Sjofallet.020240_TMYx.2007-2021.zip</v>
      </c>
    </row>
    <row r="10554" spans="1:10" x14ac:dyDescent="0.25">
      <c r="A10554" t="s">
        <v>7602</v>
      </c>
      <c r="B10554" t="s">
        <v>5921</v>
      </c>
      <c r="C10554" t="s">
        <v>7614</v>
      </c>
      <c r="D10554" s="1" t="s">
        <v>7615</v>
      </c>
      <c r="E10554" t="s">
        <v>14</v>
      </c>
      <c r="F10554">
        <v>67.495000000000005</v>
      </c>
      <c r="G10554">
        <v>18.291</v>
      </c>
      <c r="H10554">
        <v>1</v>
      </c>
      <c r="I10554">
        <v>425.5</v>
      </c>
      <c r="J10554" t="str">
        <f>HYPERLINK("https://climate.onebuilding.org/WMO_Region_6_Europe/SWE_Sweden/NB_Norrbotten/SWE_NB_Stora.Sjofallet.020240_TMYx.2009-2023.zip")</f>
        <v>https://climate.onebuilding.org/WMO_Region_6_Europe/SWE_Sweden/NB_Norrbotten/SWE_NB_Stora.Sjofallet.020240_TMYx.2009-2023.zip</v>
      </c>
    </row>
    <row r="10555" spans="1:10" x14ac:dyDescent="0.25">
      <c r="A10555" t="s">
        <v>7602</v>
      </c>
      <c r="B10555" t="s">
        <v>5921</v>
      </c>
      <c r="C10555" t="s">
        <v>7614</v>
      </c>
      <c r="D10555" s="1" t="s">
        <v>7615</v>
      </c>
      <c r="E10555" t="s">
        <v>14</v>
      </c>
      <c r="F10555">
        <v>67.495000000000005</v>
      </c>
      <c r="G10555">
        <v>18.291</v>
      </c>
      <c r="H10555">
        <v>1</v>
      </c>
      <c r="I10555">
        <v>425.5</v>
      </c>
      <c r="J10555" t="str">
        <f>HYPERLINK("https://climate.onebuilding.org/WMO_Region_6_Europe/SWE_Sweden/NB_Norrbotten/SWE_NB_Stora.Sjofallet.020240_TMYx.zip")</f>
        <v>https://climate.onebuilding.org/WMO_Region_6_Europe/SWE_Sweden/NB_Norrbotten/SWE_NB_Stora.Sjofallet.020240_TMYx.zip</v>
      </c>
    </row>
    <row r="10556" spans="1:10" x14ac:dyDescent="0.25">
      <c r="A10556" t="s">
        <v>7602</v>
      </c>
      <c r="B10556" t="s">
        <v>5921</v>
      </c>
      <c r="C10556" t="s">
        <v>7617</v>
      </c>
      <c r="D10556" s="1" t="s">
        <v>7618</v>
      </c>
      <c r="E10556" t="s">
        <v>7619</v>
      </c>
      <c r="F10556">
        <v>67.9114</v>
      </c>
      <c r="G10556">
        <v>18.607199999999999</v>
      </c>
      <c r="H10556">
        <v>1</v>
      </c>
      <c r="I10556">
        <v>1146.0999999999999</v>
      </c>
      <c r="J10556" t="str">
        <f>HYPERLINK("https://climate.onebuilding.org/WMO_Region_6_Europe/SWE_Sweden/NB_Norrbotten/SWE_NB_Tarfala.020290_TMYx.2004-2018.zip")</f>
        <v>https://climate.onebuilding.org/WMO_Region_6_Europe/SWE_Sweden/NB_Norrbotten/SWE_NB_Tarfala.020290_TMYx.2004-2018.zip</v>
      </c>
    </row>
    <row r="10557" spans="1:10" x14ac:dyDescent="0.25">
      <c r="A10557" t="s">
        <v>7602</v>
      </c>
      <c r="B10557" t="s">
        <v>5921</v>
      </c>
      <c r="C10557" t="s">
        <v>7617</v>
      </c>
      <c r="D10557" s="1" t="s">
        <v>7618</v>
      </c>
      <c r="E10557" t="s">
        <v>14</v>
      </c>
      <c r="F10557">
        <v>67.912000000000006</v>
      </c>
      <c r="G10557">
        <v>18.61</v>
      </c>
      <c r="H10557">
        <v>1</v>
      </c>
      <c r="I10557">
        <v>1146.0999999999999</v>
      </c>
      <c r="J10557" t="str">
        <f>HYPERLINK("https://climate.onebuilding.org/WMO_Region_6_Europe/SWE_Sweden/NB_Norrbotten/SWE_NB_Tarfala.020290_TMYx.2007-2021.zip")</f>
        <v>https://climate.onebuilding.org/WMO_Region_6_Europe/SWE_Sweden/NB_Norrbotten/SWE_NB_Tarfala.020290_TMYx.2007-2021.zip</v>
      </c>
    </row>
    <row r="10558" spans="1:10" x14ac:dyDescent="0.25">
      <c r="A10558" t="s">
        <v>7602</v>
      </c>
      <c r="B10558" t="s">
        <v>5921</v>
      </c>
      <c r="C10558" t="s">
        <v>7617</v>
      </c>
      <c r="D10558" s="1" t="s">
        <v>7618</v>
      </c>
      <c r="E10558" t="s">
        <v>14</v>
      </c>
      <c r="F10558">
        <v>67.912000000000006</v>
      </c>
      <c r="G10558">
        <v>18.61</v>
      </c>
      <c r="H10558">
        <v>1</v>
      </c>
      <c r="I10558">
        <v>1146.0999999999999</v>
      </c>
      <c r="J10558" t="str">
        <f>HYPERLINK("https://climate.onebuilding.org/WMO_Region_6_Europe/SWE_Sweden/NB_Norrbotten/SWE_NB_Tarfala.020290_TMYx.2009-2023.zip")</f>
        <v>https://climate.onebuilding.org/WMO_Region_6_Europe/SWE_Sweden/NB_Norrbotten/SWE_NB_Tarfala.020290_TMYx.2009-2023.zip</v>
      </c>
    </row>
    <row r="10559" spans="1:10" x14ac:dyDescent="0.25">
      <c r="A10559" t="s">
        <v>7602</v>
      </c>
      <c r="B10559" t="s">
        <v>5921</v>
      </c>
      <c r="C10559" t="s">
        <v>7617</v>
      </c>
      <c r="D10559" s="1" t="s">
        <v>7618</v>
      </c>
      <c r="E10559" t="s">
        <v>14</v>
      </c>
      <c r="F10559">
        <v>67.912000000000006</v>
      </c>
      <c r="G10559">
        <v>18.61</v>
      </c>
      <c r="H10559">
        <v>1</v>
      </c>
      <c r="I10559">
        <v>1146.0999999999999</v>
      </c>
      <c r="J10559" t="str">
        <f>HYPERLINK("https://climate.onebuilding.org/WMO_Region_6_Europe/SWE_Sweden/NB_Norrbotten/SWE_NB_Tarfala.020290_TMYx.zip")</f>
        <v>https://climate.onebuilding.org/WMO_Region_6_Europe/SWE_Sweden/NB_Norrbotten/SWE_NB_Tarfala.020290_TMYx.zip</v>
      </c>
    </row>
    <row r="10560" spans="1:10" x14ac:dyDescent="0.25">
      <c r="A10560" t="s">
        <v>7602</v>
      </c>
      <c r="B10560" t="s">
        <v>5921</v>
      </c>
      <c r="C10560" t="s">
        <v>7620</v>
      </c>
      <c r="D10560" s="1" t="s">
        <v>7621</v>
      </c>
      <c r="E10560" t="s">
        <v>7622</v>
      </c>
      <c r="F10560">
        <v>68.074700000000007</v>
      </c>
      <c r="G10560">
        <v>19.839500000000001</v>
      </c>
      <c r="H10560">
        <v>1</v>
      </c>
      <c r="I10560">
        <v>493.5</v>
      </c>
      <c r="J10560" t="str">
        <f>HYPERLINK("https://climate.onebuilding.org/WMO_Region_6_Europe/SWE_Sweden/NB_Norrbotten/SWE_NB_Rensjon.020310_TMYx.2004-2018.zip")</f>
        <v>https://climate.onebuilding.org/WMO_Region_6_Europe/SWE_Sweden/NB_Norrbotten/SWE_NB_Rensjon.020310_TMYx.2004-2018.zip</v>
      </c>
    </row>
    <row r="10561" spans="1:10" x14ac:dyDescent="0.25">
      <c r="A10561" t="s">
        <v>7602</v>
      </c>
      <c r="B10561" t="s">
        <v>5921</v>
      </c>
      <c r="C10561" t="s">
        <v>7620</v>
      </c>
      <c r="D10561" s="1" t="s">
        <v>7621</v>
      </c>
      <c r="E10561" t="s">
        <v>14</v>
      </c>
      <c r="F10561">
        <v>68.072999999999993</v>
      </c>
      <c r="G10561">
        <v>19.835000000000001</v>
      </c>
      <c r="H10561">
        <v>1</v>
      </c>
      <c r="I10561">
        <v>493.5</v>
      </c>
      <c r="J10561" t="str">
        <f>HYPERLINK("https://climate.onebuilding.org/WMO_Region_6_Europe/SWE_Sweden/NB_Norrbotten/SWE_NB_Rensjon.020310_TMYx.2007-2021.zip")</f>
        <v>https://climate.onebuilding.org/WMO_Region_6_Europe/SWE_Sweden/NB_Norrbotten/SWE_NB_Rensjon.020310_TMYx.2007-2021.zip</v>
      </c>
    </row>
    <row r="10562" spans="1:10" x14ac:dyDescent="0.25">
      <c r="A10562" t="s">
        <v>7602</v>
      </c>
      <c r="B10562" t="s">
        <v>5921</v>
      </c>
      <c r="C10562" t="s">
        <v>7620</v>
      </c>
      <c r="D10562" s="1" t="s">
        <v>7621</v>
      </c>
      <c r="E10562" t="s">
        <v>14</v>
      </c>
      <c r="F10562">
        <v>68.072999999999993</v>
      </c>
      <c r="G10562">
        <v>19.835000000000001</v>
      </c>
      <c r="H10562">
        <v>1</v>
      </c>
      <c r="I10562">
        <v>493.5</v>
      </c>
      <c r="J10562" t="str">
        <f>HYPERLINK("https://climate.onebuilding.org/WMO_Region_6_Europe/SWE_Sweden/NB_Norrbotten/SWE_NB_Rensjon.020310_TMYx.2009-2023.zip")</f>
        <v>https://climate.onebuilding.org/WMO_Region_6_Europe/SWE_Sweden/NB_Norrbotten/SWE_NB_Rensjon.020310_TMYx.2009-2023.zip</v>
      </c>
    </row>
    <row r="10563" spans="1:10" x14ac:dyDescent="0.25">
      <c r="A10563" t="s">
        <v>7602</v>
      </c>
      <c r="B10563" t="s">
        <v>5921</v>
      </c>
      <c r="C10563" t="s">
        <v>7620</v>
      </c>
      <c r="D10563" s="1" t="s">
        <v>7621</v>
      </c>
      <c r="E10563" t="s">
        <v>14</v>
      </c>
      <c r="F10563">
        <v>68.072999999999993</v>
      </c>
      <c r="G10563">
        <v>19.835000000000001</v>
      </c>
      <c r="H10563">
        <v>1</v>
      </c>
      <c r="I10563">
        <v>493.5</v>
      </c>
      <c r="J10563" t="str">
        <f>HYPERLINK("https://climate.onebuilding.org/WMO_Region_6_Europe/SWE_Sweden/NB_Norrbotten/SWE_NB_Rensjon.020310_TMYx.zip")</f>
        <v>https://climate.onebuilding.org/WMO_Region_6_Europe/SWE_Sweden/NB_Norrbotten/SWE_NB_Rensjon.020310_TMYx.zip</v>
      </c>
    </row>
    <row r="10564" spans="1:10" x14ac:dyDescent="0.25">
      <c r="A10564" t="s">
        <v>7602</v>
      </c>
      <c r="B10564" t="s">
        <v>5921</v>
      </c>
      <c r="C10564" t="s">
        <v>7623</v>
      </c>
      <c r="D10564" s="1" t="s">
        <v>7624</v>
      </c>
      <c r="E10564" t="s">
        <v>14</v>
      </c>
      <c r="F10564">
        <v>68.216999999999999</v>
      </c>
      <c r="G10564">
        <v>19.716999999999999</v>
      </c>
      <c r="H10564">
        <v>1</v>
      </c>
      <c r="I10564">
        <v>393</v>
      </c>
      <c r="J10564" t="str">
        <f>HYPERLINK("https://climate.onebuilding.org/WMO_Region_6_Europe/SWE_Sweden/NB_Norrbotten/SWE_NB_Tornetrask.Lake.020320_TMYx.zip")</f>
        <v>https://climate.onebuilding.org/WMO_Region_6_Europe/SWE_Sweden/NB_Norrbotten/SWE_NB_Tornetrask.Lake.020320_TMYx.zip</v>
      </c>
    </row>
    <row r="10565" spans="1:10" x14ac:dyDescent="0.25">
      <c r="A10565" t="s">
        <v>7602</v>
      </c>
      <c r="B10565" t="s">
        <v>5921</v>
      </c>
      <c r="C10565" t="s">
        <v>7625</v>
      </c>
      <c r="D10565" s="1" t="s">
        <v>7626</v>
      </c>
      <c r="E10565" t="s">
        <v>7627</v>
      </c>
      <c r="F10565">
        <v>67.854200000000006</v>
      </c>
      <c r="G10565">
        <v>19.025600000000001</v>
      </c>
      <c r="H10565">
        <v>1</v>
      </c>
      <c r="I10565">
        <v>468</v>
      </c>
      <c r="J10565" t="str">
        <f>HYPERLINK("https://climate.onebuilding.org/WMO_Region_6_Europe/SWE_Sweden/NB_Norrbotten/SWE_NB_Nikkaluokta.020360_TMYx.2004-2018.zip")</f>
        <v>https://climate.onebuilding.org/WMO_Region_6_Europe/SWE_Sweden/NB_Norrbotten/SWE_NB_Nikkaluokta.020360_TMYx.2004-2018.zip</v>
      </c>
    </row>
    <row r="10566" spans="1:10" x14ac:dyDescent="0.25">
      <c r="A10566" t="s">
        <v>7602</v>
      </c>
      <c r="B10566" t="s">
        <v>5921</v>
      </c>
      <c r="C10566" t="s">
        <v>7625</v>
      </c>
      <c r="D10566" s="1" t="s">
        <v>7626</v>
      </c>
      <c r="E10566" t="s">
        <v>14</v>
      </c>
      <c r="F10566">
        <v>67.852699999999999</v>
      </c>
      <c r="G10566">
        <v>19.0212</v>
      </c>
      <c r="H10566">
        <v>1</v>
      </c>
      <c r="I10566">
        <v>468</v>
      </c>
      <c r="J10566" t="str">
        <f>HYPERLINK("https://climate.onebuilding.org/WMO_Region_6_Europe/SWE_Sweden/NB_Norrbotten/SWE_NB_Nikkaluokta.020360_TMYx.2007-2021.zip")</f>
        <v>https://climate.onebuilding.org/WMO_Region_6_Europe/SWE_Sweden/NB_Norrbotten/SWE_NB_Nikkaluokta.020360_TMYx.2007-2021.zip</v>
      </c>
    </row>
    <row r="10567" spans="1:10" x14ac:dyDescent="0.25">
      <c r="A10567" t="s">
        <v>7602</v>
      </c>
      <c r="B10567" t="s">
        <v>5921</v>
      </c>
      <c r="C10567" t="s">
        <v>7625</v>
      </c>
      <c r="D10567" s="1" t="s">
        <v>7626</v>
      </c>
      <c r="E10567" t="s">
        <v>14</v>
      </c>
      <c r="F10567">
        <v>67.852699999999999</v>
      </c>
      <c r="G10567">
        <v>19.0212</v>
      </c>
      <c r="H10567">
        <v>1</v>
      </c>
      <c r="I10567">
        <v>468</v>
      </c>
      <c r="J10567" t="str">
        <f>HYPERLINK("https://climate.onebuilding.org/WMO_Region_6_Europe/SWE_Sweden/NB_Norrbotten/SWE_NB_Nikkaluokta.020360_TMYx.2009-2023.zip")</f>
        <v>https://climate.onebuilding.org/WMO_Region_6_Europe/SWE_Sweden/NB_Norrbotten/SWE_NB_Nikkaluokta.020360_TMYx.2009-2023.zip</v>
      </c>
    </row>
    <row r="10568" spans="1:10" x14ac:dyDescent="0.25">
      <c r="A10568" t="s">
        <v>7602</v>
      </c>
      <c r="B10568" t="s">
        <v>5921</v>
      </c>
      <c r="C10568" t="s">
        <v>7625</v>
      </c>
      <c r="D10568" s="1" t="s">
        <v>7626</v>
      </c>
      <c r="E10568" t="s">
        <v>14</v>
      </c>
      <c r="F10568">
        <v>67.852699999999999</v>
      </c>
      <c r="G10568">
        <v>19.0212</v>
      </c>
      <c r="H10568">
        <v>1</v>
      </c>
      <c r="I10568">
        <v>468</v>
      </c>
      <c r="J10568" t="str">
        <f>HYPERLINK("https://climate.onebuilding.org/WMO_Region_6_Europe/SWE_Sweden/NB_Norrbotten/SWE_NB_Nikkaluokta.020360_TMYx.zip")</f>
        <v>https://climate.onebuilding.org/WMO_Region_6_Europe/SWE_Sweden/NB_Norrbotten/SWE_NB_Nikkaluokta.020360_TMYx.zip</v>
      </c>
    </row>
    <row r="10569" spans="1:10" x14ac:dyDescent="0.25">
      <c r="A10569" t="s">
        <v>7602</v>
      </c>
      <c r="B10569" t="s">
        <v>5921</v>
      </c>
      <c r="C10569" t="s">
        <v>7628</v>
      </c>
      <c r="D10569" s="1" t="s">
        <v>7629</v>
      </c>
      <c r="E10569" t="s">
        <v>7630</v>
      </c>
      <c r="F10569">
        <v>67.256399999999999</v>
      </c>
      <c r="G10569">
        <v>20.274699999999999</v>
      </c>
      <c r="H10569">
        <v>1</v>
      </c>
      <c r="I10569">
        <v>453.2</v>
      </c>
      <c r="J10569" t="str">
        <f>HYPERLINK("https://climate.onebuilding.org/WMO_Region_6_Europe/SWE_Sweden/NB_Norrbotten/SWE_NB_Ladnivare.020380_TMYx.2004-2018.zip")</f>
        <v>https://climate.onebuilding.org/WMO_Region_6_Europe/SWE_Sweden/NB_Norrbotten/SWE_NB_Ladnivare.020380_TMYx.2004-2018.zip</v>
      </c>
    </row>
    <row r="10570" spans="1:10" x14ac:dyDescent="0.25">
      <c r="A10570" t="s">
        <v>7602</v>
      </c>
      <c r="B10570" t="s">
        <v>5921</v>
      </c>
      <c r="C10570" t="s">
        <v>7628</v>
      </c>
      <c r="D10570" s="1" t="s">
        <v>7629</v>
      </c>
      <c r="E10570" t="s">
        <v>14</v>
      </c>
      <c r="F10570">
        <v>67.255099999999999</v>
      </c>
      <c r="G10570">
        <v>20.270399999999999</v>
      </c>
      <c r="H10570">
        <v>1</v>
      </c>
      <c r="I10570">
        <v>453.2</v>
      </c>
      <c r="J10570" t="str">
        <f>HYPERLINK("https://climate.onebuilding.org/WMO_Region_6_Europe/SWE_Sweden/NB_Norrbotten/SWE_NB_Ladnivare.020380_TMYx.2007-2021.zip")</f>
        <v>https://climate.onebuilding.org/WMO_Region_6_Europe/SWE_Sweden/NB_Norrbotten/SWE_NB_Ladnivare.020380_TMYx.2007-2021.zip</v>
      </c>
    </row>
    <row r="10571" spans="1:10" x14ac:dyDescent="0.25">
      <c r="A10571" t="s">
        <v>7602</v>
      </c>
      <c r="B10571" t="s">
        <v>5921</v>
      </c>
      <c r="C10571" t="s">
        <v>7628</v>
      </c>
      <c r="D10571" s="1" t="s">
        <v>7629</v>
      </c>
      <c r="E10571" t="s">
        <v>14</v>
      </c>
      <c r="F10571">
        <v>67.255099999999999</v>
      </c>
      <c r="G10571">
        <v>20.270399999999999</v>
      </c>
      <c r="H10571">
        <v>1</v>
      </c>
      <c r="I10571">
        <v>453.2</v>
      </c>
      <c r="J10571" t="str">
        <f>HYPERLINK("https://climate.onebuilding.org/WMO_Region_6_Europe/SWE_Sweden/NB_Norrbotten/SWE_NB_Ladnivare.020380_TMYx.2009-2023.zip")</f>
        <v>https://climate.onebuilding.org/WMO_Region_6_Europe/SWE_Sweden/NB_Norrbotten/SWE_NB_Ladnivare.020380_TMYx.2009-2023.zip</v>
      </c>
    </row>
    <row r="10572" spans="1:10" x14ac:dyDescent="0.25">
      <c r="A10572" t="s">
        <v>7602</v>
      </c>
      <c r="B10572" t="s">
        <v>5921</v>
      </c>
      <c r="C10572" t="s">
        <v>7628</v>
      </c>
      <c r="D10572" s="1" t="s">
        <v>7629</v>
      </c>
      <c r="E10572" t="s">
        <v>14</v>
      </c>
      <c r="F10572">
        <v>67.255099999999999</v>
      </c>
      <c r="G10572">
        <v>20.270399999999999</v>
      </c>
      <c r="H10572">
        <v>1</v>
      </c>
      <c r="I10572">
        <v>453.2</v>
      </c>
      <c r="J10572" t="str">
        <f>HYPERLINK("https://climate.onebuilding.org/WMO_Region_6_Europe/SWE_Sweden/NB_Norrbotten/SWE_NB_Ladnivare.020380_TMYx.zip")</f>
        <v>https://climate.onebuilding.org/WMO_Region_6_Europe/SWE_Sweden/NB_Norrbotten/SWE_NB_Ladnivare.020380_TMYx.zip</v>
      </c>
    </row>
    <row r="10573" spans="1:10" x14ac:dyDescent="0.25">
      <c r="A10573" t="s">
        <v>7602</v>
      </c>
      <c r="B10573" t="s">
        <v>5921</v>
      </c>
      <c r="C10573" t="s">
        <v>7631</v>
      </c>
      <c r="D10573" s="1" t="s">
        <v>7632</v>
      </c>
      <c r="E10573" t="s">
        <v>14</v>
      </c>
      <c r="F10573">
        <v>67.933000000000007</v>
      </c>
      <c r="G10573">
        <v>21.067</v>
      </c>
      <c r="H10573">
        <v>1</v>
      </c>
      <c r="I10573">
        <v>404</v>
      </c>
      <c r="J10573" t="str">
        <f>HYPERLINK("https://climate.onebuilding.org/WMO_Region_6_Europe/SWE_Sweden/NB_Norrbotten/SWE_NB_Esrange.020430_TMYx.zip")</f>
        <v>https://climate.onebuilding.org/WMO_Region_6_Europe/SWE_Sweden/NB_Norrbotten/SWE_NB_Esrange.020430_TMYx.zip</v>
      </c>
    </row>
    <row r="10574" spans="1:10" x14ac:dyDescent="0.25">
      <c r="A10574" t="s">
        <v>7602</v>
      </c>
      <c r="B10574" t="s">
        <v>5921</v>
      </c>
      <c r="C10574" t="s">
        <v>7633</v>
      </c>
      <c r="D10574" s="1" t="s">
        <v>7634</v>
      </c>
      <c r="E10574" t="s">
        <v>7635</v>
      </c>
      <c r="F10574">
        <v>67.822800000000001</v>
      </c>
      <c r="G10574">
        <v>20.34</v>
      </c>
      <c r="H10574">
        <v>1</v>
      </c>
      <c r="I10574">
        <v>446.7</v>
      </c>
      <c r="J10574" t="str">
        <f>HYPERLINK("https://climate.onebuilding.org/WMO_Region_6_Europe/SWE_Sweden/NB_Norrbotten/SWE_NB_Kiruna.AP.020440_TMYx.2004-2018.zip")</f>
        <v>https://climate.onebuilding.org/WMO_Region_6_Europe/SWE_Sweden/NB_Norrbotten/SWE_NB_Kiruna.AP.020440_TMYx.2004-2018.zip</v>
      </c>
    </row>
    <row r="10575" spans="1:10" x14ac:dyDescent="0.25">
      <c r="A10575" t="s">
        <v>7602</v>
      </c>
      <c r="B10575" t="s">
        <v>5921</v>
      </c>
      <c r="C10575" t="s">
        <v>7633</v>
      </c>
      <c r="D10575" s="1" t="s">
        <v>7634</v>
      </c>
      <c r="E10575" t="s">
        <v>14</v>
      </c>
      <c r="F10575">
        <v>67.822800000000001</v>
      </c>
      <c r="G10575">
        <v>20.34</v>
      </c>
      <c r="H10575">
        <v>1</v>
      </c>
      <c r="I10575">
        <v>446.7</v>
      </c>
      <c r="J10575" t="str">
        <f>HYPERLINK("https://climate.onebuilding.org/WMO_Region_6_Europe/SWE_Sweden/NB_Norrbotten/SWE_NB_Kiruna.AP.020440_TMYx.2007-2021.zip")</f>
        <v>https://climate.onebuilding.org/WMO_Region_6_Europe/SWE_Sweden/NB_Norrbotten/SWE_NB_Kiruna.AP.020440_TMYx.2007-2021.zip</v>
      </c>
    </row>
    <row r="10576" spans="1:10" x14ac:dyDescent="0.25">
      <c r="A10576" t="s">
        <v>7602</v>
      </c>
      <c r="B10576" t="s">
        <v>5921</v>
      </c>
      <c r="C10576" t="s">
        <v>7633</v>
      </c>
      <c r="D10576" s="1" t="s">
        <v>7634</v>
      </c>
      <c r="E10576" t="s">
        <v>14</v>
      </c>
      <c r="F10576">
        <v>67.822800000000001</v>
      </c>
      <c r="G10576">
        <v>20.34</v>
      </c>
      <c r="H10576">
        <v>1</v>
      </c>
      <c r="I10576">
        <v>446.7</v>
      </c>
      <c r="J10576" t="str">
        <f>HYPERLINK("https://climate.onebuilding.org/WMO_Region_6_Europe/SWE_Sweden/NB_Norrbotten/SWE_NB_Kiruna.AP.020440_TMYx.2009-2023.zip")</f>
        <v>https://climate.onebuilding.org/WMO_Region_6_Europe/SWE_Sweden/NB_Norrbotten/SWE_NB_Kiruna.AP.020440_TMYx.2009-2023.zip</v>
      </c>
    </row>
    <row r="10577" spans="1:10" x14ac:dyDescent="0.25">
      <c r="A10577" t="s">
        <v>7602</v>
      </c>
      <c r="B10577" t="s">
        <v>5921</v>
      </c>
      <c r="C10577" t="s">
        <v>7633</v>
      </c>
      <c r="D10577" s="1" t="s">
        <v>7634</v>
      </c>
      <c r="E10577" t="s">
        <v>14</v>
      </c>
      <c r="F10577">
        <v>67.822800000000001</v>
      </c>
      <c r="G10577">
        <v>20.34</v>
      </c>
      <c r="H10577">
        <v>1</v>
      </c>
      <c r="I10577">
        <v>446.7</v>
      </c>
      <c r="J10577" t="str">
        <f>HYPERLINK("https://climate.onebuilding.org/WMO_Region_6_Europe/SWE_Sweden/NB_Norrbotten/SWE_NB_Kiruna.AP.020440_TMYx.zip")</f>
        <v>https://climate.onebuilding.org/WMO_Region_6_Europe/SWE_Sweden/NB_Norrbotten/SWE_NB_Kiruna.AP.020440_TMYx.zip</v>
      </c>
    </row>
    <row r="10578" spans="1:10" x14ac:dyDescent="0.25">
      <c r="A10578" t="s">
        <v>7602</v>
      </c>
      <c r="B10578" t="s">
        <v>5921</v>
      </c>
      <c r="C10578" t="s">
        <v>7636</v>
      </c>
      <c r="D10578" s="1" t="s">
        <v>7637</v>
      </c>
      <c r="E10578" t="s">
        <v>14</v>
      </c>
      <c r="F10578">
        <v>67.840599999999995</v>
      </c>
      <c r="G10578">
        <v>20.410499999999999</v>
      </c>
      <c r="H10578">
        <v>1</v>
      </c>
      <c r="I10578">
        <v>424</v>
      </c>
      <c r="J10578" t="str">
        <f>HYPERLINK("https://climate.onebuilding.org/WMO_Region_6_Europe/SWE_Sweden/NB_Norrbotten/SWE_NB_Kiruna-Swedish.Institute.Space.Physics.020450_TMYx.zip")</f>
        <v>https://climate.onebuilding.org/WMO_Region_6_Europe/SWE_Sweden/NB_Norrbotten/SWE_NB_Kiruna-Swedish.Institute.Space.Physics.020450_TMYx.zip</v>
      </c>
    </row>
    <row r="10579" spans="1:10" x14ac:dyDescent="0.25">
      <c r="A10579" t="s">
        <v>7602</v>
      </c>
      <c r="B10579" t="s">
        <v>5921</v>
      </c>
      <c r="C10579" t="s">
        <v>7638</v>
      </c>
      <c r="D10579" s="1" t="s">
        <v>7639</v>
      </c>
      <c r="E10579" t="s">
        <v>7640</v>
      </c>
      <c r="F10579">
        <v>67.132000000000005</v>
      </c>
      <c r="G10579">
        <v>20.815000000000001</v>
      </c>
      <c r="H10579">
        <v>1</v>
      </c>
      <c r="I10579">
        <v>313</v>
      </c>
      <c r="J10579" t="str">
        <f>HYPERLINK("https://climate.onebuilding.org/WMO_Region_6_Europe/SWE_Sweden/NB_Norrbotten/SWE_NB_Gallivare-Lapland-Malmberget.020490_TMYx.2004-2018.zip")</f>
        <v>https://climate.onebuilding.org/WMO_Region_6_Europe/SWE_Sweden/NB_Norrbotten/SWE_NB_Gallivare-Lapland-Malmberget.020490_TMYx.2004-2018.zip</v>
      </c>
    </row>
    <row r="10580" spans="1:10" x14ac:dyDescent="0.25">
      <c r="A10580" t="s">
        <v>7602</v>
      </c>
      <c r="B10580" t="s">
        <v>5921</v>
      </c>
      <c r="C10580" t="s">
        <v>7638</v>
      </c>
      <c r="D10580" s="1" t="s">
        <v>7639</v>
      </c>
      <c r="E10580" t="s">
        <v>14</v>
      </c>
      <c r="F10580">
        <v>67.140699999999995</v>
      </c>
      <c r="G10580">
        <v>20.641300000000001</v>
      </c>
      <c r="H10580">
        <v>1</v>
      </c>
      <c r="I10580">
        <v>313</v>
      </c>
      <c r="J10580" t="str">
        <f>HYPERLINK("https://climate.onebuilding.org/WMO_Region_6_Europe/SWE_Sweden/NB_Norrbotten/SWE_NB_Gallivare-Lapland-Malmberget.020490_TMYx.2007-2021.zip")</f>
        <v>https://climate.onebuilding.org/WMO_Region_6_Europe/SWE_Sweden/NB_Norrbotten/SWE_NB_Gallivare-Lapland-Malmberget.020490_TMYx.2007-2021.zip</v>
      </c>
    </row>
    <row r="10581" spans="1:10" x14ac:dyDescent="0.25">
      <c r="A10581" t="s">
        <v>7602</v>
      </c>
      <c r="B10581" t="s">
        <v>5921</v>
      </c>
      <c r="C10581" t="s">
        <v>7638</v>
      </c>
      <c r="D10581" s="1" t="s">
        <v>7639</v>
      </c>
      <c r="E10581" t="s">
        <v>14</v>
      </c>
      <c r="F10581">
        <v>67.140699999999995</v>
      </c>
      <c r="G10581">
        <v>20.641300000000001</v>
      </c>
      <c r="H10581">
        <v>1</v>
      </c>
      <c r="I10581">
        <v>313</v>
      </c>
      <c r="J10581" t="str">
        <f>HYPERLINK("https://climate.onebuilding.org/WMO_Region_6_Europe/SWE_Sweden/NB_Norrbotten/SWE_NB_Gallivare-Lapland-Malmberget.020490_TMYx.2009-2023.zip")</f>
        <v>https://climate.onebuilding.org/WMO_Region_6_Europe/SWE_Sweden/NB_Norrbotten/SWE_NB_Gallivare-Lapland-Malmberget.020490_TMYx.2009-2023.zip</v>
      </c>
    </row>
    <row r="10582" spans="1:10" x14ac:dyDescent="0.25">
      <c r="A10582" t="s">
        <v>7602</v>
      </c>
      <c r="B10582" t="s">
        <v>5921</v>
      </c>
      <c r="C10582" t="s">
        <v>7638</v>
      </c>
      <c r="D10582" s="1" t="s">
        <v>7639</v>
      </c>
      <c r="E10582" t="s">
        <v>14</v>
      </c>
      <c r="F10582">
        <v>67.140699999999995</v>
      </c>
      <c r="G10582">
        <v>20.641300000000001</v>
      </c>
      <c r="H10582">
        <v>1</v>
      </c>
      <c r="I10582">
        <v>313</v>
      </c>
      <c r="J10582" t="str">
        <f>HYPERLINK("https://climate.onebuilding.org/WMO_Region_6_Europe/SWE_Sweden/NB_Norrbotten/SWE_NB_Gallivare-Lapland-Malmberget.020490_TMYx.zip")</f>
        <v>https://climate.onebuilding.org/WMO_Region_6_Europe/SWE_Sweden/NB_Norrbotten/SWE_NB_Gallivare-Lapland-Malmberget.020490_TMYx.zip</v>
      </c>
    </row>
    <row r="10583" spans="1:10" x14ac:dyDescent="0.25">
      <c r="A10583" t="s">
        <v>7602</v>
      </c>
      <c r="B10583" t="s">
        <v>5921</v>
      </c>
      <c r="C10583" t="s">
        <v>7641</v>
      </c>
      <c r="D10583" s="1" t="s">
        <v>7642</v>
      </c>
      <c r="E10583" t="s">
        <v>14</v>
      </c>
      <c r="F10583">
        <v>66.941800000000001</v>
      </c>
      <c r="G10583">
        <v>17.738900000000001</v>
      </c>
      <c r="H10583">
        <v>1</v>
      </c>
      <c r="I10583">
        <v>337</v>
      </c>
      <c r="J10583" t="str">
        <f>HYPERLINK("https://climate.onebuilding.org/WMO_Region_6_Europe/SWE_Sweden/NB_Norrbotten/SWE_NB_Kvikkjokk.Heliport.020520_TMYx.zip")</f>
        <v>https://climate.onebuilding.org/WMO_Region_6_Europe/SWE_Sweden/NB_Norrbotten/SWE_NB_Kvikkjokk.Heliport.020520_TMYx.zip</v>
      </c>
    </row>
    <row r="10584" spans="1:10" x14ac:dyDescent="0.25">
      <c r="A10584" t="s">
        <v>7602</v>
      </c>
      <c r="B10584" t="s">
        <v>5921</v>
      </c>
      <c r="C10584" t="s">
        <v>7643</v>
      </c>
      <c r="D10584" s="1" t="s">
        <v>7644</v>
      </c>
      <c r="E10584" t="s">
        <v>7645</v>
      </c>
      <c r="F10584">
        <v>68.043899999999994</v>
      </c>
      <c r="G10584">
        <v>21.754999999999999</v>
      </c>
      <c r="H10584">
        <v>1</v>
      </c>
      <c r="I10584">
        <v>360</v>
      </c>
      <c r="J10584" t="str">
        <f>HYPERLINK("https://climate.onebuilding.org/WMO_Region_6_Europe/SWE_Sweden/NB_Norrbotten/SWE_NB_Nedre.Soppero.020540_TMYx.2004-2018.zip")</f>
        <v>https://climate.onebuilding.org/WMO_Region_6_Europe/SWE_Sweden/NB_Norrbotten/SWE_NB_Nedre.Soppero.020540_TMYx.2004-2018.zip</v>
      </c>
    </row>
    <row r="10585" spans="1:10" x14ac:dyDescent="0.25">
      <c r="A10585" t="s">
        <v>7602</v>
      </c>
      <c r="B10585" t="s">
        <v>5921</v>
      </c>
      <c r="C10585" t="s">
        <v>7643</v>
      </c>
      <c r="D10585" s="1" t="s">
        <v>7644</v>
      </c>
      <c r="E10585" t="s">
        <v>14</v>
      </c>
      <c r="F10585">
        <v>68.043899999999994</v>
      </c>
      <c r="G10585">
        <v>21.754999999999999</v>
      </c>
      <c r="H10585">
        <v>1</v>
      </c>
      <c r="I10585">
        <v>360</v>
      </c>
      <c r="J10585" t="str">
        <f>HYPERLINK("https://climate.onebuilding.org/WMO_Region_6_Europe/SWE_Sweden/NB_Norrbotten/SWE_NB_Nedre.Soppero.020540_TMYx.2007-2021.zip")</f>
        <v>https://climate.onebuilding.org/WMO_Region_6_Europe/SWE_Sweden/NB_Norrbotten/SWE_NB_Nedre.Soppero.020540_TMYx.2007-2021.zip</v>
      </c>
    </row>
    <row r="10586" spans="1:10" x14ac:dyDescent="0.25">
      <c r="A10586" t="s">
        <v>7602</v>
      </c>
      <c r="B10586" t="s">
        <v>5921</v>
      </c>
      <c r="C10586" t="s">
        <v>7643</v>
      </c>
      <c r="D10586" s="1" t="s">
        <v>7644</v>
      </c>
      <c r="E10586" t="s">
        <v>14</v>
      </c>
      <c r="F10586">
        <v>68.043899999999994</v>
      </c>
      <c r="G10586">
        <v>21.754999999999999</v>
      </c>
      <c r="H10586">
        <v>1</v>
      </c>
      <c r="I10586">
        <v>360</v>
      </c>
      <c r="J10586" t="str">
        <f>HYPERLINK("https://climate.onebuilding.org/WMO_Region_6_Europe/SWE_Sweden/NB_Norrbotten/SWE_NB_Nedre.Soppero.020540_TMYx.2009-2023.zip")</f>
        <v>https://climate.onebuilding.org/WMO_Region_6_Europe/SWE_Sweden/NB_Norrbotten/SWE_NB_Nedre.Soppero.020540_TMYx.2009-2023.zip</v>
      </c>
    </row>
    <row r="10587" spans="1:10" x14ac:dyDescent="0.25">
      <c r="A10587" t="s">
        <v>7602</v>
      </c>
      <c r="B10587" t="s">
        <v>5921</v>
      </c>
      <c r="C10587" t="s">
        <v>7643</v>
      </c>
      <c r="D10587" s="1" t="s">
        <v>7644</v>
      </c>
      <c r="E10587" t="s">
        <v>14</v>
      </c>
      <c r="F10587">
        <v>68.043899999999994</v>
      </c>
      <c r="G10587">
        <v>21.754999999999999</v>
      </c>
      <c r="H10587">
        <v>1</v>
      </c>
      <c r="I10587">
        <v>360</v>
      </c>
      <c r="J10587" t="str">
        <f>HYPERLINK("https://climate.onebuilding.org/WMO_Region_6_Europe/SWE_Sweden/NB_Norrbotten/SWE_NB_Nedre.Soppero.020540_TMYx.zip")</f>
        <v>https://climate.onebuilding.org/WMO_Region_6_Europe/SWE_Sweden/NB_Norrbotten/SWE_NB_Nedre.Soppero.020540_TMYx.zip</v>
      </c>
    </row>
    <row r="10588" spans="1:10" x14ac:dyDescent="0.25">
      <c r="A10588" t="s">
        <v>7602</v>
      </c>
      <c r="B10588" t="s">
        <v>5921</v>
      </c>
      <c r="C10588" t="s">
        <v>7646</v>
      </c>
      <c r="D10588" s="1" t="s">
        <v>7647</v>
      </c>
      <c r="E10588" t="s">
        <v>7648</v>
      </c>
      <c r="F10588">
        <v>68.666899999999998</v>
      </c>
      <c r="G10588">
        <v>21.538499999999999</v>
      </c>
      <c r="H10588">
        <v>1</v>
      </c>
      <c r="I10588">
        <v>402.3</v>
      </c>
      <c r="J10588" t="str">
        <f>HYPERLINK("https://climate.onebuilding.org/WMO_Region_6_Europe/SWE_Sweden/NB_Norrbotten/SWE_NB_Naimakka.020550_TMYx.2004-2018.zip")</f>
        <v>https://climate.onebuilding.org/WMO_Region_6_Europe/SWE_Sweden/NB_Norrbotten/SWE_NB_Naimakka.020550_TMYx.2004-2018.zip</v>
      </c>
    </row>
    <row r="10589" spans="1:10" x14ac:dyDescent="0.25">
      <c r="A10589" t="s">
        <v>7602</v>
      </c>
      <c r="B10589" t="s">
        <v>5921</v>
      </c>
      <c r="C10589" t="s">
        <v>7646</v>
      </c>
      <c r="D10589" s="1" t="s">
        <v>7647</v>
      </c>
      <c r="E10589" t="s">
        <v>14</v>
      </c>
      <c r="F10589">
        <v>68.676199999999994</v>
      </c>
      <c r="G10589">
        <v>21.5229</v>
      </c>
      <c r="H10589">
        <v>1</v>
      </c>
      <c r="I10589">
        <v>402.3</v>
      </c>
      <c r="J10589" t="str">
        <f>HYPERLINK("https://climate.onebuilding.org/WMO_Region_6_Europe/SWE_Sweden/NB_Norrbotten/SWE_NB_Naimakka.020550_TMYx.2007-2021.zip")</f>
        <v>https://climate.onebuilding.org/WMO_Region_6_Europe/SWE_Sweden/NB_Norrbotten/SWE_NB_Naimakka.020550_TMYx.2007-2021.zip</v>
      </c>
    </row>
    <row r="10590" spans="1:10" x14ac:dyDescent="0.25">
      <c r="A10590" t="s">
        <v>7602</v>
      </c>
      <c r="B10590" t="s">
        <v>5921</v>
      </c>
      <c r="C10590" t="s">
        <v>7646</v>
      </c>
      <c r="D10590" s="1" t="s">
        <v>7647</v>
      </c>
      <c r="E10590" t="s">
        <v>14</v>
      </c>
      <c r="F10590">
        <v>68.676199999999994</v>
      </c>
      <c r="G10590">
        <v>21.5229</v>
      </c>
      <c r="H10590">
        <v>1</v>
      </c>
      <c r="I10590">
        <v>402.3</v>
      </c>
      <c r="J10590" t="str">
        <f>HYPERLINK("https://climate.onebuilding.org/WMO_Region_6_Europe/SWE_Sweden/NB_Norrbotten/SWE_NB_Naimakka.020550_TMYx.2009-2023.zip")</f>
        <v>https://climate.onebuilding.org/WMO_Region_6_Europe/SWE_Sweden/NB_Norrbotten/SWE_NB_Naimakka.020550_TMYx.2009-2023.zip</v>
      </c>
    </row>
    <row r="10591" spans="1:10" x14ac:dyDescent="0.25">
      <c r="A10591" t="s">
        <v>7602</v>
      </c>
      <c r="B10591" t="s">
        <v>5921</v>
      </c>
      <c r="C10591" t="s">
        <v>7646</v>
      </c>
      <c r="D10591" s="1" t="s">
        <v>7647</v>
      </c>
      <c r="E10591" t="s">
        <v>14</v>
      </c>
      <c r="F10591">
        <v>68.676199999999994</v>
      </c>
      <c r="G10591">
        <v>21.5229</v>
      </c>
      <c r="H10591">
        <v>1</v>
      </c>
      <c r="I10591">
        <v>402.3</v>
      </c>
      <c r="J10591" t="str">
        <f>HYPERLINK("https://climate.onebuilding.org/WMO_Region_6_Europe/SWE_Sweden/NB_Norrbotten/SWE_NB_Naimakka.020550_TMYx.zip")</f>
        <v>https://climate.onebuilding.org/WMO_Region_6_Europe/SWE_Sweden/NB_Norrbotten/SWE_NB_Naimakka.020550_TMYx.zip</v>
      </c>
    </row>
    <row r="10592" spans="1:10" x14ac:dyDescent="0.25">
      <c r="A10592" t="s">
        <v>7602</v>
      </c>
      <c r="B10592" t="s">
        <v>5921</v>
      </c>
      <c r="C10592" t="s">
        <v>7649</v>
      </c>
      <c r="D10592" s="1" t="s">
        <v>7650</v>
      </c>
      <c r="E10592" t="s">
        <v>7651</v>
      </c>
      <c r="F10592">
        <v>67.337800000000001</v>
      </c>
      <c r="G10592">
        <v>22.233599999999999</v>
      </c>
      <c r="H10592">
        <v>1</v>
      </c>
      <c r="I10592">
        <v>240.4</v>
      </c>
      <c r="J10592" t="str">
        <f>HYPERLINK("https://climate.onebuilding.org/WMO_Region_6_Europe/SWE_Sweden/NB_Norrbotten/SWE_NB_Saittarova.020640_TMYx.2004-2018.zip")</f>
        <v>https://climate.onebuilding.org/WMO_Region_6_Europe/SWE_Sweden/NB_Norrbotten/SWE_NB_Saittarova.020640_TMYx.2004-2018.zip</v>
      </c>
    </row>
    <row r="10593" spans="1:10" x14ac:dyDescent="0.25">
      <c r="A10593" t="s">
        <v>7602</v>
      </c>
      <c r="B10593" t="s">
        <v>5921</v>
      </c>
      <c r="C10593" t="s">
        <v>7649</v>
      </c>
      <c r="D10593" s="1" t="s">
        <v>7650</v>
      </c>
      <c r="E10593" t="s">
        <v>14</v>
      </c>
      <c r="F10593">
        <v>67.336299999999994</v>
      </c>
      <c r="G10593">
        <v>22.2288</v>
      </c>
      <c r="H10593">
        <v>1</v>
      </c>
      <c r="I10593">
        <v>240.4</v>
      </c>
      <c r="J10593" t="str">
        <f>HYPERLINK("https://climate.onebuilding.org/WMO_Region_6_Europe/SWE_Sweden/NB_Norrbotten/SWE_NB_Saittarova.020640_TMYx.2007-2021.zip")</f>
        <v>https://climate.onebuilding.org/WMO_Region_6_Europe/SWE_Sweden/NB_Norrbotten/SWE_NB_Saittarova.020640_TMYx.2007-2021.zip</v>
      </c>
    </row>
    <row r="10594" spans="1:10" x14ac:dyDescent="0.25">
      <c r="A10594" t="s">
        <v>7602</v>
      </c>
      <c r="B10594" t="s">
        <v>5921</v>
      </c>
      <c r="C10594" t="s">
        <v>7649</v>
      </c>
      <c r="D10594" s="1" t="s">
        <v>7650</v>
      </c>
      <c r="E10594" t="s">
        <v>14</v>
      </c>
      <c r="F10594">
        <v>67.336299999999994</v>
      </c>
      <c r="G10594">
        <v>22.2288</v>
      </c>
      <c r="H10594">
        <v>1</v>
      </c>
      <c r="I10594">
        <v>240.4</v>
      </c>
      <c r="J10594" t="str">
        <f>HYPERLINK("https://climate.onebuilding.org/WMO_Region_6_Europe/SWE_Sweden/NB_Norrbotten/SWE_NB_Saittarova.020640_TMYx.2009-2023.zip")</f>
        <v>https://climate.onebuilding.org/WMO_Region_6_Europe/SWE_Sweden/NB_Norrbotten/SWE_NB_Saittarova.020640_TMYx.2009-2023.zip</v>
      </c>
    </row>
    <row r="10595" spans="1:10" x14ac:dyDescent="0.25">
      <c r="A10595" t="s">
        <v>7602</v>
      </c>
      <c r="B10595" t="s">
        <v>5921</v>
      </c>
      <c r="C10595" t="s">
        <v>7649</v>
      </c>
      <c r="D10595" s="1" t="s">
        <v>7650</v>
      </c>
      <c r="E10595" t="s">
        <v>14</v>
      </c>
      <c r="F10595">
        <v>67.336299999999994</v>
      </c>
      <c r="G10595">
        <v>22.2288</v>
      </c>
      <c r="H10595">
        <v>1</v>
      </c>
      <c r="I10595">
        <v>240.4</v>
      </c>
      <c r="J10595" t="str">
        <f>HYPERLINK("https://climate.onebuilding.org/WMO_Region_6_Europe/SWE_Sweden/NB_Norrbotten/SWE_NB_Saittarova.020640_TMYx.zip")</f>
        <v>https://climate.onebuilding.org/WMO_Region_6_Europe/SWE_Sweden/NB_Norrbotten/SWE_NB_Saittarova.020640_TMYx.zip</v>
      </c>
    </row>
    <row r="10596" spans="1:10" x14ac:dyDescent="0.25">
      <c r="A10596" t="s">
        <v>7602</v>
      </c>
      <c r="B10596" t="s">
        <v>5921</v>
      </c>
      <c r="C10596" t="s">
        <v>7652</v>
      </c>
      <c r="D10596" s="1" t="s">
        <v>7653</v>
      </c>
      <c r="E10596" t="s">
        <v>7654</v>
      </c>
      <c r="F10596">
        <v>67.731700000000004</v>
      </c>
      <c r="G10596">
        <v>22.827000000000002</v>
      </c>
      <c r="H10596">
        <v>1</v>
      </c>
      <c r="I10596">
        <v>313.2</v>
      </c>
      <c r="J10596" t="str">
        <f>HYPERLINK("https://climate.onebuilding.org/WMO_Region_6_Europe/SWE_Sweden/NB_Norrbotten/SWE_NB_Parkalompolo.020720_TMYx.2004-2018.zip")</f>
        <v>https://climate.onebuilding.org/WMO_Region_6_Europe/SWE_Sweden/NB_Norrbotten/SWE_NB_Parkalompolo.020720_TMYx.2004-2018.zip</v>
      </c>
    </row>
    <row r="10597" spans="1:10" x14ac:dyDescent="0.25">
      <c r="A10597" t="s">
        <v>7602</v>
      </c>
      <c r="B10597" t="s">
        <v>5921</v>
      </c>
      <c r="C10597" t="s">
        <v>7652</v>
      </c>
      <c r="D10597" s="1" t="s">
        <v>7653</v>
      </c>
      <c r="E10597" t="s">
        <v>14</v>
      </c>
      <c r="F10597">
        <v>67.730099999999993</v>
      </c>
      <c r="G10597">
        <v>22.821899999999999</v>
      </c>
      <c r="H10597">
        <v>1</v>
      </c>
      <c r="I10597">
        <v>313.2</v>
      </c>
      <c r="J10597" t="str">
        <f>HYPERLINK("https://climate.onebuilding.org/WMO_Region_6_Europe/SWE_Sweden/NB_Norrbotten/SWE_NB_Parkalompolo.020720_TMYx.2007-2021.zip")</f>
        <v>https://climate.onebuilding.org/WMO_Region_6_Europe/SWE_Sweden/NB_Norrbotten/SWE_NB_Parkalompolo.020720_TMYx.2007-2021.zip</v>
      </c>
    </row>
    <row r="10598" spans="1:10" x14ac:dyDescent="0.25">
      <c r="A10598" t="s">
        <v>7602</v>
      </c>
      <c r="B10598" t="s">
        <v>5921</v>
      </c>
      <c r="C10598" t="s">
        <v>7652</v>
      </c>
      <c r="D10598" s="1" t="s">
        <v>7653</v>
      </c>
      <c r="E10598" t="s">
        <v>14</v>
      </c>
      <c r="F10598">
        <v>67.730099999999993</v>
      </c>
      <c r="G10598">
        <v>22.821899999999999</v>
      </c>
      <c r="H10598">
        <v>1</v>
      </c>
      <c r="I10598">
        <v>313.2</v>
      </c>
      <c r="J10598" t="str">
        <f>HYPERLINK("https://climate.onebuilding.org/WMO_Region_6_Europe/SWE_Sweden/NB_Norrbotten/SWE_NB_Parkalompolo.020720_TMYx.2009-2023.zip")</f>
        <v>https://climate.onebuilding.org/WMO_Region_6_Europe/SWE_Sweden/NB_Norrbotten/SWE_NB_Parkalompolo.020720_TMYx.2009-2023.zip</v>
      </c>
    </row>
    <row r="10599" spans="1:10" x14ac:dyDescent="0.25">
      <c r="A10599" t="s">
        <v>7602</v>
      </c>
      <c r="B10599" t="s">
        <v>5921</v>
      </c>
      <c r="C10599" t="s">
        <v>7652</v>
      </c>
      <c r="D10599" s="1" t="s">
        <v>7653</v>
      </c>
      <c r="E10599" t="s">
        <v>14</v>
      </c>
      <c r="F10599">
        <v>67.730099999999993</v>
      </c>
      <c r="G10599">
        <v>22.821899999999999</v>
      </c>
      <c r="H10599">
        <v>1</v>
      </c>
      <c r="I10599">
        <v>313.2</v>
      </c>
      <c r="J10599" t="str">
        <f>HYPERLINK("https://climate.onebuilding.org/WMO_Region_6_Europe/SWE_Sweden/NB_Norrbotten/SWE_NB_Parkalompolo.020720_TMYx.zip")</f>
        <v>https://climate.onebuilding.org/WMO_Region_6_Europe/SWE_Sweden/NB_Norrbotten/SWE_NB_Parkalompolo.020720_TMYx.zip</v>
      </c>
    </row>
    <row r="10600" spans="1:10" x14ac:dyDescent="0.25">
      <c r="A10600" t="s">
        <v>7602</v>
      </c>
      <c r="B10600" t="s">
        <v>7655</v>
      </c>
      <c r="C10600" t="s">
        <v>7656</v>
      </c>
      <c r="D10600" s="1" t="s">
        <v>7657</v>
      </c>
      <c r="E10600" t="s">
        <v>14</v>
      </c>
      <c r="F10600">
        <v>59.267000000000003</v>
      </c>
      <c r="G10600">
        <v>15.333</v>
      </c>
      <c r="H10600">
        <v>1</v>
      </c>
      <c r="I10600">
        <v>33</v>
      </c>
      <c r="J10600" t="str">
        <f>HYPERLINK("https://climate.onebuilding.org/WMO_Region_6_Europe/SWE_Sweden/OR_Orebro/SWE_OR_Orebro-Eekeby.020740_TMYx.zip")</f>
        <v>https://climate.onebuilding.org/WMO_Region_6_Europe/SWE_Sweden/OR_Orebro/SWE_OR_Orebro-Eekeby.020740_TMYx.zip</v>
      </c>
    </row>
    <row r="10601" spans="1:10" x14ac:dyDescent="0.25">
      <c r="A10601" t="s">
        <v>7602</v>
      </c>
      <c r="B10601" t="s">
        <v>5921</v>
      </c>
      <c r="C10601" t="s">
        <v>7658</v>
      </c>
      <c r="D10601" s="1" t="s">
        <v>7659</v>
      </c>
      <c r="E10601" t="s">
        <v>7660</v>
      </c>
      <c r="F10601">
        <v>68.441900000000004</v>
      </c>
      <c r="G10601">
        <v>22.4436</v>
      </c>
      <c r="H10601">
        <v>1</v>
      </c>
      <c r="I10601">
        <v>331.9</v>
      </c>
      <c r="J10601" t="str">
        <f>HYPERLINK("https://climate.onebuilding.org/WMO_Region_6_Europe/SWE_Sweden/NB_Norrbotten/SWE_NB_Karesuando.020810_TMYx.2004-2018.zip")</f>
        <v>https://climate.onebuilding.org/WMO_Region_6_Europe/SWE_Sweden/NB_Norrbotten/SWE_NB_Karesuando.020810_TMYx.2004-2018.zip</v>
      </c>
    </row>
    <row r="10602" spans="1:10" x14ac:dyDescent="0.25">
      <c r="A10602" t="s">
        <v>7602</v>
      </c>
      <c r="B10602" t="s">
        <v>5921</v>
      </c>
      <c r="C10602" t="s">
        <v>7658</v>
      </c>
      <c r="D10602" s="1" t="s">
        <v>7659</v>
      </c>
      <c r="E10602" t="s">
        <v>14</v>
      </c>
      <c r="F10602">
        <v>68.441900000000004</v>
      </c>
      <c r="G10602">
        <v>22.4436</v>
      </c>
      <c r="H10602">
        <v>1</v>
      </c>
      <c r="I10602">
        <v>331.9</v>
      </c>
      <c r="J10602" t="str">
        <f>HYPERLINK("https://climate.onebuilding.org/WMO_Region_6_Europe/SWE_Sweden/NB_Norrbotten/SWE_NB_Karesuando.020810_TMYx.2007-2021.zip")</f>
        <v>https://climate.onebuilding.org/WMO_Region_6_Europe/SWE_Sweden/NB_Norrbotten/SWE_NB_Karesuando.020810_TMYx.2007-2021.zip</v>
      </c>
    </row>
    <row r="10603" spans="1:10" x14ac:dyDescent="0.25">
      <c r="A10603" t="s">
        <v>7602</v>
      </c>
      <c r="B10603" t="s">
        <v>5921</v>
      </c>
      <c r="C10603" t="s">
        <v>7658</v>
      </c>
      <c r="D10603" s="1" t="s">
        <v>7659</v>
      </c>
      <c r="E10603" t="s">
        <v>14</v>
      </c>
      <c r="F10603">
        <v>68.441900000000004</v>
      </c>
      <c r="G10603">
        <v>22.4436</v>
      </c>
      <c r="H10603">
        <v>1</v>
      </c>
      <c r="I10603">
        <v>331.9</v>
      </c>
      <c r="J10603" t="str">
        <f>HYPERLINK("https://climate.onebuilding.org/WMO_Region_6_Europe/SWE_Sweden/NB_Norrbotten/SWE_NB_Karesuando.020810_TMYx.2009-2023.zip")</f>
        <v>https://climate.onebuilding.org/WMO_Region_6_Europe/SWE_Sweden/NB_Norrbotten/SWE_NB_Karesuando.020810_TMYx.2009-2023.zip</v>
      </c>
    </row>
    <row r="10604" spans="1:10" x14ac:dyDescent="0.25">
      <c r="A10604" t="s">
        <v>7602</v>
      </c>
      <c r="B10604" t="s">
        <v>5921</v>
      </c>
      <c r="C10604" t="s">
        <v>7658</v>
      </c>
      <c r="D10604" s="1" t="s">
        <v>7659</v>
      </c>
      <c r="E10604" t="s">
        <v>14</v>
      </c>
      <c r="F10604">
        <v>68.441900000000004</v>
      </c>
      <c r="G10604">
        <v>22.4436</v>
      </c>
      <c r="H10604">
        <v>1</v>
      </c>
      <c r="I10604">
        <v>331.9</v>
      </c>
      <c r="J10604" t="str">
        <f>HYPERLINK("https://climate.onebuilding.org/WMO_Region_6_Europe/SWE_Sweden/NB_Norrbotten/SWE_NB_Karesuando.020810_TMYx.zip")</f>
        <v>https://climate.onebuilding.org/WMO_Region_6_Europe/SWE_Sweden/NB_Norrbotten/SWE_NB_Karesuando.020810_TMYx.zip</v>
      </c>
    </row>
    <row r="10605" spans="1:10" x14ac:dyDescent="0.25">
      <c r="A10605" t="s">
        <v>7602</v>
      </c>
      <c r="B10605" t="s">
        <v>5921</v>
      </c>
      <c r="C10605" t="s">
        <v>7661</v>
      </c>
      <c r="D10605" s="1" t="s">
        <v>7662</v>
      </c>
      <c r="E10605" t="s">
        <v>14</v>
      </c>
      <c r="F10605">
        <v>68.05</v>
      </c>
      <c r="G10605">
        <v>22</v>
      </c>
      <c r="H10605">
        <v>1</v>
      </c>
      <c r="I10605">
        <v>360</v>
      </c>
      <c r="J10605" t="str">
        <f>HYPERLINK("https://climate.onebuilding.org/WMO_Region_6_Europe/SWE_Sweden/NB_Norrbotten/SWE_NB_Lannavaara.020840_TMYx.zip")</f>
        <v>https://climate.onebuilding.org/WMO_Region_6_Europe/SWE_Sweden/NB_Norrbotten/SWE_NB_Lannavaara.020840_TMYx.zip</v>
      </c>
    </row>
    <row r="10606" spans="1:10" x14ac:dyDescent="0.25">
      <c r="A10606" t="s">
        <v>7602</v>
      </c>
      <c r="B10606" t="s">
        <v>5921</v>
      </c>
      <c r="C10606" t="s">
        <v>7663</v>
      </c>
      <c r="D10606" s="1" t="s">
        <v>7664</v>
      </c>
      <c r="E10606" t="s">
        <v>14</v>
      </c>
      <c r="F10606">
        <v>67.760999999999996</v>
      </c>
      <c r="G10606">
        <v>22.352</v>
      </c>
      <c r="H10606">
        <v>1</v>
      </c>
      <c r="I10606">
        <v>317</v>
      </c>
      <c r="J10606" t="str">
        <f>HYPERLINK("https://climate.onebuilding.org/WMO_Region_6_Europe/SWE_Sweden/NB_Norrbotten/SWE_NB_Lainio.020860_TMYx.zip")</f>
        <v>https://climate.onebuilding.org/WMO_Region_6_Europe/SWE_Sweden/NB_Norrbotten/SWE_NB_Lainio.020860_TMYx.zip</v>
      </c>
    </row>
    <row r="10607" spans="1:10" x14ac:dyDescent="0.25">
      <c r="A10607" t="s">
        <v>7602</v>
      </c>
      <c r="B10607" t="s">
        <v>5921</v>
      </c>
      <c r="C10607" t="s">
        <v>7665</v>
      </c>
      <c r="D10607" s="1" t="s">
        <v>7666</v>
      </c>
      <c r="E10607" t="s">
        <v>14</v>
      </c>
      <c r="F10607">
        <v>67.086699999999993</v>
      </c>
      <c r="G10607">
        <v>22.219100000000001</v>
      </c>
      <c r="H10607">
        <v>1</v>
      </c>
      <c r="I10607">
        <v>263</v>
      </c>
      <c r="J10607" t="str">
        <f>HYPERLINK("https://climate.onebuilding.org/WMO_Region_6_Europe/SWE_Sweden/NB_Norrbotten/SWE_NB_Kompelusvaara.020880_TMYx.zip")</f>
        <v>https://climate.onebuilding.org/WMO_Region_6_Europe/SWE_Sweden/NB_Norrbotten/SWE_NB_Kompelusvaara.020880_TMYx.zip</v>
      </c>
    </row>
    <row r="10608" spans="1:10" x14ac:dyDescent="0.25">
      <c r="A10608" t="s">
        <v>7602</v>
      </c>
      <c r="B10608" t="s">
        <v>5921</v>
      </c>
      <c r="C10608" t="s">
        <v>7667</v>
      </c>
      <c r="D10608" s="1" t="s">
        <v>7668</v>
      </c>
      <c r="E10608" t="s">
        <v>14</v>
      </c>
      <c r="F10608">
        <v>67.95</v>
      </c>
      <c r="G10608">
        <v>23.466999999999999</v>
      </c>
      <c r="H10608">
        <v>1</v>
      </c>
      <c r="I10608">
        <v>240</v>
      </c>
      <c r="J10608" t="str">
        <f>HYPERLINK("https://climate.onebuilding.org/WMO_Region_6_Europe/SWE_Sweden/NB_Norrbotten/SWE_NB_Muodoslompolo.020920_TMYx.zip")</f>
        <v>https://climate.onebuilding.org/WMO_Region_6_Europe/SWE_Sweden/NB_Norrbotten/SWE_NB_Muodoslompolo.020920_TMYx.zip</v>
      </c>
    </row>
    <row r="10609" spans="1:10" x14ac:dyDescent="0.25">
      <c r="A10609" t="s">
        <v>7602</v>
      </c>
      <c r="B10609" t="s">
        <v>5921</v>
      </c>
      <c r="C10609" t="s">
        <v>7669</v>
      </c>
      <c r="D10609" s="1" t="s">
        <v>7670</v>
      </c>
      <c r="E10609" t="s">
        <v>7671</v>
      </c>
      <c r="F10609">
        <v>67.203599999999994</v>
      </c>
      <c r="G10609">
        <v>23.39</v>
      </c>
      <c r="H10609">
        <v>1</v>
      </c>
      <c r="I10609">
        <v>165.9</v>
      </c>
      <c r="J10609" t="str">
        <f>HYPERLINK("https://climate.onebuilding.org/WMO_Region_6_Europe/SWE_Sweden/NB_Norrbotten/SWE_NB_Pajala.020950_TMYx.2004-2018.zip")</f>
        <v>https://climate.onebuilding.org/WMO_Region_6_Europe/SWE_Sweden/NB_Norrbotten/SWE_NB_Pajala.020950_TMYx.2004-2018.zip</v>
      </c>
    </row>
    <row r="10610" spans="1:10" x14ac:dyDescent="0.25">
      <c r="A10610" t="s">
        <v>7602</v>
      </c>
      <c r="B10610" t="s">
        <v>5921</v>
      </c>
      <c r="C10610" t="s">
        <v>7669</v>
      </c>
      <c r="D10610" s="1" t="s">
        <v>7670</v>
      </c>
      <c r="E10610" t="s">
        <v>14</v>
      </c>
      <c r="F10610">
        <v>67.203599999999994</v>
      </c>
      <c r="G10610">
        <v>23.39</v>
      </c>
      <c r="H10610">
        <v>1</v>
      </c>
      <c r="I10610">
        <v>165.9</v>
      </c>
      <c r="J10610" t="str">
        <f>HYPERLINK("https://climate.onebuilding.org/WMO_Region_6_Europe/SWE_Sweden/NB_Norrbotten/SWE_NB_Pajala.020950_TMYx.2007-2021.zip")</f>
        <v>https://climate.onebuilding.org/WMO_Region_6_Europe/SWE_Sweden/NB_Norrbotten/SWE_NB_Pajala.020950_TMYx.2007-2021.zip</v>
      </c>
    </row>
    <row r="10611" spans="1:10" x14ac:dyDescent="0.25">
      <c r="A10611" t="s">
        <v>7602</v>
      </c>
      <c r="B10611" t="s">
        <v>5921</v>
      </c>
      <c r="C10611" t="s">
        <v>7669</v>
      </c>
      <c r="D10611" s="1" t="s">
        <v>7670</v>
      </c>
      <c r="E10611" t="s">
        <v>14</v>
      </c>
      <c r="F10611">
        <v>67.203599999999994</v>
      </c>
      <c r="G10611">
        <v>23.39</v>
      </c>
      <c r="H10611">
        <v>1</v>
      </c>
      <c r="I10611">
        <v>165.9</v>
      </c>
      <c r="J10611" t="str">
        <f>HYPERLINK("https://climate.onebuilding.org/WMO_Region_6_Europe/SWE_Sweden/NB_Norrbotten/SWE_NB_Pajala.020950_TMYx.2009-2023.zip")</f>
        <v>https://climate.onebuilding.org/WMO_Region_6_Europe/SWE_Sweden/NB_Norrbotten/SWE_NB_Pajala.020950_TMYx.2009-2023.zip</v>
      </c>
    </row>
    <row r="10612" spans="1:10" x14ac:dyDescent="0.25">
      <c r="A10612" t="s">
        <v>7602</v>
      </c>
      <c r="B10612" t="s">
        <v>5921</v>
      </c>
      <c r="C10612" t="s">
        <v>7669</v>
      </c>
      <c r="D10612" s="1" t="s">
        <v>7670</v>
      </c>
      <c r="E10612" t="s">
        <v>14</v>
      </c>
      <c r="F10612">
        <v>67.203599999999994</v>
      </c>
      <c r="G10612">
        <v>23.39</v>
      </c>
      <c r="H10612">
        <v>1</v>
      </c>
      <c r="I10612">
        <v>165.9</v>
      </c>
      <c r="J10612" t="str">
        <f>HYPERLINK("https://climate.onebuilding.org/WMO_Region_6_Europe/SWE_Sweden/NB_Norrbotten/SWE_NB_Pajala.020950_TMYx.zip")</f>
        <v>https://climate.onebuilding.org/WMO_Region_6_Europe/SWE_Sweden/NB_Norrbotten/SWE_NB_Pajala.020950_TMYx.zip</v>
      </c>
    </row>
    <row r="10613" spans="1:10" x14ac:dyDescent="0.25">
      <c r="A10613" t="s">
        <v>7602</v>
      </c>
      <c r="B10613" t="s">
        <v>1491</v>
      </c>
      <c r="C10613" t="s">
        <v>7672</v>
      </c>
      <c r="D10613" s="1" t="s">
        <v>7673</v>
      </c>
      <c r="E10613" t="s">
        <v>14</v>
      </c>
      <c r="F10613">
        <v>55.433</v>
      </c>
      <c r="G10613">
        <v>13.833</v>
      </c>
      <c r="H10613">
        <v>1</v>
      </c>
      <c r="I10613">
        <v>34</v>
      </c>
      <c r="J10613" t="str">
        <f>HYPERLINK("https://climate.onebuilding.org/WMO_Region_6_Europe/SWE_Sweden/SN_Skane/SWE_SN_Ystad.020990_TMYx.zip")</f>
        <v>https://climate.onebuilding.org/WMO_Region_6_Europe/SWE_Sweden/SN_Skane/SWE_SN_Ystad.020990_TMYx.zip</v>
      </c>
    </row>
    <row r="10614" spans="1:10" x14ac:dyDescent="0.25">
      <c r="A10614" t="s">
        <v>7602</v>
      </c>
      <c r="B10614" t="s">
        <v>7674</v>
      </c>
      <c r="C10614" t="s">
        <v>7675</v>
      </c>
      <c r="D10614" s="1" t="s">
        <v>7676</v>
      </c>
      <c r="E10614" t="s">
        <v>7677</v>
      </c>
      <c r="F10614">
        <v>65.806100000000001</v>
      </c>
      <c r="G10614">
        <v>15.082800000000001</v>
      </c>
      <c r="H10614">
        <v>1</v>
      </c>
      <c r="I10614">
        <v>463</v>
      </c>
      <c r="J10614" t="str">
        <f>HYPERLINK("https://climate.onebuilding.org/WMO_Region_6_Europe/SWE_Sweden/VB_Vasterbotten/SWE_VB_Hemavan.Tarnaby.AP.021010_TMYx.2004-2018.zip")</f>
        <v>https://climate.onebuilding.org/WMO_Region_6_Europe/SWE_Sweden/VB_Vasterbotten/SWE_VB_Hemavan.Tarnaby.AP.021010_TMYx.2004-2018.zip</v>
      </c>
    </row>
    <row r="10615" spans="1:10" x14ac:dyDescent="0.25">
      <c r="A10615" t="s">
        <v>7602</v>
      </c>
      <c r="B10615" t="s">
        <v>7674</v>
      </c>
      <c r="C10615" t="s">
        <v>7675</v>
      </c>
      <c r="D10615" s="1" t="s">
        <v>7676</v>
      </c>
      <c r="E10615" t="s">
        <v>14</v>
      </c>
      <c r="F10615">
        <v>65.808000000000007</v>
      </c>
      <c r="G10615">
        <v>15.085000000000001</v>
      </c>
      <c r="H10615">
        <v>1</v>
      </c>
      <c r="I10615">
        <v>463</v>
      </c>
      <c r="J10615" t="str">
        <f>HYPERLINK("https://climate.onebuilding.org/WMO_Region_6_Europe/SWE_Sweden/VB_Vasterbotten/SWE_VB_Hemavan.Tarnaby.AP.021010_TMYx.2007-2021.zip")</f>
        <v>https://climate.onebuilding.org/WMO_Region_6_Europe/SWE_Sweden/VB_Vasterbotten/SWE_VB_Hemavan.Tarnaby.AP.021010_TMYx.2007-2021.zip</v>
      </c>
    </row>
    <row r="10616" spans="1:10" x14ac:dyDescent="0.25">
      <c r="A10616" t="s">
        <v>7602</v>
      </c>
      <c r="B10616" t="s">
        <v>7674</v>
      </c>
      <c r="C10616" t="s">
        <v>7675</v>
      </c>
      <c r="D10616" s="1" t="s">
        <v>7676</v>
      </c>
      <c r="E10616" t="s">
        <v>14</v>
      </c>
      <c r="F10616">
        <v>65.808000000000007</v>
      </c>
      <c r="G10616">
        <v>15.085000000000001</v>
      </c>
      <c r="H10616">
        <v>1</v>
      </c>
      <c r="I10616">
        <v>463</v>
      </c>
      <c r="J10616" t="str">
        <f>HYPERLINK("https://climate.onebuilding.org/WMO_Region_6_Europe/SWE_Sweden/VB_Vasterbotten/SWE_VB_Hemavan.Tarnaby.AP.021010_TMYx.2009-2023.zip")</f>
        <v>https://climate.onebuilding.org/WMO_Region_6_Europe/SWE_Sweden/VB_Vasterbotten/SWE_VB_Hemavan.Tarnaby.AP.021010_TMYx.2009-2023.zip</v>
      </c>
    </row>
    <row r="10617" spans="1:10" x14ac:dyDescent="0.25">
      <c r="A10617" t="s">
        <v>7602</v>
      </c>
      <c r="B10617" t="s">
        <v>7674</v>
      </c>
      <c r="C10617" t="s">
        <v>7675</v>
      </c>
      <c r="D10617" s="1" t="s">
        <v>7676</v>
      </c>
      <c r="E10617" t="s">
        <v>14</v>
      </c>
      <c r="F10617">
        <v>65.808000000000007</v>
      </c>
      <c r="G10617">
        <v>15.085000000000001</v>
      </c>
      <c r="H10617">
        <v>1</v>
      </c>
      <c r="I10617">
        <v>463</v>
      </c>
      <c r="J10617" t="str">
        <f>HYPERLINK("https://climate.onebuilding.org/WMO_Region_6_Europe/SWE_Sweden/VB_Vasterbotten/SWE_VB_Hemavan.Tarnaby.AP.021010_TMYx.zip")</f>
        <v>https://climate.onebuilding.org/WMO_Region_6_Europe/SWE_Sweden/VB_Vasterbotten/SWE_VB_Hemavan.Tarnaby.AP.021010_TMYx.zip</v>
      </c>
    </row>
    <row r="10618" spans="1:10" x14ac:dyDescent="0.25">
      <c r="A10618" t="s">
        <v>7602</v>
      </c>
      <c r="B10618" t="s">
        <v>7674</v>
      </c>
      <c r="C10618" t="s">
        <v>7678</v>
      </c>
      <c r="D10618" s="1" t="s">
        <v>7679</v>
      </c>
      <c r="E10618" t="s">
        <v>7680</v>
      </c>
      <c r="F10618">
        <v>65.094399999999993</v>
      </c>
      <c r="G10618">
        <v>14.508599999999999</v>
      </c>
      <c r="H10618">
        <v>1</v>
      </c>
      <c r="I10618">
        <v>1036.3</v>
      </c>
      <c r="J10618" t="str">
        <f>HYPERLINK("https://climate.onebuilding.org/WMO_Region_6_Europe/SWE_Sweden/VB_Vasterbotten/SWE_VB_Stekenjokk.021020_TMYx.2004-2018.zip")</f>
        <v>https://climate.onebuilding.org/WMO_Region_6_Europe/SWE_Sweden/VB_Vasterbotten/SWE_VB_Stekenjokk.021020_TMYx.2004-2018.zip</v>
      </c>
    </row>
    <row r="10619" spans="1:10" x14ac:dyDescent="0.25">
      <c r="A10619" t="s">
        <v>7602</v>
      </c>
      <c r="B10619" t="s">
        <v>7674</v>
      </c>
      <c r="C10619" t="s">
        <v>7678</v>
      </c>
      <c r="D10619" s="1" t="s">
        <v>7679</v>
      </c>
      <c r="E10619" t="s">
        <v>14</v>
      </c>
      <c r="F10619">
        <v>65.0929</v>
      </c>
      <c r="G10619">
        <v>14.5055</v>
      </c>
      <c r="H10619">
        <v>1</v>
      </c>
      <c r="I10619">
        <v>1036.3</v>
      </c>
      <c r="J10619" t="str">
        <f>HYPERLINK("https://climate.onebuilding.org/WMO_Region_6_Europe/SWE_Sweden/VB_Vasterbotten/SWE_VB_Stekenjokk.021020_TMYx.2007-2021.zip")</f>
        <v>https://climate.onebuilding.org/WMO_Region_6_Europe/SWE_Sweden/VB_Vasterbotten/SWE_VB_Stekenjokk.021020_TMYx.2007-2021.zip</v>
      </c>
    </row>
    <row r="10620" spans="1:10" x14ac:dyDescent="0.25">
      <c r="A10620" t="s">
        <v>7602</v>
      </c>
      <c r="B10620" t="s">
        <v>7674</v>
      </c>
      <c r="C10620" t="s">
        <v>7678</v>
      </c>
      <c r="D10620" s="1" t="s">
        <v>7679</v>
      </c>
      <c r="E10620" t="s">
        <v>14</v>
      </c>
      <c r="F10620">
        <v>65.0929</v>
      </c>
      <c r="G10620">
        <v>14.5055</v>
      </c>
      <c r="H10620">
        <v>1</v>
      </c>
      <c r="I10620">
        <v>1036.3</v>
      </c>
      <c r="J10620" t="str">
        <f>HYPERLINK("https://climate.onebuilding.org/WMO_Region_6_Europe/SWE_Sweden/VB_Vasterbotten/SWE_VB_Stekenjokk.021020_TMYx.2009-2023.zip")</f>
        <v>https://climate.onebuilding.org/WMO_Region_6_Europe/SWE_Sweden/VB_Vasterbotten/SWE_VB_Stekenjokk.021020_TMYx.2009-2023.zip</v>
      </c>
    </row>
    <row r="10621" spans="1:10" x14ac:dyDescent="0.25">
      <c r="A10621" t="s">
        <v>7602</v>
      </c>
      <c r="B10621" t="s">
        <v>7674</v>
      </c>
      <c r="C10621" t="s">
        <v>7678</v>
      </c>
      <c r="D10621" s="1" t="s">
        <v>7679</v>
      </c>
      <c r="E10621" t="s">
        <v>14</v>
      </c>
      <c r="F10621">
        <v>65.0929</v>
      </c>
      <c r="G10621">
        <v>14.5055</v>
      </c>
      <c r="H10621">
        <v>1</v>
      </c>
      <c r="I10621">
        <v>1036.3</v>
      </c>
      <c r="J10621" t="str">
        <f>HYPERLINK("https://climate.onebuilding.org/WMO_Region_6_Europe/SWE_Sweden/VB_Vasterbotten/SWE_VB_Stekenjokk.021020_TMYx.zip")</f>
        <v>https://climate.onebuilding.org/WMO_Region_6_Europe/SWE_Sweden/VB_Vasterbotten/SWE_VB_Stekenjokk.021020_TMYx.zip</v>
      </c>
    </row>
    <row r="10622" spans="1:10" x14ac:dyDescent="0.25">
      <c r="A10622" t="s">
        <v>7602</v>
      </c>
      <c r="B10622" t="s">
        <v>7674</v>
      </c>
      <c r="C10622" t="s">
        <v>7681</v>
      </c>
      <c r="D10622" s="1" t="s">
        <v>7682</v>
      </c>
      <c r="E10622" t="s">
        <v>7683</v>
      </c>
      <c r="F10622">
        <v>65.78</v>
      </c>
      <c r="G10622">
        <v>15.064399999999999</v>
      </c>
      <c r="H10622">
        <v>1</v>
      </c>
      <c r="I10622">
        <v>793</v>
      </c>
      <c r="J10622" t="str">
        <f>HYPERLINK("https://climate.onebuilding.org/WMO_Region_6_Europe/SWE_Sweden/VB_Vasterbotten/SWE_VB_Hemavan.Gierevarto.021030_TMYx.2004-2018.zip")</f>
        <v>https://climate.onebuilding.org/WMO_Region_6_Europe/SWE_Sweden/VB_Vasterbotten/SWE_VB_Hemavan.Gierevarto.021030_TMYx.2004-2018.zip</v>
      </c>
    </row>
    <row r="10623" spans="1:10" x14ac:dyDescent="0.25">
      <c r="A10623" t="s">
        <v>7602</v>
      </c>
      <c r="B10623" t="s">
        <v>7674</v>
      </c>
      <c r="C10623" t="s">
        <v>7681</v>
      </c>
      <c r="D10623" s="1" t="s">
        <v>7682</v>
      </c>
      <c r="E10623" t="s">
        <v>14</v>
      </c>
      <c r="F10623">
        <v>65.781300000000002</v>
      </c>
      <c r="G10623">
        <v>15.0623</v>
      </c>
      <c r="H10623">
        <v>1</v>
      </c>
      <c r="I10623">
        <v>793</v>
      </c>
      <c r="J10623" t="str">
        <f>HYPERLINK("https://climate.onebuilding.org/WMO_Region_6_Europe/SWE_Sweden/VB_Vasterbotten/SWE_VB_Hemavan.Gierevarto.021030_TMYx.2007-2021.zip")</f>
        <v>https://climate.onebuilding.org/WMO_Region_6_Europe/SWE_Sweden/VB_Vasterbotten/SWE_VB_Hemavan.Gierevarto.021030_TMYx.2007-2021.zip</v>
      </c>
    </row>
    <row r="10624" spans="1:10" x14ac:dyDescent="0.25">
      <c r="A10624" t="s">
        <v>7602</v>
      </c>
      <c r="B10624" t="s">
        <v>7674</v>
      </c>
      <c r="C10624" t="s">
        <v>7681</v>
      </c>
      <c r="D10624" s="1" t="s">
        <v>7682</v>
      </c>
      <c r="E10624" t="s">
        <v>14</v>
      </c>
      <c r="F10624">
        <v>65.781300000000002</v>
      </c>
      <c r="G10624">
        <v>15.0623</v>
      </c>
      <c r="H10624">
        <v>1</v>
      </c>
      <c r="I10624">
        <v>793</v>
      </c>
      <c r="J10624" t="str">
        <f>HYPERLINK("https://climate.onebuilding.org/WMO_Region_6_Europe/SWE_Sweden/VB_Vasterbotten/SWE_VB_Hemavan.Gierevarto.021030_TMYx.2009-2023.zip")</f>
        <v>https://climate.onebuilding.org/WMO_Region_6_Europe/SWE_Sweden/VB_Vasterbotten/SWE_VB_Hemavan.Gierevarto.021030_TMYx.2009-2023.zip</v>
      </c>
    </row>
    <row r="10625" spans="1:10" x14ac:dyDescent="0.25">
      <c r="A10625" t="s">
        <v>7602</v>
      </c>
      <c r="B10625" t="s">
        <v>7674</v>
      </c>
      <c r="C10625" t="s">
        <v>7681</v>
      </c>
      <c r="D10625" s="1" t="s">
        <v>7682</v>
      </c>
      <c r="E10625" t="s">
        <v>14</v>
      </c>
      <c r="F10625">
        <v>65.781300000000002</v>
      </c>
      <c r="G10625">
        <v>15.0623</v>
      </c>
      <c r="H10625">
        <v>1</v>
      </c>
      <c r="I10625">
        <v>793</v>
      </c>
      <c r="J10625" t="str">
        <f>HYPERLINK("https://climate.onebuilding.org/WMO_Region_6_Europe/SWE_Sweden/VB_Vasterbotten/SWE_VB_Hemavan.Gierevarto.021030_TMYx.zip")</f>
        <v>https://climate.onebuilding.org/WMO_Region_6_Europe/SWE_Sweden/VB_Vasterbotten/SWE_VB_Hemavan.Gierevarto.021030_TMYx.zip</v>
      </c>
    </row>
    <row r="10626" spans="1:10" x14ac:dyDescent="0.25">
      <c r="A10626" t="s">
        <v>7602</v>
      </c>
      <c r="B10626" t="s">
        <v>7674</v>
      </c>
      <c r="C10626" t="s">
        <v>7684</v>
      </c>
      <c r="D10626" s="1" t="s">
        <v>7685</v>
      </c>
      <c r="E10626" t="s">
        <v>14</v>
      </c>
      <c r="F10626">
        <v>65.542000000000002</v>
      </c>
      <c r="G10626">
        <v>14.986000000000001</v>
      </c>
      <c r="H10626">
        <v>1</v>
      </c>
      <c r="I10626">
        <v>670</v>
      </c>
      <c r="J10626" t="str">
        <f>HYPERLINK("https://climate.onebuilding.org/WMO_Region_6_Europe/SWE_Sweden/VB_Vasterbotten/SWE_VB_Abelvattnet.Hydro.Power.Plant.021050_TMYx.zip")</f>
        <v>https://climate.onebuilding.org/WMO_Region_6_Europe/SWE_Sweden/VB_Vasterbotten/SWE_VB_Abelvattnet.Hydro.Power.Plant.021050_TMYx.zip</v>
      </c>
    </row>
    <row r="10627" spans="1:10" x14ac:dyDescent="0.25">
      <c r="A10627" t="s">
        <v>7602</v>
      </c>
      <c r="B10627" t="s">
        <v>7674</v>
      </c>
      <c r="C10627" t="s">
        <v>7686</v>
      </c>
      <c r="D10627" s="1" t="s">
        <v>7687</v>
      </c>
      <c r="E10627" t="s">
        <v>14</v>
      </c>
      <c r="F10627">
        <v>65.066999999999993</v>
      </c>
      <c r="G10627">
        <v>14.8</v>
      </c>
      <c r="H10627">
        <v>1</v>
      </c>
      <c r="I10627">
        <v>593</v>
      </c>
      <c r="J10627" t="str">
        <f>HYPERLINK("https://climate.onebuilding.org/WMO_Region_6_Europe/SWE_Sweden/VB_Vasterbotten/SWE_VB_Klimpen-Klimpfjall.021080_TMYx.zip")</f>
        <v>https://climate.onebuilding.org/WMO_Region_6_Europe/SWE_Sweden/VB_Vasterbotten/SWE_VB_Klimpen-Klimpfjall.021080_TMYx.zip</v>
      </c>
    </row>
    <row r="10628" spans="1:10" x14ac:dyDescent="0.25">
      <c r="A10628" t="s">
        <v>7602</v>
      </c>
      <c r="B10628" t="s">
        <v>7674</v>
      </c>
      <c r="C10628" t="s">
        <v>7688</v>
      </c>
      <c r="D10628" s="1" t="s">
        <v>7689</v>
      </c>
      <c r="E10628" t="s">
        <v>7690</v>
      </c>
      <c r="F10628">
        <v>65.328100000000006</v>
      </c>
      <c r="G10628">
        <v>15.068899999999999</v>
      </c>
      <c r="H10628">
        <v>1</v>
      </c>
      <c r="I10628">
        <v>577.29999999999995</v>
      </c>
      <c r="J10628" t="str">
        <f>HYPERLINK("https://climate.onebuilding.org/WMO_Region_6_Europe/SWE_Sweden/VB_Vasterbotten/SWE_VB_Gielas.021100_TMYx.2004-2018.zip")</f>
        <v>https://climate.onebuilding.org/WMO_Region_6_Europe/SWE_Sweden/VB_Vasterbotten/SWE_VB_Gielas.021100_TMYx.2004-2018.zip</v>
      </c>
    </row>
    <row r="10629" spans="1:10" x14ac:dyDescent="0.25">
      <c r="A10629" t="s">
        <v>7602</v>
      </c>
      <c r="B10629" t="s">
        <v>7674</v>
      </c>
      <c r="C10629" t="s">
        <v>7688</v>
      </c>
      <c r="D10629" s="1" t="s">
        <v>7689</v>
      </c>
      <c r="E10629" t="s">
        <v>14</v>
      </c>
      <c r="F10629">
        <v>65.326999999999998</v>
      </c>
      <c r="G10629">
        <v>15.065</v>
      </c>
      <c r="H10629">
        <v>1</v>
      </c>
      <c r="I10629">
        <v>577.29999999999995</v>
      </c>
      <c r="J10629" t="str">
        <f>HYPERLINK("https://climate.onebuilding.org/WMO_Region_6_Europe/SWE_Sweden/VB_Vasterbotten/SWE_VB_Gielas.021100_TMYx.2007-2021.zip")</f>
        <v>https://climate.onebuilding.org/WMO_Region_6_Europe/SWE_Sweden/VB_Vasterbotten/SWE_VB_Gielas.021100_TMYx.2007-2021.zip</v>
      </c>
    </row>
    <row r="10630" spans="1:10" x14ac:dyDescent="0.25">
      <c r="A10630" t="s">
        <v>7602</v>
      </c>
      <c r="B10630" t="s">
        <v>7674</v>
      </c>
      <c r="C10630" t="s">
        <v>7688</v>
      </c>
      <c r="D10630" s="1" t="s">
        <v>7689</v>
      </c>
      <c r="E10630" t="s">
        <v>14</v>
      </c>
      <c r="F10630">
        <v>65.326999999999998</v>
      </c>
      <c r="G10630">
        <v>15.065</v>
      </c>
      <c r="H10630">
        <v>1</v>
      </c>
      <c r="I10630">
        <v>577.29999999999995</v>
      </c>
      <c r="J10630" t="str">
        <f>HYPERLINK("https://climate.onebuilding.org/WMO_Region_6_Europe/SWE_Sweden/VB_Vasterbotten/SWE_VB_Gielas.021100_TMYx.2009-2023.zip")</f>
        <v>https://climate.onebuilding.org/WMO_Region_6_Europe/SWE_Sweden/VB_Vasterbotten/SWE_VB_Gielas.021100_TMYx.2009-2023.zip</v>
      </c>
    </row>
    <row r="10631" spans="1:10" x14ac:dyDescent="0.25">
      <c r="A10631" t="s">
        <v>7602</v>
      </c>
      <c r="B10631" t="s">
        <v>7674</v>
      </c>
      <c r="C10631" t="s">
        <v>7688</v>
      </c>
      <c r="D10631" s="1" t="s">
        <v>7689</v>
      </c>
      <c r="E10631" t="s">
        <v>14</v>
      </c>
      <c r="F10631">
        <v>65.326999999999998</v>
      </c>
      <c r="G10631">
        <v>15.065</v>
      </c>
      <c r="H10631">
        <v>1</v>
      </c>
      <c r="I10631">
        <v>577.29999999999995</v>
      </c>
      <c r="J10631" t="str">
        <f>HYPERLINK("https://climate.onebuilding.org/WMO_Region_6_Europe/SWE_Sweden/VB_Vasterbotten/SWE_VB_Gielas.021100_TMYx.zip")</f>
        <v>https://climate.onebuilding.org/WMO_Region_6_Europe/SWE_Sweden/VB_Vasterbotten/SWE_VB_Gielas.021100_TMYx.zip</v>
      </c>
    </row>
    <row r="10632" spans="1:10" x14ac:dyDescent="0.25">
      <c r="A10632" t="s">
        <v>7602</v>
      </c>
      <c r="B10632" t="s">
        <v>7691</v>
      </c>
      <c r="C10632" t="s">
        <v>7692</v>
      </c>
      <c r="D10632" s="1" t="s">
        <v>7693</v>
      </c>
      <c r="E10632" t="s">
        <v>14</v>
      </c>
      <c r="F10632">
        <v>63.317</v>
      </c>
      <c r="G10632">
        <v>13.65</v>
      </c>
      <c r="H10632">
        <v>1</v>
      </c>
      <c r="I10632">
        <v>400</v>
      </c>
      <c r="J10632" t="str">
        <f>HYPERLINK("https://climate.onebuilding.org/WMO_Region_6_Europe/SWE_Sweden/JA_Jamtland/SWE_JA_Morsil.021160_TMYx.zip")</f>
        <v>https://climate.onebuilding.org/WMO_Region_6_Europe/SWE_Sweden/JA_Jamtland/SWE_JA_Morsil.021160_TMYx.zip</v>
      </c>
    </row>
    <row r="10633" spans="1:10" x14ac:dyDescent="0.25">
      <c r="A10633" t="s">
        <v>7602</v>
      </c>
      <c r="B10633" t="s">
        <v>7674</v>
      </c>
      <c r="C10633" t="s">
        <v>7694</v>
      </c>
      <c r="D10633" s="1" t="s">
        <v>7695</v>
      </c>
      <c r="E10633" t="s">
        <v>14</v>
      </c>
      <c r="F10633">
        <v>65.316999999999993</v>
      </c>
      <c r="G10633">
        <v>16.033000000000001</v>
      </c>
      <c r="H10633">
        <v>1</v>
      </c>
      <c r="I10633">
        <v>525</v>
      </c>
      <c r="J10633" t="str">
        <f>HYPERLINK("https://climate.onebuilding.org/WMO_Region_6_Europe/SWE_Sweden/VB_Vasterbotten/SWE_VB_Dikanas-Skansnas.021180_TMYx.zip")</f>
        <v>https://climate.onebuilding.org/WMO_Region_6_Europe/SWE_Sweden/VB_Vasterbotten/SWE_VB_Dikanas-Skansnas.021180_TMYx.zip</v>
      </c>
    </row>
    <row r="10634" spans="1:10" x14ac:dyDescent="0.25">
      <c r="A10634" t="s">
        <v>7602</v>
      </c>
      <c r="B10634" t="s">
        <v>5921</v>
      </c>
      <c r="C10634" t="s">
        <v>7696</v>
      </c>
      <c r="D10634" s="1" t="s">
        <v>7697</v>
      </c>
      <c r="E10634" t="s">
        <v>7698</v>
      </c>
      <c r="F10634">
        <v>66.887200000000007</v>
      </c>
      <c r="G10634">
        <v>18.0197</v>
      </c>
      <c r="H10634">
        <v>1</v>
      </c>
      <c r="I10634">
        <v>316.60000000000002</v>
      </c>
      <c r="J10634" t="str">
        <f>HYPERLINK("https://climate.onebuilding.org/WMO_Region_6_Europe/SWE_Sweden/NB_Norrbotten/SWE_NB_Kvikkjokk.Arrenjarka.021190_TMYx.2004-2018.zip")</f>
        <v>https://climate.onebuilding.org/WMO_Region_6_Europe/SWE_Sweden/NB_Norrbotten/SWE_NB_Kvikkjokk.Arrenjarka.021190_TMYx.2004-2018.zip</v>
      </c>
    </row>
    <row r="10635" spans="1:10" x14ac:dyDescent="0.25">
      <c r="A10635" t="s">
        <v>7602</v>
      </c>
      <c r="B10635" t="s">
        <v>5921</v>
      </c>
      <c r="C10635" t="s">
        <v>7696</v>
      </c>
      <c r="D10635" s="1" t="s">
        <v>7697</v>
      </c>
      <c r="E10635" t="s">
        <v>14</v>
      </c>
      <c r="F10635">
        <v>66.882999999999996</v>
      </c>
      <c r="G10635">
        <v>18.023</v>
      </c>
      <c r="H10635">
        <v>1</v>
      </c>
      <c r="I10635">
        <v>316.60000000000002</v>
      </c>
      <c r="J10635" t="str">
        <f>HYPERLINK("https://climate.onebuilding.org/WMO_Region_6_Europe/SWE_Sweden/NB_Norrbotten/SWE_NB_Kvikkjokk.Arrenjarka.021190_TMYx.2007-2021.zip")</f>
        <v>https://climate.onebuilding.org/WMO_Region_6_Europe/SWE_Sweden/NB_Norrbotten/SWE_NB_Kvikkjokk.Arrenjarka.021190_TMYx.2007-2021.zip</v>
      </c>
    </row>
    <row r="10636" spans="1:10" x14ac:dyDescent="0.25">
      <c r="A10636" t="s">
        <v>7602</v>
      </c>
      <c r="B10636" t="s">
        <v>5921</v>
      </c>
      <c r="C10636" t="s">
        <v>7696</v>
      </c>
      <c r="D10636" s="1" t="s">
        <v>7697</v>
      </c>
      <c r="E10636" t="s">
        <v>14</v>
      </c>
      <c r="F10636">
        <v>66.882999999999996</v>
      </c>
      <c r="G10636">
        <v>18.023</v>
      </c>
      <c r="H10636">
        <v>1</v>
      </c>
      <c r="I10636">
        <v>316.60000000000002</v>
      </c>
      <c r="J10636" t="str">
        <f>HYPERLINK("https://climate.onebuilding.org/WMO_Region_6_Europe/SWE_Sweden/NB_Norrbotten/SWE_NB_Kvikkjokk.Arrenjarka.021190_TMYx.2009-2023.zip")</f>
        <v>https://climate.onebuilding.org/WMO_Region_6_Europe/SWE_Sweden/NB_Norrbotten/SWE_NB_Kvikkjokk.Arrenjarka.021190_TMYx.2009-2023.zip</v>
      </c>
    </row>
    <row r="10637" spans="1:10" x14ac:dyDescent="0.25">
      <c r="A10637" t="s">
        <v>7602</v>
      </c>
      <c r="B10637" t="s">
        <v>5921</v>
      </c>
      <c r="C10637" t="s">
        <v>7696</v>
      </c>
      <c r="D10637" s="1" t="s">
        <v>7697</v>
      </c>
      <c r="E10637" t="s">
        <v>14</v>
      </c>
      <c r="F10637">
        <v>66.882999999999996</v>
      </c>
      <c r="G10637">
        <v>18.023</v>
      </c>
      <c r="H10637">
        <v>1</v>
      </c>
      <c r="I10637">
        <v>316.60000000000002</v>
      </c>
      <c r="J10637" t="str">
        <f>HYPERLINK("https://climate.onebuilding.org/WMO_Region_6_Europe/SWE_Sweden/NB_Norrbotten/SWE_NB_Kvikkjokk.Arrenjarka.021190_TMYx.zip")</f>
        <v>https://climate.onebuilding.org/WMO_Region_6_Europe/SWE_Sweden/NB_Norrbotten/SWE_NB_Kvikkjokk.Arrenjarka.021190_TMYx.zip</v>
      </c>
    </row>
    <row r="10638" spans="1:10" x14ac:dyDescent="0.25">
      <c r="A10638" t="s">
        <v>7602</v>
      </c>
      <c r="B10638" t="s">
        <v>5921</v>
      </c>
      <c r="C10638" t="s">
        <v>7699</v>
      </c>
      <c r="D10638" s="1" t="s">
        <v>7700</v>
      </c>
      <c r="E10638" t="s">
        <v>7701</v>
      </c>
      <c r="F10638">
        <v>66.681700000000006</v>
      </c>
      <c r="G10638">
        <v>16.108899999999998</v>
      </c>
      <c r="H10638">
        <v>1</v>
      </c>
      <c r="I10638">
        <v>615.4</v>
      </c>
      <c r="J10638" t="str">
        <f>HYPERLINK("https://climate.onebuilding.org/WMO_Region_6_Europe/SWE_Sweden/NB_Norrbotten/SWE_NB_Merkenes.021210_TMYx.2004-2018.zip")</f>
        <v>https://climate.onebuilding.org/WMO_Region_6_Europe/SWE_Sweden/NB_Norrbotten/SWE_NB_Merkenes.021210_TMYx.2004-2018.zip</v>
      </c>
    </row>
    <row r="10639" spans="1:10" x14ac:dyDescent="0.25">
      <c r="A10639" t="s">
        <v>7602</v>
      </c>
      <c r="B10639" t="s">
        <v>5921</v>
      </c>
      <c r="C10639" t="s">
        <v>7699</v>
      </c>
      <c r="D10639" s="1" t="s">
        <v>7700</v>
      </c>
      <c r="E10639" t="s">
        <v>14</v>
      </c>
      <c r="F10639">
        <v>66.680199999999999</v>
      </c>
      <c r="G10639">
        <v>16.1053</v>
      </c>
      <c r="H10639">
        <v>1</v>
      </c>
      <c r="I10639">
        <v>615.4</v>
      </c>
      <c r="J10639" t="str">
        <f>HYPERLINK("https://climate.onebuilding.org/WMO_Region_6_Europe/SWE_Sweden/NB_Norrbotten/SWE_NB_Merkenes.021210_TMYx.2007-2021.zip")</f>
        <v>https://climate.onebuilding.org/WMO_Region_6_Europe/SWE_Sweden/NB_Norrbotten/SWE_NB_Merkenes.021210_TMYx.2007-2021.zip</v>
      </c>
    </row>
    <row r="10640" spans="1:10" x14ac:dyDescent="0.25">
      <c r="A10640" t="s">
        <v>7602</v>
      </c>
      <c r="B10640" t="s">
        <v>5921</v>
      </c>
      <c r="C10640" t="s">
        <v>7699</v>
      </c>
      <c r="D10640" s="1" t="s">
        <v>7700</v>
      </c>
      <c r="E10640" t="s">
        <v>14</v>
      </c>
      <c r="F10640">
        <v>66.680199999999999</v>
      </c>
      <c r="G10640">
        <v>16.1053</v>
      </c>
      <c r="H10640">
        <v>1</v>
      </c>
      <c r="I10640">
        <v>615.4</v>
      </c>
      <c r="J10640" t="str">
        <f>HYPERLINK("https://climate.onebuilding.org/WMO_Region_6_Europe/SWE_Sweden/NB_Norrbotten/SWE_NB_Merkenes.021210_TMYx.2009-2023.zip")</f>
        <v>https://climate.onebuilding.org/WMO_Region_6_Europe/SWE_Sweden/NB_Norrbotten/SWE_NB_Merkenes.021210_TMYx.2009-2023.zip</v>
      </c>
    </row>
    <row r="10641" spans="1:10" x14ac:dyDescent="0.25">
      <c r="A10641" t="s">
        <v>7602</v>
      </c>
      <c r="B10641" t="s">
        <v>5921</v>
      </c>
      <c r="C10641" t="s">
        <v>7699</v>
      </c>
      <c r="D10641" s="1" t="s">
        <v>7700</v>
      </c>
      <c r="E10641" t="s">
        <v>14</v>
      </c>
      <c r="F10641">
        <v>66.680199999999999</v>
      </c>
      <c r="G10641">
        <v>16.1053</v>
      </c>
      <c r="H10641">
        <v>1</v>
      </c>
      <c r="I10641">
        <v>615.4</v>
      </c>
      <c r="J10641" t="str">
        <f>HYPERLINK("https://climate.onebuilding.org/WMO_Region_6_Europe/SWE_Sweden/NB_Norrbotten/SWE_NB_Merkenes.021210_TMYx.zip")</f>
        <v>https://climate.onebuilding.org/WMO_Region_6_Europe/SWE_Sweden/NB_Norrbotten/SWE_NB_Merkenes.021210_TMYx.zip</v>
      </c>
    </row>
    <row r="10642" spans="1:10" x14ac:dyDescent="0.25">
      <c r="A10642" t="s">
        <v>7602</v>
      </c>
      <c r="B10642" t="s">
        <v>5921</v>
      </c>
      <c r="C10642" t="s">
        <v>7702</v>
      </c>
      <c r="D10642" s="1" t="s">
        <v>7703</v>
      </c>
      <c r="E10642" t="s">
        <v>14</v>
      </c>
      <c r="F10642">
        <v>66.324200000000005</v>
      </c>
      <c r="G10642">
        <v>17.0944</v>
      </c>
      <c r="H10642">
        <v>1</v>
      </c>
      <c r="I10642">
        <v>552</v>
      </c>
      <c r="J10642" t="str">
        <f>HYPERLINK("https://climate.onebuilding.org/WMO_Region_6_Europe/SWE_Sweden/NB_Norrbotten/SWE_NB_Jakkvik.021230_TMYx.2007-2021.zip")</f>
        <v>https://climate.onebuilding.org/WMO_Region_6_Europe/SWE_Sweden/NB_Norrbotten/SWE_NB_Jakkvik.021230_TMYx.2007-2021.zip</v>
      </c>
    </row>
    <row r="10643" spans="1:10" x14ac:dyDescent="0.25">
      <c r="A10643" t="s">
        <v>7602</v>
      </c>
      <c r="B10643" t="s">
        <v>5921</v>
      </c>
      <c r="C10643" t="s">
        <v>7702</v>
      </c>
      <c r="D10643" s="1" t="s">
        <v>7703</v>
      </c>
      <c r="E10643" t="s">
        <v>14</v>
      </c>
      <c r="F10643">
        <v>66.324200000000005</v>
      </c>
      <c r="G10643">
        <v>17.0944</v>
      </c>
      <c r="H10643">
        <v>1</v>
      </c>
      <c r="I10643">
        <v>552</v>
      </c>
      <c r="J10643" t="str">
        <f>HYPERLINK("https://climate.onebuilding.org/WMO_Region_6_Europe/SWE_Sweden/NB_Norrbotten/SWE_NB_Jakkvik.021230_TMYx.2009-2023.zip")</f>
        <v>https://climate.onebuilding.org/WMO_Region_6_Europe/SWE_Sweden/NB_Norrbotten/SWE_NB_Jakkvik.021230_TMYx.2009-2023.zip</v>
      </c>
    </row>
    <row r="10644" spans="1:10" x14ac:dyDescent="0.25">
      <c r="A10644" t="s">
        <v>7602</v>
      </c>
      <c r="B10644" t="s">
        <v>5921</v>
      </c>
      <c r="C10644" t="s">
        <v>7702</v>
      </c>
      <c r="D10644" s="1" t="s">
        <v>7703</v>
      </c>
      <c r="E10644" t="s">
        <v>14</v>
      </c>
      <c r="F10644">
        <v>66.324200000000005</v>
      </c>
      <c r="G10644">
        <v>17.0944</v>
      </c>
      <c r="H10644">
        <v>1</v>
      </c>
      <c r="I10644">
        <v>552</v>
      </c>
      <c r="J10644" t="str">
        <f>HYPERLINK("https://climate.onebuilding.org/WMO_Region_6_Europe/SWE_Sweden/NB_Norrbotten/SWE_NB_Jakkvik.021230_TMYx.zip")</f>
        <v>https://climate.onebuilding.org/WMO_Region_6_Europe/SWE_Sweden/NB_Norrbotten/SWE_NB_Jakkvik.021230_TMYx.zip</v>
      </c>
    </row>
    <row r="10645" spans="1:10" x14ac:dyDescent="0.25">
      <c r="A10645" t="s">
        <v>7602</v>
      </c>
      <c r="B10645" t="s">
        <v>5921</v>
      </c>
      <c r="C10645" t="s">
        <v>7704</v>
      </c>
      <c r="D10645" s="1" t="s">
        <v>7705</v>
      </c>
      <c r="E10645" t="s">
        <v>7706</v>
      </c>
      <c r="F10645">
        <v>66.051400000000001</v>
      </c>
      <c r="G10645">
        <v>17.839700000000001</v>
      </c>
      <c r="H10645">
        <v>1</v>
      </c>
      <c r="I10645">
        <v>432.2</v>
      </c>
      <c r="J10645" t="str">
        <f>HYPERLINK("https://climate.onebuilding.org/WMO_Region_6_Europe/SWE_Sweden/NB_Norrbotten/SWE_NB_Arjeplog.021240_TMYx.2004-2018.zip")</f>
        <v>https://climate.onebuilding.org/WMO_Region_6_Europe/SWE_Sweden/NB_Norrbotten/SWE_NB_Arjeplog.021240_TMYx.2004-2018.zip</v>
      </c>
    </row>
    <row r="10646" spans="1:10" x14ac:dyDescent="0.25">
      <c r="A10646" t="s">
        <v>7602</v>
      </c>
      <c r="B10646" t="s">
        <v>5921</v>
      </c>
      <c r="C10646" t="s">
        <v>7704</v>
      </c>
      <c r="D10646" s="1" t="s">
        <v>7705</v>
      </c>
      <c r="E10646" t="s">
        <v>14</v>
      </c>
      <c r="F10646">
        <v>66.051400000000001</v>
      </c>
      <c r="G10646">
        <v>17.839700000000001</v>
      </c>
      <c r="H10646">
        <v>1</v>
      </c>
      <c r="I10646">
        <v>432.2</v>
      </c>
      <c r="J10646" t="str">
        <f>HYPERLINK("https://climate.onebuilding.org/WMO_Region_6_Europe/SWE_Sweden/NB_Norrbotten/SWE_NB_Arjeplog.021240_TMYx.2007-2021.zip")</f>
        <v>https://climate.onebuilding.org/WMO_Region_6_Europe/SWE_Sweden/NB_Norrbotten/SWE_NB_Arjeplog.021240_TMYx.2007-2021.zip</v>
      </c>
    </row>
    <row r="10647" spans="1:10" x14ac:dyDescent="0.25">
      <c r="A10647" t="s">
        <v>7602</v>
      </c>
      <c r="B10647" t="s">
        <v>5921</v>
      </c>
      <c r="C10647" t="s">
        <v>7704</v>
      </c>
      <c r="D10647" s="1" t="s">
        <v>7705</v>
      </c>
      <c r="E10647" t="s">
        <v>14</v>
      </c>
      <c r="F10647">
        <v>66.051400000000001</v>
      </c>
      <c r="G10647">
        <v>17.839700000000001</v>
      </c>
      <c r="H10647">
        <v>1</v>
      </c>
      <c r="I10647">
        <v>432.2</v>
      </c>
      <c r="J10647" t="str">
        <f>HYPERLINK("https://climate.onebuilding.org/WMO_Region_6_Europe/SWE_Sweden/NB_Norrbotten/SWE_NB_Arjeplog.021240_TMYx.2009-2023.zip")</f>
        <v>https://climate.onebuilding.org/WMO_Region_6_Europe/SWE_Sweden/NB_Norrbotten/SWE_NB_Arjeplog.021240_TMYx.2009-2023.zip</v>
      </c>
    </row>
    <row r="10648" spans="1:10" x14ac:dyDescent="0.25">
      <c r="A10648" t="s">
        <v>7602</v>
      </c>
      <c r="B10648" t="s">
        <v>5921</v>
      </c>
      <c r="C10648" t="s">
        <v>7704</v>
      </c>
      <c r="D10648" s="1" t="s">
        <v>7705</v>
      </c>
      <c r="E10648" t="s">
        <v>14</v>
      </c>
      <c r="F10648">
        <v>66.051400000000001</v>
      </c>
      <c r="G10648">
        <v>17.839700000000001</v>
      </c>
      <c r="H10648">
        <v>1</v>
      </c>
      <c r="I10648">
        <v>432.2</v>
      </c>
      <c r="J10648" t="str">
        <f>HYPERLINK("https://climate.onebuilding.org/WMO_Region_6_Europe/SWE_Sweden/NB_Norrbotten/SWE_NB_Arjeplog.021240_TMYx.zip")</f>
        <v>https://climate.onebuilding.org/WMO_Region_6_Europe/SWE_Sweden/NB_Norrbotten/SWE_NB_Arjeplog.021240_TMYx.zip</v>
      </c>
    </row>
    <row r="10649" spans="1:10" x14ac:dyDescent="0.25">
      <c r="A10649" t="s">
        <v>7602</v>
      </c>
      <c r="B10649" t="s">
        <v>7674</v>
      </c>
      <c r="C10649" t="s">
        <v>7707</v>
      </c>
      <c r="D10649" s="1" t="s">
        <v>7708</v>
      </c>
      <c r="E10649" t="s">
        <v>7709</v>
      </c>
      <c r="F10649">
        <v>65.009500000000003</v>
      </c>
      <c r="G10649">
        <v>17.699400000000001</v>
      </c>
      <c r="H10649">
        <v>1</v>
      </c>
      <c r="I10649">
        <v>277.39999999999998</v>
      </c>
      <c r="J10649" t="str">
        <f>HYPERLINK("https://climate.onebuilding.org/WMO_Region_6_Europe/SWE_Sweden/VB_Vasterbotten/SWE_VB_Gunnarn.021260_TMYx.2004-2018.zip")</f>
        <v>https://climate.onebuilding.org/WMO_Region_6_Europe/SWE_Sweden/VB_Vasterbotten/SWE_VB_Gunnarn.021260_TMYx.2004-2018.zip</v>
      </c>
    </row>
    <row r="10650" spans="1:10" x14ac:dyDescent="0.25">
      <c r="A10650" t="s">
        <v>7602</v>
      </c>
      <c r="B10650" t="s">
        <v>7674</v>
      </c>
      <c r="C10650" t="s">
        <v>7707</v>
      </c>
      <c r="D10650" s="1" t="s">
        <v>7708</v>
      </c>
      <c r="E10650" t="s">
        <v>14</v>
      </c>
      <c r="F10650">
        <v>65.009500000000003</v>
      </c>
      <c r="G10650">
        <v>17.699400000000001</v>
      </c>
      <c r="H10650">
        <v>1</v>
      </c>
      <c r="I10650">
        <v>277.39999999999998</v>
      </c>
      <c r="J10650" t="str">
        <f>HYPERLINK("https://climate.onebuilding.org/WMO_Region_6_Europe/SWE_Sweden/VB_Vasterbotten/SWE_VB_Gunnarn.021260_TMYx.2007-2021.zip")</f>
        <v>https://climate.onebuilding.org/WMO_Region_6_Europe/SWE_Sweden/VB_Vasterbotten/SWE_VB_Gunnarn.021260_TMYx.2007-2021.zip</v>
      </c>
    </row>
    <row r="10651" spans="1:10" x14ac:dyDescent="0.25">
      <c r="A10651" t="s">
        <v>7602</v>
      </c>
      <c r="B10651" t="s">
        <v>7674</v>
      </c>
      <c r="C10651" t="s">
        <v>7707</v>
      </c>
      <c r="D10651" s="1" t="s">
        <v>7708</v>
      </c>
      <c r="E10651" t="s">
        <v>14</v>
      </c>
      <c r="F10651">
        <v>65.009500000000003</v>
      </c>
      <c r="G10651">
        <v>17.699400000000001</v>
      </c>
      <c r="H10651">
        <v>1</v>
      </c>
      <c r="I10651">
        <v>277.39999999999998</v>
      </c>
      <c r="J10651" t="str">
        <f>HYPERLINK("https://climate.onebuilding.org/WMO_Region_6_Europe/SWE_Sweden/VB_Vasterbotten/SWE_VB_Gunnarn.021260_TMYx.2009-2023.zip")</f>
        <v>https://climate.onebuilding.org/WMO_Region_6_Europe/SWE_Sweden/VB_Vasterbotten/SWE_VB_Gunnarn.021260_TMYx.2009-2023.zip</v>
      </c>
    </row>
    <row r="10652" spans="1:10" x14ac:dyDescent="0.25">
      <c r="A10652" t="s">
        <v>7602</v>
      </c>
      <c r="B10652" t="s">
        <v>7674</v>
      </c>
      <c r="C10652" t="s">
        <v>7707</v>
      </c>
      <c r="D10652" s="1" t="s">
        <v>7708</v>
      </c>
      <c r="E10652" t="s">
        <v>14</v>
      </c>
      <c r="F10652">
        <v>65.009500000000003</v>
      </c>
      <c r="G10652">
        <v>17.699400000000001</v>
      </c>
      <c r="H10652">
        <v>1</v>
      </c>
      <c r="I10652">
        <v>277.39999999999998</v>
      </c>
      <c r="J10652" t="str">
        <f>HYPERLINK("https://climate.onebuilding.org/WMO_Region_6_Europe/SWE_Sweden/VB_Vasterbotten/SWE_VB_Gunnarn.021260_TMYx.zip")</f>
        <v>https://climate.onebuilding.org/WMO_Region_6_Europe/SWE_Sweden/VB_Vasterbotten/SWE_VB_Gunnarn.021260_TMYx.zip</v>
      </c>
    </row>
    <row r="10653" spans="1:10" x14ac:dyDescent="0.25">
      <c r="A10653" t="s">
        <v>7602</v>
      </c>
      <c r="B10653" t="s">
        <v>7674</v>
      </c>
      <c r="C10653" t="s">
        <v>7710</v>
      </c>
      <c r="D10653" s="1" t="s">
        <v>7711</v>
      </c>
      <c r="E10653" t="s">
        <v>14</v>
      </c>
      <c r="F10653">
        <v>65.066999999999993</v>
      </c>
      <c r="G10653">
        <v>17.167000000000002</v>
      </c>
      <c r="H10653">
        <v>1</v>
      </c>
      <c r="I10653">
        <v>327</v>
      </c>
      <c r="J10653" t="str">
        <f>HYPERLINK("https://climate.onebuilding.org/WMO_Region_6_Europe/SWE_Sweden/VB_Vasterbotten/SWE_VB_Stensele.021270_TMYx.zip")</f>
        <v>https://climate.onebuilding.org/WMO_Region_6_Europe/SWE_Sweden/VB_Vasterbotten/SWE_VB_Stensele.021270_TMYx.zip</v>
      </c>
    </row>
    <row r="10654" spans="1:10" x14ac:dyDescent="0.25">
      <c r="A10654" t="s">
        <v>7602</v>
      </c>
      <c r="B10654" t="s">
        <v>7674</v>
      </c>
      <c r="C10654" t="s">
        <v>7712</v>
      </c>
      <c r="D10654" s="1" t="s">
        <v>7713</v>
      </c>
      <c r="E10654" t="s">
        <v>7714</v>
      </c>
      <c r="F10654">
        <v>64.966999999999999</v>
      </c>
      <c r="G10654">
        <v>17.7</v>
      </c>
      <c r="H10654">
        <v>1</v>
      </c>
      <c r="I10654">
        <v>278</v>
      </c>
      <c r="J10654" t="str">
        <f>HYPERLINK("https://climate.onebuilding.org/WMO_Region_6_Europe/SWE_Sweden/VB_Vasterbotten/SWE_VB_Gunnarn-Storuman.AP.021290_TMYx.2004-2018.zip")</f>
        <v>https://climate.onebuilding.org/WMO_Region_6_Europe/SWE_Sweden/VB_Vasterbotten/SWE_VB_Gunnarn-Storuman.AP.021290_TMYx.2004-2018.zip</v>
      </c>
    </row>
    <row r="10655" spans="1:10" x14ac:dyDescent="0.25">
      <c r="A10655" t="s">
        <v>7602</v>
      </c>
      <c r="B10655" t="s">
        <v>7674</v>
      </c>
      <c r="C10655" t="s">
        <v>7712</v>
      </c>
      <c r="D10655" s="1" t="s">
        <v>7713</v>
      </c>
      <c r="E10655" t="s">
        <v>14</v>
      </c>
      <c r="F10655">
        <v>64.966999999999999</v>
      </c>
      <c r="G10655">
        <v>17.7</v>
      </c>
      <c r="H10655">
        <v>1</v>
      </c>
      <c r="I10655">
        <v>278</v>
      </c>
      <c r="J10655" t="str">
        <f>HYPERLINK("https://climate.onebuilding.org/WMO_Region_6_Europe/SWE_Sweden/VB_Vasterbotten/SWE_VB_Gunnarn-Storuman.AP.021290_TMYx.2007-2021.zip")</f>
        <v>https://climate.onebuilding.org/WMO_Region_6_Europe/SWE_Sweden/VB_Vasterbotten/SWE_VB_Gunnarn-Storuman.AP.021290_TMYx.2007-2021.zip</v>
      </c>
    </row>
    <row r="10656" spans="1:10" x14ac:dyDescent="0.25">
      <c r="A10656" t="s">
        <v>7602</v>
      </c>
      <c r="B10656" t="s">
        <v>7674</v>
      </c>
      <c r="C10656" t="s">
        <v>7712</v>
      </c>
      <c r="D10656" s="1" t="s">
        <v>7713</v>
      </c>
      <c r="E10656" t="s">
        <v>14</v>
      </c>
      <c r="F10656">
        <v>64.966999999999999</v>
      </c>
      <c r="G10656">
        <v>17.7</v>
      </c>
      <c r="H10656">
        <v>1</v>
      </c>
      <c r="I10656">
        <v>278</v>
      </c>
      <c r="J10656" t="str">
        <f>HYPERLINK("https://climate.onebuilding.org/WMO_Region_6_Europe/SWE_Sweden/VB_Vasterbotten/SWE_VB_Gunnarn-Storuman.AP.021290_TMYx.2009-2023.zip")</f>
        <v>https://climate.onebuilding.org/WMO_Region_6_Europe/SWE_Sweden/VB_Vasterbotten/SWE_VB_Gunnarn-Storuman.AP.021290_TMYx.2009-2023.zip</v>
      </c>
    </row>
    <row r="10657" spans="1:10" x14ac:dyDescent="0.25">
      <c r="A10657" t="s">
        <v>7602</v>
      </c>
      <c r="B10657" t="s">
        <v>7674</v>
      </c>
      <c r="C10657" t="s">
        <v>7712</v>
      </c>
      <c r="D10657" s="1" t="s">
        <v>7713</v>
      </c>
      <c r="E10657" t="s">
        <v>14</v>
      </c>
      <c r="F10657">
        <v>64.966999999999999</v>
      </c>
      <c r="G10657">
        <v>17.7</v>
      </c>
      <c r="H10657">
        <v>1</v>
      </c>
      <c r="I10657">
        <v>278</v>
      </c>
      <c r="J10657" t="str">
        <f>HYPERLINK("https://climate.onebuilding.org/WMO_Region_6_Europe/SWE_Sweden/VB_Vasterbotten/SWE_VB_Gunnarn-Storuman.AP.021290_TMYx.zip")</f>
        <v>https://climate.onebuilding.org/WMO_Region_6_Europe/SWE_Sweden/VB_Vasterbotten/SWE_VB_Gunnarn-Storuman.AP.021290_TMYx.zip</v>
      </c>
    </row>
    <row r="10658" spans="1:10" x14ac:dyDescent="0.25">
      <c r="A10658" t="s">
        <v>7602</v>
      </c>
      <c r="B10658" t="s">
        <v>5921</v>
      </c>
      <c r="C10658" t="s">
        <v>7715</v>
      </c>
      <c r="D10658" s="1" t="s">
        <v>7716</v>
      </c>
      <c r="E10658" t="s">
        <v>7717</v>
      </c>
      <c r="F10658">
        <v>66.486099999999993</v>
      </c>
      <c r="G10658">
        <v>16.417200000000001</v>
      </c>
      <c r="H10658">
        <v>1</v>
      </c>
      <c r="I10658">
        <v>481</v>
      </c>
      <c r="J10658" t="str">
        <f>HYPERLINK("https://climate.onebuilding.org/WMO_Region_6_Europe/SWE_Sweden/NB_Norrbotten/SWE_NB_Roparudden.021300_TMYx.2004-2018.zip")</f>
        <v>https://climate.onebuilding.org/WMO_Region_6_Europe/SWE_Sweden/NB_Norrbotten/SWE_NB_Roparudden.021300_TMYx.2004-2018.zip</v>
      </c>
    </row>
    <row r="10659" spans="1:10" x14ac:dyDescent="0.25">
      <c r="A10659" t="s">
        <v>7602</v>
      </c>
      <c r="B10659" t="s">
        <v>5921</v>
      </c>
      <c r="C10659" t="s">
        <v>7715</v>
      </c>
      <c r="D10659" s="1" t="s">
        <v>7716</v>
      </c>
      <c r="E10659" t="s">
        <v>14</v>
      </c>
      <c r="F10659">
        <v>66.486099999999993</v>
      </c>
      <c r="G10659">
        <v>16.417200000000001</v>
      </c>
      <c r="H10659">
        <v>1</v>
      </c>
      <c r="I10659">
        <v>481</v>
      </c>
      <c r="J10659" t="str">
        <f>HYPERLINK("https://climate.onebuilding.org/WMO_Region_6_Europe/SWE_Sweden/NB_Norrbotten/SWE_NB_Roparudden.021300_TMYx.2007-2021.zip")</f>
        <v>https://climate.onebuilding.org/WMO_Region_6_Europe/SWE_Sweden/NB_Norrbotten/SWE_NB_Roparudden.021300_TMYx.2007-2021.zip</v>
      </c>
    </row>
    <row r="10660" spans="1:10" x14ac:dyDescent="0.25">
      <c r="A10660" t="s">
        <v>7602</v>
      </c>
      <c r="B10660" t="s">
        <v>5921</v>
      </c>
      <c r="C10660" t="s">
        <v>7715</v>
      </c>
      <c r="D10660" s="1" t="s">
        <v>7716</v>
      </c>
      <c r="E10660" t="s">
        <v>14</v>
      </c>
      <c r="F10660">
        <v>66.486099999999993</v>
      </c>
      <c r="G10660">
        <v>16.417200000000001</v>
      </c>
      <c r="H10660">
        <v>1</v>
      </c>
      <c r="I10660">
        <v>481</v>
      </c>
      <c r="J10660" t="str">
        <f>HYPERLINK("https://climate.onebuilding.org/WMO_Region_6_Europe/SWE_Sweden/NB_Norrbotten/SWE_NB_Roparudden.021300_TMYx.2009-2023.zip")</f>
        <v>https://climate.onebuilding.org/WMO_Region_6_Europe/SWE_Sweden/NB_Norrbotten/SWE_NB_Roparudden.021300_TMYx.2009-2023.zip</v>
      </c>
    </row>
    <row r="10661" spans="1:10" x14ac:dyDescent="0.25">
      <c r="A10661" t="s">
        <v>7602</v>
      </c>
      <c r="B10661" t="s">
        <v>5921</v>
      </c>
      <c r="C10661" t="s">
        <v>7715</v>
      </c>
      <c r="D10661" s="1" t="s">
        <v>7716</v>
      </c>
      <c r="E10661" t="s">
        <v>14</v>
      </c>
      <c r="F10661">
        <v>66.486099999999993</v>
      </c>
      <c r="G10661">
        <v>16.417200000000001</v>
      </c>
      <c r="H10661">
        <v>1</v>
      </c>
      <c r="I10661">
        <v>481</v>
      </c>
      <c r="J10661" t="str">
        <f>HYPERLINK("https://climate.onebuilding.org/WMO_Region_6_Europe/SWE_Sweden/NB_Norrbotten/SWE_NB_Roparudden.021300_TMYx.zip")</f>
        <v>https://climate.onebuilding.org/WMO_Region_6_Europe/SWE_Sweden/NB_Norrbotten/SWE_NB_Roparudden.021300_TMYx.zip</v>
      </c>
    </row>
    <row r="10662" spans="1:10" x14ac:dyDescent="0.25">
      <c r="A10662" t="s">
        <v>7602</v>
      </c>
      <c r="B10662" t="s">
        <v>7674</v>
      </c>
      <c r="C10662" t="s">
        <v>7718</v>
      </c>
      <c r="D10662" s="1" t="s">
        <v>7719</v>
      </c>
      <c r="E10662" t="s">
        <v>7720</v>
      </c>
      <c r="F10662">
        <v>65.558800000000005</v>
      </c>
      <c r="G10662">
        <v>17.856000000000002</v>
      </c>
      <c r="H10662">
        <v>1</v>
      </c>
      <c r="I10662">
        <v>393.1</v>
      </c>
      <c r="J10662" t="str">
        <f>HYPERLINK("https://climate.onebuilding.org/WMO_Region_6_Europe/SWE_Sweden/VB_Vasterbotten/SWE_VB_Buresjon.021350_TMYx.2004-2018.zip")</f>
        <v>https://climate.onebuilding.org/WMO_Region_6_Europe/SWE_Sweden/VB_Vasterbotten/SWE_VB_Buresjon.021350_TMYx.2004-2018.zip</v>
      </c>
    </row>
    <row r="10663" spans="1:10" x14ac:dyDescent="0.25">
      <c r="A10663" t="s">
        <v>7602</v>
      </c>
      <c r="B10663" t="s">
        <v>7674</v>
      </c>
      <c r="C10663" t="s">
        <v>7718</v>
      </c>
      <c r="D10663" s="1" t="s">
        <v>7719</v>
      </c>
      <c r="E10663" t="s">
        <v>14</v>
      </c>
      <c r="F10663">
        <v>65.558000000000007</v>
      </c>
      <c r="G10663">
        <v>17.855</v>
      </c>
      <c r="H10663">
        <v>1</v>
      </c>
      <c r="I10663">
        <v>393.1</v>
      </c>
      <c r="J10663" t="str">
        <f>HYPERLINK("https://climate.onebuilding.org/WMO_Region_6_Europe/SWE_Sweden/VB_Vasterbotten/SWE_VB_Buresjon.021350_TMYx.2007-2021.zip")</f>
        <v>https://climate.onebuilding.org/WMO_Region_6_Europe/SWE_Sweden/VB_Vasterbotten/SWE_VB_Buresjon.021350_TMYx.2007-2021.zip</v>
      </c>
    </row>
    <row r="10664" spans="1:10" x14ac:dyDescent="0.25">
      <c r="A10664" t="s">
        <v>7602</v>
      </c>
      <c r="B10664" t="s">
        <v>7674</v>
      </c>
      <c r="C10664" t="s">
        <v>7718</v>
      </c>
      <c r="D10664" s="1" t="s">
        <v>7719</v>
      </c>
      <c r="E10664" t="s">
        <v>14</v>
      </c>
      <c r="F10664">
        <v>65.558000000000007</v>
      </c>
      <c r="G10664">
        <v>17.855</v>
      </c>
      <c r="H10664">
        <v>1</v>
      </c>
      <c r="I10664">
        <v>393.1</v>
      </c>
      <c r="J10664" t="str">
        <f>HYPERLINK("https://climate.onebuilding.org/WMO_Region_6_Europe/SWE_Sweden/VB_Vasterbotten/SWE_VB_Buresjon.021350_TMYx.2009-2023.zip")</f>
        <v>https://climate.onebuilding.org/WMO_Region_6_Europe/SWE_Sweden/VB_Vasterbotten/SWE_VB_Buresjon.021350_TMYx.2009-2023.zip</v>
      </c>
    </row>
    <row r="10665" spans="1:10" x14ac:dyDescent="0.25">
      <c r="A10665" t="s">
        <v>7602</v>
      </c>
      <c r="B10665" t="s">
        <v>7674</v>
      </c>
      <c r="C10665" t="s">
        <v>7718</v>
      </c>
      <c r="D10665" s="1" t="s">
        <v>7719</v>
      </c>
      <c r="E10665" t="s">
        <v>14</v>
      </c>
      <c r="F10665">
        <v>65.558000000000007</v>
      </c>
      <c r="G10665">
        <v>17.855</v>
      </c>
      <c r="H10665">
        <v>1</v>
      </c>
      <c r="I10665">
        <v>393.1</v>
      </c>
      <c r="J10665" t="str">
        <f>HYPERLINK("https://climate.onebuilding.org/WMO_Region_6_Europe/SWE_Sweden/VB_Vasterbotten/SWE_VB_Buresjon.021350_TMYx.zip")</f>
        <v>https://climate.onebuilding.org/WMO_Region_6_Europe/SWE_Sweden/VB_Vasterbotten/SWE_VB_Buresjon.021350_TMYx.zip</v>
      </c>
    </row>
    <row r="10666" spans="1:10" x14ac:dyDescent="0.25">
      <c r="A10666" t="s">
        <v>7602</v>
      </c>
      <c r="B10666" t="s">
        <v>7721</v>
      </c>
      <c r="C10666" t="s">
        <v>7722</v>
      </c>
      <c r="D10666" s="1" t="s">
        <v>7723</v>
      </c>
      <c r="E10666" t="s">
        <v>14</v>
      </c>
      <c r="F10666">
        <v>60.5</v>
      </c>
      <c r="G10666">
        <v>18.867000000000001</v>
      </c>
      <c r="H10666">
        <v>1</v>
      </c>
      <c r="I10666">
        <v>23</v>
      </c>
      <c r="J10666" t="str">
        <f>HYPERLINK("https://climate.onebuilding.org/WMO_Region_6_Europe/SWE_Sweden/UP_Uppsala/SWE_UP_Grundkallen.Lighthouse.021380_TMYx.zip")</f>
        <v>https://climate.onebuilding.org/WMO_Region_6_Europe/SWE_Sweden/UP_Uppsala/SWE_UP_Grundkallen.Lighthouse.021380_TMYx.zip</v>
      </c>
    </row>
    <row r="10667" spans="1:10" x14ac:dyDescent="0.25">
      <c r="A10667" t="s">
        <v>7602</v>
      </c>
      <c r="B10667" t="s">
        <v>5921</v>
      </c>
      <c r="C10667" t="s">
        <v>7724</v>
      </c>
      <c r="D10667" s="1" t="s">
        <v>7725</v>
      </c>
      <c r="E10667" t="s">
        <v>7726</v>
      </c>
      <c r="F10667">
        <v>66.3</v>
      </c>
      <c r="G10667">
        <v>19.2</v>
      </c>
      <c r="H10667">
        <v>1</v>
      </c>
      <c r="I10667">
        <v>582.6</v>
      </c>
      <c r="J10667" t="str">
        <f>HYPERLINK("https://climate.onebuilding.org/WMO_Region_6_Europe/SWE_Sweden/NB_Norrbotten/SWE_NB_Tjakaape.021410_TMYx.2004-2018.zip")</f>
        <v>https://climate.onebuilding.org/WMO_Region_6_Europe/SWE_Sweden/NB_Norrbotten/SWE_NB_Tjakaape.021410_TMYx.2004-2018.zip</v>
      </c>
    </row>
    <row r="10668" spans="1:10" x14ac:dyDescent="0.25">
      <c r="A10668" t="s">
        <v>7602</v>
      </c>
      <c r="B10668" t="s">
        <v>5921</v>
      </c>
      <c r="C10668" t="s">
        <v>7724</v>
      </c>
      <c r="D10668" s="1" t="s">
        <v>7725</v>
      </c>
      <c r="E10668" t="s">
        <v>14</v>
      </c>
      <c r="F10668">
        <v>66.3</v>
      </c>
      <c r="G10668">
        <v>19.2</v>
      </c>
      <c r="H10668">
        <v>1</v>
      </c>
      <c r="I10668">
        <v>582.6</v>
      </c>
      <c r="J10668" t="str">
        <f>HYPERLINK("https://climate.onebuilding.org/WMO_Region_6_Europe/SWE_Sweden/NB_Norrbotten/SWE_NB_Tjakaape.021410_TMYx.2007-2021.zip")</f>
        <v>https://climate.onebuilding.org/WMO_Region_6_Europe/SWE_Sweden/NB_Norrbotten/SWE_NB_Tjakaape.021410_TMYx.2007-2021.zip</v>
      </c>
    </row>
    <row r="10669" spans="1:10" x14ac:dyDescent="0.25">
      <c r="A10669" t="s">
        <v>7602</v>
      </c>
      <c r="B10669" t="s">
        <v>5921</v>
      </c>
      <c r="C10669" t="s">
        <v>7724</v>
      </c>
      <c r="D10669" s="1" t="s">
        <v>7725</v>
      </c>
      <c r="E10669" t="s">
        <v>14</v>
      </c>
      <c r="F10669">
        <v>66.3</v>
      </c>
      <c r="G10669">
        <v>19.2</v>
      </c>
      <c r="H10669">
        <v>1</v>
      </c>
      <c r="I10669">
        <v>582.6</v>
      </c>
      <c r="J10669" t="str">
        <f>HYPERLINK("https://climate.onebuilding.org/WMO_Region_6_Europe/SWE_Sweden/NB_Norrbotten/SWE_NB_Tjakaape.021410_TMYx.2009-2023.zip")</f>
        <v>https://climate.onebuilding.org/WMO_Region_6_Europe/SWE_Sweden/NB_Norrbotten/SWE_NB_Tjakaape.021410_TMYx.2009-2023.zip</v>
      </c>
    </row>
    <row r="10670" spans="1:10" x14ac:dyDescent="0.25">
      <c r="A10670" t="s">
        <v>7602</v>
      </c>
      <c r="B10670" t="s">
        <v>5921</v>
      </c>
      <c r="C10670" t="s">
        <v>7724</v>
      </c>
      <c r="D10670" s="1" t="s">
        <v>7725</v>
      </c>
      <c r="E10670" t="s">
        <v>14</v>
      </c>
      <c r="F10670">
        <v>66.3</v>
      </c>
      <c r="G10670">
        <v>19.2</v>
      </c>
      <c r="H10670">
        <v>1</v>
      </c>
      <c r="I10670">
        <v>582.6</v>
      </c>
      <c r="J10670" t="str">
        <f>HYPERLINK("https://climate.onebuilding.org/WMO_Region_6_Europe/SWE_Sweden/NB_Norrbotten/SWE_NB_Tjakaape.021410_TMYx.zip")</f>
        <v>https://climate.onebuilding.org/WMO_Region_6_Europe/SWE_Sweden/NB_Norrbotten/SWE_NB_Tjakaape.021410_TMYx.zip</v>
      </c>
    </row>
    <row r="10671" spans="1:10" x14ac:dyDescent="0.25">
      <c r="A10671" t="s">
        <v>7602</v>
      </c>
      <c r="B10671" t="s">
        <v>5921</v>
      </c>
      <c r="C10671" t="s">
        <v>7727</v>
      </c>
      <c r="D10671" s="1" t="s">
        <v>7728</v>
      </c>
      <c r="E10671" t="s">
        <v>14</v>
      </c>
      <c r="F10671">
        <v>65.983000000000004</v>
      </c>
      <c r="G10671">
        <v>18.933</v>
      </c>
      <c r="H10671">
        <v>1</v>
      </c>
      <c r="I10671">
        <v>374</v>
      </c>
      <c r="J10671" t="str">
        <f>HYPERLINK("https://climate.onebuilding.org/WMO_Region_6_Europe/SWE_Sweden/NB_Norrbotten/SWE_NB_Lake.Abraur.021440_TMYx.zip")</f>
        <v>https://climate.onebuilding.org/WMO_Region_6_Europe/SWE_Sweden/NB_Norrbotten/SWE_NB_Lake.Abraur.021440_TMYx.zip</v>
      </c>
    </row>
    <row r="10672" spans="1:10" x14ac:dyDescent="0.25">
      <c r="A10672" t="s">
        <v>7602</v>
      </c>
      <c r="B10672" t="s">
        <v>5921</v>
      </c>
      <c r="C10672" t="s">
        <v>7729</v>
      </c>
      <c r="D10672" s="1" t="s">
        <v>7730</v>
      </c>
      <c r="E10672" t="s">
        <v>7731</v>
      </c>
      <c r="F10672">
        <v>66.504999999999995</v>
      </c>
      <c r="G10672">
        <v>19.675000000000001</v>
      </c>
      <c r="H10672">
        <v>1</v>
      </c>
      <c r="I10672">
        <v>324</v>
      </c>
      <c r="J10672" t="str">
        <f>HYPERLINK("https://climate.onebuilding.org/WMO_Region_6_Europe/SWE_Sweden/NB_Norrbotten/SWE_NB_Vajmat.021460_TMYx.2004-2018.zip")</f>
        <v>https://climate.onebuilding.org/WMO_Region_6_Europe/SWE_Sweden/NB_Norrbotten/SWE_NB_Vajmat.021460_TMYx.2004-2018.zip</v>
      </c>
    </row>
    <row r="10673" spans="1:10" x14ac:dyDescent="0.25">
      <c r="A10673" t="s">
        <v>7602</v>
      </c>
      <c r="B10673" t="s">
        <v>5921</v>
      </c>
      <c r="C10673" t="s">
        <v>7729</v>
      </c>
      <c r="D10673" s="1" t="s">
        <v>7730</v>
      </c>
      <c r="E10673" t="s">
        <v>14</v>
      </c>
      <c r="F10673">
        <v>66.504999999999995</v>
      </c>
      <c r="G10673">
        <v>19.675000000000001</v>
      </c>
      <c r="H10673">
        <v>1</v>
      </c>
      <c r="I10673">
        <v>324</v>
      </c>
      <c r="J10673" t="str">
        <f>HYPERLINK("https://climate.onebuilding.org/WMO_Region_6_Europe/SWE_Sweden/NB_Norrbotten/SWE_NB_Vajmat.021460_TMYx.2007-2021.zip")</f>
        <v>https://climate.onebuilding.org/WMO_Region_6_Europe/SWE_Sweden/NB_Norrbotten/SWE_NB_Vajmat.021460_TMYx.2007-2021.zip</v>
      </c>
    </row>
    <row r="10674" spans="1:10" x14ac:dyDescent="0.25">
      <c r="A10674" t="s">
        <v>7602</v>
      </c>
      <c r="B10674" t="s">
        <v>5921</v>
      </c>
      <c r="C10674" t="s">
        <v>7729</v>
      </c>
      <c r="D10674" s="1" t="s">
        <v>7730</v>
      </c>
      <c r="E10674" t="s">
        <v>14</v>
      </c>
      <c r="F10674">
        <v>66.504999999999995</v>
      </c>
      <c r="G10674">
        <v>19.675000000000001</v>
      </c>
      <c r="H10674">
        <v>1</v>
      </c>
      <c r="I10674">
        <v>324</v>
      </c>
      <c r="J10674" t="str">
        <f>HYPERLINK("https://climate.onebuilding.org/WMO_Region_6_Europe/SWE_Sweden/NB_Norrbotten/SWE_NB_Vajmat.021460_TMYx.2009-2023.zip")</f>
        <v>https://climate.onebuilding.org/WMO_Region_6_Europe/SWE_Sweden/NB_Norrbotten/SWE_NB_Vajmat.021460_TMYx.2009-2023.zip</v>
      </c>
    </row>
    <row r="10675" spans="1:10" x14ac:dyDescent="0.25">
      <c r="A10675" t="s">
        <v>7602</v>
      </c>
      <c r="B10675" t="s">
        <v>5921</v>
      </c>
      <c r="C10675" t="s">
        <v>7729</v>
      </c>
      <c r="D10675" s="1" t="s">
        <v>7730</v>
      </c>
      <c r="E10675" t="s">
        <v>14</v>
      </c>
      <c r="F10675">
        <v>66.504999999999995</v>
      </c>
      <c r="G10675">
        <v>19.675000000000001</v>
      </c>
      <c r="H10675">
        <v>1</v>
      </c>
      <c r="I10675">
        <v>324</v>
      </c>
      <c r="J10675" t="str">
        <f>HYPERLINK("https://climate.onebuilding.org/WMO_Region_6_Europe/SWE_Sweden/NB_Norrbotten/SWE_NB_Vajmat.021460_TMYx.zip")</f>
        <v>https://climate.onebuilding.org/WMO_Region_6_Europe/SWE_Sweden/NB_Norrbotten/SWE_NB_Vajmat.021460_TMYx.zip</v>
      </c>
    </row>
    <row r="10676" spans="1:10" x14ac:dyDescent="0.25">
      <c r="A10676" t="s">
        <v>7602</v>
      </c>
      <c r="B10676" t="s">
        <v>7674</v>
      </c>
      <c r="C10676" t="s">
        <v>7732</v>
      </c>
      <c r="D10676" s="1" t="s">
        <v>7733</v>
      </c>
      <c r="E10676" t="s">
        <v>7734</v>
      </c>
      <c r="F10676">
        <v>65.152199999999993</v>
      </c>
      <c r="G10676">
        <v>18.5975</v>
      </c>
      <c r="H10676">
        <v>1</v>
      </c>
      <c r="I10676">
        <v>363</v>
      </c>
      <c r="J10676" t="str">
        <f>HYPERLINK("https://climate.onebuilding.org/WMO_Region_6_Europe/SWE_Sweden/VB_Vasterbotten/SWE_VB_Mala-Brannan.021470_TMYx.2004-2018.zip")</f>
        <v>https://climate.onebuilding.org/WMO_Region_6_Europe/SWE_Sweden/VB_Vasterbotten/SWE_VB_Mala-Brannan.021470_TMYx.2004-2018.zip</v>
      </c>
    </row>
    <row r="10677" spans="1:10" x14ac:dyDescent="0.25">
      <c r="A10677" t="s">
        <v>7602</v>
      </c>
      <c r="B10677" t="s">
        <v>7674</v>
      </c>
      <c r="C10677" t="s">
        <v>7732</v>
      </c>
      <c r="D10677" s="1" t="s">
        <v>7733</v>
      </c>
      <c r="E10677" t="s">
        <v>14</v>
      </c>
      <c r="F10677">
        <v>65.151200000000003</v>
      </c>
      <c r="G10677">
        <v>18.593499999999999</v>
      </c>
      <c r="H10677">
        <v>1</v>
      </c>
      <c r="I10677">
        <v>363</v>
      </c>
      <c r="J10677" t="str">
        <f>HYPERLINK("https://climate.onebuilding.org/WMO_Region_6_Europe/SWE_Sweden/VB_Vasterbotten/SWE_VB_Mala-Brannan.021470_TMYx.2007-2021.zip")</f>
        <v>https://climate.onebuilding.org/WMO_Region_6_Europe/SWE_Sweden/VB_Vasterbotten/SWE_VB_Mala-Brannan.021470_TMYx.2007-2021.zip</v>
      </c>
    </row>
    <row r="10678" spans="1:10" x14ac:dyDescent="0.25">
      <c r="A10678" t="s">
        <v>7602</v>
      </c>
      <c r="B10678" t="s">
        <v>7674</v>
      </c>
      <c r="C10678" t="s">
        <v>7732</v>
      </c>
      <c r="D10678" s="1" t="s">
        <v>7733</v>
      </c>
      <c r="E10678" t="s">
        <v>14</v>
      </c>
      <c r="F10678">
        <v>65.151200000000003</v>
      </c>
      <c r="G10678">
        <v>18.593499999999999</v>
      </c>
      <c r="H10678">
        <v>1</v>
      </c>
      <c r="I10678">
        <v>363</v>
      </c>
      <c r="J10678" t="str">
        <f>HYPERLINK("https://climate.onebuilding.org/WMO_Region_6_Europe/SWE_Sweden/VB_Vasterbotten/SWE_VB_Mala-Brannan.021470_TMYx.2009-2023.zip")</f>
        <v>https://climate.onebuilding.org/WMO_Region_6_Europe/SWE_Sweden/VB_Vasterbotten/SWE_VB_Mala-Brannan.021470_TMYx.2009-2023.zip</v>
      </c>
    </row>
    <row r="10679" spans="1:10" x14ac:dyDescent="0.25">
      <c r="A10679" t="s">
        <v>7602</v>
      </c>
      <c r="B10679" t="s">
        <v>7674</v>
      </c>
      <c r="C10679" t="s">
        <v>7732</v>
      </c>
      <c r="D10679" s="1" t="s">
        <v>7733</v>
      </c>
      <c r="E10679" t="s">
        <v>14</v>
      </c>
      <c r="F10679">
        <v>65.151200000000003</v>
      </c>
      <c r="G10679">
        <v>18.593499999999999</v>
      </c>
      <c r="H10679">
        <v>1</v>
      </c>
      <c r="I10679">
        <v>363</v>
      </c>
      <c r="J10679" t="str">
        <f>HYPERLINK("https://climate.onebuilding.org/WMO_Region_6_Europe/SWE_Sweden/VB_Vasterbotten/SWE_VB_Mala-Brannan.021470_TMYx.zip")</f>
        <v>https://climate.onebuilding.org/WMO_Region_6_Europe/SWE_Sweden/VB_Vasterbotten/SWE_VB_Mala-Brannan.021470_TMYx.zip</v>
      </c>
    </row>
    <row r="10680" spans="1:10" x14ac:dyDescent="0.25">
      <c r="A10680" t="s">
        <v>7602</v>
      </c>
      <c r="B10680" t="s">
        <v>5921</v>
      </c>
      <c r="C10680" t="s">
        <v>7735</v>
      </c>
      <c r="D10680" s="1" t="s">
        <v>7736</v>
      </c>
      <c r="E10680" t="s">
        <v>7737</v>
      </c>
      <c r="F10680">
        <v>65.595299999999995</v>
      </c>
      <c r="G10680">
        <v>19.2683</v>
      </c>
      <c r="H10680">
        <v>1</v>
      </c>
      <c r="I10680">
        <v>383.6</v>
      </c>
      <c r="J10680" t="str">
        <f>HYPERLINK("https://climate.onebuilding.org/WMO_Region_6_Europe/SWE_Sweden/NB_Norrbotten/SWE_NB_Arvidsjaur.AP.021490_TMYx.2004-2018.zip")</f>
        <v>https://climate.onebuilding.org/WMO_Region_6_Europe/SWE_Sweden/NB_Norrbotten/SWE_NB_Arvidsjaur.AP.021490_TMYx.2004-2018.zip</v>
      </c>
    </row>
    <row r="10681" spans="1:10" x14ac:dyDescent="0.25">
      <c r="A10681" t="s">
        <v>7602</v>
      </c>
      <c r="B10681" t="s">
        <v>5921</v>
      </c>
      <c r="C10681" t="s">
        <v>7735</v>
      </c>
      <c r="D10681" s="1" t="s">
        <v>7736</v>
      </c>
      <c r="E10681" t="s">
        <v>14</v>
      </c>
      <c r="F10681">
        <v>65.593999999999994</v>
      </c>
      <c r="G10681">
        <v>19.263999999999999</v>
      </c>
      <c r="H10681">
        <v>1</v>
      </c>
      <c r="I10681">
        <v>383.6</v>
      </c>
      <c r="J10681" t="str">
        <f>HYPERLINK("https://climate.onebuilding.org/WMO_Region_6_Europe/SWE_Sweden/NB_Norrbotten/SWE_NB_Arvidsjaur.AP.021490_TMYx.2007-2021.zip")</f>
        <v>https://climate.onebuilding.org/WMO_Region_6_Europe/SWE_Sweden/NB_Norrbotten/SWE_NB_Arvidsjaur.AP.021490_TMYx.2007-2021.zip</v>
      </c>
    </row>
    <row r="10682" spans="1:10" x14ac:dyDescent="0.25">
      <c r="A10682" t="s">
        <v>7602</v>
      </c>
      <c r="B10682" t="s">
        <v>5921</v>
      </c>
      <c r="C10682" t="s">
        <v>7735</v>
      </c>
      <c r="D10682" s="1" t="s">
        <v>7736</v>
      </c>
      <c r="E10682" t="s">
        <v>14</v>
      </c>
      <c r="F10682">
        <v>65.593999999999994</v>
      </c>
      <c r="G10682">
        <v>19.263999999999999</v>
      </c>
      <c r="H10682">
        <v>1</v>
      </c>
      <c r="I10682">
        <v>383.6</v>
      </c>
      <c r="J10682" t="str">
        <f>HYPERLINK("https://climate.onebuilding.org/WMO_Region_6_Europe/SWE_Sweden/NB_Norrbotten/SWE_NB_Arvidsjaur.AP.021490_TMYx.2009-2023.zip")</f>
        <v>https://climate.onebuilding.org/WMO_Region_6_Europe/SWE_Sweden/NB_Norrbotten/SWE_NB_Arvidsjaur.AP.021490_TMYx.2009-2023.zip</v>
      </c>
    </row>
    <row r="10683" spans="1:10" x14ac:dyDescent="0.25">
      <c r="A10683" t="s">
        <v>7602</v>
      </c>
      <c r="B10683" t="s">
        <v>5921</v>
      </c>
      <c r="C10683" t="s">
        <v>7735</v>
      </c>
      <c r="D10683" s="1" t="s">
        <v>7736</v>
      </c>
      <c r="E10683" t="s">
        <v>14</v>
      </c>
      <c r="F10683">
        <v>65.593999999999994</v>
      </c>
      <c r="G10683">
        <v>19.263999999999999</v>
      </c>
      <c r="H10683">
        <v>1</v>
      </c>
      <c r="I10683">
        <v>383.6</v>
      </c>
      <c r="J10683" t="str">
        <f>HYPERLINK("https://climate.onebuilding.org/WMO_Region_6_Europe/SWE_Sweden/NB_Norrbotten/SWE_NB_Arvidsjaur.AP.021490_TMYx.zip")</f>
        <v>https://climate.onebuilding.org/WMO_Region_6_Europe/SWE_Sweden/NB_Norrbotten/SWE_NB_Arvidsjaur.AP.021490_TMYx.zip</v>
      </c>
    </row>
    <row r="10684" spans="1:10" x14ac:dyDescent="0.25">
      <c r="A10684" t="s">
        <v>7602</v>
      </c>
      <c r="B10684" t="s">
        <v>5921</v>
      </c>
      <c r="C10684" t="s">
        <v>7738</v>
      </c>
      <c r="D10684" s="1" t="s">
        <v>7739</v>
      </c>
      <c r="E10684" t="s">
        <v>7740</v>
      </c>
      <c r="F10684">
        <v>66.4833</v>
      </c>
      <c r="G10684">
        <v>20.166699999999999</v>
      </c>
      <c r="H10684">
        <v>1</v>
      </c>
      <c r="I10684">
        <v>275</v>
      </c>
      <c r="J10684" t="str">
        <f>HYPERLINK("https://climate.onebuilding.org/WMO_Region_6_Europe/SWE_Sweden/NB_Norrbotten/SWE_NB_Jokkmokk.AP.021510_TMYx.2004-2018.zip")</f>
        <v>https://climate.onebuilding.org/WMO_Region_6_Europe/SWE_Sweden/NB_Norrbotten/SWE_NB_Jokkmokk.AP.021510_TMYx.2004-2018.zip</v>
      </c>
    </row>
    <row r="10685" spans="1:10" x14ac:dyDescent="0.25">
      <c r="A10685" t="s">
        <v>7602</v>
      </c>
      <c r="B10685" t="s">
        <v>5921</v>
      </c>
      <c r="C10685" t="s">
        <v>7738</v>
      </c>
      <c r="D10685" s="1" t="s">
        <v>7739</v>
      </c>
      <c r="E10685" t="s">
        <v>14</v>
      </c>
      <c r="F10685">
        <v>66.495999999999995</v>
      </c>
      <c r="G10685">
        <v>20.146999999999998</v>
      </c>
      <c r="H10685">
        <v>1</v>
      </c>
      <c r="I10685">
        <v>275</v>
      </c>
      <c r="J10685" t="str">
        <f>HYPERLINK("https://climate.onebuilding.org/WMO_Region_6_Europe/SWE_Sweden/NB_Norrbotten/SWE_NB_Jokkmokk.AP.021510_TMYx.2007-2021.zip")</f>
        <v>https://climate.onebuilding.org/WMO_Region_6_Europe/SWE_Sweden/NB_Norrbotten/SWE_NB_Jokkmokk.AP.021510_TMYx.2007-2021.zip</v>
      </c>
    </row>
    <row r="10686" spans="1:10" x14ac:dyDescent="0.25">
      <c r="A10686" t="s">
        <v>7602</v>
      </c>
      <c r="B10686" t="s">
        <v>5921</v>
      </c>
      <c r="C10686" t="s">
        <v>7738</v>
      </c>
      <c r="D10686" s="1" t="s">
        <v>7739</v>
      </c>
      <c r="E10686" t="s">
        <v>14</v>
      </c>
      <c r="F10686">
        <v>66.495999999999995</v>
      </c>
      <c r="G10686">
        <v>20.146999999999998</v>
      </c>
      <c r="H10686">
        <v>1</v>
      </c>
      <c r="I10686">
        <v>275</v>
      </c>
      <c r="J10686" t="str">
        <f>HYPERLINK("https://climate.onebuilding.org/WMO_Region_6_Europe/SWE_Sweden/NB_Norrbotten/SWE_NB_Jokkmokk.AP.021510_TMYx.2009-2023.zip")</f>
        <v>https://climate.onebuilding.org/WMO_Region_6_Europe/SWE_Sweden/NB_Norrbotten/SWE_NB_Jokkmokk.AP.021510_TMYx.2009-2023.zip</v>
      </c>
    </row>
    <row r="10687" spans="1:10" x14ac:dyDescent="0.25">
      <c r="A10687" t="s">
        <v>7602</v>
      </c>
      <c r="B10687" t="s">
        <v>5921</v>
      </c>
      <c r="C10687" t="s">
        <v>7738</v>
      </c>
      <c r="D10687" s="1" t="s">
        <v>7739</v>
      </c>
      <c r="E10687" t="s">
        <v>14</v>
      </c>
      <c r="F10687">
        <v>66.495999999999995</v>
      </c>
      <c r="G10687">
        <v>20.146999999999998</v>
      </c>
      <c r="H10687">
        <v>1</v>
      </c>
      <c r="I10687">
        <v>275</v>
      </c>
      <c r="J10687" t="str">
        <f>HYPERLINK("https://climate.onebuilding.org/WMO_Region_6_Europe/SWE_Sweden/NB_Norrbotten/SWE_NB_Jokkmokk.AP.021510_TMYx.zip")</f>
        <v>https://climate.onebuilding.org/WMO_Region_6_Europe/SWE_Sweden/NB_Norrbotten/SWE_NB_Jokkmokk.AP.021510_TMYx.zip</v>
      </c>
    </row>
    <row r="10688" spans="1:10" x14ac:dyDescent="0.25">
      <c r="A10688" t="s">
        <v>7602</v>
      </c>
      <c r="B10688" t="s">
        <v>5921</v>
      </c>
      <c r="C10688" t="s">
        <v>7741</v>
      </c>
      <c r="D10688" s="1" t="s">
        <v>7742</v>
      </c>
      <c r="E10688" t="s">
        <v>14</v>
      </c>
      <c r="F10688">
        <v>66.3</v>
      </c>
      <c r="G10688">
        <v>20.417000000000002</v>
      </c>
      <c r="H10688">
        <v>1</v>
      </c>
      <c r="I10688">
        <v>174</v>
      </c>
      <c r="J10688" t="str">
        <f>HYPERLINK("https://climate.onebuilding.org/WMO_Region_6_Europe/SWE_Sweden/NB_Norrbotten/SWE_NB_Sudok.021520_TMYx.zip")</f>
        <v>https://climate.onebuilding.org/WMO_Region_6_Europe/SWE_Sweden/NB_Norrbotten/SWE_NB_Sudok.021520_TMYx.zip</v>
      </c>
    </row>
    <row r="10689" spans="1:10" x14ac:dyDescent="0.25">
      <c r="A10689" t="s">
        <v>7602</v>
      </c>
      <c r="B10689" t="s">
        <v>5921</v>
      </c>
      <c r="C10689" t="s">
        <v>7743</v>
      </c>
      <c r="D10689" s="1" t="s">
        <v>7744</v>
      </c>
      <c r="E10689" t="s">
        <v>7745</v>
      </c>
      <c r="F10689">
        <v>65.867800000000003</v>
      </c>
      <c r="G10689">
        <v>20.154199999999999</v>
      </c>
      <c r="H10689">
        <v>1</v>
      </c>
      <c r="I10689">
        <v>182</v>
      </c>
      <c r="J10689" t="str">
        <f>HYPERLINK("https://climate.onebuilding.org/WMO_Region_6_Europe/SWE_Sweden/NB_Norrbotten/SWE_NB_Vidsels.AP.021540_TMYx.2004-2018.zip")</f>
        <v>https://climate.onebuilding.org/WMO_Region_6_Europe/SWE_Sweden/NB_Norrbotten/SWE_NB_Vidsels.AP.021540_TMYx.2004-2018.zip</v>
      </c>
    </row>
    <row r="10690" spans="1:10" x14ac:dyDescent="0.25">
      <c r="A10690" t="s">
        <v>7602</v>
      </c>
      <c r="B10690" t="s">
        <v>5921</v>
      </c>
      <c r="C10690" t="s">
        <v>7743</v>
      </c>
      <c r="D10690" s="1" t="s">
        <v>7744</v>
      </c>
      <c r="E10690" t="s">
        <v>14</v>
      </c>
      <c r="F10690">
        <v>65.875</v>
      </c>
      <c r="G10690">
        <v>20.149999999999999</v>
      </c>
      <c r="H10690">
        <v>1</v>
      </c>
      <c r="I10690">
        <v>182</v>
      </c>
      <c r="J10690" t="str">
        <f>HYPERLINK("https://climate.onebuilding.org/WMO_Region_6_Europe/SWE_Sweden/NB_Norrbotten/SWE_NB_Vidsels.AP.021540_TMYx.2007-2021.zip")</f>
        <v>https://climate.onebuilding.org/WMO_Region_6_Europe/SWE_Sweden/NB_Norrbotten/SWE_NB_Vidsels.AP.021540_TMYx.2007-2021.zip</v>
      </c>
    </row>
    <row r="10691" spans="1:10" x14ac:dyDescent="0.25">
      <c r="A10691" t="s">
        <v>7602</v>
      </c>
      <c r="B10691" t="s">
        <v>5921</v>
      </c>
      <c r="C10691" t="s">
        <v>7743</v>
      </c>
      <c r="D10691" s="1" t="s">
        <v>7744</v>
      </c>
      <c r="E10691" t="s">
        <v>14</v>
      </c>
      <c r="F10691">
        <v>65.875</v>
      </c>
      <c r="G10691">
        <v>20.149999999999999</v>
      </c>
      <c r="H10691">
        <v>1</v>
      </c>
      <c r="I10691">
        <v>182</v>
      </c>
      <c r="J10691" t="str">
        <f>HYPERLINK("https://climate.onebuilding.org/WMO_Region_6_Europe/SWE_Sweden/NB_Norrbotten/SWE_NB_Vidsels.AP.021540_TMYx.2009-2023.zip")</f>
        <v>https://climate.onebuilding.org/WMO_Region_6_Europe/SWE_Sweden/NB_Norrbotten/SWE_NB_Vidsels.AP.021540_TMYx.2009-2023.zip</v>
      </c>
    </row>
    <row r="10692" spans="1:10" x14ac:dyDescent="0.25">
      <c r="A10692" t="s">
        <v>7602</v>
      </c>
      <c r="B10692" t="s">
        <v>5921</v>
      </c>
      <c r="C10692" t="s">
        <v>7743</v>
      </c>
      <c r="D10692" s="1" t="s">
        <v>7744</v>
      </c>
      <c r="E10692" t="s">
        <v>14</v>
      </c>
      <c r="F10692">
        <v>65.875</v>
      </c>
      <c r="G10692">
        <v>20.149999999999999</v>
      </c>
      <c r="H10692">
        <v>1</v>
      </c>
      <c r="I10692">
        <v>182</v>
      </c>
      <c r="J10692" t="str">
        <f>HYPERLINK("https://climate.onebuilding.org/WMO_Region_6_Europe/SWE_Sweden/NB_Norrbotten/SWE_NB_Vidsels.AP.021540_TMYx.zip")</f>
        <v>https://climate.onebuilding.org/WMO_Region_6_Europe/SWE_Sweden/NB_Norrbotten/SWE_NB_Vidsels.AP.021540_TMYx.zip</v>
      </c>
    </row>
    <row r="10693" spans="1:10" x14ac:dyDescent="0.25">
      <c r="A10693" t="s">
        <v>7602</v>
      </c>
      <c r="B10693" t="s">
        <v>7691</v>
      </c>
      <c r="C10693" t="s">
        <v>7746</v>
      </c>
      <c r="D10693" s="1" t="s">
        <v>7747</v>
      </c>
      <c r="E10693" t="s">
        <v>14</v>
      </c>
      <c r="F10693">
        <v>63.966999999999999</v>
      </c>
      <c r="G10693">
        <v>13.717000000000001</v>
      </c>
      <c r="H10693">
        <v>1</v>
      </c>
      <c r="I10693">
        <v>680</v>
      </c>
      <c r="J10693" t="str">
        <f>HYPERLINK("https://climate.onebuilding.org/WMO_Region_6_Europe/SWE_Sweden/JA_Jamtland/SWE_JA_Stensjon.021560_TMYx.zip")</f>
        <v>https://climate.onebuilding.org/WMO_Region_6_Europe/SWE_Sweden/JA_Jamtland/SWE_JA_Stensjon.021560_TMYx.zip</v>
      </c>
    </row>
    <row r="10694" spans="1:10" x14ac:dyDescent="0.25">
      <c r="A10694" t="s">
        <v>7602</v>
      </c>
      <c r="B10694" t="s">
        <v>7674</v>
      </c>
      <c r="C10694" t="s">
        <v>7748</v>
      </c>
      <c r="D10694" s="1" t="s">
        <v>7749</v>
      </c>
      <c r="E10694" t="s">
        <v>14</v>
      </c>
      <c r="F10694">
        <v>65.12</v>
      </c>
      <c r="G10694">
        <v>20.77</v>
      </c>
      <c r="H10694">
        <v>1</v>
      </c>
      <c r="I10694">
        <v>195</v>
      </c>
      <c r="J10694" t="str">
        <f>HYPERLINK("https://climate.onebuilding.org/WMO_Region_6_Europe/SWE_Sweden/VB_Vasterbotten/SWE_VB_Fallfors.AP.021590_TMYx.zip")</f>
        <v>https://climate.onebuilding.org/WMO_Region_6_Europe/SWE_Sweden/VB_Vasterbotten/SWE_VB_Fallfors.AP.021590_TMYx.zip</v>
      </c>
    </row>
    <row r="10695" spans="1:10" x14ac:dyDescent="0.25">
      <c r="A10695" t="s">
        <v>7602</v>
      </c>
      <c r="B10695" t="s">
        <v>5921</v>
      </c>
      <c r="C10695" t="s">
        <v>7750</v>
      </c>
      <c r="D10695" s="1" t="s">
        <v>7751</v>
      </c>
      <c r="E10695" t="s">
        <v>7752</v>
      </c>
      <c r="F10695">
        <v>66.753100000000003</v>
      </c>
      <c r="G10695">
        <v>20.9283</v>
      </c>
      <c r="H10695">
        <v>1</v>
      </c>
      <c r="I10695">
        <v>327.5</v>
      </c>
      <c r="J10695" t="str">
        <f>HYPERLINK("https://climate.onebuilding.org/WMO_Region_6_Europe/SWE_Sweden/NB_Norrbotten/SWE_NB_Nattavaara.021610_TMYx.2004-2018.zip")</f>
        <v>https://climate.onebuilding.org/WMO_Region_6_Europe/SWE_Sweden/NB_Norrbotten/SWE_NB_Nattavaara.021610_TMYx.2004-2018.zip</v>
      </c>
    </row>
    <row r="10696" spans="1:10" x14ac:dyDescent="0.25">
      <c r="A10696" t="s">
        <v>7602</v>
      </c>
      <c r="B10696" t="s">
        <v>5921</v>
      </c>
      <c r="C10696" t="s">
        <v>7750</v>
      </c>
      <c r="D10696" s="1" t="s">
        <v>7751</v>
      </c>
      <c r="E10696" t="s">
        <v>14</v>
      </c>
      <c r="F10696">
        <v>66.751999999999995</v>
      </c>
      <c r="G10696">
        <v>20.928000000000001</v>
      </c>
      <c r="H10696">
        <v>1</v>
      </c>
      <c r="I10696">
        <v>327.5</v>
      </c>
      <c r="J10696" t="str">
        <f>HYPERLINK("https://climate.onebuilding.org/WMO_Region_6_Europe/SWE_Sweden/NB_Norrbotten/SWE_NB_Nattavaara.021610_TMYx.2007-2021.zip")</f>
        <v>https://climate.onebuilding.org/WMO_Region_6_Europe/SWE_Sweden/NB_Norrbotten/SWE_NB_Nattavaara.021610_TMYx.2007-2021.zip</v>
      </c>
    </row>
    <row r="10697" spans="1:10" x14ac:dyDescent="0.25">
      <c r="A10697" t="s">
        <v>7602</v>
      </c>
      <c r="B10697" t="s">
        <v>5921</v>
      </c>
      <c r="C10697" t="s">
        <v>7750</v>
      </c>
      <c r="D10697" s="1" t="s">
        <v>7751</v>
      </c>
      <c r="E10697" t="s">
        <v>14</v>
      </c>
      <c r="F10697">
        <v>66.751999999999995</v>
      </c>
      <c r="G10697">
        <v>20.928000000000001</v>
      </c>
      <c r="H10697">
        <v>1</v>
      </c>
      <c r="I10697">
        <v>327.5</v>
      </c>
      <c r="J10697" t="str">
        <f>HYPERLINK("https://climate.onebuilding.org/WMO_Region_6_Europe/SWE_Sweden/NB_Norrbotten/SWE_NB_Nattavaara.021610_TMYx.2009-2023.zip")</f>
        <v>https://climate.onebuilding.org/WMO_Region_6_Europe/SWE_Sweden/NB_Norrbotten/SWE_NB_Nattavaara.021610_TMYx.2009-2023.zip</v>
      </c>
    </row>
    <row r="10698" spans="1:10" x14ac:dyDescent="0.25">
      <c r="A10698" t="s">
        <v>7602</v>
      </c>
      <c r="B10698" t="s">
        <v>5921</v>
      </c>
      <c r="C10698" t="s">
        <v>7750</v>
      </c>
      <c r="D10698" s="1" t="s">
        <v>7751</v>
      </c>
      <c r="E10698" t="s">
        <v>14</v>
      </c>
      <c r="F10698">
        <v>66.751999999999995</v>
      </c>
      <c r="G10698">
        <v>20.928000000000001</v>
      </c>
      <c r="H10698">
        <v>1</v>
      </c>
      <c r="I10698">
        <v>327.5</v>
      </c>
      <c r="J10698" t="str">
        <f>HYPERLINK("https://climate.onebuilding.org/WMO_Region_6_Europe/SWE_Sweden/NB_Norrbotten/SWE_NB_Nattavaara.021610_TMYx.zip")</f>
        <v>https://climate.onebuilding.org/WMO_Region_6_Europe/SWE_Sweden/NB_Norrbotten/SWE_NB_Nattavaara.021610_TMYx.zip</v>
      </c>
    </row>
    <row r="10699" spans="1:10" x14ac:dyDescent="0.25">
      <c r="A10699" t="s">
        <v>7602</v>
      </c>
      <c r="B10699" t="s">
        <v>5651</v>
      </c>
      <c r="C10699" t="s">
        <v>7753</v>
      </c>
      <c r="D10699" s="1" t="s">
        <v>7754</v>
      </c>
      <c r="E10699" t="s">
        <v>14</v>
      </c>
      <c r="F10699">
        <v>56.466999999999999</v>
      </c>
      <c r="G10699">
        <v>13.65</v>
      </c>
      <c r="H10699">
        <v>1</v>
      </c>
      <c r="I10699">
        <v>118</v>
      </c>
      <c r="J10699" t="str">
        <f>HYPERLINK("https://climate.onebuilding.org/WMO_Region_6_Europe/SWE_Sweden/KR_Kronoberg/SWE_KR_Markaryd.021620_TMYx.2007-2021.zip")</f>
        <v>https://climate.onebuilding.org/WMO_Region_6_Europe/SWE_Sweden/KR_Kronoberg/SWE_KR_Markaryd.021620_TMYx.2007-2021.zip</v>
      </c>
    </row>
    <row r="10700" spans="1:10" x14ac:dyDescent="0.25">
      <c r="A10700" t="s">
        <v>7602</v>
      </c>
      <c r="B10700" t="s">
        <v>5651</v>
      </c>
      <c r="C10700" t="s">
        <v>7753</v>
      </c>
      <c r="D10700" s="1" t="s">
        <v>7754</v>
      </c>
      <c r="E10700" t="s">
        <v>14</v>
      </c>
      <c r="F10700">
        <v>56.466999999999999</v>
      </c>
      <c r="G10700">
        <v>13.65</v>
      </c>
      <c r="H10700">
        <v>1</v>
      </c>
      <c r="I10700">
        <v>118</v>
      </c>
      <c r="J10700" t="str">
        <f>HYPERLINK("https://climate.onebuilding.org/WMO_Region_6_Europe/SWE_Sweden/KR_Kronoberg/SWE_KR_Markaryd.021620_TMYx.2009-2023.zip")</f>
        <v>https://climate.onebuilding.org/WMO_Region_6_Europe/SWE_Sweden/KR_Kronoberg/SWE_KR_Markaryd.021620_TMYx.2009-2023.zip</v>
      </c>
    </row>
    <row r="10701" spans="1:10" x14ac:dyDescent="0.25">
      <c r="A10701" t="s">
        <v>7602</v>
      </c>
      <c r="B10701" t="s">
        <v>5651</v>
      </c>
      <c r="C10701" t="s">
        <v>7753</v>
      </c>
      <c r="D10701" s="1" t="s">
        <v>7754</v>
      </c>
      <c r="E10701" t="s">
        <v>14</v>
      </c>
      <c r="F10701">
        <v>56.466999999999999</v>
      </c>
      <c r="G10701">
        <v>13.65</v>
      </c>
      <c r="H10701">
        <v>1</v>
      </c>
      <c r="I10701">
        <v>118</v>
      </c>
      <c r="J10701" t="str">
        <f>HYPERLINK("https://climate.onebuilding.org/WMO_Region_6_Europe/SWE_Sweden/KR_Kronoberg/SWE_KR_Markaryd.021620_TMYx.zip")</f>
        <v>https://climate.onebuilding.org/WMO_Region_6_Europe/SWE_Sweden/KR_Kronoberg/SWE_KR_Markaryd.021620_TMYx.zip</v>
      </c>
    </row>
    <row r="10702" spans="1:10" x14ac:dyDescent="0.25">
      <c r="A10702" t="s">
        <v>7602</v>
      </c>
      <c r="B10702" t="s">
        <v>5921</v>
      </c>
      <c r="C10702" t="s">
        <v>7755</v>
      </c>
      <c r="D10702" s="1" t="s">
        <v>7756</v>
      </c>
      <c r="E10702" t="s">
        <v>14</v>
      </c>
      <c r="F10702">
        <v>66.382999999999996</v>
      </c>
      <c r="G10702">
        <v>21.632999999999999</v>
      </c>
      <c r="H10702">
        <v>1</v>
      </c>
      <c r="I10702">
        <v>263</v>
      </c>
      <c r="J10702" t="str">
        <f>HYPERLINK("https://climate.onebuilding.org/WMO_Region_6_Europe/SWE_Sweden/NB_Norrbotten/SWE_NB_Palkem.021640_TMYx.zip")</f>
        <v>https://climate.onebuilding.org/WMO_Region_6_Europe/SWE_Sweden/NB_Norrbotten/SWE_NB_Palkem.021640_TMYx.zip</v>
      </c>
    </row>
    <row r="10703" spans="1:10" x14ac:dyDescent="0.25">
      <c r="A10703" t="s">
        <v>7602</v>
      </c>
      <c r="B10703" t="s">
        <v>5921</v>
      </c>
      <c r="C10703" t="s">
        <v>7757</v>
      </c>
      <c r="D10703" s="1" t="s">
        <v>7758</v>
      </c>
      <c r="E10703" t="s">
        <v>14</v>
      </c>
      <c r="F10703">
        <v>65.752799999999993</v>
      </c>
      <c r="G10703">
        <v>21.765000000000001</v>
      </c>
      <c r="H10703">
        <v>1</v>
      </c>
      <c r="I10703">
        <v>12</v>
      </c>
      <c r="J10703" t="str">
        <f>HYPERLINK("https://climate.onebuilding.org/WMO_Region_6_Europe/SWE_Sweden/NB_Norrbotten/SWE_NB_Savast.021700_TMYx.2007-2021.zip")</f>
        <v>https://climate.onebuilding.org/WMO_Region_6_Europe/SWE_Sweden/NB_Norrbotten/SWE_NB_Savast.021700_TMYx.2007-2021.zip</v>
      </c>
    </row>
    <row r="10704" spans="1:10" x14ac:dyDescent="0.25">
      <c r="A10704" t="s">
        <v>7602</v>
      </c>
      <c r="B10704" t="s">
        <v>5921</v>
      </c>
      <c r="C10704" t="s">
        <v>7757</v>
      </c>
      <c r="D10704" s="1" t="s">
        <v>7758</v>
      </c>
      <c r="E10704" t="s">
        <v>14</v>
      </c>
      <c r="F10704">
        <v>65.752799999999993</v>
      </c>
      <c r="G10704">
        <v>21.765000000000001</v>
      </c>
      <c r="H10704">
        <v>1</v>
      </c>
      <c r="I10704">
        <v>12</v>
      </c>
      <c r="J10704" t="str">
        <f>HYPERLINK("https://climate.onebuilding.org/WMO_Region_6_Europe/SWE_Sweden/NB_Norrbotten/SWE_NB_Savast.021700_TMYx.2009-2023.zip")</f>
        <v>https://climate.onebuilding.org/WMO_Region_6_Europe/SWE_Sweden/NB_Norrbotten/SWE_NB_Savast.021700_TMYx.2009-2023.zip</v>
      </c>
    </row>
    <row r="10705" spans="1:10" x14ac:dyDescent="0.25">
      <c r="A10705" t="s">
        <v>7602</v>
      </c>
      <c r="B10705" t="s">
        <v>5921</v>
      </c>
      <c r="C10705" t="s">
        <v>7757</v>
      </c>
      <c r="D10705" s="1" t="s">
        <v>7758</v>
      </c>
      <c r="E10705" t="s">
        <v>14</v>
      </c>
      <c r="F10705">
        <v>65.752799999999993</v>
      </c>
      <c r="G10705">
        <v>21.765000000000001</v>
      </c>
      <c r="H10705">
        <v>1</v>
      </c>
      <c r="I10705">
        <v>12</v>
      </c>
      <c r="J10705" t="str">
        <f>HYPERLINK("https://climate.onebuilding.org/WMO_Region_6_Europe/SWE_Sweden/NB_Norrbotten/SWE_NB_Savast.021700_TMYx.zip")</f>
        <v>https://climate.onebuilding.org/WMO_Region_6_Europe/SWE_Sweden/NB_Norrbotten/SWE_NB_Savast.021700_TMYx.zip</v>
      </c>
    </row>
    <row r="10706" spans="1:10" x14ac:dyDescent="0.25">
      <c r="A10706" t="s">
        <v>7602</v>
      </c>
      <c r="B10706" t="s">
        <v>5921</v>
      </c>
      <c r="C10706" t="s">
        <v>7759</v>
      </c>
      <c r="D10706" s="1" t="s">
        <v>7760</v>
      </c>
      <c r="E10706" t="s">
        <v>7761</v>
      </c>
      <c r="F10706">
        <v>65.808300000000003</v>
      </c>
      <c r="G10706">
        <v>21.634499999999999</v>
      </c>
      <c r="H10706">
        <v>1</v>
      </c>
      <c r="I10706">
        <v>26.8</v>
      </c>
      <c r="J10706" t="str">
        <f>HYPERLINK("https://climate.onebuilding.org/WMO_Region_6_Europe/SWE_Sweden/NB_Norrbotten/SWE_NB_Boden.021710_TMYx.2004-2018.zip")</f>
        <v>https://climate.onebuilding.org/WMO_Region_6_Europe/SWE_Sweden/NB_Norrbotten/SWE_NB_Boden.021710_TMYx.2004-2018.zip</v>
      </c>
    </row>
    <row r="10707" spans="1:10" x14ac:dyDescent="0.25">
      <c r="A10707" t="s">
        <v>7602</v>
      </c>
      <c r="B10707" t="s">
        <v>5921</v>
      </c>
      <c r="C10707" t="s">
        <v>7759</v>
      </c>
      <c r="D10707" s="1" t="s">
        <v>7760</v>
      </c>
      <c r="E10707" t="s">
        <v>14</v>
      </c>
      <c r="F10707">
        <v>65.814999999999998</v>
      </c>
      <c r="G10707">
        <v>21.64</v>
      </c>
      <c r="H10707">
        <v>1</v>
      </c>
      <c r="I10707">
        <v>26.8</v>
      </c>
      <c r="J10707" t="str">
        <f>HYPERLINK("https://climate.onebuilding.org/WMO_Region_6_Europe/SWE_Sweden/NB_Norrbotten/SWE_NB_Boden.021710_TMYx.2007-2021.zip")</f>
        <v>https://climate.onebuilding.org/WMO_Region_6_Europe/SWE_Sweden/NB_Norrbotten/SWE_NB_Boden.021710_TMYx.2007-2021.zip</v>
      </c>
    </row>
    <row r="10708" spans="1:10" x14ac:dyDescent="0.25">
      <c r="A10708" t="s">
        <v>7602</v>
      </c>
      <c r="B10708" t="s">
        <v>5921</v>
      </c>
      <c r="C10708" t="s">
        <v>7759</v>
      </c>
      <c r="D10708" s="1" t="s">
        <v>7760</v>
      </c>
      <c r="E10708" t="s">
        <v>14</v>
      </c>
      <c r="F10708">
        <v>65.814999999999998</v>
      </c>
      <c r="G10708">
        <v>21.64</v>
      </c>
      <c r="H10708">
        <v>1</v>
      </c>
      <c r="I10708">
        <v>26.8</v>
      </c>
      <c r="J10708" t="str">
        <f>HYPERLINK("https://climate.onebuilding.org/WMO_Region_6_Europe/SWE_Sweden/NB_Norrbotten/SWE_NB_Boden.021710_TMYx.2009-2023.zip")</f>
        <v>https://climate.onebuilding.org/WMO_Region_6_Europe/SWE_Sweden/NB_Norrbotten/SWE_NB_Boden.021710_TMYx.2009-2023.zip</v>
      </c>
    </row>
    <row r="10709" spans="1:10" x14ac:dyDescent="0.25">
      <c r="A10709" t="s">
        <v>7602</v>
      </c>
      <c r="B10709" t="s">
        <v>5921</v>
      </c>
      <c r="C10709" t="s">
        <v>7759</v>
      </c>
      <c r="D10709" s="1" t="s">
        <v>7760</v>
      </c>
      <c r="E10709" t="s">
        <v>14</v>
      </c>
      <c r="F10709">
        <v>65.814999999999998</v>
      </c>
      <c r="G10709">
        <v>21.64</v>
      </c>
      <c r="H10709">
        <v>1</v>
      </c>
      <c r="I10709">
        <v>26.8</v>
      </c>
      <c r="J10709" t="str">
        <f>HYPERLINK("https://climate.onebuilding.org/WMO_Region_6_Europe/SWE_Sweden/NB_Norrbotten/SWE_NB_Boden.021710_TMYx.zip")</f>
        <v>https://climate.onebuilding.org/WMO_Region_6_Europe/SWE_Sweden/NB_Norrbotten/SWE_NB_Boden.021710_TMYx.zip</v>
      </c>
    </row>
    <row r="10710" spans="1:10" x14ac:dyDescent="0.25">
      <c r="A10710" t="s">
        <v>7602</v>
      </c>
      <c r="B10710" t="s">
        <v>5921</v>
      </c>
      <c r="C10710" t="s">
        <v>7762</v>
      </c>
      <c r="D10710" s="1" t="s">
        <v>7763</v>
      </c>
      <c r="E10710" t="s">
        <v>7764</v>
      </c>
      <c r="F10710">
        <v>65.670299999999997</v>
      </c>
      <c r="G10710">
        <v>21.066400000000002</v>
      </c>
      <c r="H10710">
        <v>1</v>
      </c>
      <c r="I10710">
        <v>43.2</v>
      </c>
      <c r="J10710" t="str">
        <f>HYPERLINK("https://climate.onebuilding.org/WMO_Region_6_Europe/SWE_Sweden/NB_Norrbotten/SWE_NB_Alvsbyn.021730_TMYx.2004-2018.zip")</f>
        <v>https://climate.onebuilding.org/WMO_Region_6_Europe/SWE_Sweden/NB_Norrbotten/SWE_NB_Alvsbyn.021730_TMYx.2004-2018.zip</v>
      </c>
    </row>
    <row r="10711" spans="1:10" x14ac:dyDescent="0.25">
      <c r="A10711" t="s">
        <v>7602</v>
      </c>
      <c r="B10711" t="s">
        <v>5921</v>
      </c>
      <c r="C10711" t="s">
        <v>7762</v>
      </c>
      <c r="D10711" s="1" t="s">
        <v>7763</v>
      </c>
      <c r="E10711" t="s">
        <v>14</v>
      </c>
      <c r="F10711">
        <v>65.6691</v>
      </c>
      <c r="G10711">
        <v>21.062000000000001</v>
      </c>
      <c r="H10711">
        <v>1</v>
      </c>
      <c r="I10711">
        <v>43.2</v>
      </c>
      <c r="J10711" t="str">
        <f>HYPERLINK("https://climate.onebuilding.org/WMO_Region_6_Europe/SWE_Sweden/NB_Norrbotten/SWE_NB_Alvsbyn.021730_TMYx.2007-2021.zip")</f>
        <v>https://climate.onebuilding.org/WMO_Region_6_Europe/SWE_Sweden/NB_Norrbotten/SWE_NB_Alvsbyn.021730_TMYx.2007-2021.zip</v>
      </c>
    </row>
    <row r="10712" spans="1:10" x14ac:dyDescent="0.25">
      <c r="A10712" t="s">
        <v>7602</v>
      </c>
      <c r="B10712" t="s">
        <v>5921</v>
      </c>
      <c r="C10712" t="s">
        <v>7762</v>
      </c>
      <c r="D10712" s="1" t="s">
        <v>7763</v>
      </c>
      <c r="E10712" t="s">
        <v>14</v>
      </c>
      <c r="F10712">
        <v>65.6691</v>
      </c>
      <c r="G10712">
        <v>21.062000000000001</v>
      </c>
      <c r="H10712">
        <v>1</v>
      </c>
      <c r="I10712">
        <v>43.2</v>
      </c>
      <c r="J10712" t="str">
        <f>HYPERLINK("https://climate.onebuilding.org/WMO_Region_6_Europe/SWE_Sweden/NB_Norrbotten/SWE_NB_Alvsbyn.021730_TMYx.2009-2023.zip")</f>
        <v>https://climate.onebuilding.org/WMO_Region_6_Europe/SWE_Sweden/NB_Norrbotten/SWE_NB_Alvsbyn.021730_TMYx.2009-2023.zip</v>
      </c>
    </row>
    <row r="10713" spans="1:10" x14ac:dyDescent="0.25">
      <c r="A10713" t="s">
        <v>7602</v>
      </c>
      <c r="B10713" t="s">
        <v>5921</v>
      </c>
      <c r="C10713" t="s">
        <v>7762</v>
      </c>
      <c r="D10713" s="1" t="s">
        <v>7763</v>
      </c>
      <c r="E10713" t="s">
        <v>14</v>
      </c>
      <c r="F10713">
        <v>65.6691</v>
      </c>
      <c r="G10713">
        <v>21.062000000000001</v>
      </c>
      <c r="H10713">
        <v>1</v>
      </c>
      <c r="I10713">
        <v>43.2</v>
      </c>
      <c r="J10713" t="str">
        <f>HYPERLINK("https://climate.onebuilding.org/WMO_Region_6_Europe/SWE_Sweden/NB_Norrbotten/SWE_NB_Alvsbyn.021730_TMYx.zip")</f>
        <v>https://climate.onebuilding.org/WMO_Region_6_Europe/SWE_Sweden/NB_Norrbotten/SWE_NB_Alvsbyn.021730_TMYx.zip</v>
      </c>
    </row>
    <row r="10714" spans="1:10" x14ac:dyDescent="0.25">
      <c r="A10714" t="s">
        <v>7602</v>
      </c>
      <c r="B10714" t="s">
        <v>5921</v>
      </c>
      <c r="C10714" t="s">
        <v>7765</v>
      </c>
      <c r="D10714" s="1" t="s">
        <v>7766</v>
      </c>
      <c r="E10714" t="s">
        <v>7767</v>
      </c>
      <c r="F10714">
        <v>66.280299999999997</v>
      </c>
      <c r="G10714">
        <v>21.133099999999999</v>
      </c>
      <c r="H10714">
        <v>1</v>
      </c>
      <c r="I10714">
        <v>186.1</v>
      </c>
      <c r="J10714" t="str">
        <f>HYPERLINK("https://climate.onebuilding.org/WMO_Region_6_Europe/SWE_Sweden/NB_Norrbotten/SWE_NB_Lakatrask.021740_TMYx.2004-2018.zip")</f>
        <v>https://climate.onebuilding.org/WMO_Region_6_Europe/SWE_Sweden/NB_Norrbotten/SWE_NB_Lakatrask.021740_TMYx.2004-2018.zip</v>
      </c>
    </row>
    <row r="10715" spans="1:10" x14ac:dyDescent="0.25">
      <c r="A10715" t="s">
        <v>7602</v>
      </c>
      <c r="B10715" t="s">
        <v>5921</v>
      </c>
      <c r="C10715" t="s">
        <v>7765</v>
      </c>
      <c r="D10715" s="1" t="s">
        <v>7766</v>
      </c>
      <c r="E10715" t="s">
        <v>14</v>
      </c>
      <c r="F10715">
        <v>66.278899999999993</v>
      </c>
      <c r="G10715">
        <v>21.128499999999999</v>
      </c>
      <c r="H10715">
        <v>1</v>
      </c>
      <c r="I10715">
        <v>186.1</v>
      </c>
      <c r="J10715" t="str">
        <f>HYPERLINK("https://climate.onebuilding.org/WMO_Region_6_Europe/SWE_Sweden/NB_Norrbotten/SWE_NB_Lakatrask.021740_TMYx.2007-2021.zip")</f>
        <v>https://climate.onebuilding.org/WMO_Region_6_Europe/SWE_Sweden/NB_Norrbotten/SWE_NB_Lakatrask.021740_TMYx.2007-2021.zip</v>
      </c>
    </row>
    <row r="10716" spans="1:10" x14ac:dyDescent="0.25">
      <c r="A10716" t="s">
        <v>7602</v>
      </c>
      <c r="B10716" t="s">
        <v>5921</v>
      </c>
      <c r="C10716" t="s">
        <v>7765</v>
      </c>
      <c r="D10716" s="1" t="s">
        <v>7766</v>
      </c>
      <c r="E10716" t="s">
        <v>14</v>
      </c>
      <c r="F10716">
        <v>66.278899999999993</v>
      </c>
      <c r="G10716">
        <v>21.128499999999999</v>
      </c>
      <c r="H10716">
        <v>1</v>
      </c>
      <c r="I10716">
        <v>186.1</v>
      </c>
      <c r="J10716" t="str">
        <f>HYPERLINK("https://climate.onebuilding.org/WMO_Region_6_Europe/SWE_Sweden/NB_Norrbotten/SWE_NB_Lakatrask.021740_TMYx.2009-2023.zip")</f>
        <v>https://climate.onebuilding.org/WMO_Region_6_Europe/SWE_Sweden/NB_Norrbotten/SWE_NB_Lakatrask.021740_TMYx.2009-2023.zip</v>
      </c>
    </row>
    <row r="10717" spans="1:10" x14ac:dyDescent="0.25">
      <c r="A10717" t="s">
        <v>7602</v>
      </c>
      <c r="B10717" t="s">
        <v>5921</v>
      </c>
      <c r="C10717" t="s">
        <v>7765</v>
      </c>
      <c r="D10717" s="1" t="s">
        <v>7766</v>
      </c>
      <c r="E10717" t="s">
        <v>14</v>
      </c>
      <c r="F10717">
        <v>66.278899999999993</v>
      </c>
      <c r="G10717">
        <v>21.128499999999999</v>
      </c>
      <c r="H10717">
        <v>1</v>
      </c>
      <c r="I10717">
        <v>186.1</v>
      </c>
      <c r="J10717" t="str">
        <f>HYPERLINK("https://climate.onebuilding.org/WMO_Region_6_Europe/SWE_Sweden/NB_Norrbotten/SWE_NB_Lakatrask.021740_TMYx.zip")</f>
        <v>https://climate.onebuilding.org/WMO_Region_6_Europe/SWE_Sweden/NB_Norrbotten/SWE_NB_Lakatrask.021740_TMYx.zip</v>
      </c>
    </row>
    <row r="10718" spans="1:10" x14ac:dyDescent="0.25">
      <c r="A10718" t="s">
        <v>7602</v>
      </c>
      <c r="B10718" t="s">
        <v>7674</v>
      </c>
      <c r="C10718" t="s">
        <v>7768</v>
      </c>
      <c r="D10718" s="1" t="s">
        <v>7769</v>
      </c>
      <c r="E10718" t="s">
        <v>7770</v>
      </c>
      <c r="F10718">
        <v>65.035200000000003</v>
      </c>
      <c r="G10718">
        <v>21.557500000000001</v>
      </c>
      <c r="H10718">
        <v>1</v>
      </c>
      <c r="I10718">
        <v>6</v>
      </c>
      <c r="J10718" t="str">
        <f>HYPERLINK("https://climate.onebuilding.org/WMO_Region_6_Europe/SWE_Sweden/VB_Vasterbotten/SWE_VB_Pite-Ronnskar.Lighthouse.021760_TMYx.2004-2018.zip")</f>
        <v>https://climate.onebuilding.org/WMO_Region_6_Europe/SWE_Sweden/VB_Vasterbotten/SWE_VB_Pite-Ronnskar.Lighthouse.021760_TMYx.2004-2018.zip</v>
      </c>
    </row>
    <row r="10719" spans="1:10" x14ac:dyDescent="0.25">
      <c r="A10719" t="s">
        <v>7602</v>
      </c>
      <c r="B10719" t="s">
        <v>7674</v>
      </c>
      <c r="C10719" t="s">
        <v>7768</v>
      </c>
      <c r="D10719" s="1" t="s">
        <v>7769</v>
      </c>
      <c r="E10719" t="s">
        <v>14</v>
      </c>
      <c r="F10719">
        <v>65.034000000000006</v>
      </c>
      <c r="G10719">
        <v>21.561</v>
      </c>
      <c r="H10719">
        <v>1</v>
      </c>
      <c r="I10719">
        <v>6</v>
      </c>
      <c r="J10719" t="str">
        <f>HYPERLINK("https://climate.onebuilding.org/WMO_Region_6_Europe/SWE_Sweden/VB_Vasterbotten/SWE_VB_Pite-Ronnskar.Lighthouse.021760_TMYx.2007-2021.zip")</f>
        <v>https://climate.onebuilding.org/WMO_Region_6_Europe/SWE_Sweden/VB_Vasterbotten/SWE_VB_Pite-Ronnskar.Lighthouse.021760_TMYx.2007-2021.zip</v>
      </c>
    </row>
    <row r="10720" spans="1:10" x14ac:dyDescent="0.25">
      <c r="A10720" t="s">
        <v>7602</v>
      </c>
      <c r="B10720" t="s">
        <v>7674</v>
      </c>
      <c r="C10720" t="s">
        <v>7768</v>
      </c>
      <c r="D10720" s="1" t="s">
        <v>7769</v>
      </c>
      <c r="E10720" t="s">
        <v>14</v>
      </c>
      <c r="F10720">
        <v>65.034000000000006</v>
      </c>
      <c r="G10720">
        <v>21.561</v>
      </c>
      <c r="H10720">
        <v>1</v>
      </c>
      <c r="I10720">
        <v>6</v>
      </c>
      <c r="J10720" t="str">
        <f>HYPERLINK("https://climate.onebuilding.org/WMO_Region_6_Europe/SWE_Sweden/VB_Vasterbotten/SWE_VB_Pite-Ronnskar.Lighthouse.021760_TMYx.2009-2023.zip")</f>
        <v>https://climate.onebuilding.org/WMO_Region_6_Europe/SWE_Sweden/VB_Vasterbotten/SWE_VB_Pite-Ronnskar.Lighthouse.021760_TMYx.2009-2023.zip</v>
      </c>
    </row>
    <row r="10721" spans="1:10" x14ac:dyDescent="0.25">
      <c r="A10721" t="s">
        <v>7602</v>
      </c>
      <c r="B10721" t="s">
        <v>7674</v>
      </c>
      <c r="C10721" t="s">
        <v>7768</v>
      </c>
      <c r="D10721" s="1" t="s">
        <v>7769</v>
      </c>
      <c r="E10721" t="s">
        <v>14</v>
      </c>
      <c r="F10721">
        <v>65.034000000000006</v>
      </c>
      <c r="G10721">
        <v>21.561</v>
      </c>
      <c r="H10721">
        <v>1</v>
      </c>
      <c r="I10721">
        <v>6</v>
      </c>
      <c r="J10721" t="str">
        <f>HYPERLINK("https://climate.onebuilding.org/WMO_Region_6_Europe/SWE_Sweden/VB_Vasterbotten/SWE_VB_Pite-Ronnskar.Lighthouse.021760_TMYx.zip")</f>
        <v>https://climate.onebuilding.org/WMO_Region_6_Europe/SWE_Sweden/VB_Vasterbotten/SWE_VB_Pite-Ronnskar.Lighthouse.021760_TMYx.zip</v>
      </c>
    </row>
    <row r="10722" spans="1:10" x14ac:dyDescent="0.25">
      <c r="A10722" t="s">
        <v>7602</v>
      </c>
      <c r="B10722" t="s">
        <v>5921</v>
      </c>
      <c r="C10722" t="s">
        <v>7771</v>
      </c>
      <c r="D10722" s="1" t="s">
        <v>7772</v>
      </c>
      <c r="E10722" t="s">
        <v>7773</v>
      </c>
      <c r="F10722">
        <v>66.263000000000005</v>
      </c>
      <c r="G10722">
        <v>22.8475</v>
      </c>
      <c r="H10722">
        <v>1</v>
      </c>
      <c r="I10722">
        <v>62</v>
      </c>
      <c r="J10722" t="str">
        <f>HYPERLINK("https://climate.onebuilding.org/WMO_Region_6_Europe/SWE_Sweden/NB_Norrbotten/SWE_NB_Overkalix-Svartbyn.021810_TMYx.2004-2018.zip")</f>
        <v>https://climate.onebuilding.org/WMO_Region_6_Europe/SWE_Sweden/NB_Norrbotten/SWE_NB_Overkalix-Svartbyn.021810_TMYx.2004-2018.zip</v>
      </c>
    </row>
    <row r="10723" spans="1:10" x14ac:dyDescent="0.25">
      <c r="A10723" t="s">
        <v>7602</v>
      </c>
      <c r="B10723" t="s">
        <v>5921</v>
      </c>
      <c r="C10723" t="s">
        <v>7771</v>
      </c>
      <c r="D10723" s="1" t="s">
        <v>7772</v>
      </c>
      <c r="E10723" t="s">
        <v>14</v>
      </c>
      <c r="F10723">
        <v>66.262</v>
      </c>
      <c r="G10723">
        <v>22.843</v>
      </c>
      <c r="H10723">
        <v>1</v>
      </c>
      <c r="I10723">
        <v>62</v>
      </c>
      <c r="J10723" t="str">
        <f>HYPERLINK("https://climate.onebuilding.org/WMO_Region_6_Europe/SWE_Sweden/NB_Norrbotten/SWE_NB_Overkalix-Svartbyn.021810_TMYx.2007-2021.zip")</f>
        <v>https://climate.onebuilding.org/WMO_Region_6_Europe/SWE_Sweden/NB_Norrbotten/SWE_NB_Overkalix-Svartbyn.021810_TMYx.2007-2021.zip</v>
      </c>
    </row>
    <row r="10724" spans="1:10" x14ac:dyDescent="0.25">
      <c r="A10724" t="s">
        <v>7602</v>
      </c>
      <c r="B10724" t="s">
        <v>5921</v>
      </c>
      <c r="C10724" t="s">
        <v>7771</v>
      </c>
      <c r="D10724" s="1" t="s">
        <v>7772</v>
      </c>
      <c r="E10724" t="s">
        <v>14</v>
      </c>
      <c r="F10724">
        <v>66.262</v>
      </c>
      <c r="G10724">
        <v>22.843</v>
      </c>
      <c r="H10724">
        <v>1</v>
      </c>
      <c r="I10724">
        <v>62</v>
      </c>
      <c r="J10724" t="str">
        <f>HYPERLINK("https://climate.onebuilding.org/WMO_Region_6_Europe/SWE_Sweden/NB_Norrbotten/SWE_NB_Overkalix-Svartbyn.021810_TMYx.2009-2023.zip")</f>
        <v>https://climate.onebuilding.org/WMO_Region_6_Europe/SWE_Sweden/NB_Norrbotten/SWE_NB_Overkalix-Svartbyn.021810_TMYx.2009-2023.zip</v>
      </c>
    </row>
    <row r="10725" spans="1:10" x14ac:dyDescent="0.25">
      <c r="A10725" t="s">
        <v>7602</v>
      </c>
      <c r="B10725" t="s">
        <v>5921</v>
      </c>
      <c r="C10725" t="s">
        <v>7771</v>
      </c>
      <c r="D10725" s="1" t="s">
        <v>7772</v>
      </c>
      <c r="E10725" t="s">
        <v>14</v>
      </c>
      <c r="F10725">
        <v>66.262</v>
      </c>
      <c r="G10725">
        <v>22.843</v>
      </c>
      <c r="H10725">
        <v>1</v>
      </c>
      <c r="I10725">
        <v>62</v>
      </c>
      <c r="J10725" t="str">
        <f>HYPERLINK("https://climate.onebuilding.org/WMO_Region_6_Europe/SWE_Sweden/NB_Norrbotten/SWE_NB_Overkalix-Svartbyn.021810_TMYx.zip")</f>
        <v>https://climate.onebuilding.org/WMO_Region_6_Europe/SWE_Sweden/NB_Norrbotten/SWE_NB_Overkalix-Svartbyn.021810_TMYx.zip</v>
      </c>
    </row>
    <row r="10726" spans="1:10" x14ac:dyDescent="0.25">
      <c r="A10726" t="s">
        <v>7602</v>
      </c>
      <c r="B10726" t="s">
        <v>5921</v>
      </c>
      <c r="C10726" t="s">
        <v>7774</v>
      </c>
      <c r="D10726" s="1" t="s">
        <v>7775</v>
      </c>
      <c r="E10726" t="s">
        <v>7776</v>
      </c>
      <c r="F10726">
        <v>66.810599999999994</v>
      </c>
      <c r="G10726">
        <v>22.336400000000001</v>
      </c>
      <c r="H10726">
        <v>1</v>
      </c>
      <c r="I10726">
        <v>228.7</v>
      </c>
      <c r="J10726" t="str">
        <f>HYPERLINK("https://climate.onebuilding.org/WMO_Region_6_Europe/SWE_Sweden/NB_Norrbotten/SWE_NB_Paharova.021840_TMYx.2004-2018.zip")</f>
        <v>https://climate.onebuilding.org/WMO_Region_6_Europe/SWE_Sweden/NB_Norrbotten/SWE_NB_Paharova.021840_TMYx.2004-2018.zip</v>
      </c>
    </row>
    <row r="10727" spans="1:10" x14ac:dyDescent="0.25">
      <c r="A10727" t="s">
        <v>7602</v>
      </c>
      <c r="B10727" t="s">
        <v>5921</v>
      </c>
      <c r="C10727" t="s">
        <v>7774</v>
      </c>
      <c r="D10727" s="1" t="s">
        <v>7775</v>
      </c>
      <c r="E10727" t="s">
        <v>14</v>
      </c>
      <c r="F10727">
        <v>66.808999999999997</v>
      </c>
      <c r="G10727">
        <v>22.331</v>
      </c>
      <c r="H10727">
        <v>1</v>
      </c>
      <c r="I10727">
        <v>228.7</v>
      </c>
      <c r="J10727" t="str">
        <f>HYPERLINK("https://climate.onebuilding.org/WMO_Region_6_Europe/SWE_Sweden/NB_Norrbotten/SWE_NB_Paharova.021840_TMYx.2007-2021.zip")</f>
        <v>https://climate.onebuilding.org/WMO_Region_6_Europe/SWE_Sweden/NB_Norrbotten/SWE_NB_Paharova.021840_TMYx.2007-2021.zip</v>
      </c>
    </row>
    <row r="10728" spans="1:10" x14ac:dyDescent="0.25">
      <c r="A10728" t="s">
        <v>7602</v>
      </c>
      <c r="B10728" t="s">
        <v>5921</v>
      </c>
      <c r="C10728" t="s">
        <v>7774</v>
      </c>
      <c r="D10728" s="1" t="s">
        <v>7775</v>
      </c>
      <c r="E10728" t="s">
        <v>14</v>
      </c>
      <c r="F10728">
        <v>66.808999999999997</v>
      </c>
      <c r="G10728">
        <v>22.331</v>
      </c>
      <c r="H10728">
        <v>1</v>
      </c>
      <c r="I10728">
        <v>228.7</v>
      </c>
      <c r="J10728" t="str">
        <f>HYPERLINK("https://climate.onebuilding.org/WMO_Region_6_Europe/SWE_Sweden/NB_Norrbotten/SWE_NB_Paharova.021840_TMYx.2009-2023.zip")</f>
        <v>https://climate.onebuilding.org/WMO_Region_6_Europe/SWE_Sweden/NB_Norrbotten/SWE_NB_Paharova.021840_TMYx.2009-2023.zip</v>
      </c>
    </row>
    <row r="10729" spans="1:10" x14ac:dyDescent="0.25">
      <c r="A10729" t="s">
        <v>7602</v>
      </c>
      <c r="B10729" t="s">
        <v>5921</v>
      </c>
      <c r="C10729" t="s">
        <v>7774</v>
      </c>
      <c r="D10729" s="1" t="s">
        <v>7775</v>
      </c>
      <c r="E10729" t="s">
        <v>14</v>
      </c>
      <c r="F10729">
        <v>66.808999999999997</v>
      </c>
      <c r="G10729">
        <v>22.331</v>
      </c>
      <c r="H10729">
        <v>1</v>
      </c>
      <c r="I10729">
        <v>228.7</v>
      </c>
      <c r="J10729" t="str">
        <f>HYPERLINK("https://climate.onebuilding.org/WMO_Region_6_Europe/SWE_Sweden/NB_Norrbotten/SWE_NB_Paharova.021840_TMYx.zip")</f>
        <v>https://climate.onebuilding.org/WMO_Region_6_Europe/SWE_Sweden/NB_Norrbotten/SWE_NB_Paharova.021840_TMYx.zip</v>
      </c>
    </row>
    <row r="10730" spans="1:10" x14ac:dyDescent="0.25">
      <c r="A10730" t="s">
        <v>7602</v>
      </c>
      <c r="B10730" t="s">
        <v>5921</v>
      </c>
      <c r="C10730" t="s">
        <v>7777</v>
      </c>
      <c r="D10730" s="1" t="s">
        <v>7778</v>
      </c>
      <c r="E10730" t="s">
        <v>7779</v>
      </c>
      <c r="F10730">
        <v>65.544399999999996</v>
      </c>
      <c r="G10730">
        <v>22.1281</v>
      </c>
      <c r="H10730">
        <v>1</v>
      </c>
      <c r="I10730">
        <v>17</v>
      </c>
      <c r="J10730" t="str">
        <f>HYPERLINK("https://climate.onebuilding.org/WMO_Region_6_Europe/SWE_Sweden/NB_Norrbotten/SWE_NB_Lulea.AP.021860_TMYx.2004-2018.zip")</f>
        <v>https://climate.onebuilding.org/WMO_Region_6_Europe/SWE_Sweden/NB_Norrbotten/SWE_NB_Lulea.AP.021860_TMYx.2004-2018.zip</v>
      </c>
    </row>
    <row r="10731" spans="1:10" x14ac:dyDescent="0.25">
      <c r="A10731" t="s">
        <v>7602</v>
      </c>
      <c r="B10731" t="s">
        <v>5921</v>
      </c>
      <c r="C10731" t="s">
        <v>7777</v>
      </c>
      <c r="D10731" s="1" t="s">
        <v>7778</v>
      </c>
      <c r="E10731" t="s">
        <v>14</v>
      </c>
      <c r="F10731">
        <v>65.543000000000006</v>
      </c>
      <c r="G10731">
        <v>22.119</v>
      </c>
      <c r="H10731">
        <v>1</v>
      </c>
      <c r="I10731">
        <v>17</v>
      </c>
      <c r="J10731" t="str">
        <f>HYPERLINK("https://climate.onebuilding.org/WMO_Region_6_Europe/SWE_Sweden/NB_Norrbotten/SWE_NB_Lulea.AP.021860_TMYx.2007-2021.zip")</f>
        <v>https://climate.onebuilding.org/WMO_Region_6_Europe/SWE_Sweden/NB_Norrbotten/SWE_NB_Lulea.AP.021860_TMYx.2007-2021.zip</v>
      </c>
    </row>
    <row r="10732" spans="1:10" x14ac:dyDescent="0.25">
      <c r="A10732" t="s">
        <v>7602</v>
      </c>
      <c r="B10732" t="s">
        <v>5921</v>
      </c>
      <c r="C10732" t="s">
        <v>7777</v>
      </c>
      <c r="D10732" s="1" t="s">
        <v>7778</v>
      </c>
      <c r="E10732" t="s">
        <v>14</v>
      </c>
      <c r="F10732">
        <v>65.543000000000006</v>
      </c>
      <c r="G10732">
        <v>22.119</v>
      </c>
      <c r="H10732">
        <v>1</v>
      </c>
      <c r="I10732">
        <v>17</v>
      </c>
      <c r="J10732" t="str">
        <f>HYPERLINK("https://climate.onebuilding.org/WMO_Region_6_Europe/SWE_Sweden/NB_Norrbotten/SWE_NB_Lulea.AP.021860_TMYx.2009-2023.zip")</f>
        <v>https://climate.onebuilding.org/WMO_Region_6_Europe/SWE_Sweden/NB_Norrbotten/SWE_NB_Lulea.AP.021860_TMYx.2009-2023.zip</v>
      </c>
    </row>
    <row r="10733" spans="1:10" x14ac:dyDescent="0.25">
      <c r="A10733" t="s">
        <v>7602</v>
      </c>
      <c r="B10733" t="s">
        <v>5921</v>
      </c>
      <c r="C10733" t="s">
        <v>7777</v>
      </c>
      <c r="D10733" s="1" t="s">
        <v>7778</v>
      </c>
      <c r="E10733" t="s">
        <v>14</v>
      </c>
      <c r="F10733">
        <v>65.543000000000006</v>
      </c>
      <c r="G10733">
        <v>22.119</v>
      </c>
      <c r="H10733">
        <v>1</v>
      </c>
      <c r="I10733">
        <v>17</v>
      </c>
      <c r="J10733" t="str">
        <f>HYPERLINK("https://climate.onebuilding.org/WMO_Region_6_Europe/SWE_Sweden/NB_Norrbotten/SWE_NB_Lulea.AP.021860_TMYx.zip")</f>
        <v>https://climate.onebuilding.org/WMO_Region_6_Europe/SWE_Sweden/NB_Norrbotten/SWE_NB_Lulea.AP.021860_TMYx.zip</v>
      </c>
    </row>
    <row r="10734" spans="1:10" x14ac:dyDescent="0.25">
      <c r="A10734" t="s">
        <v>7602</v>
      </c>
      <c r="B10734" t="s">
        <v>5921</v>
      </c>
      <c r="C10734" t="s">
        <v>7780</v>
      </c>
      <c r="D10734" s="1" t="s">
        <v>7781</v>
      </c>
      <c r="E10734" t="s">
        <v>7782</v>
      </c>
      <c r="F10734">
        <v>65.314400000000006</v>
      </c>
      <c r="G10734">
        <v>22.369800000000001</v>
      </c>
      <c r="H10734">
        <v>1</v>
      </c>
      <c r="I10734">
        <v>1.8</v>
      </c>
      <c r="J10734" t="str">
        <f>HYPERLINK("https://climate.onebuilding.org/WMO_Region_6_Europe/SWE_Sweden/NB_Norrbotten/SWE_NB_Rodkallen.Lighthouse.021880_TMYx.2004-2018.zip")</f>
        <v>https://climate.onebuilding.org/WMO_Region_6_Europe/SWE_Sweden/NB_Norrbotten/SWE_NB_Rodkallen.Lighthouse.021880_TMYx.2004-2018.zip</v>
      </c>
    </row>
    <row r="10735" spans="1:10" x14ac:dyDescent="0.25">
      <c r="A10735" t="s">
        <v>7602</v>
      </c>
      <c r="B10735" t="s">
        <v>5921</v>
      </c>
      <c r="C10735" t="s">
        <v>7780</v>
      </c>
      <c r="D10735" s="1" t="s">
        <v>7781</v>
      </c>
      <c r="E10735" t="s">
        <v>14</v>
      </c>
      <c r="F10735">
        <v>65.311999999999998</v>
      </c>
      <c r="G10735">
        <v>22.370999999999999</v>
      </c>
      <c r="H10735">
        <v>1</v>
      </c>
      <c r="I10735">
        <v>1.8</v>
      </c>
      <c r="J10735" t="str">
        <f>HYPERLINK("https://climate.onebuilding.org/WMO_Region_6_Europe/SWE_Sweden/NB_Norrbotten/SWE_NB_Rodkallen.Lighthouse.021880_TMYx.2007-2021.zip")</f>
        <v>https://climate.onebuilding.org/WMO_Region_6_Europe/SWE_Sweden/NB_Norrbotten/SWE_NB_Rodkallen.Lighthouse.021880_TMYx.2007-2021.zip</v>
      </c>
    </row>
    <row r="10736" spans="1:10" x14ac:dyDescent="0.25">
      <c r="A10736" t="s">
        <v>7602</v>
      </c>
      <c r="B10736" t="s">
        <v>5921</v>
      </c>
      <c r="C10736" t="s">
        <v>7780</v>
      </c>
      <c r="D10736" s="1" t="s">
        <v>7781</v>
      </c>
      <c r="E10736" t="s">
        <v>14</v>
      </c>
      <c r="F10736">
        <v>65.311999999999998</v>
      </c>
      <c r="G10736">
        <v>22.370999999999999</v>
      </c>
      <c r="H10736">
        <v>1</v>
      </c>
      <c r="I10736">
        <v>1.8</v>
      </c>
      <c r="J10736" t="str">
        <f>HYPERLINK("https://climate.onebuilding.org/WMO_Region_6_Europe/SWE_Sweden/NB_Norrbotten/SWE_NB_Rodkallen.Lighthouse.021880_TMYx.2009-2023.zip")</f>
        <v>https://climate.onebuilding.org/WMO_Region_6_Europe/SWE_Sweden/NB_Norrbotten/SWE_NB_Rodkallen.Lighthouse.021880_TMYx.2009-2023.zip</v>
      </c>
    </row>
    <row r="10737" spans="1:10" x14ac:dyDescent="0.25">
      <c r="A10737" t="s">
        <v>7602</v>
      </c>
      <c r="B10737" t="s">
        <v>5921</v>
      </c>
      <c r="C10737" t="s">
        <v>7780</v>
      </c>
      <c r="D10737" s="1" t="s">
        <v>7781</v>
      </c>
      <c r="E10737" t="s">
        <v>14</v>
      </c>
      <c r="F10737">
        <v>65.311999999999998</v>
      </c>
      <c r="G10737">
        <v>22.370999999999999</v>
      </c>
      <c r="H10737">
        <v>1</v>
      </c>
      <c r="I10737">
        <v>1.8</v>
      </c>
      <c r="J10737" t="str">
        <f>HYPERLINK("https://climate.onebuilding.org/WMO_Region_6_Europe/SWE_Sweden/NB_Norrbotten/SWE_NB_Rodkallen.Lighthouse.021880_TMYx.zip")</f>
        <v>https://climate.onebuilding.org/WMO_Region_6_Europe/SWE_Sweden/NB_Norrbotten/SWE_NB_Rodkallen.Lighthouse.021880_TMYx.zip</v>
      </c>
    </row>
    <row r="10738" spans="1:10" x14ac:dyDescent="0.25">
      <c r="A10738" t="s">
        <v>7602</v>
      </c>
      <c r="B10738" t="s">
        <v>5921</v>
      </c>
      <c r="C10738" t="s">
        <v>7783</v>
      </c>
      <c r="D10738" s="1" t="s">
        <v>7784</v>
      </c>
      <c r="E10738" t="s">
        <v>7785</v>
      </c>
      <c r="F10738">
        <v>65.729799999999997</v>
      </c>
      <c r="G10738">
        <v>23.087399999999999</v>
      </c>
      <c r="H10738">
        <v>1</v>
      </c>
      <c r="I10738">
        <v>3.6</v>
      </c>
      <c r="J10738" t="str">
        <f>HYPERLINK("https://climate.onebuilding.org/WMO_Region_6_Europe/SWE_Sweden/NB_Norrbotten/SWE_NB_Kalix-Storon.021910_TMYx.2004-2018.zip")</f>
        <v>https://climate.onebuilding.org/WMO_Region_6_Europe/SWE_Sweden/NB_Norrbotten/SWE_NB_Kalix-Storon.021910_TMYx.2004-2018.zip</v>
      </c>
    </row>
    <row r="10739" spans="1:10" x14ac:dyDescent="0.25">
      <c r="A10739" t="s">
        <v>7602</v>
      </c>
      <c r="B10739" t="s">
        <v>5921</v>
      </c>
      <c r="C10739" t="s">
        <v>7783</v>
      </c>
      <c r="D10739" s="1" t="s">
        <v>7784</v>
      </c>
      <c r="E10739" t="s">
        <v>14</v>
      </c>
      <c r="F10739">
        <v>65.697000000000003</v>
      </c>
      <c r="G10739">
        <v>23.096</v>
      </c>
      <c r="H10739">
        <v>1</v>
      </c>
      <c r="I10739">
        <v>3.6</v>
      </c>
      <c r="J10739" t="str">
        <f>HYPERLINK("https://climate.onebuilding.org/WMO_Region_6_Europe/SWE_Sweden/NB_Norrbotten/SWE_NB_Kalix-Storon.021910_TMYx.2007-2021.zip")</f>
        <v>https://climate.onebuilding.org/WMO_Region_6_Europe/SWE_Sweden/NB_Norrbotten/SWE_NB_Kalix-Storon.021910_TMYx.2007-2021.zip</v>
      </c>
    </row>
    <row r="10740" spans="1:10" x14ac:dyDescent="0.25">
      <c r="A10740" t="s">
        <v>7602</v>
      </c>
      <c r="B10740" t="s">
        <v>5921</v>
      </c>
      <c r="C10740" t="s">
        <v>7783</v>
      </c>
      <c r="D10740" s="1" t="s">
        <v>7784</v>
      </c>
      <c r="E10740" t="s">
        <v>14</v>
      </c>
      <c r="F10740">
        <v>65.697000000000003</v>
      </c>
      <c r="G10740">
        <v>23.096</v>
      </c>
      <c r="H10740">
        <v>1</v>
      </c>
      <c r="I10740">
        <v>3.6</v>
      </c>
      <c r="J10740" t="str">
        <f>HYPERLINK("https://climate.onebuilding.org/WMO_Region_6_Europe/SWE_Sweden/NB_Norrbotten/SWE_NB_Kalix-Storon.021910_TMYx.2009-2023.zip")</f>
        <v>https://climate.onebuilding.org/WMO_Region_6_Europe/SWE_Sweden/NB_Norrbotten/SWE_NB_Kalix-Storon.021910_TMYx.2009-2023.zip</v>
      </c>
    </row>
    <row r="10741" spans="1:10" x14ac:dyDescent="0.25">
      <c r="A10741" t="s">
        <v>7602</v>
      </c>
      <c r="B10741" t="s">
        <v>5921</v>
      </c>
      <c r="C10741" t="s">
        <v>7783</v>
      </c>
      <c r="D10741" s="1" t="s">
        <v>7784</v>
      </c>
      <c r="E10741" t="s">
        <v>14</v>
      </c>
      <c r="F10741">
        <v>65.697000000000003</v>
      </c>
      <c r="G10741">
        <v>23.096</v>
      </c>
      <c r="H10741">
        <v>1</v>
      </c>
      <c r="I10741">
        <v>3.6</v>
      </c>
      <c r="J10741" t="str">
        <f>HYPERLINK("https://climate.onebuilding.org/WMO_Region_6_Europe/SWE_Sweden/NB_Norrbotten/SWE_NB_Kalix-Storon.021910_TMYx.zip")</f>
        <v>https://climate.onebuilding.org/WMO_Region_6_Europe/SWE_Sweden/NB_Norrbotten/SWE_NB_Kalix-Storon.021910_TMYx.zip</v>
      </c>
    </row>
    <row r="10742" spans="1:10" x14ac:dyDescent="0.25">
      <c r="A10742" t="s">
        <v>7602</v>
      </c>
      <c r="B10742" t="s">
        <v>5921</v>
      </c>
      <c r="C10742" t="s">
        <v>7786</v>
      </c>
      <c r="D10742" s="1" t="s">
        <v>7787</v>
      </c>
      <c r="E10742" t="s">
        <v>7788</v>
      </c>
      <c r="F10742">
        <v>65.823599999999999</v>
      </c>
      <c r="G10742">
        <v>24.1114</v>
      </c>
      <c r="H10742">
        <v>1</v>
      </c>
      <c r="I10742">
        <v>15.1</v>
      </c>
      <c r="J10742" t="str">
        <f>HYPERLINK("https://climate.onebuilding.org/WMO_Region_6_Europe/SWE_Sweden/NB_Norrbotten/SWE_NB_Haparanda.021970_TMYx.2004-2018.zip")</f>
        <v>https://climate.onebuilding.org/WMO_Region_6_Europe/SWE_Sweden/NB_Norrbotten/SWE_NB_Haparanda.021970_TMYx.2004-2018.zip</v>
      </c>
    </row>
    <row r="10743" spans="1:10" x14ac:dyDescent="0.25">
      <c r="A10743" t="s">
        <v>7602</v>
      </c>
      <c r="B10743" t="s">
        <v>5921</v>
      </c>
      <c r="C10743" t="s">
        <v>7786</v>
      </c>
      <c r="D10743" s="1" t="s">
        <v>7787</v>
      </c>
      <c r="E10743" t="s">
        <v>14</v>
      </c>
      <c r="F10743">
        <v>65.823599999999999</v>
      </c>
      <c r="G10743">
        <v>24.1114</v>
      </c>
      <c r="H10743">
        <v>1</v>
      </c>
      <c r="I10743">
        <v>15.1</v>
      </c>
      <c r="J10743" t="str">
        <f>HYPERLINK("https://climate.onebuilding.org/WMO_Region_6_Europe/SWE_Sweden/NB_Norrbotten/SWE_NB_Haparanda.021970_TMYx.2007-2021.zip")</f>
        <v>https://climate.onebuilding.org/WMO_Region_6_Europe/SWE_Sweden/NB_Norrbotten/SWE_NB_Haparanda.021970_TMYx.2007-2021.zip</v>
      </c>
    </row>
    <row r="10744" spans="1:10" x14ac:dyDescent="0.25">
      <c r="A10744" t="s">
        <v>7602</v>
      </c>
      <c r="B10744" t="s">
        <v>5921</v>
      </c>
      <c r="C10744" t="s">
        <v>7786</v>
      </c>
      <c r="D10744" s="1" t="s">
        <v>7787</v>
      </c>
      <c r="E10744" t="s">
        <v>14</v>
      </c>
      <c r="F10744">
        <v>65.823599999999999</v>
      </c>
      <c r="G10744">
        <v>24.1114</v>
      </c>
      <c r="H10744">
        <v>1</v>
      </c>
      <c r="I10744">
        <v>15.1</v>
      </c>
      <c r="J10744" t="str">
        <f>HYPERLINK("https://climate.onebuilding.org/WMO_Region_6_Europe/SWE_Sweden/NB_Norrbotten/SWE_NB_Haparanda.021970_TMYx.2009-2023.zip")</f>
        <v>https://climate.onebuilding.org/WMO_Region_6_Europe/SWE_Sweden/NB_Norrbotten/SWE_NB_Haparanda.021970_TMYx.2009-2023.zip</v>
      </c>
    </row>
    <row r="10745" spans="1:10" x14ac:dyDescent="0.25">
      <c r="A10745" t="s">
        <v>7602</v>
      </c>
      <c r="B10745" t="s">
        <v>5921</v>
      </c>
      <c r="C10745" t="s">
        <v>7786</v>
      </c>
      <c r="D10745" s="1" t="s">
        <v>7787</v>
      </c>
      <c r="E10745" t="s">
        <v>14</v>
      </c>
      <c r="F10745">
        <v>65.823599999999999</v>
      </c>
      <c r="G10745">
        <v>24.1114</v>
      </c>
      <c r="H10745">
        <v>1</v>
      </c>
      <c r="I10745">
        <v>15.1</v>
      </c>
      <c r="J10745" t="str">
        <f>HYPERLINK("https://climate.onebuilding.org/WMO_Region_6_Europe/SWE_Sweden/NB_Norrbotten/SWE_NB_Haparanda.021970_TMYx.zip")</f>
        <v>https://climate.onebuilding.org/WMO_Region_6_Europe/SWE_Sweden/NB_Norrbotten/SWE_NB_Haparanda.021970_TMYx.zip</v>
      </c>
    </row>
    <row r="10746" spans="1:10" x14ac:dyDescent="0.25">
      <c r="A10746" t="s">
        <v>7602</v>
      </c>
      <c r="B10746" t="s">
        <v>5921</v>
      </c>
      <c r="C10746" t="s">
        <v>7789</v>
      </c>
      <c r="D10746" s="1" t="s">
        <v>7790</v>
      </c>
      <c r="E10746" t="s">
        <v>7791</v>
      </c>
      <c r="F10746">
        <v>66.623599999999996</v>
      </c>
      <c r="G10746">
        <v>23.4681</v>
      </c>
      <c r="H10746">
        <v>1</v>
      </c>
      <c r="I10746">
        <v>132.19999999999999</v>
      </c>
      <c r="J10746" t="str">
        <f>HYPERLINK("https://climate.onebuilding.org/WMO_Region_6_Europe/SWE_Sweden/NB_Norrbotten/SWE_NB_Ylinenjarvi.021990_TMYx.2004-2018.zip")</f>
        <v>https://climate.onebuilding.org/WMO_Region_6_Europe/SWE_Sweden/NB_Norrbotten/SWE_NB_Ylinenjarvi.021990_TMYx.2004-2018.zip</v>
      </c>
    </row>
    <row r="10747" spans="1:10" x14ac:dyDescent="0.25">
      <c r="A10747" t="s">
        <v>7602</v>
      </c>
      <c r="B10747" t="s">
        <v>5921</v>
      </c>
      <c r="C10747" t="s">
        <v>7789</v>
      </c>
      <c r="D10747" s="1" t="s">
        <v>7790</v>
      </c>
      <c r="E10747" t="s">
        <v>14</v>
      </c>
      <c r="F10747">
        <v>66.622</v>
      </c>
      <c r="G10747">
        <v>23.463000000000001</v>
      </c>
      <c r="H10747">
        <v>1</v>
      </c>
      <c r="I10747">
        <v>132.19999999999999</v>
      </c>
      <c r="J10747" t="str">
        <f>HYPERLINK("https://climate.onebuilding.org/WMO_Region_6_Europe/SWE_Sweden/NB_Norrbotten/SWE_NB_Ylinenjarvi.021990_TMYx.2007-2021.zip")</f>
        <v>https://climate.onebuilding.org/WMO_Region_6_Europe/SWE_Sweden/NB_Norrbotten/SWE_NB_Ylinenjarvi.021990_TMYx.2007-2021.zip</v>
      </c>
    </row>
    <row r="10748" spans="1:10" x14ac:dyDescent="0.25">
      <c r="A10748" t="s">
        <v>7602</v>
      </c>
      <c r="B10748" t="s">
        <v>5921</v>
      </c>
      <c r="C10748" t="s">
        <v>7789</v>
      </c>
      <c r="D10748" s="1" t="s">
        <v>7790</v>
      </c>
      <c r="E10748" t="s">
        <v>14</v>
      </c>
      <c r="F10748">
        <v>66.622</v>
      </c>
      <c r="G10748">
        <v>23.463000000000001</v>
      </c>
      <c r="H10748">
        <v>1</v>
      </c>
      <c r="I10748">
        <v>132.19999999999999</v>
      </c>
      <c r="J10748" t="str">
        <f>HYPERLINK("https://climate.onebuilding.org/WMO_Region_6_Europe/SWE_Sweden/NB_Norrbotten/SWE_NB_Ylinenjarvi.021990_TMYx.2009-2023.zip")</f>
        <v>https://climate.onebuilding.org/WMO_Region_6_Europe/SWE_Sweden/NB_Norrbotten/SWE_NB_Ylinenjarvi.021990_TMYx.2009-2023.zip</v>
      </c>
    </row>
    <row r="10749" spans="1:10" x14ac:dyDescent="0.25">
      <c r="A10749" t="s">
        <v>7602</v>
      </c>
      <c r="B10749" t="s">
        <v>5921</v>
      </c>
      <c r="C10749" t="s">
        <v>7789</v>
      </c>
      <c r="D10749" s="1" t="s">
        <v>7790</v>
      </c>
      <c r="E10749" t="s">
        <v>14</v>
      </c>
      <c r="F10749">
        <v>66.622</v>
      </c>
      <c r="G10749">
        <v>23.463000000000001</v>
      </c>
      <c r="H10749">
        <v>1</v>
      </c>
      <c r="I10749">
        <v>132.19999999999999</v>
      </c>
      <c r="J10749" t="str">
        <f>HYPERLINK("https://climate.onebuilding.org/WMO_Region_6_Europe/SWE_Sweden/NB_Norrbotten/SWE_NB_Ylinenjarvi.021990_TMYx.zip")</f>
        <v>https://climate.onebuilding.org/WMO_Region_6_Europe/SWE_Sweden/NB_Norrbotten/SWE_NB_Ylinenjarvi.021990_TMYx.zip</v>
      </c>
    </row>
    <row r="10750" spans="1:10" x14ac:dyDescent="0.25">
      <c r="A10750" t="s">
        <v>7602</v>
      </c>
      <c r="B10750" t="s">
        <v>7691</v>
      </c>
      <c r="C10750" t="s">
        <v>7792</v>
      </c>
      <c r="D10750" s="1" t="s">
        <v>7793</v>
      </c>
      <c r="E10750" t="s">
        <v>14</v>
      </c>
      <c r="F10750">
        <v>63.982999999999997</v>
      </c>
      <c r="G10750">
        <v>12.867000000000001</v>
      </c>
      <c r="H10750">
        <v>1</v>
      </c>
      <c r="I10750">
        <v>425</v>
      </c>
      <c r="J10750" t="str">
        <f>HYPERLINK("https://climate.onebuilding.org/WMO_Region_6_Europe/SWE_Sweden/JA_Jamtland/SWE_JA_Edevik.022000_TMYx.zip")</f>
        <v>https://climate.onebuilding.org/WMO_Region_6_Europe/SWE_Sweden/JA_Jamtland/SWE_JA_Edevik.022000_TMYx.zip</v>
      </c>
    </row>
    <row r="10751" spans="1:10" x14ac:dyDescent="0.25">
      <c r="A10751" t="s">
        <v>7602</v>
      </c>
      <c r="B10751" t="s">
        <v>7691</v>
      </c>
      <c r="C10751" t="s">
        <v>7794</v>
      </c>
      <c r="D10751" s="1" t="s">
        <v>7795</v>
      </c>
      <c r="E10751" t="s">
        <v>7796</v>
      </c>
      <c r="F10751">
        <v>63.282800000000002</v>
      </c>
      <c r="G10751">
        <v>12.1219</v>
      </c>
      <c r="H10751">
        <v>1</v>
      </c>
      <c r="I10751">
        <v>585</v>
      </c>
      <c r="J10751" t="str">
        <f>HYPERLINK("https://climate.onebuilding.org/WMO_Region_6_Europe/SWE_Sweden/JA_Jamtland/SWE_JA_Storlien-Visjovalen.022070_TMYx.2004-2018.zip")</f>
        <v>https://climate.onebuilding.org/WMO_Region_6_Europe/SWE_Sweden/JA_Jamtland/SWE_JA_Storlien-Visjovalen.022070_TMYx.2004-2018.zip</v>
      </c>
    </row>
    <row r="10752" spans="1:10" x14ac:dyDescent="0.25">
      <c r="A10752" t="s">
        <v>7602</v>
      </c>
      <c r="B10752" t="s">
        <v>7691</v>
      </c>
      <c r="C10752" t="s">
        <v>7794</v>
      </c>
      <c r="D10752" s="1" t="s">
        <v>7795</v>
      </c>
      <c r="E10752" t="s">
        <v>14</v>
      </c>
      <c r="F10752">
        <v>63.282800000000002</v>
      </c>
      <c r="G10752">
        <v>12.1219</v>
      </c>
      <c r="H10752">
        <v>1</v>
      </c>
      <c r="I10752">
        <v>585</v>
      </c>
      <c r="J10752" t="str">
        <f>HYPERLINK("https://climate.onebuilding.org/WMO_Region_6_Europe/SWE_Sweden/JA_Jamtland/SWE_JA_Storlien-Visjovalen.022070_TMYx.2007-2021.zip")</f>
        <v>https://climate.onebuilding.org/WMO_Region_6_Europe/SWE_Sweden/JA_Jamtland/SWE_JA_Storlien-Visjovalen.022070_TMYx.2007-2021.zip</v>
      </c>
    </row>
    <row r="10753" spans="1:10" x14ac:dyDescent="0.25">
      <c r="A10753" t="s">
        <v>7602</v>
      </c>
      <c r="B10753" t="s">
        <v>7691</v>
      </c>
      <c r="C10753" t="s">
        <v>7794</v>
      </c>
      <c r="D10753" s="1" t="s">
        <v>7795</v>
      </c>
      <c r="E10753" t="s">
        <v>14</v>
      </c>
      <c r="F10753">
        <v>63.282800000000002</v>
      </c>
      <c r="G10753">
        <v>12.1219</v>
      </c>
      <c r="H10753">
        <v>1</v>
      </c>
      <c r="I10753">
        <v>585</v>
      </c>
      <c r="J10753" t="str">
        <f>HYPERLINK("https://climate.onebuilding.org/WMO_Region_6_Europe/SWE_Sweden/JA_Jamtland/SWE_JA_Storlien-Visjovalen.022070_TMYx.2009-2023.zip")</f>
        <v>https://climate.onebuilding.org/WMO_Region_6_Europe/SWE_Sweden/JA_Jamtland/SWE_JA_Storlien-Visjovalen.022070_TMYx.2009-2023.zip</v>
      </c>
    </row>
    <row r="10754" spans="1:10" x14ac:dyDescent="0.25">
      <c r="A10754" t="s">
        <v>7602</v>
      </c>
      <c r="B10754" t="s">
        <v>7691</v>
      </c>
      <c r="C10754" t="s">
        <v>7794</v>
      </c>
      <c r="D10754" s="1" t="s">
        <v>7795</v>
      </c>
      <c r="E10754" t="s">
        <v>14</v>
      </c>
      <c r="F10754">
        <v>63.282800000000002</v>
      </c>
      <c r="G10754">
        <v>12.1219</v>
      </c>
      <c r="H10754">
        <v>1</v>
      </c>
      <c r="I10754">
        <v>585</v>
      </c>
      <c r="J10754" t="str">
        <f>HYPERLINK("https://climate.onebuilding.org/WMO_Region_6_Europe/SWE_Sweden/JA_Jamtland/SWE_JA_Storlien-Visjovalen.022070_TMYx.zip")</f>
        <v>https://climate.onebuilding.org/WMO_Region_6_Europe/SWE_Sweden/JA_Jamtland/SWE_JA_Storlien-Visjovalen.022070_TMYx.zip</v>
      </c>
    </row>
    <row r="10755" spans="1:10" x14ac:dyDescent="0.25">
      <c r="A10755" t="s">
        <v>7602</v>
      </c>
      <c r="B10755" t="s">
        <v>7691</v>
      </c>
      <c r="C10755" t="s">
        <v>7797</v>
      </c>
      <c r="D10755" s="1" t="s">
        <v>7798</v>
      </c>
      <c r="E10755" t="s">
        <v>7799</v>
      </c>
      <c r="F10755">
        <v>63.044699999999999</v>
      </c>
      <c r="G10755">
        <v>12.277799999999999</v>
      </c>
      <c r="H10755">
        <v>1</v>
      </c>
      <c r="I10755">
        <v>1030.0999999999999</v>
      </c>
      <c r="J10755" t="str">
        <f>HYPERLINK("https://climate.onebuilding.org/WMO_Region_6_Europe/SWE_Sweden/JA_Jamtland/SWE_JA_Sylarna.022090_TMYx.2004-2018.zip")</f>
        <v>https://climate.onebuilding.org/WMO_Region_6_Europe/SWE_Sweden/JA_Jamtland/SWE_JA_Sylarna.022090_TMYx.2004-2018.zip</v>
      </c>
    </row>
    <row r="10756" spans="1:10" x14ac:dyDescent="0.25">
      <c r="A10756" t="s">
        <v>7602</v>
      </c>
      <c r="B10756" t="s">
        <v>7691</v>
      </c>
      <c r="C10756" t="s">
        <v>7797</v>
      </c>
      <c r="D10756" s="1" t="s">
        <v>7798</v>
      </c>
      <c r="E10756" t="s">
        <v>14</v>
      </c>
      <c r="F10756">
        <v>63.043799999999997</v>
      </c>
      <c r="G10756">
        <v>12.274800000000001</v>
      </c>
      <c r="H10756">
        <v>1</v>
      </c>
      <c r="I10756">
        <v>1030.0999999999999</v>
      </c>
      <c r="J10756" t="str">
        <f>HYPERLINK("https://climate.onebuilding.org/WMO_Region_6_Europe/SWE_Sweden/JA_Jamtland/SWE_JA_Sylarna.022090_TMYx.2007-2021.zip")</f>
        <v>https://climate.onebuilding.org/WMO_Region_6_Europe/SWE_Sweden/JA_Jamtland/SWE_JA_Sylarna.022090_TMYx.2007-2021.zip</v>
      </c>
    </row>
    <row r="10757" spans="1:10" x14ac:dyDescent="0.25">
      <c r="A10757" t="s">
        <v>7602</v>
      </c>
      <c r="B10757" t="s">
        <v>7691</v>
      </c>
      <c r="C10757" t="s">
        <v>7797</v>
      </c>
      <c r="D10757" s="1" t="s">
        <v>7798</v>
      </c>
      <c r="E10757" t="s">
        <v>14</v>
      </c>
      <c r="F10757">
        <v>63.043799999999997</v>
      </c>
      <c r="G10757">
        <v>12.274800000000001</v>
      </c>
      <c r="H10757">
        <v>1</v>
      </c>
      <c r="I10757">
        <v>1030.0999999999999</v>
      </c>
      <c r="J10757" t="str">
        <f>HYPERLINK("https://climate.onebuilding.org/WMO_Region_6_Europe/SWE_Sweden/JA_Jamtland/SWE_JA_Sylarna.022090_TMYx.2009-2023.zip")</f>
        <v>https://climate.onebuilding.org/WMO_Region_6_Europe/SWE_Sweden/JA_Jamtland/SWE_JA_Sylarna.022090_TMYx.2009-2023.zip</v>
      </c>
    </row>
    <row r="10758" spans="1:10" x14ac:dyDescent="0.25">
      <c r="A10758" t="s">
        <v>7602</v>
      </c>
      <c r="B10758" t="s">
        <v>7691</v>
      </c>
      <c r="C10758" t="s">
        <v>7797</v>
      </c>
      <c r="D10758" s="1" t="s">
        <v>7798</v>
      </c>
      <c r="E10758" t="s">
        <v>14</v>
      </c>
      <c r="F10758">
        <v>63.043799999999997</v>
      </c>
      <c r="G10758">
        <v>12.274800000000001</v>
      </c>
      <c r="H10758">
        <v>1</v>
      </c>
      <c r="I10758">
        <v>1030.0999999999999</v>
      </c>
      <c r="J10758" t="str">
        <f>HYPERLINK("https://climate.onebuilding.org/WMO_Region_6_Europe/SWE_Sweden/JA_Jamtland/SWE_JA_Sylarna.022090_TMYx.zip")</f>
        <v>https://climate.onebuilding.org/WMO_Region_6_Europe/SWE_Sweden/JA_Jamtland/SWE_JA_Sylarna.022090_TMYx.zip</v>
      </c>
    </row>
    <row r="10759" spans="1:10" x14ac:dyDescent="0.25">
      <c r="A10759" t="s">
        <v>7602</v>
      </c>
      <c r="B10759" t="s">
        <v>7691</v>
      </c>
      <c r="C10759" t="s">
        <v>7800</v>
      </c>
      <c r="D10759" s="1" t="s">
        <v>7801</v>
      </c>
      <c r="E10759" t="s">
        <v>7802</v>
      </c>
      <c r="F10759">
        <v>63.186399999999999</v>
      </c>
      <c r="G10759">
        <v>12.1761</v>
      </c>
      <c r="H10759">
        <v>1</v>
      </c>
      <c r="I10759">
        <v>1090</v>
      </c>
      <c r="J10759" t="str">
        <f>HYPERLINK("https://climate.onebuilding.org/WMO_Region_6_Europe/SWE_Sweden/JA_Jamtland/SWE_JA_Blahammaren.022100_TMYx.2004-2018.zip")</f>
        <v>https://climate.onebuilding.org/WMO_Region_6_Europe/SWE_Sweden/JA_Jamtland/SWE_JA_Blahammaren.022100_TMYx.2004-2018.zip</v>
      </c>
    </row>
    <row r="10760" spans="1:10" x14ac:dyDescent="0.25">
      <c r="A10760" t="s">
        <v>7602</v>
      </c>
      <c r="B10760" t="s">
        <v>7691</v>
      </c>
      <c r="C10760" t="s">
        <v>7800</v>
      </c>
      <c r="D10760" s="1" t="s">
        <v>7801</v>
      </c>
      <c r="E10760" t="s">
        <v>14</v>
      </c>
      <c r="F10760">
        <v>63.186399999999999</v>
      </c>
      <c r="G10760">
        <v>12.1761</v>
      </c>
      <c r="H10760">
        <v>1</v>
      </c>
      <c r="I10760">
        <v>1090</v>
      </c>
      <c r="J10760" t="str">
        <f>HYPERLINK("https://climate.onebuilding.org/WMO_Region_6_Europe/SWE_Sweden/JA_Jamtland/SWE_JA_Blahammaren.022100_TMYx.2007-2021.zip")</f>
        <v>https://climate.onebuilding.org/WMO_Region_6_Europe/SWE_Sweden/JA_Jamtland/SWE_JA_Blahammaren.022100_TMYx.2007-2021.zip</v>
      </c>
    </row>
    <row r="10761" spans="1:10" x14ac:dyDescent="0.25">
      <c r="A10761" t="s">
        <v>7602</v>
      </c>
      <c r="B10761" t="s">
        <v>7691</v>
      </c>
      <c r="C10761" t="s">
        <v>7800</v>
      </c>
      <c r="D10761" s="1" t="s">
        <v>7801</v>
      </c>
      <c r="E10761" t="s">
        <v>14</v>
      </c>
      <c r="F10761">
        <v>63.186399999999999</v>
      </c>
      <c r="G10761">
        <v>12.1761</v>
      </c>
      <c r="H10761">
        <v>1</v>
      </c>
      <c r="I10761">
        <v>1090</v>
      </c>
      <c r="J10761" t="str">
        <f>HYPERLINK("https://climate.onebuilding.org/WMO_Region_6_Europe/SWE_Sweden/JA_Jamtland/SWE_JA_Blahammaren.022100_TMYx.2009-2023.zip")</f>
        <v>https://climate.onebuilding.org/WMO_Region_6_Europe/SWE_Sweden/JA_Jamtland/SWE_JA_Blahammaren.022100_TMYx.2009-2023.zip</v>
      </c>
    </row>
    <row r="10762" spans="1:10" x14ac:dyDescent="0.25">
      <c r="A10762" t="s">
        <v>7602</v>
      </c>
      <c r="B10762" t="s">
        <v>7691</v>
      </c>
      <c r="C10762" t="s">
        <v>7800</v>
      </c>
      <c r="D10762" s="1" t="s">
        <v>7801</v>
      </c>
      <c r="E10762" t="s">
        <v>14</v>
      </c>
      <c r="F10762">
        <v>63.186399999999999</v>
      </c>
      <c r="G10762">
        <v>12.1761</v>
      </c>
      <c r="H10762">
        <v>1</v>
      </c>
      <c r="I10762">
        <v>1090</v>
      </c>
      <c r="J10762" t="str">
        <f>HYPERLINK("https://climate.onebuilding.org/WMO_Region_6_Europe/SWE_Sweden/JA_Jamtland/SWE_JA_Blahammaren.022100_TMYx.zip")</f>
        <v>https://climate.onebuilding.org/WMO_Region_6_Europe/SWE_Sweden/JA_Jamtland/SWE_JA_Blahammaren.022100_TMYx.zip</v>
      </c>
    </row>
    <row r="10763" spans="1:10" x14ac:dyDescent="0.25">
      <c r="A10763" t="s">
        <v>7602</v>
      </c>
      <c r="B10763" t="s">
        <v>7691</v>
      </c>
      <c r="C10763" t="s">
        <v>7803</v>
      </c>
      <c r="D10763" s="1" t="s">
        <v>7804</v>
      </c>
      <c r="E10763" t="s">
        <v>7805</v>
      </c>
      <c r="F10763">
        <v>63.305500000000002</v>
      </c>
      <c r="G10763">
        <v>13.8767</v>
      </c>
      <c r="H10763">
        <v>1</v>
      </c>
      <c r="I10763">
        <v>355</v>
      </c>
      <c r="J10763" t="str">
        <f>HYPERLINK("https://climate.onebuilding.org/WMO_Region_6_Europe/SWE_Sweden/JA_Jamtland/SWE_JA_Mattmar.022160_TMYx.2004-2018.zip")</f>
        <v>https://climate.onebuilding.org/WMO_Region_6_Europe/SWE_Sweden/JA_Jamtland/SWE_JA_Mattmar.022160_TMYx.2004-2018.zip</v>
      </c>
    </row>
    <row r="10764" spans="1:10" x14ac:dyDescent="0.25">
      <c r="A10764" t="s">
        <v>7602</v>
      </c>
      <c r="B10764" t="s">
        <v>7691</v>
      </c>
      <c r="C10764" t="s">
        <v>7803</v>
      </c>
      <c r="D10764" s="1" t="s">
        <v>7804</v>
      </c>
      <c r="E10764" t="s">
        <v>14</v>
      </c>
      <c r="F10764">
        <v>63.305500000000002</v>
      </c>
      <c r="G10764">
        <v>13.8767</v>
      </c>
      <c r="H10764">
        <v>1</v>
      </c>
      <c r="I10764">
        <v>355</v>
      </c>
      <c r="J10764" t="str">
        <f>HYPERLINK("https://climate.onebuilding.org/WMO_Region_6_Europe/SWE_Sweden/JA_Jamtland/SWE_JA_Mattmar.022160_TMYx.2007-2021.zip")</f>
        <v>https://climate.onebuilding.org/WMO_Region_6_Europe/SWE_Sweden/JA_Jamtland/SWE_JA_Mattmar.022160_TMYx.2007-2021.zip</v>
      </c>
    </row>
    <row r="10765" spans="1:10" x14ac:dyDescent="0.25">
      <c r="A10765" t="s">
        <v>7602</v>
      </c>
      <c r="B10765" t="s">
        <v>7691</v>
      </c>
      <c r="C10765" t="s">
        <v>7803</v>
      </c>
      <c r="D10765" s="1" t="s">
        <v>7804</v>
      </c>
      <c r="E10765" t="s">
        <v>14</v>
      </c>
      <c r="F10765">
        <v>63.305500000000002</v>
      </c>
      <c r="G10765">
        <v>13.8767</v>
      </c>
      <c r="H10765">
        <v>1</v>
      </c>
      <c r="I10765">
        <v>355</v>
      </c>
      <c r="J10765" t="str">
        <f>HYPERLINK("https://climate.onebuilding.org/WMO_Region_6_Europe/SWE_Sweden/JA_Jamtland/SWE_JA_Mattmar.022160_TMYx.2009-2023.zip")</f>
        <v>https://climate.onebuilding.org/WMO_Region_6_Europe/SWE_Sweden/JA_Jamtland/SWE_JA_Mattmar.022160_TMYx.2009-2023.zip</v>
      </c>
    </row>
    <row r="10766" spans="1:10" x14ac:dyDescent="0.25">
      <c r="A10766" t="s">
        <v>7602</v>
      </c>
      <c r="B10766" t="s">
        <v>7691</v>
      </c>
      <c r="C10766" t="s">
        <v>7803</v>
      </c>
      <c r="D10766" s="1" t="s">
        <v>7804</v>
      </c>
      <c r="E10766" t="s">
        <v>14</v>
      </c>
      <c r="F10766">
        <v>63.305500000000002</v>
      </c>
      <c r="G10766">
        <v>13.8767</v>
      </c>
      <c r="H10766">
        <v>1</v>
      </c>
      <c r="I10766">
        <v>355</v>
      </c>
      <c r="J10766" t="str">
        <f>HYPERLINK("https://climate.onebuilding.org/WMO_Region_6_Europe/SWE_Sweden/JA_Jamtland/SWE_JA_Mattmar.022160_TMYx.zip")</f>
        <v>https://climate.onebuilding.org/WMO_Region_6_Europe/SWE_Sweden/JA_Jamtland/SWE_JA_Mattmar.022160_TMYx.zip</v>
      </c>
    </row>
    <row r="10767" spans="1:10" x14ac:dyDescent="0.25">
      <c r="A10767" t="s">
        <v>7602</v>
      </c>
      <c r="B10767" t="s">
        <v>7691</v>
      </c>
      <c r="C10767" t="s">
        <v>7806</v>
      </c>
      <c r="D10767" s="1" t="s">
        <v>7807</v>
      </c>
      <c r="E10767" t="s">
        <v>7808</v>
      </c>
      <c r="F10767">
        <v>63.373600000000003</v>
      </c>
      <c r="G10767">
        <v>13.160600000000001</v>
      </c>
      <c r="H10767">
        <v>1</v>
      </c>
      <c r="I10767">
        <v>435</v>
      </c>
      <c r="J10767" t="str">
        <f>HYPERLINK("https://climate.onebuilding.org/WMO_Region_6_Europe/SWE_Sweden/JA_Jamtland/SWE_JA_Are.022170_TMYx.2004-2018.zip")</f>
        <v>https://climate.onebuilding.org/WMO_Region_6_Europe/SWE_Sweden/JA_Jamtland/SWE_JA_Are.022170_TMYx.2004-2018.zip</v>
      </c>
    </row>
    <row r="10768" spans="1:10" x14ac:dyDescent="0.25">
      <c r="A10768" t="s">
        <v>7602</v>
      </c>
      <c r="B10768" t="s">
        <v>7691</v>
      </c>
      <c r="C10768" t="s">
        <v>7806</v>
      </c>
      <c r="D10768" s="1" t="s">
        <v>7807</v>
      </c>
      <c r="E10768" t="s">
        <v>14</v>
      </c>
      <c r="F10768">
        <v>63.373600000000003</v>
      </c>
      <c r="G10768">
        <v>13.160600000000001</v>
      </c>
      <c r="H10768">
        <v>1</v>
      </c>
      <c r="I10768">
        <v>435</v>
      </c>
      <c r="J10768" t="str">
        <f>HYPERLINK("https://climate.onebuilding.org/WMO_Region_6_Europe/SWE_Sweden/JA_Jamtland/SWE_JA_Are.022170_TMYx.2007-2021.zip")</f>
        <v>https://climate.onebuilding.org/WMO_Region_6_Europe/SWE_Sweden/JA_Jamtland/SWE_JA_Are.022170_TMYx.2007-2021.zip</v>
      </c>
    </row>
    <row r="10769" spans="1:10" x14ac:dyDescent="0.25">
      <c r="A10769" t="s">
        <v>7602</v>
      </c>
      <c r="B10769" t="s">
        <v>7691</v>
      </c>
      <c r="C10769" t="s">
        <v>7806</v>
      </c>
      <c r="D10769" s="1" t="s">
        <v>7807</v>
      </c>
      <c r="E10769" t="s">
        <v>14</v>
      </c>
      <c r="F10769">
        <v>63.373600000000003</v>
      </c>
      <c r="G10769">
        <v>13.160600000000001</v>
      </c>
      <c r="H10769">
        <v>1</v>
      </c>
      <c r="I10769">
        <v>435</v>
      </c>
      <c r="J10769" t="str">
        <f>HYPERLINK("https://climate.onebuilding.org/WMO_Region_6_Europe/SWE_Sweden/JA_Jamtland/SWE_JA_Are.022170_TMYx.2009-2023.zip")</f>
        <v>https://climate.onebuilding.org/WMO_Region_6_Europe/SWE_Sweden/JA_Jamtland/SWE_JA_Are.022170_TMYx.2009-2023.zip</v>
      </c>
    </row>
    <row r="10770" spans="1:10" x14ac:dyDescent="0.25">
      <c r="A10770" t="s">
        <v>7602</v>
      </c>
      <c r="B10770" t="s">
        <v>7691</v>
      </c>
      <c r="C10770" t="s">
        <v>7806</v>
      </c>
      <c r="D10770" s="1" t="s">
        <v>7807</v>
      </c>
      <c r="E10770" t="s">
        <v>14</v>
      </c>
      <c r="F10770">
        <v>63.373600000000003</v>
      </c>
      <c r="G10770">
        <v>13.160600000000001</v>
      </c>
      <c r="H10770">
        <v>1</v>
      </c>
      <c r="I10770">
        <v>435</v>
      </c>
      <c r="J10770" t="str">
        <f>HYPERLINK("https://climate.onebuilding.org/WMO_Region_6_Europe/SWE_Sweden/JA_Jamtland/SWE_JA_Are.022170_TMYx.zip")</f>
        <v>https://climate.onebuilding.org/WMO_Region_6_Europe/SWE_Sweden/JA_Jamtland/SWE_JA_Are.022170_TMYx.zip</v>
      </c>
    </row>
    <row r="10771" spans="1:10" x14ac:dyDescent="0.25">
      <c r="A10771" t="s">
        <v>7602</v>
      </c>
      <c r="B10771" t="s">
        <v>7691</v>
      </c>
      <c r="C10771" t="s">
        <v>7809</v>
      </c>
      <c r="D10771" s="1" t="s">
        <v>7810</v>
      </c>
      <c r="E10771" t="s">
        <v>7811</v>
      </c>
      <c r="F10771">
        <v>64.504400000000004</v>
      </c>
      <c r="G10771">
        <v>14.220800000000001</v>
      </c>
      <c r="H10771">
        <v>1</v>
      </c>
      <c r="I10771">
        <v>555.1</v>
      </c>
      <c r="J10771" t="str">
        <f>HYPERLINK("https://climate.onebuilding.org/WMO_Region_6_Europe/SWE_Sweden/JA_Jamtland/SWE_JA_Gaddede.022190_TMYx.2004-2018.zip")</f>
        <v>https://climate.onebuilding.org/WMO_Region_6_Europe/SWE_Sweden/JA_Jamtland/SWE_JA_Gaddede.022190_TMYx.2004-2018.zip</v>
      </c>
    </row>
    <row r="10772" spans="1:10" x14ac:dyDescent="0.25">
      <c r="A10772" t="s">
        <v>7602</v>
      </c>
      <c r="B10772" t="s">
        <v>7691</v>
      </c>
      <c r="C10772" t="s">
        <v>7809</v>
      </c>
      <c r="D10772" s="1" t="s">
        <v>7810</v>
      </c>
      <c r="E10772" t="s">
        <v>14</v>
      </c>
      <c r="F10772">
        <v>64.504400000000004</v>
      </c>
      <c r="G10772">
        <v>14.220800000000001</v>
      </c>
      <c r="H10772">
        <v>1</v>
      </c>
      <c r="I10772">
        <v>555.1</v>
      </c>
      <c r="J10772" t="str">
        <f>HYPERLINK("https://climate.onebuilding.org/WMO_Region_6_Europe/SWE_Sweden/JA_Jamtland/SWE_JA_Gaddede.022190_TMYx.2007-2021.zip")</f>
        <v>https://climate.onebuilding.org/WMO_Region_6_Europe/SWE_Sweden/JA_Jamtland/SWE_JA_Gaddede.022190_TMYx.2007-2021.zip</v>
      </c>
    </row>
    <row r="10773" spans="1:10" x14ac:dyDescent="0.25">
      <c r="A10773" t="s">
        <v>7602</v>
      </c>
      <c r="B10773" t="s">
        <v>7691</v>
      </c>
      <c r="C10773" t="s">
        <v>7809</v>
      </c>
      <c r="D10773" s="1" t="s">
        <v>7810</v>
      </c>
      <c r="E10773" t="s">
        <v>14</v>
      </c>
      <c r="F10773">
        <v>64.504400000000004</v>
      </c>
      <c r="G10773">
        <v>14.220800000000001</v>
      </c>
      <c r="H10773">
        <v>1</v>
      </c>
      <c r="I10773">
        <v>555.1</v>
      </c>
      <c r="J10773" t="str">
        <f>HYPERLINK("https://climate.onebuilding.org/WMO_Region_6_Europe/SWE_Sweden/JA_Jamtland/SWE_JA_Gaddede.022190_TMYx.2009-2023.zip")</f>
        <v>https://climate.onebuilding.org/WMO_Region_6_Europe/SWE_Sweden/JA_Jamtland/SWE_JA_Gaddede.022190_TMYx.2009-2023.zip</v>
      </c>
    </row>
    <row r="10774" spans="1:10" x14ac:dyDescent="0.25">
      <c r="A10774" t="s">
        <v>7602</v>
      </c>
      <c r="B10774" t="s">
        <v>7691</v>
      </c>
      <c r="C10774" t="s">
        <v>7809</v>
      </c>
      <c r="D10774" s="1" t="s">
        <v>7810</v>
      </c>
      <c r="E10774" t="s">
        <v>14</v>
      </c>
      <c r="F10774">
        <v>64.504400000000004</v>
      </c>
      <c r="G10774">
        <v>14.220800000000001</v>
      </c>
      <c r="H10774">
        <v>1</v>
      </c>
      <c r="I10774">
        <v>555.1</v>
      </c>
      <c r="J10774" t="str">
        <f>HYPERLINK("https://climate.onebuilding.org/WMO_Region_6_Europe/SWE_Sweden/JA_Jamtland/SWE_JA_Gaddede.022190_TMYx.zip")</f>
        <v>https://climate.onebuilding.org/WMO_Region_6_Europe/SWE_Sweden/JA_Jamtland/SWE_JA_Gaddede.022190_TMYx.zip</v>
      </c>
    </row>
    <row r="10775" spans="1:10" x14ac:dyDescent="0.25">
      <c r="A10775" t="s">
        <v>7602</v>
      </c>
      <c r="B10775" t="s">
        <v>7691</v>
      </c>
      <c r="C10775" t="s">
        <v>7812</v>
      </c>
      <c r="D10775" s="1" t="s">
        <v>7813</v>
      </c>
      <c r="E10775" t="s">
        <v>7814</v>
      </c>
      <c r="F10775">
        <v>63.839700000000001</v>
      </c>
      <c r="G10775">
        <v>13.5039</v>
      </c>
      <c r="H10775">
        <v>1</v>
      </c>
      <c r="I10775">
        <v>716.8</v>
      </c>
      <c r="J10775" t="str">
        <f>HYPERLINK("https://climate.onebuilding.org/WMO_Region_6_Europe/SWE_Sweden/JA_Jamtland/SWE_JA_Korsvattnet.022210_TMYx.2004-2018.zip")</f>
        <v>https://climate.onebuilding.org/WMO_Region_6_Europe/SWE_Sweden/JA_Jamtland/SWE_JA_Korsvattnet.022210_TMYx.2004-2018.zip</v>
      </c>
    </row>
    <row r="10776" spans="1:10" x14ac:dyDescent="0.25">
      <c r="A10776" t="s">
        <v>7602</v>
      </c>
      <c r="B10776" t="s">
        <v>7691</v>
      </c>
      <c r="C10776" t="s">
        <v>7812</v>
      </c>
      <c r="D10776" s="1" t="s">
        <v>7813</v>
      </c>
      <c r="E10776" t="s">
        <v>14</v>
      </c>
      <c r="F10776">
        <v>63.838999999999999</v>
      </c>
      <c r="G10776">
        <v>13.500999999999999</v>
      </c>
      <c r="H10776">
        <v>1</v>
      </c>
      <c r="I10776">
        <v>716.8</v>
      </c>
      <c r="J10776" t="str">
        <f>HYPERLINK("https://climate.onebuilding.org/WMO_Region_6_Europe/SWE_Sweden/JA_Jamtland/SWE_JA_Korsvattnet.022210_TMYx.2007-2021.zip")</f>
        <v>https://climate.onebuilding.org/WMO_Region_6_Europe/SWE_Sweden/JA_Jamtland/SWE_JA_Korsvattnet.022210_TMYx.2007-2021.zip</v>
      </c>
    </row>
    <row r="10777" spans="1:10" x14ac:dyDescent="0.25">
      <c r="A10777" t="s">
        <v>7602</v>
      </c>
      <c r="B10777" t="s">
        <v>7691</v>
      </c>
      <c r="C10777" t="s">
        <v>7812</v>
      </c>
      <c r="D10777" s="1" t="s">
        <v>7813</v>
      </c>
      <c r="E10777" t="s">
        <v>14</v>
      </c>
      <c r="F10777">
        <v>63.838999999999999</v>
      </c>
      <c r="G10777">
        <v>13.500999999999999</v>
      </c>
      <c r="H10777">
        <v>1</v>
      </c>
      <c r="I10777">
        <v>716.8</v>
      </c>
      <c r="J10777" t="str">
        <f>HYPERLINK("https://climate.onebuilding.org/WMO_Region_6_Europe/SWE_Sweden/JA_Jamtland/SWE_JA_Korsvattnet.022210_TMYx.2009-2023.zip")</f>
        <v>https://climate.onebuilding.org/WMO_Region_6_Europe/SWE_Sweden/JA_Jamtland/SWE_JA_Korsvattnet.022210_TMYx.2009-2023.zip</v>
      </c>
    </row>
    <row r="10778" spans="1:10" x14ac:dyDescent="0.25">
      <c r="A10778" t="s">
        <v>7602</v>
      </c>
      <c r="B10778" t="s">
        <v>7691</v>
      </c>
      <c r="C10778" t="s">
        <v>7812</v>
      </c>
      <c r="D10778" s="1" t="s">
        <v>7813</v>
      </c>
      <c r="E10778" t="s">
        <v>14</v>
      </c>
      <c r="F10778">
        <v>63.838999999999999</v>
      </c>
      <c r="G10778">
        <v>13.500999999999999</v>
      </c>
      <c r="H10778">
        <v>1</v>
      </c>
      <c r="I10778">
        <v>716.8</v>
      </c>
      <c r="J10778" t="str">
        <f>HYPERLINK("https://climate.onebuilding.org/WMO_Region_6_Europe/SWE_Sweden/JA_Jamtland/SWE_JA_Korsvattnet.022210_TMYx.zip")</f>
        <v>https://climate.onebuilding.org/WMO_Region_6_Europe/SWE_Sweden/JA_Jamtland/SWE_JA_Korsvattnet.022210_TMYx.zip</v>
      </c>
    </row>
    <row r="10779" spans="1:10" x14ac:dyDescent="0.25">
      <c r="A10779" t="s">
        <v>7602</v>
      </c>
      <c r="B10779" t="s">
        <v>7691</v>
      </c>
      <c r="C10779" t="s">
        <v>7815</v>
      </c>
      <c r="D10779" s="1" t="s">
        <v>7816</v>
      </c>
      <c r="E10779" t="s">
        <v>7817</v>
      </c>
      <c r="F10779">
        <v>63.195599999999999</v>
      </c>
      <c r="G10779">
        <v>14.500299999999999</v>
      </c>
      <c r="H10779">
        <v>1</v>
      </c>
      <c r="I10779">
        <v>359.2</v>
      </c>
      <c r="J10779" t="str">
        <f>HYPERLINK("https://climate.onebuilding.org/WMO_Region_6_Europe/SWE_Sweden/JA_Jamtland/SWE_JA_Are.Ostersund.AP.022260_TMYx.2004-2018.zip")</f>
        <v>https://climate.onebuilding.org/WMO_Region_6_Europe/SWE_Sweden/JA_Jamtland/SWE_JA_Are.Ostersund.AP.022260_TMYx.2004-2018.zip</v>
      </c>
    </row>
    <row r="10780" spans="1:10" x14ac:dyDescent="0.25">
      <c r="A10780" t="s">
        <v>7602</v>
      </c>
      <c r="B10780" t="s">
        <v>7691</v>
      </c>
      <c r="C10780" t="s">
        <v>7815</v>
      </c>
      <c r="D10780" s="1" t="s">
        <v>7816</v>
      </c>
      <c r="E10780" t="s">
        <v>14</v>
      </c>
      <c r="F10780">
        <v>63.197000000000003</v>
      </c>
      <c r="G10780">
        <v>14.486000000000001</v>
      </c>
      <c r="H10780">
        <v>1</v>
      </c>
      <c r="I10780">
        <v>359.2</v>
      </c>
      <c r="J10780" t="str">
        <f>HYPERLINK("https://climate.onebuilding.org/WMO_Region_6_Europe/SWE_Sweden/JA_Jamtland/SWE_JA_Are.Ostersund.AP.022260_TMYx.2007-2021.zip")</f>
        <v>https://climate.onebuilding.org/WMO_Region_6_Europe/SWE_Sweden/JA_Jamtland/SWE_JA_Are.Ostersund.AP.022260_TMYx.2007-2021.zip</v>
      </c>
    </row>
    <row r="10781" spans="1:10" x14ac:dyDescent="0.25">
      <c r="A10781" t="s">
        <v>7602</v>
      </c>
      <c r="B10781" t="s">
        <v>7691</v>
      </c>
      <c r="C10781" t="s">
        <v>7815</v>
      </c>
      <c r="D10781" s="1" t="s">
        <v>7816</v>
      </c>
      <c r="E10781" t="s">
        <v>14</v>
      </c>
      <c r="F10781">
        <v>63.197000000000003</v>
      </c>
      <c r="G10781">
        <v>14.486000000000001</v>
      </c>
      <c r="H10781">
        <v>1</v>
      </c>
      <c r="I10781">
        <v>359.2</v>
      </c>
      <c r="J10781" t="str">
        <f>HYPERLINK("https://climate.onebuilding.org/WMO_Region_6_Europe/SWE_Sweden/JA_Jamtland/SWE_JA_Are.Ostersund.AP.022260_TMYx.2009-2023.zip")</f>
        <v>https://climate.onebuilding.org/WMO_Region_6_Europe/SWE_Sweden/JA_Jamtland/SWE_JA_Are.Ostersund.AP.022260_TMYx.2009-2023.zip</v>
      </c>
    </row>
    <row r="10782" spans="1:10" x14ac:dyDescent="0.25">
      <c r="A10782" t="s">
        <v>7602</v>
      </c>
      <c r="B10782" t="s">
        <v>7691</v>
      </c>
      <c r="C10782" t="s">
        <v>7815</v>
      </c>
      <c r="D10782" s="1" t="s">
        <v>7816</v>
      </c>
      <c r="E10782" t="s">
        <v>14</v>
      </c>
      <c r="F10782">
        <v>63.197000000000003</v>
      </c>
      <c r="G10782">
        <v>14.486000000000001</v>
      </c>
      <c r="H10782">
        <v>1</v>
      </c>
      <c r="I10782">
        <v>359.2</v>
      </c>
      <c r="J10782" t="str">
        <f>HYPERLINK("https://climate.onebuilding.org/WMO_Region_6_Europe/SWE_Sweden/JA_Jamtland/SWE_JA_Are.Ostersund.AP.022260_TMYx.zip")</f>
        <v>https://climate.onebuilding.org/WMO_Region_6_Europe/SWE_Sweden/JA_Jamtland/SWE_JA_Are.Ostersund.AP.022260_TMYx.zip</v>
      </c>
    </row>
    <row r="10783" spans="1:10" x14ac:dyDescent="0.25">
      <c r="A10783" t="s">
        <v>7602</v>
      </c>
      <c r="B10783" t="s">
        <v>7691</v>
      </c>
      <c r="C10783" t="s">
        <v>7818</v>
      </c>
      <c r="D10783" s="1" t="s">
        <v>7819</v>
      </c>
      <c r="E10783" t="s">
        <v>7820</v>
      </c>
      <c r="F10783">
        <v>64.218299999999999</v>
      </c>
      <c r="G10783">
        <v>15.5564</v>
      </c>
      <c r="H10783">
        <v>1</v>
      </c>
      <c r="I10783">
        <v>310</v>
      </c>
      <c r="J10783" t="str">
        <f>HYPERLINK("https://climate.onebuilding.org/WMO_Region_6_Europe/SWE_Sweden/JA_Jamtland/SWE_JA_Gubbhogen.022300_TMYx.2004-2018.zip")</f>
        <v>https://climate.onebuilding.org/WMO_Region_6_Europe/SWE_Sweden/JA_Jamtland/SWE_JA_Gubbhogen.022300_TMYx.2004-2018.zip</v>
      </c>
    </row>
    <row r="10784" spans="1:10" x14ac:dyDescent="0.25">
      <c r="A10784" t="s">
        <v>7602</v>
      </c>
      <c r="B10784" t="s">
        <v>7691</v>
      </c>
      <c r="C10784" t="s">
        <v>7818</v>
      </c>
      <c r="D10784" s="1" t="s">
        <v>7819</v>
      </c>
      <c r="E10784" t="s">
        <v>14</v>
      </c>
      <c r="F10784">
        <v>64.217200000000005</v>
      </c>
      <c r="G10784">
        <v>15.552899999999999</v>
      </c>
      <c r="H10784">
        <v>1</v>
      </c>
      <c r="I10784">
        <v>310</v>
      </c>
      <c r="J10784" t="str">
        <f>HYPERLINK("https://climate.onebuilding.org/WMO_Region_6_Europe/SWE_Sweden/JA_Jamtland/SWE_JA_Gubbhogen.022300_TMYx.2007-2021.zip")</f>
        <v>https://climate.onebuilding.org/WMO_Region_6_Europe/SWE_Sweden/JA_Jamtland/SWE_JA_Gubbhogen.022300_TMYx.2007-2021.zip</v>
      </c>
    </row>
    <row r="10785" spans="1:10" x14ac:dyDescent="0.25">
      <c r="A10785" t="s">
        <v>7602</v>
      </c>
      <c r="B10785" t="s">
        <v>7691</v>
      </c>
      <c r="C10785" t="s">
        <v>7818</v>
      </c>
      <c r="D10785" s="1" t="s">
        <v>7819</v>
      </c>
      <c r="E10785" t="s">
        <v>14</v>
      </c>
      <c r="F10785">
        <v>64.217200000000005</v>
      </c>
      <c r="G10785">
        <v>15.552899999999999</v>
      </c>
      <c r="H10785">
        <v>1</v>
      </c>
      <c r="I10785">
        <v>310</v>
      </c>
      <c r="J10785" t="str">
        <f>HYPERLINK("https://climate.onebuilding.org/WMO_Region_6_Europe/SWE_Sweden/JA_Jamtland/SWE_JA_Gubbhogen.022300_TMYx.2009-2023.zip")</f>
        <v>https://climate.onebuilding.org/WMO_Region_6_Europe/SWE_Sweden/JA_Jamtland/SWE_JA_Gubbhogen.022300_TMYx.2009-2023.zip</v>
      </c>
    </row>
    <row r="10786" spans="1:10" x14ac:dyDescent="0.25">
      <c r="A10786" t="s">
        <v>7602</v>
      </c>
      <c r="B10786" t="s">
        <v>7691</v>
      </c>
      <c r="C10786" t="s">
        <v>7818</v>
      </c>
      <c r="D10786" s="1" t="s">
        <v>7819</v>
      </c>
      <c r="E10786" t="s">
        <v>14</v>
      </c>
      <c r="F10786">
        <v>64.217200000000005</v>
      </c>
      <c r="G10786">
        <v>15.552899999999999</v>
      </c>
      <c r="H10786">
        <v>1</v>
      </c>
      <c r="I10786">
        <v>310</v>
      </c>
      <c r="J10786" t="str">
        <f>HYPERLINK("https://climate.onebuilding.org/WMO_Region_6_Europe/SWE_Sweden/JA_Jamtland/SWE_JA_Gubbhogen.022300_TMYx.zip")</f>
        <v>https://climate.onebuilding.org/WMO_Region_6_Europe/SWE_Sweden/JA_Jamtland/SWE_JA_Gubbhogen.022300_TMYx.zip</v>
      </c>
    </row>
    <row r="10787" spans="1:10" x14ac:dyDescent="0.25">
      <c r="A10787" t="s">
        <v>7602</v>
      </c>
      <c r="B10787" t="s">
        <v>7691</v>
      </c>
      <c r="C10787" t="s">
        <v>7821</v>
      </c>
      <c r="D10787" s="1" t="s">
        <v>7822</v>
      </c>
      <c r="E10787" t="s">
        <v>7823</v>
      </c>
      <c r="F10787">
        <v>63.677199999999999</v>
      </c>
      <c r="G10787">
        <v>14.6081</v>
      </c>
      <c r="H10787">
        <v>1</v>
      </c>
      <c r="I10787">
        <v>361.8</v>
      </c>
      <c r="J10787" t="str">
        <f>HYPERLINK("https://climate.onebuilding.org/WMO_Region_6_Europe/SWE_Sweden/JA_Jamtland/SWE_JA_Follinge.022310_TMYx.2004-2018.zip")</f>
        <v>https://climate.onebuilding.org/WMO_Region_6_Europe/SWE_Sweden/JA_Jamtland/SWE_JA_Follinge.022310_TMYx.2004-2018.zip</v>
      </c>
    </row>
    <row r="10788" spans="1:10" x14ac:dyDescent="0.25">
      <c r="A10788" t="s">
        <v>7602</v>
      </c>
      <c r="B10788" t="s">
        <v>7691</v>
      </c>
      <c r="C10788" t="s">
        <v>7821</v>
      </c>
      <c r="D10788" s="1" t="s">
        <v>7822</v>
      </c>
      <c r="E10788" t="s">
        <v>14</v>
      </c>
      <c r="F10788">
        <v>63.676099999999998</v>
      </c>
      <c r="G10788">
        <v>14.604799999999999</v>
      </c>
      <c r="H10788">
        <v>1</v>
      </c>
      <c r="I10788">
        <v>361.8</v>
      </c>
      <c r="J10788" t="str">
        <f>HYPERLINK("https://climate.onebuilding.org/WMO_Region_6_Europe/SWE_Sweden/JA_Jamtland/SWE_JA_Follinge.022310_TMYx.2007-2021.zip")</f>
        <v>https://climate.onebuilding.org/WMO_Region_6_Europe/SWE_Sweden/JA_Jamtland/SWE_JA_Follinge.022310_TMYx.2007-2021.zip</v>
      </c>
    </row>
    <row r="10789" spans="1:10" x14ac:dyDescent="0.25">
      <c r="A10789" t="s">
        <v>7602</v>
      </c>
      <c r="B10789" t="s">
        <v>7691</v>
      </c>
      <c r="C10789" t="s">
        <v>7821</v>
      </c>
      <c r="D10789" s="1" t="s">
        <v>7822</v>
      </c>
      <c r="E10789" t="s">
        <v>14</v>
      </c>
      <c r="F10789">
        <v>63.676099999999998</v>
      </c>
      <c r="G10789">
        <v>14.604799999999999</v>
      </c>
      <c r="H10789">
        <v>1</v>
      </c>
      <c r="I10789">
        <v>361.8</v>
      </c>
      <c r="J10789" t="str">
        <f>HYPERLINK("https://climate.onebuilding.org/WMO_Region_6_Europe/SWE_Sweden/JA_Jamtland/SWE_JA_Follinge.022310_TMYx.2009-2023.zip")</f>
        <v>https://climate.onebuilding.org/WMO_Region_6_Europe/SWE_Sweden/JA_Jamtland/SWE_JA_Follinge.022310_TMYx.2009-2023.zip</v>
      </c>
    </row>
    <row r="10790" spans="1:10" x14ac:dyDescent="0.25">
      <c r="A10790" t="s">
        <v>7602</v>
      </c>
      <c r="B10790" t="s">
        <v>7691</v>
      </c>
      <c r="C10790" t="s">
        <v>7821</v>
      </c>
      <c r="D10790" s="1" t="s">
        <v>7822</v>
      </c>
      <c r="E10790" t="s">
        <v>14</v>
      </c>
      <c r="F10790">
        <v>63.676099999999998</v>
      </c>
      <c r="G10790">
        <v>14.604799999999999</v>
      </c>
      <c r="H10790">
        <v>1</v>
      </c>
      <c r="I10790">
        <v>361.8</v>
      </c>
      <c r="J10790" t="str">
        <f>HYPERLINK("https://climate.onebuilding.org/WMO_Region_6_Europe/SWE_Sweden/JA_Jamtland/SWE_JA_Follinge.022310_TMYx.zip")</f>
        <v>https://climate.onebuilding.org/WMO_Region_6_Europe/SWE_Sweden/JA_Jamtland/SWE_JA_Follinge.022310_TMYx.zip</v>
      </c>
    </row>
    <row r="10791" spans="1:10" x14ac:dyDescent="0.25">
      <c r="A10791" t="s">
        <v>7602</v>
      </c>
      <c r="B10791" t="s">
        <v>7691</v>
      </c>
      <c r="C10791" t="s">
        <v>7824</v>
      </c>
      <c r="D10791" s="1" t="s">
        <v>7825</v>
      </c>
      <c r="E10791" t="s">
        <v>14</v>
      </c>
      <c r="F10791">
        <v>64.45</v>
      </c>
      <c r="G10791">
        <v>15.6</v>
      </c>
      <c r="H10791">
        <v>1</v>
      </c>
      <c r="I10791">
        <v>346</v>
      </c>
      <c r="J10791" t="str">
        <f>HYPERLINK("https://climate.onebuilding.org/WMO_Region_6_Europe/SWE_Sweden/JA_Jamtland/SWE_JA_Norraker.022320_TMYx.zip")</f>
        <v>https://climate.onebuilding.org/WMO_Region_6_Europe/SWE_Sweden/JA_Jamtland/SWE_JA_Norraker.022320_TMYx.zip</v>
      </c>
    </row>
    <row r="10792" spans="1:10" x14ac:dyDescent="0.25">
      <c r="A10792" t="s">
        <v>7602</v>
      </c>
      <c r="B10792" t="s">
        <v>7674</v>
      </c>
      <c r="C10792" t="s">
        <v>7826</v>
      </c>
      <c r="D10792" s="1" t="s">
        <v>7827</v>
      </c>
      <c r="E10792" t="s">
        <v>7828</v>
      </c>
      <c r="F10792">
        <v>64.967799999999997</v>
      </c>
      <c r="G10792">
        <v>15.379200000000001</v>
      </c>
      <c r="H10792">
        <v>1</v>
      </c>
      <c r="I10792">
        <v>545</v>
      </c>
      <c r="J10792" t="str">
        <f>HYPERLINK("https://climate.onebuilding.org/WMO_Region_6_Europe/SWE_Sweden/VB_Vasterbotten/SWE_VB_Saxnas.022330_TMYx.2004-2018.zip")</f>
        <v>https://climate.onebuilding.org/WMO_Region_6_Europe/SWE_Sweden/VB_Vasterbotten/SWE_VB_Saxnas.022330_TMYx.2004-2018.zip</v>
      </c>
    </row>
    <row r="10793" spans="1:10" x14ac:dyDescent="0.25">
      <c r="A10793" t="s">
        <v>7602</v>
      </c>
      <c r="B10793" t="s">
        <v>7674</v>
      </c>
      <c r="C10793" t="s">
        <v>7826</v>
      </c>
      <c r="D10793" s="1" t="s">
        <v>7827</v>
      </c>
      <c r="E10793" t="s">
        <v>14</v>
      </c>
      <c r="F10793">
        <v>64.967799999999997</v>
      </c>
      <c r="G10793">
        <v>15.379200000000001</v>
      </c>
      <c r="H10793">
        <v>1</v>
      </c>
      <c r="I10793">
        <v>545</v>
      </c>
      <c r="J10793" t="str">
        <f>HYPERLINK("https://climate.onebuilding.org/WMO_Region_6_Europe/SWE_Sweden/VB_Vasterbotten/SWE_VB_Saxnas.022330_TMYx.2007-2021.zip")</f>
        <v>https://climate.onebuilding.org/WMO_Region_6_Europe/SWE_Sweden/VB_Vasterbotten/SWE_VB_Saxnas.022330_TMYx.2007-2021.zip</v>
      </c>
    </row>
    <row r="10794" spans="1:10" x14ac:dyDescent="0.25">
      <c r="A10794" t="s">
        <v>7602</v>
      </c>
      <c r="B10794" t="s">
        <v>7674</v>
      </c>
      <c r="C10794" t="s">
        <v>7826</v>
      </c>
      <c r="D10794" s="1" t="s">
        <v>7827</v>
      </c>
      <c r="E10794" t="s">
        <v>14</v>
      </c>
      <c r="F10794">
        <v>64.967799999999997</v>
      </c>
      <c r="G10794">
        <v>15.379200000000001</v>
      </c>
      <c r="H10794">
        <v>1</v>
      </c>
      <c r="I10794">
        <v>545</v>
      </c>
      <c r="J10794" t="str">
        <f>HYPERLINK("https://climate.onebuilding.org/WMO_Region_6_Europe/SWE_Sweden/VB_Vasterbotten/SWE_VB_Saxnas.022330_TMYx.2009-2023.zip")</f>
        <v>https://climate.onebuilding.org/WMO_Region_6_Europe/SWE_Sweden/VB_Vasterbotten/SWE_VB_Saxnas.022330_TMYx.2009-2023.zip</v>
      </c>
    </row>
    <row r="10795" spans="1:10" x14ac:dyDescent="0.25">
      <c r="A10795" t="s">
        <v>7602</v>
      </c>
      <c r="B10795" t="s">
        <v>7674</v>
      </c>
      <c r="C10795" t="s">
        <v>7826</v>
      </c>
      <c r="D10795" s="1" t="s">
        <v>7827</v>
      </c>
      <c r="E10795" t="s">
        <v>14</v>
      </c>
      <c r="F10795">
        <v>64.967799999999997</v>
      </c>
      <c r="G10795">
        <v>15.379200000000001</v>
      </c>
      <c r="H10795">
        <v>1</v>
      </c>
      <c r="I10795">
        <v>545</v>
      </c>
      <c r="J10795" t="str">
        <f>HYPERLINK("https://climate.onebuilding.org/WMO_Region_6_Europe/SWE_Sweden/VB_Vasterbotten/SWE_VB_Saxnas.022330_TMYx.zip")</f>
        <v>https://climate.onebuilding.org/WMO_Region_6_Europe/SWE_Sweden/VB_Vasterbotten/SWE_VB_Saxnas.022330_TMYx.zip</v>
      </c>
    </row>
    <row r="10796" spans="1:10" x14ac:dyDescent="0.25">
      <c r="A10796" t="s">
        <v>7602</v>
      </c>
      <c r="B10796" t="s">
        <v>7691</v>
      </c>
      <c r="C10796" t="s">
        <v>7829</v>
      </c>
      <c r="D10796" s="1" t="s">
        <v>7830</v>
      </c>
      <c r="E10796" t="s">
        <v>14</v>
      </c>
      <c r="F10796">
        <v>63.866999999999997</v>
      </c>
      <c r="G10796">
        <v>15.583</v>
      </c>
      <c r="H10796">
        <v>1</v>
      </c>
      <c r="I10796">
        <v>373</v>
      </c>
      <c r="J10796" t="str">
        <f>HYPERLINK("https://climate.onebuilding.org/WMO_Region_6_Europe/SWE_Sweden/JA_Jamtland/SWE_JA_Stromsund.022340_TMYx.zip")</f>
        <v>https://climate.onebuilding.org/WMO_Region_6_Europe/SWE_Sweden/JA_Jamtland/SWE_JA_Stromsund.022340_TMYx.zip</v>
      </c>
    </row>
    <row r="10797" spans="1:10" x14ac:dyDescent="0.25">
      <c r="A10797" t="s">
        <v>7602</v>
      </c>
      <c r="B10797" t="s">
        <v>7691</v>
      </c>
      <c r="C10797" t="s">
        <v>7831</v>
      </c>
      <c r="D10797" s="1" t="s">
        <v>7832</v>
      </c>
      <c r="E10797" t="s">
        <v>7833</v>
      </c>
      <c r="F10797">
        <v>63.769399999999997</v>
      </c>
      <c r="G10797">
        <v>15.331099999999999</v>
      </c>
      <c r="H10797">
        <v>1</v>
      </c>
      <c r="I10797">
        <v>376.5</v>
      </c>
      <c r="J10797" t="str">
        <f>HYPERLINK("https://climate.onebuilding.org/WMO_Region_6_Europe/SWE_Sweden/JA_Jamtland/SWE_JA_Hallhaxasen.022360_TMYx.2004-2018.zip")</f>
        <v>https://climate.onebuilding.org/WMO_Region_6_Europe/SWE_Sweden/JA_Jamtland/SWE_JA_Hallhaxasen.022360_TMYx.2004-2018.zip</v>
      </c>
    </row>
    <row r="10798" spans="1:10" x14ac:dyDescent="0.25">
      <c r="A10798" t="s">
        <v>7602</v>
      </c>
      <c r="B10798" t="s">
        <v>7691</v>
      </c>
      <c r="C10798" t="s">
        <v>7831</v>
      </c>
      <c r="D10798" s="1" t="s">
        <v>7832</v>
      </c>
      <c r="E10798" t="s">
        <v>14</v>
      </c>
      <c r="F10798">
        <v>63.768500000000003</v>
      </c>
      <c r="G10798">
        <v>15.3279</v>
      </c>
      <c r="H10798">
        <v>1</v>
      </c>
      <c r="I10798">
        <v>376.5</v>
      </c>
      <c r="J10798" t="str">
        <f>HYPERLINK("https://climate.onebuilding.org/WMO_Region_6_Europe/SWE_Sweden/JA_Jamtland/SWE_JA_Hallhaxasen.022360_TMYx.2007-2021.zip")</f>
        <v>https://climate.onebuilding.org/WMO_Region_6_Europe/SWE_Sweden/JA_Jamtland/SWE_JA_Hallhaxasen.022360_TMYx.2007-2021.zip</v>
      </c>
    </row>
    <row r="10799" spans="1:10" x14ac:dyDescent="0.25">
      <c r="A10799" t="s">
        <v>7602</v>
      </c>
      <c r="B10799" t="s">
        <v>7691</v>
      </c>
      <c r="C10799" t="s">
        <v>7831</v>
      </c>
      <c r="D10799" s="1" t="s">
        <v>7832</v>
      </c>
      <c r="E10799" t="s">
        <v>14</v>
      </c>
      <c r="F10799">
        <v>63.768500000000003</v>
      </c>
      <c r="G10799">
        <v>15.3279</v>
      </c>
      <c r="H10799">
        <v>1</v>
      </c>
      <c r="I10799">
        <v>376.5</v>
      </c>
      <c r="J10799" t="str">
        <f>HYPERLINK("https://climate.onebuilding.org/WMO_Region_6_Europe/SWE_Sweden/JA_Jamtland/SWE_JA_Hallhaxasen.022360_TMYx.2009-2023.zip")</f>
        <v>https://climate.onebuilding.org/WMO_Region_6_Europe/SWE_Sweden/JA_Jamtland/SWE_JA_Hallhaxasen.022360_TMYx.2009-2023.zip</v>
      </c>
    </row>
    <row r="10800" spans="1:10" x14ac:dyDescent="0.25">
      <c r="A10800" t="s">
        <v>7602</v>
      </c>
      <c r="B10800" t="s">
        <v>7691</v>
      </c>
      <c r="C10800" t="s">
        <v>7831</v>
      </c>
      <c r="D10800" s="1" t="s">
        <v>7832</v>
      </c>
      <c r="E10800" t="s">
        <v>14</v>
      </c>
      <c r="F10800">
        <v>63.768500000000003</v>
      </c>
      <c r="G10800">
        <v>15.3279</v>
      </c>
      <c r="H10800">
        <v>1</v>
      </c>
      <c r="I10800">
        <v>376.5</v>
      </c>
      <c r="J10800" t="str">
        <f>HYPERLINK("https://climate.onebuilding.org/WMO_Region_6_Europe/SWE_Sweden/JA_Jamtland/SWE_JA_Hallhaxasen.022360_TMYx.zip")</f>
        <v>https://climate.onebuilding.org/WMO_Region_6_Europe/SWE_Sweden/JA_Jamtland/SWE_JA_Hallhaxasen.022360_TMYx.zip</v>
      </c>
    </row>
    <row r="10801" spans="1:10" x14ac:dyDescent="0.25">
      <c r="A10801" t="s">
        <v>7602</v>
      </c>
      <c r="B10801" t="s">
        <v>7691</v>
      </c>
      <c r="C10801" t="s">
        <v>7834</v>
      </c>
      <c r="D10801" s="1" t="s">
        <v>7835</v>
      </c>
      <c r="E10801" t="s">
        <v>7836</v>
      </c>
      <c r="F10801">
        <v>64.089299999999994</v>
      </c>
      <c r="G10801">
        <v>16.235499999999998</v>
      </c>
      <c r="H10801">
        <v>1</v>
      </c>
      <c r="I10801">
        <v>241.2</v>
      </c>
      <c r="J10801" t="str">
        <f>HYPERLINK("https://climate.onebuilding.org/WMO_Region_6_Europe/SWE_Sweden/JA_Jamtland/SWE_JA_Hoting.022420_TMYx.2004-2018.zip")</f>
        <v>https://climate.onebuilding.org/WMO_Region_6_Europe/SWE_Sweden/JA_Jamtland/SWE_JA_Hoting.022420_TMYx.2004-2018.zip</v>
      </c>
    </row>
    <row r="10802" spans="1:10" x14ac:dyDescent="0.25">
      <c r="A10802" t="s">
        <v>7602</v>
      </c>
      <c r="B10802" t="s">
        <v>7691</v>
      </c>
      <c r="C10802" t="s">
        <v>7834</v>
      </c>
      <c r="D10802" s="1" t="s">
        <v>7835</v>
      </c>
      <c r="E10802" t="s">
        <v>14</v>
      </c>
      <c r="F10802">
        <v>64.087999999999994</v>
      </c>
      <c r="G10802">
        <v>16.236000000000001</v>
      </c>
      <c r="H10802">
        <v>1</v>
      </c>
      <c r="I10802">
        <v>241.2</v>
      </c>
      <c r="J10802" t="str">
        <f>HYPERLINK("https://climate.onebuilding.org/WMO_Region_6_Europe/SWE_Sweden/JA_Jamtland/SWE_JA_Hoting.022420_TMYx.2007-2021.zip")</f>
        <v>https://climate.onebuilding.org/WMO_Region_6_Europe/SWE_Sweden/JA_Jamtland/SWE_JA_Hoting.022420_TMYx.2007-2021.zip</v>
      </c>
    </row>
    <row r="10803" spans="1:10" x14ac:dyDescent="0.25">
      <c r="A10803" t="s">
        <v>7602</v>
      </c>
      <c r="B10803" t="s">
        <v>7691</v>
      </c>
      <c r="C10803" t="s">
        <v>7834</v>
      </c>
      <c r="D10803" s="1" t="s">
        <v>7835</v>
      </c>
      <c r="E10803" t="s">
        <v>14</v>
      </c>
      <c r="F10803">
        <v>64.087999999999994</v>
      </c>
      <c r="G10803">
        <v>16.236000000000001</v>
      </c>
      <c r="H10803">
        <v>1</v>
      </c>
      <c r="I10803">
        <v>241.2</v>
      </c>
      <c r="J10803" t="str">
        <f>HYPERLINK("https://climate.onebuilding.org/WMO_Region_6_Europe/SWE_Sweden/JA_Jamtland/SWE_JA_Hoting.022420_TMYx.2009-2023.zip")</f>
        <v>https://climate.onebuilding.org/WMO_Region_6_Europe/SWE_Sweden/JA_Jamtland/SWE_JA_Hoting.022420_TMYx.2009-2023.zip</v>
      </c>
    </row>
    <row r="10804" spans="1:10" x14ac:dyDescent="0.25">
      <c r="A10804" t="s">
        <v>7602</v>
      </c>
      <c r="B10804" t="s">
        <v>7691</v>
      </c>
      <c r="C10804" t="s">
        <v>7834</v>
      </c>
      <c r="D10804" s="1" t="s">
        <v>7835</v>
      </c>
      <c r="E10804" t="s">
        <v>14</v>
      </c>
      <c r="F10804">
        <v>64.087999999999994</v>
      </c>
      <c r="G10804">
        <v>16.236000000000001</v>
      </c>
      <c r="H10804">
        <v>1</v>
      </c>
      <c r="I10804">
        <v>241.2</v>
      </c>
      <c r="J10804" t="str">
        <f>HYPERLINK("https://climate.onebuilding.org/WMO_Region_6_Europe/SWE_Sweden/JA_Jamtland/SWE_JA_Hoting.022420_TMYx.zip")</f>
        <v>https://climate.onebuilding.org/WMO_Region_6_Europe/SWE_Sweden/JA_Jamtland/SWE_JA_Hoting.022420_TMYx.zip</v>
      </c>
    </row>
    <row r="10805" spans="1:10" x14ac:dyDescent="0.25">
      <c r="A10805" t="s">
        <v>7602</v>
      </c>
      <c r="B10805" t="s">
        <v>518</v>
      </c>
      <c r="C10805" t="s">
        <v>7837</v>
      </c>
      <c r="D10805" s="1" t="s">
        <v>7838</v>
      </c>
      <c r="E10805" t="s">
        <v>7839</v>
      </c>
      <c r="F10805">
        <v>63.683900000000001</v>
      </c>
      <c r="G10805">
        <v>16.95</v>
      </c>
      <c r="H10805">
        <v>1</v>
      </c>
      <c r="I10805">
        <v>220.6</v>
      </c>
      <c r="J10805" t="str">
        <f>HYPERLINK("https://climate.onebuilding.org/WMO_Region_6_Europe/SWE_Sweden/VN_Vasternorrland/SWE_VN_Junsele.022430_TMYx.2004-2018.zip")</f>
        <v>https://climate.onebuilding.org/WMO_Region_6_Europe/SWE_Sweden/VN_Vasternorrland/SWE_VN_Junsele.022430_TMYx.2004-2018.zip</v>
      </c>
    </row>
    <row r="10806" spans="1:10" x14ac:dyDescent="0.25">
      <c r="A10806" t="s">
        <v>7602</v>
      </c>
      <c r="B10806" t="s">
        <v>518</v>
      </c>
      <c r="C10806" t="s">
        <v>7837</v>
      </c>
      <c r="D10806" s="1" t="s">
        <v>7838</v>
      </c>
      <c r="E10806" t="s">
        <v>14</v>
      </c>
      <c r="F10806">
        <v>63.683900000000001</v>
      </c>
      <c r="G10806">
        <v>16.95</v>
      </c>
      <c r="H10806">
        <v>1</v>
      </c>
      <c r="I10806">
        <v>220.6</v>
      </c>
      <c r="J10806" t="str">
        <f>HYPERLINK("https://climate.onebuilding.org/WMO_Region_6_Europe/SWE_Sweden/VN_Vasternorrland/SWE_VN_Junsele.022430_TMYx.2007-2021.zip")</f>
        <v>https://climate.onebuilding.org/WMO_Region_6_Europe/SWE_Sweden/VN_Vasternorrland/SWE_VN_Junsele.022430_TMYx.2007-2021.zip</v>
      </c>
    </row>
    <row r="10807" spans="1:10" x14ac:dyDescent="0.25">
      <c r="A10807" t="s">
        <v>7602</v>
      </c>
      <c r="B10807" t="s">
        <v>518</v>
      </c>
      <c r="C10807" t="s">
        <v>7837</v>
      </c>
      <c r="D10807" s="1" t="s">
        <v>7838</v>
      </c>
      <c r="E10807" t="s">
        <v>14</v>
      </c>
      <c r="F10807">
        <v>63.683900000000001</v>
      </c>
      <c r="G10807">
        <v>16.95</v>
      </c>
      <c r="H10807">
        <v>1</v>
      </c>
      <c r="I10807">
        <v>220.6</v>
      </c>
      <c r="J10807" t="str">
        <f>HYPERLINK("https://climate.onebuilding.org/WMO_Region_6_Europe/SWE_Sweden/VN_Vasternorrland/SWE_VN_Junsele.022430_TMYx.2009-2023.zip")</f>
        <v>https://climate.onebuilding.org/WMO_Region_6_Europe/SWE_Sweden/VN_Vasternorrland/SWE_VN_Junsele.022430_TMYx.2009-2023.zip</v>
      </c>
    </row>
    <row r="10808" spans="1:10" x14ac:dyDescent="0.25">
      <c r="A10808" t="s">
        <v>7602</v>
      </c>
      <c r="B10808" t="s">
        <v>518</v>
      </c>
      <c r="C10808" t="s">
        <v>7837</v>
      </c>
      <c r="D10808" s="1" t="s">
        <v>7838</v>
      </c>
      <c r="E10808" t="s">
        <v>14</v>
      </c>
      <c r="F10808">
        <v>63.683900000000001</v>
      </c>
      <c r="G10808">
        <v>16.95</v>
      </c>
      <c r="H10808">
        <v>1</v>
      </c>
      <c r="I10808">
        <v>220.6</v>
      </c>
      <c r="J10808" t="str">
        <f>HYPERLINK("https://climate.onebuilding.org/WMO_Region_6_Europe/SWE_Sweden/VN_Vasternorrland/SWE_VN_Junsele.022430_TMYx.zip")</f>
        <v>https://climate.onebuilding.org/WMO_Region_6_Europe/SWE_Sweden/VN_Vasternorrland/SWE_VN_Junsele.022430_TMYx.zip</v>
      </c>
    </row>
    <row r="10809" spans="1:10" x14ac:dyDescent="0.25">
      <c r="A10809" t="s">
        <v>7602</v>
      </c>
      <c r="B10809" t="s">
        <v>7674</v>
      </c>
      <c r="C10809" t="s">
        <v>7840</v>
      </c>
      <c r="D10809" s="1" t="s">
        <v>7841</v>
      </c>
      <c r="E10809" t="s">
        <v>7842</v>
      </c>
      <c r="F10809">
        <v>64.579300000000003</v>
      </c>
      <c r="G10809">
        <v>16.842099999999999</v>
      </c>
      <c r="H10809">
        <v>1</v>
      </c>
      <c r="I10809">
        <v>349.3</v>
      </c>
      <c r="J10809" t="str">
        <f>HYPERLINK("https://climate.onebuilding.org/WMO_Region_6_Europe/SWE_Sweden/VB_Vasterbotten/SWE_VB_Vilhelmina-South.Lapland.AP.022450_TMYx.2004-2018.zip")</f>
        <v>https://climate.onebuilding.org/WMO_Region_6_Europe/SWE_Sweden/VB_Vasterbotten/SWE_VB_Vilhelmina-South.Lapland.AP.022450_TMYx.2004-2018.zip</v>
      </c>
    </row>
    <row r="10810" spans="1:10" x14ac:dyDescent="0.25">
      <c r="A10810" t="s">
        <v>7602</v>
      </c>
      <c r="B10810" t="s">
        <v>7674</v>
      </c>
      <c r="C10810" t="s">
        <v>7840</v>
      </c>
      <c r="D10810" s="1" t="s">
        <v>7841</v>
      </c>
      <c r="E10810" t="s">
        <v>14</v>
      </c>
      <c r="F10810">
        <v>64.58</v>
      </c>
      <c r="G10810">
        <v>16.838999999999999</v>
      </c>
      <c r="H10810">
        <v>1</v>
      </c>
      <c r="I10810">
        <v>349.3</v>
      </c>
      <c r="J10810" t="str">
        <f>HYPERLINK("https://climate.onebuilding.org/WMO_Region_6_Europe/SWE_Sweden/VB_Vasterbotten/SWE_VB_Vilhelmina-South.Lapland.AP.022450_TMYx.2007-2021.zip")</f>
        <v>https://climate.onebuilding.org/WMO_Region_6_Europe/SWE_Sweden/VB_Vasterbotten/SWE_VB_Vilhelmina-South.Lapland.AP.022450_TMYx.2007-2021.zip</v>
      </c>
    </row>
    <row r="10811" spans="1:10" x14ac:dyDescent="0.25">
      <c r="A10811" t="s">
        <v>7602</v>
      </c>
      <c r="B10811" t="s">
        <v>7674</v>
      </c>
      <c r="C10811" t="s">
        <v>7840</v>
      </c>
      <c r="D10811" s="1" t="s">
        <v>7841</v>
      </c>
      <c r="E10811" t="s">
        <v>14</v>
      </c>
      <c r="F10811">
        <v>64.58</v>
      </c>
      <c r="G10811">
        <v>16.838999999999999</v>
      </c>
      <c r="H10811">
        <v>1</v>
      </c>
      <c r="I10811">
        <v>349.3</v>
      </c>
      <c r="J10811" t="str">
        <f>HYPERLINK("https://climate.onebuilding.org/WMO_Region_6_Europe/SWE_Sweden/VB_Vasterbotten/SWE_VB_Vilhelmina-South.Lapland.AP.022450_TMYx.2009-2023.zip")</f>
        <v>https://climate.onebuilding.org/WMO_Region_6_Europe/SWE_Sweden/VB_Vasterbotten/SWE_VB_Vilhelmina-South.Lapland.AP.022450_TMYx.2009-2023.zip</v>
      </c>
    </row>
    <row r="10812" spans="1:10" x14ac:dyDescent="0.25">
      <c r="A10812" t="s">
        <v>7602</v>
      </c>
      <c r="B10812" t="s">
        <v>7674</v>
      </c>
      <c r="C10812" t="s">
        <v>7840</v>
      </c>
      <c r="D10812" s="1" t="s">
        <v>7841</v>
      </c>
      <c r="E10812" t="s">
        <v>14</v>
      </c>
      <c r="F10812">
        <v>64.58</v>
      </c>
      <c r="G10812">
        <v>16.838999999999999</v>
      </c>
      <c r="H10812">
        <v>1</v>
      </c>
      <c r="I10812">
        <v>349.3</v>
      </c>
      <c r="J10812" t="str">
        <f>HYPERLINK("https://climate.onebuilding.org/WMO_Region_6_Europe/SWE_Sweden/VB_Vasterbotten/SWE_VB_Vilhelmina-South.Lapland.AP.022450_TMYx.zip")</f>
        <v>https://climate.onebuilding.org/WMO_Region_6_Europe/SWE_Sweden/VB_Vasterbotten/SWE_VB_Vilhelmina-South.Lapland.AP.022450_TMYx.zip</v>
      </c>
    </row>
    <row r="10813" spans="1:10" x14ac:dyDescent="0.25">
      <c r="A10813" t="s">
        <v>7602</v>
      </c>
      <c r="B10813" t="s">
        <v>7691</v>
      </c>
      <c r="C10813" t="s">
        <v>7843</v>
      </c>
      <c r="D10813" s="1" t="s">
        <v>7844</v>
      </c>
      <c r="E10813" t="s">
        <v>7845</v>
      </c>
      <c r="F10813">
        <v>63.152200000000001</v>
      </c>
      <c r="G10813">
        <v>16.173300000000001</v>
      </c>
      <c r="H10813">
        <v>1</v>
      </c>
      <c r="I10813">
        <v>184.1</v>
      </c>
      <c r="J10813" t="str">
        <f>HYPERLINK("https://climate.onebuilding.org/WMO_Region_6_Europe/SWE_Sweden/JA_Jamtland/SWE_JA_Krangede.022470_TMYx.2004-2018.zip")</f>
        <v>https://climate.onebuilding.org/WMO_Region_6_Europe/SWE_Sweden/JA_Jamtland/SWE_JA_Krangede.022470_TMYx.2004-2018.zip</v>
      </c>
    </row>
    <row r="10814" spans="1:10" x14ac:dyDescent="0.25">
      <c r="A10814" t="s">
        <v>7602</v>
      </c>
      <c r="B10814" t="s">
        <v>7691</v>
      </c>
      <c r="C10814" t="s">
        <v>7843</v>
      </c>
      <c r="D10814" s="1" t="s">
        <v>7844</v>
      </c>
      <c r="E10814" t="s">
        <v>14</v>
      </c>
      <c r="F10814">
        <v>63.151200000000003</v>
      </c>
      <c r="G10814">
        <v>16.169899999999998</v>
      </c>
      <c r="H10814">
        <v>1</v>
      </c>
      <c r="I10814">
        <v>184.1</v>
      </c>
      <c r="J10814" t="str">
        <f>HYPERLINK("https://climate.onebuilding.org/WMO_Region_6_Europe/SWE_Sweden/JA_Jamtland/SWE_JA_Krangede.022470_TMYx.2007-2021.zip")</f>
        <v>https://climate.onebuilding.org/WMO_Region_6_Europe/SWE_Sweden/JA_Jamtland/SWE_JA_Krangede.022470_TMYx.2007-2021.zip</v>
      </c>
    </row>
    <row r="10815" spans="1:10" x14ac:dyDescent="0.25">
      <c r="A10815" t="s">
        <v>7602</v>
      </c>
      <c r="B10815" t="s">
        <v>7691</v>
      </c>
      <c r="C10815" t="s">
        <v>7843</v>
      </c>
      <c r="D10815" s="1" t="s">
        <v>7844</v>
      </c>
      <c r="E10815" t="s">
        <v>14</v>
      </c>
      <c r="F10815">
        <v>63.151200000000003</v>
      </c>
      <c r="G10815">
        <v>16.169899999999998</v>
      </c>
      <c r="H10815">
        <v>1</v>
      </c>
      <c r="I10815">
        <v>184.1</v>
      </c>
      <c r="J10815" t="str">
        <f>HYPERLINK("https://climate.onebuilding.org/WMO_Region_6_Europe/SWE_Sweden/JA_Jamtland/SWE_JA_Krangede.022470_TMYx.2009-2023.zip")</f>
        <v>https://climate.onebuilding.org/WMO_Region_6_Europe/SWE_Sweden/JA_Jamtland/SWE_JA_Krangede.022470_TMYx.2009-2023.zip</v>
      </c>
    </row>
    <row r="10816" spans="1:10" x14ac:dyDescent="0.25">
      <c r="A10816" t="s">
        <v>7602</v>
      </c>
      <c r="B10816" t="s">
        <v>7691</v>
      </c>
      <c r="C10816" t="s">
        <v>7843</v>
      </c>
      <c r="D10816" s="1" t="s">
        <v>7844</v>
      </c>
      <c r="E10816" t="s">
        <v>14</v>
      </c>
      <c r="F10816">
        <v>63.151200000000003</v>
      </c>
      <c r="G10816">
        <v>16.169899999999998</v>
      </c>
      <c r="H10816">
        <v>1</v>
      </c>
      <c r="I10816">
        <v>184.1</v>
      </c>
      <c r="J10816" t="str">
        <f>HYPERLINK("https://climate.onebuilding.org/WMO_Region_6_Europe/SWE_Sweden/JA_Jamtland/SWE_JA_Krangede.022470_TMYx.zip")</f>
        <v>https://climate.onebuilding.org/WMO_Region_6_Europe/SWE_Sweden/JA_Jamtland/SWE_JA_Krangede.022470_TMYx.zip</v>
      </c>
    </row>
    <row r="10817" spans="1:10" x14ac:dyDescent="0.25">
      <c r="A10817" t="s">
        <v>7602</v>
      </c>
      <c r="B10817" t="s">
        <v>7674</v>
      </c>
      <c r="C10817" t="s">
        <v>7846</v>
      </c>
      <c r="D10817" s="1" t="s">
        <v>7847</v>
      </c>
      <c r="E10817" t="s">
        <v>14</v>
      </c>
      <c r="F10817">
        <v>64.45</v>
      </c>
      <c r="G10817">
        <v>17.082999999999998</v>
      </c>
      <c r="H10817">
        <v>1</v>
      </c>
      <c r="I10817">
        <v>353</v>
      </c>
      <c r="J10817" t="str">
        <f>HYPERLINK("https://climate.onebuilding.org/WMO_Region_6_Europe/SWE_Sweden/VB_Vasterbotten/SWE_VB_Idvattnet.022520_TMYx.zip")</f>
        <v>https://climate.onebuilding.org/WMO_Region_6_Europe/SWE_Sweden/VB_Vasterbotten/SWE_VB_Idvattnet.022520_TMYx.zip</v>
      </c>
    </row>
    <row r="10818" spans="1:10" x14ac:dyDescent="0.25">
      <c r="A10818" t="s">
        <v>7602</v>
      </c>
      <c r="B10818" t="s">
        <v>7674</v>
      </c>
      <c r="C10818" t="s">
        <v>7848</v>
      </c>
      <c r="D10818" s="1" t="s">
        <v>7849</v>
      </c>
      <c r="E10818" t="s">
        <v>7850</v>
      </c>
      <c r="F10818">
        <v>64.1661</v>
      </c>
      <c r="G10818">
        <v>17.318899999999999</v>
      </c>
      <c r="H10818">
        <v>1</v>
      </c>
      <c r="I10818">
        <v>308.5</v>
      </c>
      <c r="J10818" t="str">
        <f>HYPERLINK("https://climate.onebuilding.org/WMO_Region_6_Europe/SWE_Sweden/VB_Vasterbotten/SWE_VB_Asele.022540_TMYx.2004-2018.zip")</f>
        <v>https://climate.onebuilding.org/WMO_Region_6_Europe/SWE_Sweden/VB_Vasterbotten/SWE_VB_Asele.022540_TMYx.2004-2018.zip</v>
      </c>
    </row>
    <row r="10819" spans="1:10" x14ac:dyDescent="0.25">
      <c r="A10819" t="s">
        <v>7602</v>
      </c>
      <c r="B10819" t="s">
        <v>7674</v>
      </c>
      <c r="C10819" t="s">
        <v>7848</v>
      </c>
      <c r="D10819" s="1" t="s">
        <v>7849</v>
      </c>
      <c r="E10819" t="s">
        <v>14</v>
      </c>
      <c r="F10819">
        <v>64.165000000000006</v>
      </c>
      <c r="G10819">
        <v>17.315000000000001</v>
      </c>
      <c r="H10819">
        <v>1</v>
      </c>
      <c r="I10819">
        <v>308.5</v>
      </c>
      <c r="J10819" t="str">
        <f>HYPERLINK("https://climate.onebuilding.org/WMO_Region_6_Europe/SWE_Sweden/VB_Vasterbotten/SWE_VB_Asele.022540_TMYx.2007-2021.zip")</f>
        <v>https://climate.onebuilding.org/WMO_Region_6_Europe/SWE_Sweden/VB_Vasterbotten/SWE_VB_Asele.022540_TMYx.2007-2021.zip</v>
      </c>
    </row>
    <row r="10820" spans="1:10" x14ac:dyDescent="0.25">
      <c r="A10820" t="s">
        <v>7602</v>
      </c>
      <c r="B10820" t="s">
        <v>7674</v>
      </c>
      <c r="C10820" t="s">
        <v>7848</v>
      </c>
      <c r="D10820" s="1" t="s">
        <v>7849</v>
      </c>
      <c r="E10820" t="s">
        <v>14</v>
      </c>
      <c r="F10820">
        <v>64.165000000000006</v>
      </c>
      <c r="G10820">
        <v>17.315000000000001</v>
      </c>
      <c r="H10820">
        <v>1</v>
      </c>
      <c r="I10820">
        <v>308.5</v>
      </c>
      <c r="J10820" t="str">
        <f>HYPERLINK("https://climate.onebuilding.org/WMO_Region_6_Europe/SWE_Sweden/VB_Vasterbotten/SWE_VB_Asele.022540_TMYx.2009-2023.zip")</f>
        <v>https://climate.onebuilding.org/WMO_Region_6_Europe/SWE_Sweden/VB_Vasterbotten/SWE_VB_Asele.022540_TMYx.2009-2023.zip</v>
      </c>
    </row>
    <row r="10821" spans="1:10" x14ac:dyDescent="0.25">
      <c r="A10821" t="s">
        <v>7602</v>
      </c>
      <c r="B10821" t="s">
        <v>7674</v>
      </c>
      <c r="C10821" t="s">
        <v>7848</v>
      </c>
      <c r="D10821" s="1" t="s">
        <v>7849</v>
      </c>
      <c r="E10821" t="s">
        <v>14</v>
      </c>
      <c r="F10821">
        <v>64.165000000000006</v>
      </c>
      <c r="G10821">
        <v>17.315000000000001</v>
      </c>
      <c r="H10821">
        <v>1</v>
      </c>
      <c r="I10821">
        <v>308.5</v>
      </c>
      <c r="J10821" t="str">
        <f>HYPERLINK("https://climate.onebuilding.org/WMO_Region_6_Europe/SWE_Sweden/VB_Vasterbotten/SWE_VB_Asele.022540_TMYx.zip")</f>
        <v>https://climate.onebuilding.org/WMO_Region_6_Europe/SWE_Sweden/VB_Vasterbotten/SWE_VB_Asele.022540_TMYx.zip</v>
      </c>
    </row>
    <row r="10822" spans="1:10" x14ac:dyDescent="0.25">
      <c r="A10822" t="s">
        <v>7602</v>
      </c>
      <c r="B10822" t="s">
        <v>7674</v>
      </c>
      <c r="C10822" t="s">
        <v>7851</v>
      </c>
      <c r="D10822" s="1" t="s">
        <v>7852</v>
      </c>
      <c r="E10822" t="s">
        <v>7853</v>
      </c>
      <c r="F10822">
        <v>64.734399999999994</v>
      </c>
      <c r="G10822">
        <v>17.403300000000002</v>
      </c>
      <c r="H10822">
        <v>1</v>
      </c>
      <c r="I10822">
        <v>575</v>
      </c>
      <c r="J10822" t="str">
        <f>HYPERLINK("https://climate.onebuilding.org/WMO_Region_6_Europe/SWE_Sweden/VB_Vasterbotten/SWE_VB_Ristrask.022560_TMYx.2004-2018.zip")</f>
        <v>https://climate.onebuilding.org/WMO_Region_6_Europe/SWE_Sweden/VB_Vasterbotten/SWE_VB_Ristrask.022560_TMYx.2004-2018.zip</v>
      </c>
    </row>
    <row r="10823" spans="1:10" x14ac:dyDescent="0.25">
      <c r="A10823" t="s">
        <v>7602</v>
      </c>
      <c r="B10823" t="s">
        <v>7674</v>
      </c>
      <c r="C10823" t="s">
        <v>7851</v>
      </c>
      <c r="D10823" s="1" t="s">
        <v>7852</v>
      </c>
      <c r="E10823" t="s">
        <v>14</v>
      </c>
      <c r="F10823">
        <v>64.734399999999994</v>
      </c>
      <c r="G10823">
        <v>17.403300000000002</v>
      </c>
      <c r="H10823">
        <v>1</v>
      </c>
      <c r="I10823">
        <v>575</v>
      </c>
      <c r="J10823" t="str">
        <f>HYPERLINK("https://climate.onebuilding.org/WMO_Region_6_Europe/SWE_Sweden/VB_Vasterbotten/SWE_VB_Ristrask.022560_TMYx.2007-2021.zip")</f>
        <v>https://climate.onebuilding.org/WMO_Region_6_Europe/SWE_Sweden/VB_Vasterbotten/SWE_VB_Ristrask.022560_TMYx.2007-2021.zip</v>
      </c>
    </row>
    <row r="10824" spans="1:10" x14ac:dyDescent="0.25">
      <c r="A10824" t="s">
        <v>7602</v>
      </c>
      <c r="B10824" t="s">
        <v>7674</v>
      </c>
      <c r="C10824" t="s">
        <v>7851</v>
      </c>
      <c r="D10824" s="1" t="s">
        <v>7852</v>
      </c>
      <c r="E10824" t="s">
        <v>14</v>
      </c>
      <c r="F10824">
        <v>64.734399999999994</v>
      </c>
      <c r="G10824">
        <v>17.403300000000002</v>
      </c>
      <c r="H10824">
        <v>1</v>
      </c>
      <c r="I10824">
        <v>575</v>
      </c>
      <c r="J10824" t="str">
        <f>HYPERLINK("https://climate.onebuilding.org/WMO_Region_6_Europe/SWE_Sweden/VB_Vasterbotten/SWE_VB_Ristrask.022560_TMYx.2009-2023.zip")</f>
        <v>https://climate.onebuilding.org/WMO_Region_6_Europe/SWE_Sweden/VB_Vasterbotten/SWE_VB_Ristrask.022560_TMYx.2009-2023.zip</v>
      </c>
    </row>
    <row r="10825" spans="1:10" x14ac:dyDescent="0.25">
      <c r="A10825" t="s">
        <v>7602</v>
      </c>
      <c r="B10825" t="s">
        <v>7674</v>
      </c>
      <c r="C10825" t="s">
        <v>7851</v>
      </c>
      <c r="D10825" s="1" t="s">
        <v>7852</v>
      </c>
      <c r="E10825" t="s">
        <v>14</v>
      </c>
      <c r="F10825">
        <v>64.734399999999994</v>
      </c>
      <c r="G10825">
        <v>17.403300000000002</v>
      </c>
      <c r="H10825">
        <v>1</v>
      </c>
      <c r="I10825">
        <v>575</v>
      </c>
      <c r="J10825" t="str">
        <f>HYPERLINK("https://climate.onebuilding.org/WMO_Region_6_Europe/SWE_Sweden/VB_Vasterbotten/SWE_VB_Ristrask.022560_TMYx.zip")</f>
        <v>https://climate.onebuilding.org/WMO_Region_6_Europe/SWE_Sweden/VB_Vasterbotten/SWE_VB_Ristrask.022560_TMYx.zip</v>
      </c>
    </row>
    <row r="10826" spans="1:10" x14ac:dyDescent="0.25">
      <c r="A10826" t="s">
        <v>7602</v>
      </c>
      <c r="B10826" t="s">
        <v>518</v>
      </c>
      <c r="C10826" t="s">
        <v>7854</v>
      </c>
      <c r="D10826" s="1" t="s">
        <v>7855</v>
      </c>
      <c r="E10826" t="s">
        <v>7856</v>
      </c>
      <c r="F10826">
        <v>63.048999999999999</v>
      </c>
      <c r="G10826">
        <v>17.768999999999998</v>
      </c>
      <c r="H10826">
        <v>1</v>
      </c>
      <c r="I10826">
        <v>10.4</v>
      </c>
      <c r="J10826" t="str">
        <f>HYPERLINK("https://climate.onebuilding.org/WMO_Region_6_Europe/SWE_Sweden/VN_Vasternorrland/SWE_VN_Kramfors-Solleftea-High.Coast.AP.022590_TMYx.2004-2018.zip")</f>
        <v>https://climate.onebuilding.org/WMO_Region_6_Europe/SWE_Sweden/VN_Vasternorrland/SWE_VN_Kramfors-Solleftea-High.Coast.AP.022590_TMYx.2004-2018.zip</v>
      </c>
    </row>
    <row r="10827" spans="1:10" x14ac:dyDescent="0.25">
      <c r="A10827" t="s">
        <v>7602</v>
      </c>
      <c r="B10827" t="s">
        <v>518</v>
      </c>
      <c r="C10827" t="s">
        <v>7854</v>
      </c>
      <c r="D10827" s="1" t="s">
        <v>7855</v>
      </c>
      <c r="E10827" t="s">
        <v>14</v>
      </c>
      <c r="F10827">
        <v>63.048999999999999</v>
      </c>
      <c r="G10827">
        <v>17.768999999999998</v>
      </c>
      <c r="H10827">
        <v>1</v>
      </c>
      <c r="I10827">
        <v>10.4</v>
      </c>
      <c r="J10827" t="str">
        <f>HYPERLINK("https://climate.onebuilding.org/WMO_Region_6_Europe/SWE_Sweden/VN_Vasternorrland/SWE_VN_Kramfors-Solleftea-High.Coast.AP.022590_TMYx.2007-2021.zip")</f>
        <v>https://climate.onebuilding.org/WMO_Region_6_Europe/SWE_Sweden/VN_Vasternorrland/SWE_VN_Kramfors-Solleftea-High.Coast.AP.022590_TMYx.2007-2021.zip</v>
      </c>
    </row>
    <row r="10828" spans="1:10" x14ac:dyDescent="0.25">
      <c r="A10828" t="s">
        <v>7602</v>
      </c>
      <c r="B10828" t="s">
        <v>518</v>
      </c>
      <c r="C10828" t="s">
        <v>7854</v>
      </c>
      <c r="D10828" s="1" t="s">
        <v>7855</v>
      </c>
      <c r="E10828" t="s">
        <v>14</v>
      </c>
      <c r="F10828">
        <v>63.048999999999999</v>
      </c>
      <c r="G10828">
        <v>17.768999999999998</v>
      </c>
      <c r="H10828">
        <v>1</v>
      </c>
      <c r="I10828">
        <v>10.4</v>
      </c>
      <c r="J10828" t="str">
        <f>HYPERLINK("https://climate.onebuilding.org/WMO_Region_6_Europe/SWE_Sweden/VN_Vasternorrland/SWE_VN_Kramfors-Solleftea-High.Coast.AP.022590_TMYx.2009-2023.zip")</f>
        <v>https://climate.onebuilding.org/WMO_Region_6_Europe/SWE_Sweden/VN_Vasternorrland/SWE_VN_Kramfors-Solleftea-High.Coast.AP.022590_TMYx.2009-2023.zip</v>
      </c>
    </row>
    <row r="10829" spans="1:10" x14ac:dyDescent="0.25">
      <c r="A10829" t="s">
        <v>7602</v>
      </c>
      <c r="B10829" t="s">
        <v>518</v>
      </c>
      <c r="C10829" t="s">
        <v>7854</v>
      </c>
      <c r="D10829" s="1" t="s">
        <v>7855</v>
      </c>
      <c r="E10829" t="s">
        <v>14</v>
      </c>
      <c r="F10829">
        <v>63.048999999999999</v>
      </c>
      <c r="G10829">
        <v>17.768999999999998</v>
      </c>
      <c r="H10829">
        <v>1</v>
      </c>
      <c r="I10829">
        <v>10.4</v>
      </c>
      <c r="J10829" t="str">
        <f>HYPERLINK("https://climate.onebuilding.org/WMO_Region_6_Europe/SWE_Sweden/VN_Vasternorrland/SWE_VN_Kramfors-Solleftea-High.Coast.AP.022590_TMYx.zip")</f>
        <v>https://climate.onebuilding.org/WMO_Region_6_Europe/SWE_Sweden/VN_Vasternorrland/SWE_VN_Kramfors-Solleftea-High.Coast.AP.022590_TMYx.zip</v>
      </c>
    </row>
    <row r="10830" spans="1:10" x14ac:dyDescent="0.25">
      <c r="A10830" t="s">
        <v>7602</v>
      </c>
      <c r="B10830" t="s">
        <v>518</v>
      </c>
      <c r="C10830" t="s">
        <v>7857</v>
      </c>
      <c r="D10830" s="1" t="s">
        <v>7858</v>
      </c>
      <c r="E10830" t="s">
        <v>7859</v>
      </c>
      <c r="F10830">
        <v>63.125300000000003</v>
      </c>
      <c r="G10830">
        <v>18.255600000000001</v>
      </c>
      <c r="H10830">
        <v>1</v>
      </c>
      <c r="I10830">
        <v>142.69999999999999</v>
      </c>
      <c r="J10830" t="str">
        <f>HYPERLINK("https://climate.onebuilding.org/WMO_Region_6_Europe/SWE_Sweden/VN_Vasternorrland/SWE_VN_Vastmarkum.022600_TMYx.2004-2018.zip")</f>
        <v>https://climate.onebuilding.org/WMO_Region_6_Europe/SWE_Sweden/VN_Vasternorrland/SWE_VN_Vastmarkum.022600_TMYx.2004-2018.zip</v>
      </c>
    </row>
    <row r="10831" spans="1:10" x14ac:dyDescent="0.25">
      <c r="A10831" t="s">
        <v>7602</v>
      </c>
      <c r="B10831" t="s">
        <v>518</v>
      </c>
      <c r="C10831" t="s">
        <v>7857</v>
      </c>
      <c r="D10831" s="1" t="s">
        <v>7858</v>
      </c>
      <c r="E10831" t="s">
        <v>14</v>
      </c>
      <c r="F10831">
        <v>63.124299999999998</v>
      </c>
      <c r="G10831">
        <v>18.251799999999999</v>
      </c>
      <c r="H10831">
        <v>1</v>
      </c>
      <c r="I10831">
        <v>142.69999999999999</v>
      </c>
      <c r="J10831" t="str">
        <f>HYPERLINK("https://climate.onebuilding.org/WMO_Region_6_Europe/SWE_Sweden/VN_Vasternorrland/SWE_VN_Vastmarkum.022600_TMYx.2007-2021.zip")</f>
        <v>https://climate.onebuilding.org/WMO_Region_6_Europe/SWE_Sweden/VN_Vasternorrland/SWE_VN_Vastmarkum.022600_TMYx.2007-2021.zip</v>
      </c>
    </row>
    <row r="10832" spans="1:10" x14ac:dyDescent="0.25">
      <c r="A10832" t="s">
        <v>7602</v>
      </c>
      <c r="B10832" t="s">
        <v>518</v>
      </c>
      <c r="C10832" t="s">
        <v>7857</v>
      </c>
      <c r="D10832" s="1" t="s">
        <v>7858</v>
      </c>
      <c r="E10832" t="s">
        <v>14</v>
      </c>
      <c r="F10832">
        <v>63.124299999999998</v>
      </c>
      <c r="G10832">
        <v>18.251799999999999</v>
      </c>
      <c r="H10832">
        <v>1</v>
      </c>
      <c r="I10832">
        <v>142.69999999999999</v>
      </c>
      <c r="J10832" t="str">
        <f>HYPERLINK("https://climate.onebuilding.org/WMO_Region_6_Europe/SWE_Sweden/VN_Vasternorrland/SWE_VN_Vastmarkum.022600_TMYx.2009-2023.zip")</f>
        <v>https://climate.onebuilding.org/WMO_Region_6_Europe/SWE_Sweden/VN_Vasternorrland/SWE_VN_Vastmarkum.022600_TMYx.2009-2023.zip</v>
      </c>
    </row>
    <row r="10833" spans="1:10" x14ac:dyDescent="0.25">
      <c r="A10833" t="s">
        <v>7602</v>
      </c>
      <c r="B10833" t="s">
        <v>518</v>
      </c>
      <c r="C10833" t="s">
        <v>7857</v>
      </c>
      <c r="D10833" s="1" t="s">
        <v>7858</v>
      </c>
      <c r="E10833" t="s">
        <v>14</v>
      </c>
      <c r="F10833">
        <v>63.124299999999998</v>
      </c>
      <c r="G10833">
        <v>18.251799999999999</v>
      </c>
      <c r="H10833">
        <v>1</v>
      </c>
      <c r="I10833">
        <v>142.69999999999999</v>
      </c>
      <c r="J10833" t="str">
        <f>HYPERLINK("https://climate.onebuilding.org/WMO_Region_6_Europe/SWE_Sweden/VN_Vasternorrland/SWE_VN_Vastmarkum.022600_TMYx.zip")</f>
        <v>https://climate.onebuilding.org/WMO_Region_6_Europe/SWE_Sweden/VN_Vasternorrland/SWE_VN_Vastmarkum.022600_TMYx.zip</v>
      </c>
    </row>
    <row r="10834" spans="1:10" x14ac:dyDescent="0.25">
      <c r="A10834" t="s">
        <v>7602</v>
      </c>
      <c r="B10834" t="s">
        <v>7674</v>
      </c>
      <c r="C10834" t="s">
        <v>7860</v>
      </c>
      <c r="D10834" s="1" t="s">
        <v>7861</v>
      </c>
      <c r="E10834" t="s">
        <v>7862</v>
      </c>
      <c r="F10834">
        <v>64.549499999999995</v>
      </c>
      <c r="G10834">
        <v>18.716899999999999</v>
      </c>
      <c r="H10834">
        <v>1</v>
      </c>
      <c r="I10834">
        <v>211.1</v>
      </c>
      <c r="J10834" t="str">
        <f>HYPERLINK("https://climate.onebuilding.org/WMO_Region_6_Europe/SWE_Sweden/VB_Vasterbotten/SWE_VB_Lycksele.AP.022610_TMYx.2004-2018.zip")</f>
        <v>https://climate.onebuilding.org/WMO_Region_6_Europe/SWE_Sweden/VB_Vasterbotten/SWE_VB_Lycksele.AP.022610_TMYx.2004-2018.zip</v>
      </c>
    </row>
    <row r="10835" spans="1:10" x14ac:dyDescent="0.25">
      <c r="A10835" t="s">
        <v>7602</v>
      </c>
      <c r="B10835" t="s">
        <v>7674</v>
      </c>
      <c r="C10835" t="s">
        <v>7860</v>
      </c>
      <c r="D10835" s="1" t="s">
        <v>7861</v>
      </c>
      <c r="E10835" t="s">
        <v>14</v>
      </c>
      <c r="F10835">
        <v>64.548100000000005</v>
      </c>
      <c r="G10835">
        <v>18.713000000000001</v>
      </c>
      <c r="H10835">
        <v>1</v>
      </c>
      <c r="I10835">
        <v>211.1</v>
      </c>
      <c r="J10835" t="str">
        <f>HYPERLINK("https://climate.onebuilding.org/WMO_Region_6_Europe/SWE_Sweden/VB_Vasterbotten/SWE_VB_Lycksele.AP.022610_TMYx.2007-2021.zip")</f>
        <v>https://climate.onebuilding.org/WMO_Region_6_Europe/SWE_Sweden/VB_Vasterbotten/SWE_VB_Lycksele.AP.022610_TMYx.2007-2021.zip</v>
      </c>
    </row>
    <row r="10836" spans="1:10" x14ac:dyDescent="0.25">
      <c r="A10836" t="s">
        <v>7602</v>
      </c>
      <c r="B10836" t="s">
        <v>7674</v>
      </c>
      <c r="C10836" t="s">
        <v>7860</v>
      </c>
      <c r="D10836" s="1" t="s">
        <v>7861</v>
      </c>
      <c r="E10836" t="s">
        <v>14</v>
      </c>
      <c r="F10836">
        <v>64.548100000000005</v>
      </c>
      <c r="G10836">
        <v>18.713000000000001</v>
      </c>
      <c r="H10836">
        <v>1</v>
      </c>
      <c r="I10836">
        <v>211.1</v>
      </c>
      <c r="J10836" t="str">
        <f>HYPERLINK("https://climate.onebuilding.org/WMO_Region_6_Europe/SWE_Sweden/VB_Vasterbotten/SWE_VB_Lycksele.AP.022610_TMYx.2009-2023.zip")</f>
        <v>https://climate.onebuilding.org/WMO_Region_6_Europe/SWE_Sweden/VB_Vasterbotten/SWE_VB_Lycksele.AP.022610_TMYx.2009-2023.zip</v>
      </c>
    </row>
    <row r="10837" spans="1:10" x14ac:dyDescent="0.25">
      <c r="A10837" t="s">
        <v>7602</v>
      </c>
      <c r="B10837" t="s">
        <v>7674</v>
      </c>
      <c r="C10837" t="s">
        <v>7860</v>
      </c>
      <c r="D10837" s="1" t="s">
        <v>7861</v>
      </c>
      <c r="E10837" t="s">
        <v>14</v>
      </c>
      <c r="F10837">
        <v>64.548100000000005</v>
      </c>
      <c r="G10837">
        <v>18.713000000000001</v>
      </c>
      <c r="H10837">
        <v>1</v>
      </c>
      <c r="I10837">
        <v>211.1</v>
      </c>
      <c r="J10837" t="str">
        <f>HYPERLINK("https://climate.onebuilding.org/WMO_Region_6_Europe/SWE_Sweden/VB_Vasterbotten/SWE_VB_Lycksele.AP.022610_TMYx.zip")</f>
        <v>https://climate.onebuilding.org/WMO_Region_6_Europe/SWE_Sweden/VB_Vasterbotten/SWE_VB_Lycksele.AP.022610_TMYx.zip</v>
      </c>
    </row>
    <row r="10838" spans="1:10" x14ac:dyDescent="0.25">
      <c r="A10838" t="s">
        <v>7602</v>
      </c>
      <c r="B10838" t="s">
        <v>5921</v>
      </c>
      <c r="C10838" t="s">
        <v>7863</v>
      </c>
      <c r="D10838" s="1" t="s">
        <v>7864</v>
      </c>
      <c r="E10838" t="s">
        <v>14</v>
      </c>
      <c r="F10838">
        <v>66.566999999999993</v>
      </c>
      <c r="G10838">
        <v>16.350000000000001</v>
      </c>
      <c r="H10838">
        <v>1</v>
      </c>
      <c r="I10838">
        <v>500</v>
      </c>
      <c r="J10838" t="str">
        <f>HYPERLINK("https://climate.onebuilding.org/WMO_Region_6_Europe/SWE_Sweden/NB_Norrbotten/SWE_NB_Vuoggatjalme.022620_TMYx.zip")</f>
        <v>https://climate.onebuilding.org/WMO_Region_6_Europe/SWE_Sweden/NB_Norrbotten/SWE_NB_Vuoggatjalme.022620_TMYx.zip</v>
      </c>
    </row>
    <row r="10839" spans="1:10" x14ac:dyDescent="0.25">
      <c r="A10839" t="s">
        <v>7602</v>
      </c>
      <c r="B10839" t="s">
        <v>7674</v>
      </c>
      <c r="C10839" t="s">
        <v>7865</v>
      </c>
      <c r="D10839" s="1" t="s">
        <v>7866</v>
      </c>
      <c r="E10839" t="s">
        <v>7867</v>
      </c>
      <c r="F10839">
        <v>64.075500000000005</v>
      </c>
      <c r="G10839">
        <v>18.365600000000001</v>
      </c>
      <c r="H10839">
        <v>1</v>
      </c>
      <c r="I10839">
        <v>327.39999999999998</v>
      </c>
      <c r="J10839" t="str">
        <f>HYPERLINK("https://climate.onebuilding.org/WMO_Region_6_Europe/SWE_Sweden/VB_Vasterbotten/SWE_VB_Fredrika.022630_TMYx.2004-2018.zip")</f>
        <v>https://climate.onebuilding.org/WMO_Region_6_Europe/SWE_Sweden/VB_Vasterbotten/SWE_VB_Fredrika.022630_TMYx.2004-2018.zip</v>
      </c>
    </row>
    <row r="10840" spans="1:10" x14ac:dyDescent="0.25">
      <c r="A10840" t="s">
        <v>7602</v>
      </c>
      <c r="B10840" t="s">
        <v>7674</v>
      </c>
      <c r="C10840" t="s">
        <v>7865</v>
      </c>
      <c r="D10840" s="1" t="s">
        <v>7866</v>
      </c>
      <c r="E10840" t="s">
        <v>14</v>
      </c>
      <c r="F10840">
        <v>64.074399999999997</v>
      </c>
      <c r="G10840">
        <v>18.361899999999999</v>
      </c>
      <c r="H10840">
        <v>1</v>
      </c>
      <c r="I10840">
        <v>327.39999999999998</v>
      </c>
      <c r="J10840" t="str">
        <f>HYPERLINK("https://climate.onebuilding.org/WMO_Region_6_Europe/SWE_Sweden/VB_Vasterbotten/SWE_VB_Fredrika.022630_TMYx.2007-2021.zip")</f>
        <v>https://climate.onebuilding.org/WMO_Region_6_Europe/SWE_Sweden/VB_Vasterbotten/SWE_VB_Fredrika.022630_TMYx.2007-2021.zip</v>
      </c>
    </row>
    <row r="10841" spans="1:10" x14ac:dyDescent="0.25">
      <c r="A10841" t="s">
        <v>7602</v>
      </c>
      <c r="B10841" t="s">
        <v>7674</v>
      </c>
      <c r="C10841" t="s">
        <v>7865</v>
      </c>
      <c r="D10841" s="1" t="s">
        <v>7866</v>
      </c>
      <c r="E10841" t="s">
        <v>14</v>
      </c>
      <c r="F10841">
        <v>64.074399999999997</v>
      </c>
      <c r="G10841">
        <v>18.361899999999999</v>
      </c>
      <c r="H10841">
        <v>1</v>
      </c>
      <c r="I10841">
        <v>327.39999999999998</v>
      </c>
      <c r="J10841" t="str">
        <f>HYPERLINK("https://climate.onebuilding.org/WMO_Region_6_Europe/SWE_Sweden/VB_Vasterbotten/SWE_VB_Fredrika.022630_TMYx.2009-2023.zip")</f>
        <v>https://climate.onebuilding.org/WMO_Region_6_Europe/SWE_Sweden/VB_Vasterbotten/SWE_VB_Fredrika.022630_TMYx.2009-2023.zip</v>
      </c>
    </row>
    <row r="10842" spans="1:10" x14ac:dyDescent="0.25">
      <c r="A10842" t="s">
        <v>7602</v>
      </c>
      <c r="B10842" t="s">
        <v>7674</v>
      </c>
      <c r="C10842" t="s">
        <v>7865</v>
      </c>
      <c r="D10842" s="1" t="s">
        <v>7866</v>
      </c>
      <c r="E10842" t="s">
        <v>14</v>
      </c>
      <c r="F10842">
        <v>64.074399999999997</v>
      </c>
      <c r="G10842">
        <v>18.361899999999999</v>
      </c>
      <c r="H10842">
        <v>1</v>
      </c>
      <c r="I10842">
        <v>327.39999999999998</v>
      </c>
      <c r="J10842" t="str">
        <f>HYPERLINK("https://climate.onebuilding.org/WMO_Region_6_Europe/SWE_Sweden/VB_Vasterbotten/SWE_VB_Fredrika.022630_TMYx.zip")</f>
        <v>https://climate.onebuilding.org/WMO_Region_6_Europe/SWE_Sweden/VB_Vasterbotten/SWE_VB_Fredrika.022630_TMYx.zip</v>
      </c>
    </row>
    <row r="10843" spans="1:10" x14ac:dyDescent="0.25">
      <c r="A10843" t="s">
        <v>7602</v>
      </c>
      <c r="B10843" t="s">
        <v>518</v>
      </c>
      <c r="C10843" t="s">
        <v>7868</v>
      </c>
      <c r="D10843" s="1" t="s">
        <v>7869</v>
      </c>
      <c r="E10843" t="s">
        <v>7870</v>
      </c>
      <c r="F10843">
        <v>63.651400000000002</v>
      </c>
      <c r="G10843">
        <v>18.5503</v>
      </c>
      <c r="H10843">
        <v>1</v>
      </c>
      <c r="I10843">
        <v>183.5</v>
      </c>
      <c r="J10843" t="str">
        <f>HYPERLINK("https://climate.onebuilding.org/WMO_Region_6_Europe/SWE_Sweden/VN_Vasternorrland/SWE_VN_Hemling.022650_TMYx.2004-2018.zip")</f>
        <v>https://climate.onebuilding.org/WMO_Region_6_Europe/SWE_Sweden/VN_Vasternorrland/SWE_VN_Hemling.022650_TMYx.2004-2018.zip</v>
      </c>
    </row>
    <row r="10844" spans="1:10" x14ac:dyDescent="0.25">
      <c r="A10844" t="s">
        <v>7602</v>
      </c>
      <c r="B10844" t="s">
        <v>518</v>
      </c>
      <c r="C10844" t="s">
        <v>7868</v>
      </c>
      <c r="D10844" s="1" t="s">
        <v>7869</v>
      </c>
      <c r="E10844" t="s">
        <v>14</v>
      </c>
      <c r="F10844">
        <v>63.651400000000002</v>
      </c>
      <c r="G10844">
        <v>18.5503</v>
      </c>
      <c r="H10844">
        <v>1</v>
      </c>
      <c r="I10844">
        <v>183.5</v>
      </c>
      <c r="J10844" t="str">
        <f>HYPERLINK("https://climate.onebuilding.org/WMO_Region_6_Europe/SWE_Sweden/VN_Vasternorrland/SWE_VN_Hemling.022650_TMYx.2007-2021.zip")</f>
        <v>https://climate.onebuilding.org/WMO_Region_6_Europe/SWE_Sweden/VN_Vasternorrland/SWE_VN_Hemling.022650_TMYx.2007-2021.zip</v>
      </c>
    </row>
    <row r="10845" spans="1:10" x14ac:dyDescent="0.25">
      <c r="A10845" t="s">
        <v>7602</v>
      </c>
      <c r="B10845" t="s">
        <v>518</v>
      </c>
      <c r="C10845" t="s">
        <v>7868</v>
      </c>
      <c r="D10845" s="1" t="s">
        <v>7869</v>
      </c>
      <c r="E10845" t="s">
        <v>14</v>
      </c>
      <c r="F10845">
        <v>63.651400000000002</v>
      </c>
      <c r="G10845">
        <v>18.5503</v>
      </c>
      <c r="H10845">
        <v>1</v>
      </c>
      <c r="I10845">
        <v>183.5</v>
      </c>
      <c r="J10845" t="str">
        <f>HYPERLINK("https://climate.onebuilding.org/WMO_Region_6_Europe/SWE_Sweden/VN_Vasternorrland/SWE_VN_Hemling.022650_TMYx.2009-2023.zip")</f>
        <v>https://climate.onebuilding.org/WMO_Region_6_Europe/SWE_Sweden/VN_Vasternorrland/SWE_VN_Hemling.022650_TMYx.2009-2023.zip</v>
      </c>
    </row>
    <row r="10846" spans="1:10" x14ac:dyDescent="0.25">
      <c r="A10846" t="s">
        <v>7602</v>
      </c>
      <c r="B10846" t="s">
        <v>518</v>
      </c>
      <c r="C10846" t="s">
        <v>7868</v>
      </c>
      <c r="D10846" s="1" t="s">
        <v>7869</v>
      </c>
      <c r="E10846" t="s">
        <v>14</v>
      </c>
      <c r="F10846">
        <v>63.651400000000002</v>
      </c>
      <c r="G10846">
        <v>18.5503</v>
      </c>
      <c r="H10846">
        <v>1</v>
      </c>
      <c r="I10846">
        <v>183.5</v>
      </c>
      <c r="J10846" t="str">
        <f>HYPERLINK("https://climate.onebuilding.org/WMO_Region_6_Europe/SWE_Sweden/VN_Vasternorrland/SWE_VN_Hemling.022650_TMYx.zip")</f>
        <v>https://climate.onebuilding.org/WMO_Region_6_Europe/SWE_Sweden/VN_Vasternorrland/SWE_VN_Hemling.022650_TMYx.zip</v>
      </c>
    </row>
    <row r="10847" spans="1:10" x14ac:dyDescent="0.25">
      <c r="A10847" t="s">
        <v>7602</v>
      </c>
      <c r="B10847" t="s">
        <v>518</v>
      </c>
      <c r="C10847" t="s">
        <v>7871</v>
      </c>
      <c r="D10847" s="1" t="s">
        <v>7872</v>
      </c>
      <c r="E10847" t="s">
        <v>7873</v>
      </c>
      <c r="F10847">
        <v>63.411700000000003</v>
      </c>
      <c r="G10847">
        <v>18.979700000000001</v>
      </c>
      <c r="H10847">
        <v>1</v>
      </c>
      <c r="I10847">
        <v>100</v>
      </c>
      <c r="J10847" t="str">
        <f>HYPERLINK("https://climate.onebuilding.org/WMO_Region_6_Europe/SWE_Sweden/VN_Vasternorrland/SWE_VN_Ornskoldsvik.AP.022670_TMYx.2004-2018.zip")</f>
        <v>https://climate.onebuilding.org/WMO_Region_6_Europe/SWE_Sweden/VN_Vasternorrland/SWE_VN_Ornskoldsvik.AP.022670_TMYx.2004-2018.zip</v>
      </c>
    </row>
    <row r="10848" spans="1:10" x14ac:dyDescent="0.25">
      <c r="A10848" t="s">
        <v>7602</v>
      </c>
      <c r="B10848" t="s">
        <v>518</v>
      </c>
      <c r="C10848" t="s">
        <v>7871</v>
      </c>
      <c r="D10848" s="1" t="s">
        <v>7872</v>
      </c>
      <c r="E10848" t="s">
        <v>14</v>
      </c>
      <c r="F10848">
        <v>63.411700000000003</v>
      </c>
      <c r="G10848">
        <v>18.979700000000001</v>
      </c>
      <c r="H10848">
        <v>1</v>
      </c>
      <c r="I10848">
        <v>100</v>
      </c>
      <c r="J10848" t="str">
        <f>HYPERLINK("https://climate.onebuilding.org/WMO_Region_6_Europe/SWE_Sweden/VN_Vasternorrland/SWE_VN_Ornskoldsvik.AP.022670_TMYx.2007-2021.zip")</f>
        <v>https://climate.onebuilding.org/WMO_Region_6_Europe/SWE_Sweden/VN_Vasternorrland/SWE_VN_Ornskoldsvik.AP.022670_TMYx.2007-2021.zip</v>
      </c>
    </row>
    <row r="10849" spans="1:10" x14ac:dyDescent="0.25">
      <c r="A10849" t="s">
        <v>7602</v>
      </c>
      <c r="B10849" t="s">
        <v>518</v>
      </c>
      <c r="C10849" t="s">
        <v>7871</v>
      </c>
      <c r="D10849" s="1" t="s">
        <v>7872</v>
      </c>
      <c r="E10849" t="s">
        <v>14</v>
      </c>
      <c r="F10849">
        <v>63.411700000000003</v>
      </c>
      <c r="G10849">
        <v>18.979700000000001</v>
      </c>
      <c r="H10849">
        <v>1</v>
      </c>
      <c r="I10849">
        <v>100</v>
      </c>
      <c r="J10849" t="str">
        <f>HYPERLINK("https://climate.onebuilding.org/WMO_Region_6_Europe/SWE_Sweden/VN_Vasternorrland/SWE_VN_Ornskoldsvik.AP.022670_TMYx.2009-2023.zip")</f>
        <v>https://climate.onebuilding.org/WMO_Region_6_Europe/SWE_Sweden/VN_Vasternorrland/SWE_VN_Ornskoldsvik.AP.022670_TMYx.2009-2023.zip</v>
      </c>
    </row>
    <row r="10850" spans="1:10" x14ac:dyDescent="0.25">
      <c r="A10850" t="s">
        <v>7602</v>
      </c>
      <c r="B10850" t="s">
        <v>518</v>
      </c>
      <c r="C10850" t="s">
        <v>7871</v>
      </c>
      <c r="D10850" s="1" t="s">
        <v>7872</v>
      </c>
      <c r="E10850" t="s">
        <v>14</v>
      </c>
      <c r="F10850">
        <v>63.411700000000003</v>
      </c>
      <c r="G10850">
        <v>18.979700000000001</v>
      </c>
      <c r="H10850">
        <v>1</v>
      </c>
      <c r="I10850">
        <v>100</v>
      </c>
      <c r="J10850" t="str">
        <f>HYPERLINK("https://climate.onebuilding.org/WMO_Region_6_Europe/SWE_Sweden/VN_Vasternorrland/SWE_VN_Ornskoldsvik.AP.022670_TMYx.zip")</f>
        <v>https://climate.onebuilding.org/WMO_Region_6_Europe/SWE_Sweden/VN_Vasternorrland/SWE_VN_Ornskoldsvik.AP.022670_TMYx.zip</v>
      </c>
    </row>
    <row r="10851" spans="1:10" x14ac:dyDescent="0.25">
      <c r="A10851" t="s">
        <v>7602</v>
      </c>
      <c r="B10851" t="s">
        <v>518</v>
      </c>
      <c r="C10851" t="s">
        <v>7874</v>
      </c>
      <c r="D10851" s="1" t="s">
        <v>7875</v>
      </c>
      <c r="E10851" t="s">
        <v>7876</v>
      </c>
      <c r="F10851">
        <v>63.188600000000001</v>
      </c>
      <c r="G10851">
        <v>19.020600000000002</v>
      </c>
      <c r="H10851">
        <v>1</v>
      </c>
      <c r="I10851">
        <v>11.4</v>
      </c>
      <c r="J10851" t="str">
        <f>HYPERLINK("https://climate.onebuilding.org/WMO_Region_6_Europe/SWE_Sweden/VN_Vasternorrland/SWE_VN_Skagsudde.Lighthouse.022690_TMYx.2004-2018.zip")</f>
        <v>https://climate.onebuilding.org/WMO_Region_6_Europe/SWE_Sweden/VN_Vasternorrland/SWE_VN_Skagsudde.Lighthouse.022690_TMYx.2004-2018.zip</v>
      </c>
    </row>
    <row r="10852" spans="1:10" x14ac:dyDescent="0.25">
      <c r="A10852" t="s">
        <v>7602</v>
      </c>
      <c r="B10852" t="s">
        <v>518</v>
      </c>
      <c r="C10852" t="s">
        <v>7874</v>
      </c>
      <c r="D10852" s="1" t="s">
        <v>7875</v>
      </c>
      <c r="E10852" t="s">
        <v>14</v>
      </c>
      <c r="F10852">
        <v>63.188600000000001</v>
      </c>
      <c r="G10852">
        <v>19.020600000000002</v>
      </c>
      <c r="H10852">
        <v>1</v>
      </c>
      <c r="I10852">
        <v>11.4</v>
      </c>
      <c r="J10852" t="str">
        <f>HYPERLINK("https://climate.onebuilding.org/WMO_Region_6_Europe/SWE_Sweden/VN_Vasternorrland/SWE_VN_Skagsudde.Lighthouse.022690_TMYx.2007-2021.zip")</f>
        <v>https://climate.onebuilding.org/WMO_Region_6_Europe/SWE_Sweden/VN_Vasternorrland/SWE_VN_Skagsudde.Lighthouse.022690_TMYx.2007-2021.zip</v>
      </c>
    </row>
    <row r="10853" spans="1:10" x14ac:dyDescent="0.25">
      <c r="A10853" t="s">
        <v>7602</v>
      </c>
      <c r="B10853" t="s">
        <v>518</v>
      </c>
      <c r="C10853" t="s">
        <v>7874</v>
      </c>
      <c r="D10853" s="1" t="s">
        <v>7875</v>
      </c>
      <c r="E10853" t="s">
        <v>14</v>
      </c>
      <c r="F10853">
        <v>63.188600000000001</v>
      </c>
      <c r="G10853">
        <v>19.020600000000002</v>
      </c>
      <c r="H10853">
        <v>1</v>
      </c>
      <c r="I10853">
        <v>11.4</v>
      </c>
      <c r="J10853" t="str">
        <f>HYPERLINK("https://climate.onebuilding.org/WMO_Region_6_Europe/SWE_Sweden/VN_Vasternorrland/SWE_VN_Skagsudde.Lighthouse.022690_TMYx.2009-2023.zip")</f>
        <v>https://climate.onebuilding.org/WMO_Region_6_Europe/SWE_Sweden/VN_Vasternorrland/SWE_VN_Skagsudde.Lighthouse.022690_TMYx.2009-2023.zip</v>
      </c>
    </row>
    <row r="10854" spans="1:10" x14ac:dyDescent="0.25">
      <c r="A10854" t="s">
        <v>7602</v>
      </c>
      <c r="B10854" t="s">
        <v>518</v>
      </c>
      <c r="C10854" t="s">
        <v>7874</v>
      </c>
      <c r="D10854" s="1" t="s">
        <v>7875</v>
      </c>
      <c r="E10854" t="s">
        <v>14</v>
      </c>
      <c r="F10854">
        <v>63.188600000000001</v>
      </c>
      <c r="G10854">
        <v>19.020600000000002</v>
      </c>
      <c r="H10854">
        <v>1</v>
      </c>
      <c r="I10854">
        <v>11.4</v>
      </c>
      <c r="J10854" t="str">
        <f>HYPERLINK("https://climate.onebuilding.org/WMO_Region_6_Europe/SWE_Sweden/VN_Vasternorrland/SWE_VN_Skagsudde.Lighthouse.022690_TMYx.zip")</f>
        <v>https://climate.onebuilding.org/WMO_Region_6_Europe/SWE_Sweden/VN_Vasternorrland/SWE_VN_Skagsudde.Lighthouse.022690_TMYx.zip</v>
      </c>
    </row>
    <row r="10855" spans="1:10" x14ac:dyDescent="0.25">
      <c r="A10855" t="s">
        <v>7602</v>
      </c>
      <c r="B10855" t="s">
        <v>7674</v>
      </c>
      <c r="C10855" t="s">
        <v>7877</v>
      </c>
      <c r="D10855" s="1" t="s">
        <v>7878</v>
      </c>
      <c r="E10855" t="s">
        <v>7879</v>
      </c>
      <c r="F10855">
        <v>64.926400000000001</v>
      </c>
      <c r="G10855">
        <v>19.378599999999999</v>
      </c>
      <c r="H10855">
        <v>1</v>
      </c>
      <c r="I10855">
        <v>310.5</v>
      </c>
      <c r="J10855" t="str">
        <f>HYPERLINK("https://climate.onebuilding.org/WMO_Region_6_Europe/SWE_Sweden/VB_Vasterbotten/SWE_VB_Norsjo.022710_TMYx.2004-2018.zip")</f>
        <v>https://climate.onebuilding.org/WMO_Region_6_Europe/SWE_Sweden/VB_Vasterbotten/SWE_VB_Norsjo.022710_TMYx.2004-2018.zip</v>
      </c>
    </row>
    <row r="10856" spans="1:10" x14ac:dyDescent="0.25">
      <c r="A10856" t="s">
        <v>7602</v>
      </c>
      <c r="B10856" t="s">
        <v>7674</v>
      </c>
      <c r="C10856" t="s">
        <v>7877</v>
      </c>
      <c r="D10856" s="1" t="s">
        <v>7878</v>
      </c>
      <c r="E10856" t="s">
        <v>14</v>
      </c>
      <c r="F10856">
        <v>64.926400000000001</v>
      </c>
      <c r="G10856">
        <v>19.378599999999999</v>
      </c>
      <c r="H10856">
        <v>1</v>
      </c>
      <c r="I10856">
        <v>310.5</v>
      </c>
      <c r="J10856" t="str">
        <f>HYPERLINK("https://climate.onebuilding.org/WMO_Region_6_Europe/SWE_Sweden/VB_Vasterbotten/SWE_VB_Norsjo.022710_TMYx.2007-2021.zip")</f>
        <v>https://climate.onebuilding.org/WMO_Region_6_Europe/SWE_Sweden/VB_Vasterbotten/SWE_VB_Norsjo.022710_TMYx.2007-2021.zip</v>
      </c>
    </row>
    <row r="10857" spans="1:10" x14ac:dyDescent="0.25">
      <c r="A10857" t="s">
        <v>7602</v>
      </c>
      <c r="B10857" t="s">
        <v>7674</v>
      </c>
      <c r="C10857" t="s">
        <v>7877</v>
      </c>
      <c r="D10857" s="1" t="s">
        <v>7878</v>
      </c>
      <c r="E10857" t="s">
        <v>14</v>
      </c>
      <c r="F10857">
        <v>64.926400000000001</v>
      </c>
      <c r="G10857">
        <v>19.378599999999999</v>
      </c>
      <c r="H10857">
        <v>1</v>
      </c>
      <c r="I10857">
        <v>310.5</v>
      </c>
      <c r="J10857" t="str">
        <f>HYPERLINK("https://climate.onebuilding.org/WMO_Region_6_Europe/SWE_Sweden/VB_Vasterbotten/SWE_VB_Norsjo.022710_TMYx.2009-2023.zip")</f>
        <v>https://climate.onebuilding.org/WMO_Region_6_Europe/SWE_Sweden/VB_Vasterbotten/SWE_VB_Norsjo.022710_TMYx.2009-2023.zip</v>
      </c>
    </row>
    <row r="10858" spans="1:10" x14ac:dyDescent="0.25">
      <c r="A10858" t="s">
        <v>7602</v>
      </c>
      <c r="B10858" t="s">
        <v>7674</v>
      </c>
      <c r="C10858" t="s">
        <v>7877</v>
      </c>
      <c r="D10858" s="1" t="s">
        <v>7878</v>
      </c>
      <c r="E10858" t="s">
        <v>14</v>
      </c>
      <c r="F10858">
        <v>64.926400000000001</v>
      </c>
      <c r="G10858">
        <v>19.378599999999999</v>
      </c>
      <c r="H10858">
        <v>1</v>
      </c>
      <c r="I10858">
        <v>310.5</v>
      </c>
      <c r="J10858" t="str">
        <f>HYPERLINK("https://climate.onebuilding.org/WMO_Region_6_Europe/SWE_Sweden/VB_Vasterbotten/SWE_VB_Norsjo.022710_TMYx.zip")</f>
        <v>https://climate.onebuilding.org/WMO_Region_6_Europe/SWE_Sweden/VB_Vasterbotten/SWE_VB_Norsjo.022710_TMYx.zip</v>
      </c>
    </row>
    <row r="10859" spans="1:10" x14ac:dyDescent="0.25">
      <c r="A10859" t="s">
        <v>7602</v>
      </c>
      <c r="B10859" t="s">
        <v>7674</v>
      </c>
      <c r="C10859" t="s">
        <v>7880</v>
      </c>
      <c r="D10859" s="1" t="s">
        <v>7881</v>
      </c>
      <c r="E10859" t="s">
        <v>14</v>
      </c>
      <c r="F10859">
        <v>63.567</v>
      </c>
      <c r="G10859">
        <v>19.5</v>
      </c>
      <c r="H10859">
        <v>1</v>
      </c>
      <c r="I10859">
        <v>5</v>
      </c>
      <c r="J10859" t="str">
        <f>HYPERLINK("https://climate.onebuilding.org/WMO_Region_6_Europe/SWE_Sweden/VB_Vasterbotten/SWE_VB_Nordmaling.022760_TMYx.zip")</f>
        <v>https://climate.onebuilding.org/WMO_Region_6_Europe/SWE_Sweden/VB_Vasterbotten/SWE_VB_Nordmaling.022760_TMYx.zip</v>
      </c>
    </row>
    <row r="10860" spans="1:10" x14ac:dyDescent="0.25">
      <c r="A10860" t="s">
        <v>7602</v>
      </c>
      <c r="B10860" t="s">
        <v>7674</v>
      </c>
      <c r="C10860" t="s">
        <v>7882</v>
      </c>
      <c r="D10860" s="1" t="s">
        <v>7883</v>
      </c>
      <c r="E10860" t="s">
        <v>7884</v>
      </c>
      <c r="F10860">
        <v>64.566199999999995</v>
      </c>
      <c r="G10860">
        <v>19.697399999999998</v>
      </c>
      <c r="H10860">
        <v>1</v>
      </c>
      <c r="I10860">
        <v>258</v>
      </c>
      <c r="J10860" t="str">
        <f>HYPERLINK("https://climate.onebuilding.org/WMO_Region_6_Europe/SWE_Sweden/VB_Vasterbotten/SWE_VB_Petistrask.022820_TMYx.2004-2018.zip")</f>
        <v>https://climate.onebuilding.org/WMO_Region_6_Europe/SWE_Sweden/VB_Vasterbotten/SWE_VB_Petistrask.022820_TMYx.2004-2018.zip</v>
      </c>
    </row>
    <row r="10861" spans="1:10" x14ac:dyDescent="0.25">
      <c r="A10861" t="s">
        <v>7602</v>
      </c>
      <c r="B10861" t="s">
        <v>7674</v>
      </c>
      <c r="C10861" t="s">
        <v>7882</v>
      </c>
      <c r="D10861" s="1" t="s">
        <v>7883</v>
      </c>
      <c r="E10861" t="s">
        <v>14</v>
      </c>
      <c r="F10861">
        <v>64.566199999999995</v>
      </c>
      <c r="G10861">
        <v>19.697399999999998</v>
      </c>
      <c r="H10861">
        <v>1</v>
      </c>
      <c r="I10861">
        <v>258</v>
      </c>
      <c r="J10861" t="str">
        <f>HYPERLINK("https://climate.onebuilding.org/WMO_Region_6_Europe/SWE_Sweden/VB_Vasterbotten/SWE_VB_Petistrask.022820_TMYx.2007-2021.zip")</f>
        <v>https://climate.onebuilding.org/WMO_Region_6_Europe/SWE_Sweden/VB_Vasterbotten/SWE_VB_Petistrask.022820_TMYx.2007-2021.zip</v>
      </c>
    </row>
    <row r="10862" spans="1:10" x14ac:dyDescent="0.25">
      <c r="A10862" t="s">
        <v>7602</v>
      </c>
      <c r="B10862" t="s">
        <v>7674</v>
      </c>
      <c r="C10862" t="s">
        <v>7882</v>
      </c>
      <c r="D10862" s="1" t="s">
        <v>7883</v>
      </c>
      <c r="E10862" t="s">
        <v>14</v>
      </c>
      <c r="F10862">
        <v>64.566199999999995</v>
      </c>
      <c r="G10862">
        <v>19.697399999999998</v>
      </c>
      <c r="H10862">
        <v>1</v>
      </c>
      <c r="I10862">
        <v>258</v>
      </c>
      <c r="J10862" t="str">
        <f>HYPERLINK("https://climate.onebuilding.org/WMO_Region_6_Europe/SWE_Sweden/VB_Vasterbotten/SWE_VB_Petistrask.022820_TMYx.2009-2023.zip")</f>
        <v>https://climate.onebuilding.org/WMO_Region_6_Europe/SWE_Sweden/VB_Vasterbotten/SWE_VB_Petistrask.022820_TMYx.2009-2023.zip</v>
      </c>
    </row>
    <row r="10863" spans="1:10" x14ac:dyDescent="0.25">
      <c r="A10863" t="s">
        <v>7602</v>
      </c>
      <c r="B10863" t="s">
        <v>7674</v>
      </c>
      <c r="C10863" t="s">
        <v>7882</v>
      </c>
      <c r="D10863" s="1" t="s">
        <v>7883</v>
      </c>
      <c r="E10863" t="s">
        <v>14</v>
      </c>
      <c r="F10863">
        <v>64.566199999999995</v>
      </c>
      <c r="G10863">
        <v>19.697399999999998</v>
      </c>
      <c r="H10863">
        <v>1</v>
      </c>
      <c r="I10863">
        <v>258</v>
      </c>
      <c r="J10863" t="str">
        <f>HYPERLINK("https://climate.onebuilding.org/WMO_Region_6_Europe/SWE_Sweden/VB_Vasterbotten/SWE_VB_Petistrask.022820_TMYx.zip")</f>
        <v>https://climate.onebuilding.org/WMO_Region_6_Europe/SWE_Sweden/VB_Vasterbotten/SWE_VB_Petistrask.022820_TMYx.zip</v>
      </c>
    </row>
    <row r="10864" spans="1:10" x14ac:dyDescent="0.25">
      <c r="A10864" t="s">
        <v>7602</v>
      </c>
      <c r="B10864" t="s">
        <v>7674</v>
      </c>
      <c r="C10864" t="s">
        <v>7885</v>
      </c>
      <c r="D10864" s="1" t="s">
        <v>7886</v>
      </c>
      <c r="E10864" t="s">
        <v>7887</v>
      </c>
      <c r="F10864">
        <v>63.437800000000003</v>
      </c>
      <c r="G10864">
        <v>19.6814</v>
      </c>
      <c r="H10864">
        <v>1</v>
      </c>
      <c r="I10864">
        <v>7.2</v>
      </c>
      <c r="J10864" t="str">
        <f>HYPERLINK("https://climate.onebuilding.org/WMO_Region_6_Europe/SWE_Sweden/VB_Vasterbotten/SWE_VB_Jarnasklubb.022840_TMYx.2004-2018.zip")</f>
        <v>https://climate.onebuilding.org/WMO_Region_6_Europe/SWE_Sweden/VB_Vasterbotten/SWE_VB_Jarnasklubb.022840_TMYx.2004-2018.zip</v>
      </c>
    </row>
    <row r="10865" spans="1:10" x14ac:dyDescent="0.25">
      <c r="A10865" t="s">
        <v>7602</v>
      </c>
      <c r="B10865" t="s">
        <v>7674</v>
      </c>
      <c r="C10865" t="s">
        <v>7885</v>
      </c>
      <c r="D10865" s="1" t="s">
        <v>7886</v>
      </c>
      <c r="E10865" t="s">
        <v>14</v>
      </c>
      <c r="F10865">
        <v>63.435000000000002</v>
      </c>
      <c r="G10865">
        <v>19.672999999999998</v>
      </c>
      <c r="H10865">
        <v>1</v>
      </c>
      <c r="I10865">
        <v>7.2</v>
      </c>
      <c r="J10865" t="str">
        <f>HYPERLINK("https://climate.onebuilding.org/WMO_Region_6_Europe/SWE_Sweden/VB_Vasterbotten/SWE_VB_Jarnasklubb.022840_TMYx.2007-2021.zip")</f>
        <v>https://climate.onebuilding.org/WMO_Region_6_Europe/SWE_Sweden/VB_Vasterbotten/SWE_VB_Jarnasklubb.022840_TMYx.2007-2021.zip</v>
      </c>
    </row>
    <row r="10866" spans="1:10" x14ac:dyDescent="0.25">
      <c r="A10866" t="s">
        <v>7602</v>
      </c>
      <c r="B10866" t="s">
        <v>7674</v>
      </c>
      <c r="C10866" t="s">
        <v>7885</v>
      </c>
      <c r="D10866" s="1" t="s">
        <v>7886</v>
      </c>
      <c r="E10866" t="s">
        <v>14</v>
      </c>
      <c r="F10866">
        <v>63.435000000000002</v>
      </c>
      <c r="G10866">
        <v>19.672999999999998</v>
      </c>
      <c r="H10866">
        <v>1</v>
      </c>
      <c r="I10866">
        <v>7.2</v>
      </c>
      <c r="J10866" t="str">
        <f>HYPERLINK("https://climate.onebuilding.org/WMO_Region_6_Europe/SWE_Sweden/VB_Vasterbotten/SWE_VB_Jarnasklubb.022840_TMYx.2009-2023.zip")</f>
        <v>https://climate.onebuilding.org/WMO_Region_6_Europe/SWE_Sweden/VB_Vasterbotten/SWE_VB_Jarnasklubb.022840_TMYx.2009-2023.zip</v>
      </c>
    </row>
    <row r="10867" spans="1:10" x14ac:dyDescent="0.25">
      <c r="A10867" t="s">
        <v>7602</v>
      </c>
      <c r="B10867" t="s">
        <v>7674</v>
      </c>
      <c r="C10867" t="s">
        <v>7885</v>
      </c>
      <c r="D10867" s="1" t="s">
        <v>7886</v>
      </c>
      <c r="E10867" t="s">
        <v>14</v>
      </c>
      <c r="F10867">
        <v>63.435000000000002</v>
      </c>
      <c r="G10867">
        <v>19.672999999999998</v>
      </c>
      <c r="H10867">
        <v>1</v>
      </c>
      <c r="I10867">
        <v>7.2</v>
      </c>
      <c r="J10867" t="str">
        <f>HYPERLINK("https://climate.onebuilding.org/WMO_Region_6_Europe/SWE_Sweden/VB_Vasterbotten/SWE_VB_Jarnasklubb.022840_TMYx.zip")</f>
        <v>https://climate.onebuilding.org/WMO_Region_6_Europe/SWE_Sweden/VB_Vasterbotten/SWE_VB_Jarnasklubb.022840_TMYx.zip</v>
      </c>
    </row>
    <row r="10868" spans="1:10" x14ac:dyDescent="0.25">
      <c r="A10868" t="s">
        <v>7602</v>
      </c>
      <c r="B10868" t="s">
        <v>7674</v>
      </c>
      <c r="C10868" t="s">
        <v>7888</v>
      </c>
      <c r="D10868" s="1" t="s">
        <v>7889</v>
      </c>
      <c r="E10868" t="s">
        <v>7890</v>
      </c>
      <c r="F10868">
        <v>63.8</v>
      </c>
      <c r="G10868">
        <v>20.283300000000001</v>
      </c>
      <c r="H10868">
        <v>1</v>
      </c>
      <c r="I10868">
        <v>7.7</v>
      </c>
      <c r="J10868" t="str">
        <f>HYPERLINK("https://climate.onebuilding.org/WMO_Region_6_Europe/SWE_Sweden/VB_Vasterbotten/SWE_VB_Umea.AP.022860_TMYx.2004-2018.zip")</f>
        <v>https://climate.onebuilding.org/WMO_Region_6_Europe/SWE_Sweden/VB_Vasterbotten/SWE_VB_Umea.AP.022860_TMYx.2004-2018.zip</v>
      </c>
    </row>
    <row r="10869" spans="1:10" x14ac:dyDescent="0.25">
      <c r="A10869" t="s">
        <v>7602</v>
      </c>
      <c r="B10869" t="s">
        <v>7674</v>
      </c>
      <c r="C10869" t="s">
        <v>7888</v>
      </c>
      <c r="D10869" s="1" t="s">
        <v>7889</v>
      </c>
      <c r="E10869" t="s">
        <v>14</v>
      </c>
      <c r="F10869">
        <v>63.792000000000002</v>
      </c>
      <c r="G10869">
        <v>20.283000000000001</v>
      </c>
      <c r="H10869">
        <v>1</v>
      </c>
      <c r="I10869">
        <v>7.7</v>
      </c>
      <c r="J10869" t="str">
        <f>HYPERLINK("https://climate.onebuilding.org/WMO_Region_6_Europe/SWE_Sweden/VB_Vasterbotten/SWE_VB_Umea.AP.022860_TMYx.2007-2021.zip")</f>
        <v>https://climate.onebuilding.org/WMO_Region_6_Europe/SWE_Sweden/VB_Vasterbotten/SWE_VB_Umea.AP.022860_TMYx.2007-2021.zip</v>
      </c>
    </row>
    <row r="10870" spans="1:10" x14ac:dyDescent="0.25">
      <c r="A10870" t="s">
        <v>7602</v>
      </c>
      <c r="B10870" t="s">
        <v>7674</v>
      </c>
      <c r="C10870" t="s">
        <v>7888</v>
      </c>
      <c r="D10870" s="1" t="s">
        <v>7889</v>
      </c>
      <c r="E10870" t="s">
        <v>14</v>
      </c>
      <c r="F10870">
        <v>63.792000000000002</v>
      </c>
      <c r="G10870">
        <v>20.283000000000001</v>
      </c>
      <c r="H10870">
        <v>1</v>
      </c>
      <c r="I10870">
        <v>7.7</v>
      </c>
      <c r="J10870" t="str">
        <f>HYPERLINK("https://climate.onebuilding.org/WMO_Region_6_Europe/SWE_Sweden/VB_Vasterbotten/SWE_VB_Umea.AP.022860_TMYx.2009-2023.zip")</f>
        <v>https://climate.onebuilding.org/WMO_Region_6_Europe/SWE_Sweden/VB_Vasterbotten/SWE_VB_Umea.AP.022860_TMYx.2009-2023.zip</v>
      </c>
    </row>
    <row r="10871" spans="1:10" x14ac:dyDescent="0.25">
      <c r="A10871" t="s">
        <v>7602</v>
      </c>
      <c r="B10871" t="s">
        <v>7674</v>
      </c>
      <c r="C10871" t="s">
        <v>7888</v>
      </c>
      <c r="D10871" s="1" t="s">
        <v>7889</v>
      </c>
      <c r="E10871" t="s">
        <v>14</v>
      </c>
      <c r="F10871">
        <v>63.792000000000002</v>
      </c>
      <c r="G10871">
        <v>20.283000000000001</v>
      </c>
      <c r="H10871">
        <v>1</v>
      </c>
      <c r="I10871">
        <v>7.7</v>
      </c>
      <c r="J10871" t="str">
        <f>HYPERLINK("https://climate.onebuilding.org/WMO_Region_6_Europe/SWE_Sweden/VB_Vasterbotten/SWE_VB_Umea.AP.022860_TMYx.zip")</f>
        <v>https://climate.onebuilding.org/WMO_Region_6_Europe/SWE_Sweden/VB_Vasterbotten/SWE_VB_Umea.AP.022860_TMYx.zip</v>
      </c>
    </row>
    <row r="10872" spans="1:10" x14ac:dyDescent="0.25">
      <c r="A10872" t="s">
        <v>7602</v>
      </c>
      <c r="B10872" t="s">
        <v>7891</v>
      </c>
      <c r="C10872" t="s">
        <v>7892</v>
      </c>
      <c r="D10872" s="1" t="s">
        <v>7893</v>
      </c>
      <c r="E10872" t="s">
        <v>7894</v>
      </c>
      <c r="F10872">
        <v>61.267000000000003</v>
      </c>
      <c r="G10872">
        <v>17.100000000000001</v>
      </c>
      <c r="H10872">
        <v>1</v>
      </c>
      <c r="I10872">
        <v>36</v>
      </c>
      <c r="J10872" t="str">
        <f>HYPERLINK("https://climate.onebuilding.org/WMO_Region_6_Europe/SWE_Sweden/GV_Gavleborg/SWE_GV_Soderhamn-Helsinge.AP.022861_TMYx.2004-2018.zip")</f>
        <v>https://climate.onebuilding.org/WMO_Region_6_Europe/SWE_Sweden/GV_Gavleborg/SWE_GV_Soderhamn-Helsinge.AP.022861_TMYx.2004-2018.zip</v>
      </c>
    </row>
    <row r="10873" spans="1:10" x14ac:dyDescent="0.25">
      <c r="A10873" t="s">
        <v>7602</v>
      </c>
      <c r="B10873" t="s">
        <v>7891</v>
      </c>
      <c r="C10873" t="s">
        <v>7892</v>
      </c>
      <c r="D10873" s="1" t="s">
        <v>7893</v>
      </c>
      <c r="E10873" t="s">
        <v>14</v>
      </c>
      <c r="F10873">
        <v>61.262</v>
      </c>
      <c r="G10873">
        <v>17.097999999999999</v>
      </c>
      <c r="H10873">
        <v>1</v>
      </c>
      <c r="I10873">
        <v>36</v>
      </c>
      <c r="J10873" t="str">
        <f>HYPERLINK("https://climate.onebuilding.org/WMO_Region_6_Europe/SWE_Sweden/GV_Gavleborg/SWE_GV_Soderhamn-Helsinge.AP.022861_TMYx.2007-2021.zip")</f>
        <v>https://climate.onebuilding.org/WMO_Region_6_Europe/SWE_Sweden/GV_Gavleborg/SWE_GV_Soderhamn-Helsinge.AP.022861_TMYx.2007-2021.zip</v>
      </c>
    </row>
    <row r="10874" spans="1:10" x14ac:dyDescent="0.25">
      <c r="A10874" t="s">
        <v>7602</v>
      </c>
      <c r="B10874" t="s">
        <v>7891</v>
      </c>
      <c r="C10874" t="s">
        <v>7892</v>
      </c>
      <c r="D10874" s="1" t="s">
        <v>7893</v>
      </c>
      <c r="E10874" t="s">
        <v>14</v>
      </c>
      <c r="F10874">
        <v>61.262</v>
      </c>
      <c r="G10874">
        <v>17.097999999999999</v>
      </c>
      <c r="H10874">
        <v>1</v>
      </c>
      <c r="I10874">
        <v>36</v>
      </c>
      <c r="J10874" t="str">
        <f>HYPERLINK("https://climate.onebuilding.org/WMO_Region_6_Europe/SWE_Sweden/GV_Gavleborg/SWE_GV_Soderhamn-Helsinge.AP.022861_TMYx.zip")</f>
        <v>https://climate.onebuilding.org/WMO_Region_6_Europe/SWE_Sweden/GV_Gavleborg/SWE_GV_Soderhamn-Helsinge.AP.022861_TMYx.zip</v>
      </c>
    </row>
    <row r="10875" spans="1:10" x14ac:dyDescent="0.25">
      <c r="A10875" t="s">
        <v>7602</v>
      </c>
      <c r="B10875" t="s">
        <v>7674</v>
      </c>
      <c r="C10875" t="s">
        <v>7895</v>
      </c>
      <c r="D10875" s="1" t="s">
        <v>7896</v>
      </c>
      <c r="E10875" t="s">
        <v>7897</v>
      </c>
      <c r="F10875">
        <v>63.806899999999999</v>
      </c>
      <c r="G10875">
        <v>20.8644</v>
      </c>
      <c r="H10875">
        <v>1</v>
      </c>
      <c r="I10875">
        <v>7.9</v>
      </c>
      <c r="J10875" t="str">
        <f>HYPERLINK("https://climate.onebuilding.org/WMO_Region_6_Europe/SWE_Sweden/VB_Vasterbotten/SWE_VB_Holmon.022870_TMYx.2004-2018.zip")</f>
        <v>https://climate.onebuilding.org/WMO_Region_6_Europe/SWE_Sweden/VB_Vasterbotten/SWE_VB_Holmon.022870_TMYx.2004-2018.zip</v>
      </c>
    </row>
    <row r="10876" spans="1:10" x14ac:dyDescent="0.25">
      <c r="A10876" t="s">
        <v>7602</v>
      </c>
      <c r="B10876" t="s">
        <v>7674</v>
      </c>
      <c r="C10876" t="s">
        <v>7895</v>
      </c>
      <c r="D10876" s="1" t="s">
        <v>7896</v>
      </c>
      <c r="E10876" t="s">
        <v>14</v>
      </c>
      <c r="F10876">
        <v>63.792000000000002</v>
      </c>
      <c r="G10876">
        <v>20.861000000000001</v>
      </c>
      <c r="H10876">
        <v>1</v>
      </c>
      <c r="I10876">
        <v>7.9</v>
      </c>
      <c r="J10876" t="str">
        <f>HYPERLINK("https://climate.onebuilding.org/WMO_Region_6_Europe/SWE_Sweden/VB_Vasterbotten/SWE_VB_Holmon.022870_TMYx.2007-2021.zip")</f>
        <v>https://climate.onebuilding.org/WMO_Region_6_Europe/SWE_Sweden/VB_Vasterbotten/SWE_VB_Holmon.022870_TMYx.2007-2021.zip</v>
      </c>
    </row>
    <row r="10877" spans="1:10" x14ac:dyDescent="0.25">
      <c r="A10877" t="s">
        <v>7602</v>
      </c>
      <c r="B10877" t="s">
        <v>7674</v>
      </c>
      <c r="C10877" t="s">
        <v>7895</v>
      </c>
      <c r="D10877" s="1" t="s">
        <v>7896</v>
      </c>
      <c r="E10877" t="s">
        <v>14</v>
      </c>
      <c r="F10877">
        <v>63.792000000000002</v>
      </c>
      <c r="G10877">
        <v>20.861000000000001</v>
      </c>
      <c r="H10877">
        <v>1</v>
      </c>
      <c r="I10877">
        <v>7.9</v>
      </c>
      <c r="J10877" t="str">
        <f>HYPERLINK("https://climate.onebuilding.org/WMO_Region_6_Europe/SWE_Sweden/VB_Vasterbotten/SWE_VB_Holmon.022870_TMYx.2009-2023.zip")</f>
        <v>https://climate.onebuilding.org/WMO_Region_6_Europe/SWE_Sweden/VB_Vasterbotten/SWE_VB_Holmon.022870_TMYx.2009-2023.zip</v>
      </c>
    </row>
    <row r="10878" spans="1:10" x14ac:dyDescent="0.25">
      <c r="A10878" t="s">
        <v>7602</v>
      </c>
      <c r="B10878" t="s">
        <v>7674</v>
      </c>
      <c r="C10878" t="s">
        <v>7895</v>
      </c>
      <c r="D10878" s="1" t="s">
        <v>7896</v>
      </c>
      <c r="E10878" t="s">
        <v>14</v>
      </c>
      <c r="F10878">
        <v>63.792000000000002</v>
      </c>
      <c r="G10878">
        <v>20.861000000000001</v>
      </c>
      <c r="H10878">
        <v>1</v>
      </c>
      <c r="I10878">
        <v>7.9</v>
      </c>
      <c r="J10878" t="str">
        <f>HYPERLINK("https://climate.onebuilding.org/WMO_Region_6_Europe/SWE_Sweden/VB_Vasterbotten/SWE_VB_Holmon.022870_TMYx.zip")</f>
        <v>https://climate.onebuilding.org/WMO_Region_6_Europe/SWE_Sweden/VB_Vasterbotten/SWE_VB_Holmon.022870_TMYx.zip</v>
      </c>
    </row>
    <row r="10879" spans="1:10" x14ac:dyDescent="0.25">
      <c r="A10879" t="s">
        <v>7602</v>
      </c>
      <c r="B10879" t="s">
        <v>7674</v>
      </c>
      <c r="C10879" t="s">
        <v>7898</v>
      </c>
      <c r="D10879" s="1" t="s">
        <v>7899</v>
      </c>
      <c r="E10879" t="s">
        <v>14</v>
      </c>
      <c r="F10879">
        <v>63.594000000000001</v>
      </c>
      <c r="G10879">
        <v>20.751999999999999</v>
      </c>
      <c r="H10879">
        <v>1</v>
      </c>
      <c r="I10879">
        <v>6</v>
      </c>
      <c r="J10879" t="str">
        <f>HYPERLINK("https://climate.onebuilding.org/WMO_Region_6_Europe/SWE_Sweden/VB_Vasterbotten/SWE_VB_Holmogadd.Lighthouse.022880_TMYx.zip")</f>
        <v>https://climate.onebuilding.org/WMO_Region_6_Europe/SWE_Sweden/VB_Vasterbotten/SWE_VB_Holmogadd.Lighthouse.022880_TMYx.zip</v>
      </c>
    </row>
    <row r="10880" spans="1:10" x14ac:dyDescent="0.25">
      <c r="A10880" t="s">
        <v>7602</v>
      </c>
      <c r="B10880" t="s">
        <v>518</v>
      </c>
      <c r="C10880" t="s">
        <v>7900</v>
      </c>
      <c r="D10880" s="1" t="s">
        <v>7901</v>
      </c>
      <c r="E10880" t="s">
        <v>14</v>
      </c>
      <c r="F10880">
        <v>63.332999999999998</v>
      </c>
      <c r="G10880">
        <v>20.183</v>
      </c>
      <c r="H10880">
        <v>1</v>
      </c>
      <c r="I10880">
        <v>25</v>
      </c>
      <c r="J10880" t="str">
        <f>HYPERLINK("https://climate.onebuilding.org/WMO_Region_6_Europe/SWE_Sweden/VN_Vasternorrland/SWE_VN_Sydostbrotten.Lighthouse.022890_TMYx.zip")</f>
        <v>https://climate.onebuilding.org/WMO_Region_6_Europe/SWE_Sweden/VN_Vasternorrland/SWE_VN_Sydostbrotten.Lighthouse.022890_TMYx.zip</v>
      </c>
    </row>
    <row r="10881" spans="1:10" x14ac:dyDescent="0.25">
      <c r="A10881" t="s">
        <v>7602</v>
      </c>
      <c r="B10881" t="s">
        <v>7674</v>
      </c>
      <c r="C10881" t="s">
        <v>7902</v>
      </c>
      <c r="D10881" s="1" t="s">
        <v>7903</v>
      </c>
      <c r="E10881" t="s">
        <v>7904</v>
      </c>
      <c r="F10881">
        <v>64.4358</v>
      </c>
      <c r="G10881">
        <v>21.28</v>
      </c>
      <c r="H10881">
        <v>1</v>
      </c>
      <c r="I10881">
        <v>105</v>
      </c>
      <c r="J10881" t="str">
        <f>HYPERLINK("https://climate.onebuilding.org/WMO_Region_6_Europe/SWE_Sweden/VB_Vasterbotten/SWE_VB_Hokmarksberget.022920_TMYx.2004-2018.zip")</f>
        <v>https://climate.onebuilding.org/WMO_Region_6_Europe/SWE_Sweden/VB_Vasterbotten/SWE_VB_Hokmarksberget.022920_TMYx.2004-2018.zip</v>
      </c>
    </row>
    <row r="10882" spans="1:10" x14ac:dyDescent="0.25">
      <c r="A10882" t="s">
        <v>7602</v>
      </c>
      <c r="B10882" t="s">
        <v>7674</v>
      </c>
      <c r="C10882" t="s">
        <v>7902</v>
      </c>
      <c r="D10882" s="1" t="s">
        <v>7903</v>
      </c>
      <c r="E10882" t="s">
        <v>14</v>
      </c>
      <c r="F10882">
        <v>64.4358</v>
      </c>
      <c r="G10882">
        <v>21.28</v>
      </c>
      <c r="H10882">
        <v>1</v>
      </c>
      <c r="I10882">
        <v>105</v>
      </c>
      <c r="J10882" t="str">
        <f>HYPERLINK("https://climate.onebuilding.org/WMO_Region_6_Europe/SWE_Sweden/VB_Vasterbotten/SWE_VB_Hokmarksberget.022920_TMYx.2007-2021.zip")</f>
        <v>https://climate.onebuilding.org/WMO_Region_6_Europe/SWE_Sweden/VB_Vasterbotten/SWE_VB_Hokmarksberget.022920_TMYx.2007-2021.zip</v>
      </c>
    </row>
    <row r="10883" spans="1:10" x14ac:dyDescent="0.25">
      <c r="A10883" t="s">
        <v>7602</v>
      </c>
      <c r="B10883" t="s">
        <v>7674</v>
      </c>
      <c r="C10883" t="s">
        <v>7902</v>
      </c>
      <c r="D10883" s="1" t="s">
        <v>7903</v>
      </c>
      <c r="E10883" t="s">
        <v>14</v>
      </c>
      <c r="F10883">
        <v>64.4358</v>
      </c>
      <c r="G10883">
        <v>21.28</v>
      </c>
      <c r="H10883">
        <v>1</v>
      </c>
      <c r="I10883">
        <v>105</v>
      </c>
      <c r="J10883" t="str">
        <f>HYPERLINK("https://climate.onebuilding.org/WMO_Region_6_Europe/SWE_Sweden/VB_Vasterbotten/SWE_VB_Hokmarksberget.022920_TMYx.2009-2023.zip")</f>
        <v>https://climate.onebuilding.org/WMO_Region_6_Europe/SWE_Sweden/VB_Vasterbotten/SWE_VB_Hokmarksberget.022920_TMYx.2009-2023.zip</v>
      </c>
    </row>
    <row r="10884" spans="1:10" x14ac:dyDescent="0.25">
      <c r="A10884" t="s">
        <v>7602</v>
      </c>
      <c r="B10884" t="s">
        <v>7674</v>
      </c>
      <c r="C10884" t="s">
        <v>7902</v>
      </c>
      <c r="D10884" s="1" t="s">
        <v>7903</v>
      </c>
      <c r="E10884" t="s">
        <v>14</v>
      </c>
      <c r="F10884">
        <v>64.4358</v>
      </c>
      <c r="G10884">
        <v>21.28</v>
      </c>
      <c r="H10884">
        <v>1</v>
      </c>
      <c r="I10884">
        <v>105</v>
      </c>
      <c r="J10884" t="str">
        <f>HYPERLINK("https://climate.onebuilding.org/WMO_Region_6_Europe/SWE_Sweden/VB_Vasterbotten/SWE_VB_Hokmarksberget.022920_TMYx.zip")</f>
        <v>https://climate.onebuilding.org/WMO_Region_6_Europe/SWE_Sweden/VB_Vasterbotten/SWE_VB_Hokmarksberget.022920_TMYx.zip</v>
      </c>
    </row>
    <row r="10885" spans="1:10" x14ac:dyDescent="0.25">
      <c r="A10885" t="s">
        <v>7602</v>
      </c>
      <c r="B10885" t="s">
        <v>7674</v>
      </c>
      <c r="C10885" t="s">
        <v>7905</v>
      </c>
      <c r="D10885" s="1" t="s">
        <v>7906</v>
      </c>
      <c r="E10885" t="s">
        <v>7907</v>
      </c>
      <c r="F10885">
        <v>64.624700000000004</v>
      </c>
      <c r="G10885">
        <v>21.077000000000002</v>
      </c>
      <c r="H10885">
        <v>1</v>
      </c>
      <c r="I10885">
        <v>44</v>
      </c>
      <c r="J10885" t="str">
        <f>HYPERLINK("https://climate.onebuilding.org/WMO_Region_6_Europe/SWE_Sweden/VB_Vasterbotten/SWE_VB_Skelleftea.AP.022930_TMYx.2004-2018.zip")</f>
        <v>https://climate.onebuilding.org/WMO_Region_6_Europe/SWE_Sweden/VB_Vasterbotten/SWE_VB_Skelleftea.AP.022930_TMYx.2004-2018.zip</v>
      </c>
    </row>
    <row r="10886" spans="1:10" x14ac:dyDescent="0.25">
      <c r="A10886" t="s">
        <v>7602</v>
      </c>
      <c r="B10886" t="s">
        <v>7674</v>
      </c>
      <c r="C10886" t="s">
        <v>7905</v>
      </c>
      <c r="D10886" s="1" t="s">
        <v>7906</v>
      </c>
      <c r="E10886" t="s">
        <v>14</v>
      </c>
      <c r="F10886">
        <v>64.623999999999995</v>
      </c>
      <c r="G10886">
        <v>21.071999999999999</v>
      </c>
      <c r="H10886">
        <v>1</v>
      </c>
      <c r="I10886">
        <v>44</v>
      </c>
      <c r="J10886" t="str">
        <f>HYPERLINK("https://climate.onebuilding.org/WMO_Region_6_Europe/SWE_Sweden/VB_Vasterbotten/SWE_VB_Skelleftea.AP.022930_TMYx.2007-2021.zip")</f>
        <v>https://climate.onebuilding.org/WMO_Region_6_Europe/SWE_Sweden/VB_Vasterbotten/SWE_VB_Skelleftea.AP.022930_TMYx.2007-2021.zip</v>
      </c>
    </row>
    <row r="10887" spans="1:10" x14ac:dyDescent="0.25">
      <c r="A10887" t="s">
        <v>7602</v>
      </c>
      <c r="B10887" t="s">
        <v>7674</v>
      </c>
      <c r="C10887" t="s">
        <v>7905</v>
      </c>
      <c r="D10887" s="1" t="s">
        <v>7906</v>
      </c>
      <c r="E10887" t="s">
        <v>14</v>
      </c>
      <c r="F10887">
        <v>64.623999999999995</v>
      </c>
      <c r="G10887">
        <v>21.071999999999999</v>
      </c>
      <c r="H10887">
        <v>1</v>
      </c>
      <c r="I10887">
        <v>44</v>
      </c>
      <c r="J10887" t="str">
        <f>HYPERLINK("https://climate.onebuilding.org/WMO_Region_6_Europe/SWE_Sweden/VB_Vasterbotten/SWE_VB_Skelleftea.AP.022930_TMYx.2009-2023.zip")</f>
        <v>https://climate.onebuilding.org/WMO_Region_6_Europe/SWE_Sweden/VB_Vasterbotten/SWE_VB_Skelleftea.AP.022930_TMYx.2009-2023.zip</v>
      </c>
    </row>
    <row r="10888" spans="1:10" x14ac:dyDescent="0.25">
      <c r="A10888" t="s">
        <v>7602</v>
      </c>
      <c r="B10888" t="s">
        <v>7674</v>
      </c>
      <c r="C10888" t="s">
        <v>7905</v>
      </c>
      <c r="D10888" s="1" t="s">
        <v>7906</v>
      </c>
      <c r="E10888" t="s">
        <v>14</v>
      </c>
      <c r="F10888">
        <v>64.623999999999995</v>
      </c>
      <c r="G10888">
        <v>21.071999999999999</v>
      </c>
      <c r="H10888">
        <v>1</v>
      </c>
      <c r="I10888">
        <v>44</v>
      </c>
      <c r="J10888" t="str">
        <f>HYPERLINK("https://climate.onebuilding.org/WMO_Region_6_Europe/SWE_Sweden/VB_Vasterbotten/SWE_VB_Skelleftea.AP.022930_TMYx.zip")</f>
        <v>https://climate.onebuilding.org/WMO_Region_6_Europe/SWE_Sweden/VB_Vasterbotten/SWE_VB_Skelleftea.AP.022930_TMYx.zip</v>
      </c>
    </row>
    <row r="10889" spans="1:10" x14ac:dyDescent="0.25">
      <c r="A10889" t="s">
        <v>7602</v>
      </c>
      <c r="B10889" t="s">
        <v>7674</v>
      </c>
      <c r="C10889" t="s">
        <v>7908</v>
      </c>
      <c r="D10889" s="1" t="s">
        <v>7909</v>
      </c>
      <c r="E10889" t="s">
        <v>7910</v>
      </c>
      <c r="F10889">
        <v>64.481399999999994</v>
      </c>
      <c r="G10889">
        <v>21.5792</v>
      </c>
      <c r="H10889">
        <v>1</v>
      </c>
      <c r="I10889">
        <v>36.799999999999997</v>
      </c>
      <c r="J10889" t="str">
        <f>HYPERLINK("https://climate.onebuilding.org/WMO_Region_6_Europe/SWE_Sweden/VB_Vasterbotten/SWE_VB_Bjuroklubb.Lighthouse.022970_TMYx.2004-2018.zip")</f>
        <v>https://climate.onebuilding.org/WMO_Region_6_Europe/SWE_Sweden/VB_Vasterbotten/SWE_VB_Bjuroklubb.Lighthouse.022970_TMYx.2004-2018.zip</v>
      </c>
    </row>
    <row r="10890" spans="1:10" x14ac:dyDescent="0.25">
      <c r="A10890" t="s">
        <v>7602</v>
      </c>
      <c r="B10890" t="s">
        <v>7674</v>
      </c>
      <c r="C10890" t="s">
        <v>7908</v>
      </c>
      <c r="D10890" s="1" t="s">
        <v>7909</v>
      </c>
      <c r="E10890" t="s">
        <v>14</v>
      </c>
      <c r="F10890">
        <v>64.479900000000001</v>
      </c>
      <c r="G10890">
        <v>21.575399999999998</v>
      </c>
      <c r="H10890">
        <v>1</v>
      </c>
      <c r="I10890">
        <v>36.799999999999997</v>
      </c>
      <c r="J10890" t="str">
        <f>HYPERLINK("https://climate.onebuilding.org/WMO_Region_6_Europe/SWE_Sweden/VB_Vasterbotten/SWE_VB_Bjuroklubb.Lighthouse.022970_TMYx.2007-2021.zip")</f>
        <v>https://climate.onebuilding.org/WMO_Region_6_Europe/SWE_Sweden/VB_Vasterbotten/SWE_VB_Bjuroklubb.Lighthouse.022970_TMYx.2007-2021.zip</v>
      </c>
    </row>
    <row r="10891" spans="1:10" x14ac:dyDescent="0.25">
      <c r="A10891" t="s">
        <v>7602</v>
      </c>
      <c r="B10891" t="s">
        <v>7674</v>
      </c>
      <c r="C10891" t="s">
        <v>7908</v>
      </c>
      <c r="D10891" s="1" t="s">
        <v>7909</v>
      </c>
      <c r="E10891" t="s">
        <v>14</v>
      </c>
      <c r="F10891">
        <v>64.479900000000001</v>
      </c>
      <c r="G10891">
        <v>21.575399999999998</v>
      </c>
      <c r="H10891">
        <v>1</v>
      </c>
      <c r="I10891">
        <v>36.799999999999997</v>
      </c>
      <c r="J10891" t="str">
        <f>HYPERLINK("https://climate.onebuilding.org/WMO_Region_6_Europe/SWE_Sweden/VB_Vasterbotten/SWE_VB_Bjuroklubb.Lighthouse.022970_TMYx.2009-2023.zip")</f>
        <v>https://climate.onebuilding.org/WMO_Region_6_Europe/SWE_Sweden/VB_Vasterbotten/SWE_VB_Bjuroklubb.Lighthouse.022970_TMYx.2009-2023.zip</v>
      </c>
    </row>
    <row r="10892" spans="1:10" x14ac:dyDescent="0.25">
      <c r="A10892" t="s">
        <v>7602</v>
      </c>
      <c r="B10892" t="s">
        <v>7674</v>
      </c>
      <c r="C10892" t="s">
        <v>7908</v>
      </c>
      <c r="D10892" s="1" t="s">
        <v>7909</v>
      </c>
      <c r="E10892" t="s">
        <v>14</v>
      </c>
      <c r="F10892">
        <v>64.479900000000001</v>
      </c>
      <c r="G10892">
        <v>21.575399999999998</v>
      </c>
      <c r="H10892">
        <v>1</v>
      </c>
      <c r="I10892">
        <v>36.799999999999997</v>
      </c>
      <c r="J10892" t="str">
        <f>HYPERLINK("https://climate.onebuilding.org/WMO_Region_6_Europe/SWE_Sweden/VB_Vasterbotten/SWE_VB_Bjuroklubb.Lighthouse.022970_TMYx.zip")</f>
        <v>https://climate.onebuilding.org/WMO_Region_6_Europe/SWE_Sweden/VB_Vasterbotten/SWE_VB_Bjuroklubb.Lighthouse.022970_TMYx.zip</v>
      </c>
    </row>
    <row r="10893" spans="1:10" x14ac:dyDescent="0.25">
      <c r="A10893" t="s">
        <v>7602</v>
      </c>
      <c r="B10893" t="s">
        <v>7574</v>
      </c>
      <c r="C10893" t="s">
        <v>7911</v>
      </c>
      <c r="D10893" s="1" t="s">
        <v>7912</v>
      </c>
      <c r="E10893" t="s">
        <v>7913</v>
      </c>
      <c r="F10893">
        <v>61.84</v>
      </c>
      <c r="G10893">
        <v>12.2872</v>
      </c>
      <c r="H10893">
        <v>1</v>
      </c>
      <c r="I10893">
        <v>664.7</v>
      </c>
      <c r="J10893" t="str">
        <f>HYPERLINK("https://climate.onebuilding.org/WMO_Region_6_Europe/SWE_Sweden/KO_Dalarna/SWE_KO_Storbo.023020_TMYx.2004-2018.zip")</f>
        <v>https://climate.onebuilding.org/WMO_Region_6_Europe/SWE_Sweden/KO_Dalarna/SWE_KO_Storbo.023020_TMYx.2004-2018.zip</v>
      </c>
    </row>
    <row r="10894" spans="1:10" x14ac:dyDescent="0.25">
      <c r="A10894" t="s">
        <v>7602</v>
      </c>
      <c r="B10894" t="s">
        <v>7574</v>
      </c>
      <c r="C10894" t="s">
        <v>7911</v>
      </c>
      <c r="D10894" s="1" t="s">
        <v>7912</v>
      </c>
      <c r="E10894" t="s">
        <v>14</v>
      </c>
      <c r="F10894">
        <v>61.84</v>
      </c>
      <c r="G10894">
        <v>12.2872</v>
      </c>
      <c r="H10894">
        <v>1</v>
      </c>
      <c r="I10894">
        <v>664.7</v>
      </c>
      <c r="J10894" t="str">
        <f>HYPERLINK("https://climate.onebuilding.org/WMO_Region_6_Europe/SWE_Sweden/KO_Dalarna/SWE_KO_Storbo.023020_TMYx.2007-2021.zip")</f>
        <v>https://climate.onebuilding.org/WMO_Region_6_Europe/SWE_Sweden/KO_Dalarna/SWE_KO_Storbo.023020_TMYx.2007-2021.zip</v>
      </c>
    </row>
    <row r="10895" spans="1:10" x14ac:dyDescent="0.25">
      <c r="A10895" t="s">
        <v>7602</v>
      </c>
      <c r="B10895" t="s">
        <v>7574</v>
      </c>
      <c r="C10895" t="s">
        <v>7911</v>
      </c>
      <c r="D10895" s="1" t="s">
        <v>7912</v>
      </c>
      <c r="E10895" t="s">
        <v>14</v>
      </c>
      <c r="F10895">
        <v>61.84</v>
      </c>
      <c r="G10895">
        <v>12.2872</v>
      </c>
      <c r="H10895">
        <v>1</v>
      </c>
      <c r="I10895">
        <v>664.7</v>
      </c>
      <c r="J10895" t="str">
        <f>HYPERLINK("https://climate.onebuilding.org/WMO_Region_6_Europe/SWE_Sweden/KO_Dalarna/SWE_KO_Storbo.023020_TMYx.2009-2023.zip")</f>
        <v>https://climate.onebuilding.org/WMO_Region_6_Europe/SWE_Sweden/KO_Dalarna/SWE_KO_Storbo.023020_TMYx.2009-2023.zip</v>
      </c>
    </row>
    <row r="10896" spans="1:10" x14ac:dyDescent="0.25">
      <c r="A10896" t="s">
        <v>7602</v>
      </c>
      <c r="B10896" t="s">
        <v>7574</v>
      </c>
      <c r="C10896" t="s">
        <v>7911</v>
      </c>
      <c r="D10896" s="1" t="s">
        <v>7912</v>
      </c>
      <c r="E10896" t="s">
        <v>14</v>
      </c>
      <c r="F10896">
        <v>61.84</v>
      </c>
      <c r="G10896">
        <v>12.2872</v>
      </c>
      <c r="H10896">
        <v>1</v>
      </c>
      <c r="I10896">
        <v>664.7</v>
      </c>
      <c r="J10896" t="str">
        <f>HYPERLINK("https://climate.onebuilding.org/WMO_Region_6_Europe/SWE_Sweden/KO_Dalarna/SWE_KO_Storbo.023020_TMYx.zip")</f>
        <v>https://climate.onebuilding.org/WMO_Region_6_Europe/SWE_Sweden/KO_Dalarna/SWE_KO_Storbo.023020_TMYx.zip</v>
      </c>
    </row>
    <row r="10897" spans="1:10" x14ac:dyDescent="0.25">
      <c r="A10897" t="s">
        <v>7602</v>
      </c>
      <c r="B10897" t="s">
        <v>7691</v>
      </c>
      <c r="C10897" t="s">
        <v>7914</v>
      </c>
      <c r="D10897" s="1" t="s">
        <v>7915</v>
      </c>
      <c r="E10897" t="s">
        <v>7916</v>
      </c>
      <c r="F10897">
        <v>62.729199999999999</v>
      </c>
      <c r="G10897">
        <v>12.7264</v>
      </c>
      <c r="H10897">
        <v>1</v>
      </c>
      <c r="I10897">
        <v>995</v>
      </c>
      <c r="J10897" t="str">
        <f>HYPERLINK("https://climate.onebuilding.org/WMO_Region_6_Europe/SWE_Sweden/JA_Jamtland/SWE_JA_Flatruet.023030_TMYx.2004-2018.zip")</f>
        <v>https://climate.onebuilding.org/WMO_Region_6_Europe/SWE_Sweden/JA_Jamtland/SWE_JA_Flatruet.023030_TMYx.2004-2018.zip</v>
      </c>
    </row>
    <row r="10898" spans="1:10" x14ac:dyDescent="0.25">
      <c r="A10898" t="s">
        <v>7602</v>
      </c>
      <c r="B10898" t="s">
        <v>7691</v>
      </c>
      <c r="C10898" t="s">
        <v>7914</v>
      </c>
      <c r="D10898" s="1" t="s">
        <v>7915</v>
      </c>
      <c r="E10898" t="s">
        <v>14</v>
      </c>
      <c r="F10898">
        <v>62.729199999999999</v>
      </c>
      <c r="G10898">
        <v>12.7264</v>
      </c>
      <c r="H10898">
        <v>1</v>
      </c>
      <c r="I10898">
        <v>995</v>
      </c>
      <c r="J10898" t="str">
        <f>HYPERLINK("https://climate.onebuilding.org/WMO_Region_6_Europe/SWE_Sweden/JA_Jamtland/SWE_JA_Flatruet.023030_TMYx.2007-2021.zip")</f>
        <v>https://climate.onebuilding.org/WMO_Region_6_Europe/SWE_Sweden/JA_Jamtland/SWE_JA_Flatruet.023030_TMYx.2007-2021.zip</v>
      </c>
    </row>
    <row r="10899" spans="1:10" x14ac:dyDescent="0.25">
      <c r="A10899" t="s">
        <v>7602</v>
      </c>
      <c r="B10899" t="s">
        <v>7691</v>
      </c>
      <c r="C10899" t="s">
        <v>7914</v>
      </c>
      <c r="D10899" s="1" t="s">
        <v>7915</v>
      </c>
      <c r="E10899" t="s">
        <v>14</v>
      </c>
      <c r="F10899">
        <v>62.729199999999999</v>
      </c>
      <c r="G10899">
        <v>12.7264</v>
      </c>
      <c r="H10899">
        <v>1</v>
      </c>
      <c r="I10899">
        <v>995</v>
      </c>
      <c r="J10899" t="str">
        <f>HYPERLINK("https://climate.onebuilding.org/WMO_Region_6_Europe/SWE_Sweden/JA_Jamtland/SWE_JA_Flatruet.023030_TMYx.2009-2023.zip")</f>
        <v>https://climate.onebuilding.org/WMO_Region_6_Europe/SWE_Sweden/JA_Jamtland/SWE_JA_Flatruet.023030_TMYx.2009-2023.zip</v>
      </c>
    </row>
    <row r="10900" spans="1:10" x14ac:dyDescent="0.25">
      <c r="A10900" t="s">
        <v>7602</v>
      </c>
      <c r="B10900" t="s">
        <v>7691</v>
      </c>
      <c r="C10900" t="s">
        <v>7914</v>
      </c>
      <c r="D10900" s="1" t="s">
        <v>7915</v>
      </c>
      <c r="E10900" t="s">
        <v>14</v>
      </c>
      <c r="F10900">
        <v>62.729199999999999</v>
      </c>
      <c r="G10900">
        <v>12.7264</v>
      </c>
      <c r="H10900">
        <v>1</v>
      </c>
      <c r="I10900">
        <v>995</v>
      </c>
      <c r="J10900" t="str">
        <f>HYPERLINK("https://climate.onebuilding.org/WMO_Region_6_Europe/SWE_Sweden/JA_Jamtland/SWE_JA_Flatruet.023030_TMYx.zip")</f>
        <v>https://climate.onebuilding.org/WMO_Region_6_Europe/SWE_Sweden/JA_Jamtland/SWE_JA_Flatruet.023030_TMYx.zip</v>
      </c>
    </row>
    <row r="10901" spans="1:10" x14ac:dyDescent="0.25">
      <c r="A10901" t="s">
        <v>7602</v>
      </c>
      <c r="B10901" t="s">
        <v>7574</v>
      </c>
      <c r="C10901" t="s">
        <v>7917</v>
      </c>
      <c r="D10901" s="1" t="s">
        <v>7918</v>
      </c>
      <c r="E10901" t="s">
        <v>14</v>
      </c>
      <c r="F10901">
        <v>61.863</v>
      </c>
      <c r="G10901">
        <v>12.220700000000001</v>
      </c>
      <c r="H10901">
        <v>1</v>
      </c>
      <c r="I10901">
        <v>676</v>
      </c>
      <c r="J10901" t="str">
        <f>HYPERLINK("https://climate.onebuilding.org/WMO_Region_6_Europe/SWE_Sweden/KO_Dalarna/SWE_KO_Flotningen.023040_TMYx.zip")</f>
        <v>https://climate.onebuilding.org/WMO_Region_6_Europe/SWE_Sweden/KO_Dalarna/SWE_KO_Flotningen.023040_TMYx.zip</v>
      </c>
    </row>
    <row r="10902" spans="1:10" x14ac:dyDescent="0.25">
      <c r="A10902" t="s">
        <v>7602</v>
      </c>
      <c r="B10902" t="s">
        <v>7574</v>
      </c>
      <c r="C10902" t="s">
        <v>7919</v>
      </c>
      <c r="D10902" s="1" t="s">
        <v>7920</v>
      </c>
      <c r="E10902" t="s">
        <v>14</v>
      </c>
      <c r="F10902">
        <v>61.133000000000003</v>
      </c>
      <c r="G10902">
        <v>12.817</v>
      </c>
      <c r="H10902">
        <v>1</v>
      </c>
      <c r="I10902">
        <v>465</v>
      </c>
      <c r="J10902" t="str">
        <f>HYPERLINK("https://climate.onebuilding.org/WMO_Region_6_Europe/SWE_Sweden/KO_Dalarna/SWE_KO_Rorbacksnas.023060_TMYx.zip")</f>
        <v>https://climate.onebuilding.org/WMO_Region_6_Europe/SWE_Sweden/KO_Dalarna/SWE_KO_Rorbacksnas.023060_TMYx.zip</v>
      </c>
    </row>
    <row r="10903" spans="1:10" x14ac:dyDescent="0.25">
      <c r="A10903" t="s">
        <v>7602</v>
      </c>
      <c r="B10903" t="s">
        <v>7574</v>
      </c>
      <c r="C10903" t="s">
        <v>7921</v>
      </c>
      <c r="D10903" s="1" t="s">
        <v>7922</v>
      </c>
      <c r="E10903" t="s">
        <v>7923</v>
      </c>
      <c r="F10903">
        <v>61.889499999999998</v>
      </c>
      <c r="G10903">
        <v>12.8544</v>
      </c>
      <c r="H10903">
        <v>1</v>
      </c>
      <c r="I10903">
        <v>868.7</v>
      </c>
      <c r="J10903" t="str">
        <f>HYPERLINK("https://climate.onebuilding.org/WMO_Region_6_Europe/SWE_Sweden/KO_Dalarna/SWE_KO_Idrefjall.023070_TMYx.2004-2018.zip")</f>
        <v>https://climate.onebuilding.org/WMO_Region_6_Europe/SWE_Sweden/KO_Dalarna/SWE_KO_Idrefjall.023070_TMYx.2004-2018.zip</v>
      </c>
    </row>
    <row r="10904" spans="1:10" x14ac:dyDescent="0.25">
      <c r="A10904" t="s">
        <v>7602</v>
      </c>
      <c r="B10904" t="s">
        <v>7574</v>
      </c>
      <c r="C10904" t="s">
        <v>7921</v>
      </c>
      <c r="D10904" s="1" t="s">
        <v>7922</v>
      </c>
      <c r="E10904" t="s">
        <v>14</v>
      </c>
      <c r="F10904">
        <v>61.889499999999998</v>
      </c>
      <c r="G10904">
        <v>12.8544</v>
      </c>
      <c r="H10904">
        <v>1</v>
      </c>
      <c r="I10904">
        <v>868.7</v>
      </c>
      <c r="J10904" t="str">
        <f>HYPERLINK("https://climate.onebuilding.org/WMO_Region_6_Europe/SWE_Sweden/KO_Dalarna/SWE_KO_Idrefjall.023070_TMYx.2007-2021.zip")</f>
        <v>https://climate.onebuilding.org/WMO_Region_6_Europe/SWE_Sweden/KO_Dalarna/SWE_KO_Idrefjall.023070_TMYx.2007-2021.zip</v>
      </c>
    </row>
    <row r="10905" spans="1:10" x14ac:dyDescent="0.25">
      <c r="A10905" t="s">
        <v>7602</v>
      </c>
      <c r="B10905" t="s">
        <v>7574</v>
      </c>
      <c r="C10905" t="s">
        <v>7921</v>
      </c>
      <c r="D10905" s="1" t="s">
        <v>7922</v>
      </c>
      <c r="E10905" t="s">
        <v>14</v>
      </c>
      <c r="F10905">
        <v>61.889499999999998</v>
      </c>
      <c r="G10905">
        <v>12.8544</v>
      </c>
      <c r="H10905">
        <v>1</v>
      </c>
      <c r="I10905">
        <v>868.7</v>
      </c>
      <c r="J10905" t="str">
        <f>HYPERLINK("https://climate.onebuilding.org/WMO_Region_6_Europe/SWE_Sweden/KO_Dalarna/SWE_KO_Idrefjall.023070_TMYx.2009-2023.zip")</f>
        <v>https://climate.onebuilding.org/WMO_Region_6_Europe/SWE_Sweden/KO_Dalarna/SWE_KO_Idrefjall.023070_TMYx.2009-2023.zip</v>
      </c>
    </row>
    <row r="10906" spans="1:10" x14ac:dyDescent="0.25">
      <c r="A10906" t="s">
        <v>7602</v>
      </c>
      <c r="B10906" t="s">
        <v>7574</v>
      </c>
      <c r="C10906" t="s">
        <v>7921</v>
      </c>
      <c r="D10906" s="1" t="s">
        <v>7922</v>
      </c>
      <c r="E10906" t="s">
        <v>14</v>
      </c>
      <c r="F10906">
        <v>61.889499999999998</v>
      </c>
      <c r="G10906">
        <v>12.8544</v>
      </c>
      <c r="H10906">
        <v>1</v>
      </c>
      <c r="I10906">
        <v>868.7</v>
      </c>
      <c r="J10906" t="str">
        <f>HYPERLINK("https://climate.onebuilding.org/WMO_Region_6_Europe/SWE_Sweden/KO_Dalarna/SWE_KO_Idrefjall.023070_TMYx.zip")</f>
        <v>https://climate.onebuilding.org/WMO_Region_6_Europe/SWE_Sweden/KO_Dalarna/SWE_KO_Idrefjall.023070_TMYx.zip</v>
      </c>
    </row>
    <row r="10907" spans="1:10" x14ac:dyDescent="0.25">
      <c r="A10907" t="s">
        <v>7602</v>
      </c>
      <c r="B10907" t="s">
        <v>7691</v>
      </c>
      <c r="C10907" t="s">
        <v>7924</v>
      </c>
      <c r="D10907" s="1" t="s">
        <v>7925</v>
      </c>
      <c r="E10907" t="s">
        <v>7926</v>
      </c>
      <c r="F10907">
        <v>62.450299999999999</v>
      </c>
      <c r="G10907">
        <v>12.670299999999999</v>
      </c>
      <c r="H10907">
        <v>1</v>
      </c>
      <c r="I10907">
        <v>724.3</v>
      </c>
      <c r="J10907" t="str">
        <f>HYPERLINK("https://climate.onebuilding.org/WMO_Region_6_Europe/SWE_Sweden/JA_Jamtland/SWE_JA_Tannas.023080_TMYx.2004-2018.zip")</f>
        <v>https://climate.onebuilding.org/WMO_Region_6_Europe/SWE_Sweden/JA_Jamtland/SWE_JA_Tannas.023080_TMYx.2004-2018.zip</v>
      </c>
    </row>
    <row r="10908" spans="1:10" x14ac:dyDescent="0.25">
      <c r="A10908" t="s">
        <v>7602</v>
      </c>
      <c r="B10908" t="s">
        <v>7691</v>
      </c>
      <c r="C10908" t="s">
        <v>7924</v>
      </c>
      <c r="D10908" s="1" t="s">
        <v>7925</v>
      </c>
      <c r="E10908" t="s">
        <v>14</v>
      </c>
      <c r="F10908">
        <v>62.450299999999999</v>
      </c>
      <c r="G10908">
        <v>12.670299999999999</v>
      </c>
      <c r="H10908">
        <v>1</v>
      </c>
      <c r="I10908">
        <v>724.3</v>
      </c>
      <c r="J10908" t="str">
        <f>HYPERLINK("https://climate.onebuilding.org/WMO_Region_6_Europe/SWE_Sweden/JA_Jamtland/SWE_JA_Tannas.023080_TMYx.2007-2021.zip")</f>
        <v>https://climate.onebuilding.org/WMO_Region_6_Europe/SWE_Sweden/JA_Jamtland/SWE_JA_Tannas.023080_TMYx.2007-2021.zip</v>
      </c>
    </row>
    <row r="10909" spans="1:10" x14ac:dyDescent="0.25">
      <c r="A10909" t="s">
        <v>7602</v>
      </c>
      <c r="B10909" t="s">
        <v>7691</v>
      </c>
      <c r="C10909" t="s">
        <v>7924</v>
      </c>
      <c r="D10909" s="1" t="s">
        <v>7925</v>
      </c>
      <c r="E10909" t="s">
        <v>14</v>
      </c>
      <c r="F10909">
        <v>62.450299999999999</v>
      </c>
      <c r="G10909">
        <v>12.670299999999999</v>
      </c>
      <c r="H10909">
        <v>1</v>
      </c>
      <c r="I10909">
        <v>724.3</v>
      </c>
      <c r="J10909" t="str">
        <f>HYPERLINK("https://climate.onebuilding.org/WMO_Region_6_Europe/SWE_Sweden/JA_Jamtland/SWE_JA_Tannas.023080_TMYx.2009-2023.zip")</f>
        <v>https://climate.onebuilding.org/WMO_Region_6_Europe/SWE_Sweden/JA_Jamtland/SWE_JA_Tannas.023080_TMYx.2009-2023.zip</v>
      </c>
    </row>
    <row r="10910" spans="1:10" x14ac:dyDescent="0.25">
      <c r="A10910" t="s">
        <v>7602</v>
      </c>
      <c r="B10910" t="s">
        <v>7691</v>
      </c>
      <c r="C10910" t="s">
        <v>7924</v>
      </c>
      <c r="D10910" s="1" t="s">
        <v>7925</v>
      </c>
      <c r="E10910" t="s">
        <v>14</v>
      </c>
      <c r="F10910">
        <v>62.450299999999999</v>
      </c>
      <c r="G10910">
        <v>12.670299999999999</v>
      </c>
      <c r="H10910">
        <v>1</v>
      </c>
      <c r="I10910">
        <v>724.3</v>
      </c>
      <c r="J10910" t="str">
        <f>HYPERLINK("https://climate.onebuilding.org/WMO_Region_6_Europe/SWE_Sweden/JA_Jamtland/SWE_JA_Tannas.023080_TMYx.zip")</f>
        <v>https://climate.onebuilding.org/WMO_Region_6_Europe/SWE_Sweden/JA_Jamtland/SWE_JA_Tannas.023080_TMYx.zip</v>
      </c>
    </row>
    <row r="10911" spans="1:10" x14ac:dyDescent="0.25">
      <c r="A10911" t="s">
        <v>7602</v>
      </c>
      <c r="B10911" t="s">
        <v>7691</v>
      </c>
      <c r="C10911" t="s">
        <v>7927</v>
      </c>
      <c r="D10911" s="1" t="s">
        <v>7928</v>
      </c>
      <c r="E10911" t="s">
        <v>14</v>
      </c>
      <c r="F10911">
        <v>62.8</v>
      </c>
      <c r="G10911">
        <v>13.067</v>
      </c>
      <c r="H10911">
        <v>1</v>
      </c>
      <c r="I10911">
        <v>583</v>
      </c>
      <c r="J10911" t="str">
        <f>HYPERLINK("https://climate.onebuilding.org/WMO_Region_6_Europe/SWE_Sweden/JA_Jamtland/SWE_JA_Storsjo.Kapell.023100_TMYx.zip")</f>
        <v>https://climate.onebuilding.org/WMO_Region_6_Europe/SWE_Sweden/JA_Jamtland/SWE_JA_Storsjo.Kapell.023100_TMYx.zip</v>
      </c>
    </row>
    <row r="10912" spans="1:10" x14ac:dyDescent="0.25">
      <c r="A10912" t="s">
        <v>7602</v>
      </c>
      <c r="B10912" t="s">
        <v>7574</v>
      </c>
      <c r="C10912" t="s">
        <v>7929</v>
      </c>
      <c r="D10912" s="1" t="s">
        <v>7930</v>
      </c>
      <c r="E10912" t="s">
        <v>7931</v>
      </c>
      <c r="F10912">
        <v>61.158099999999997</v>
      </c>
      <c r="G10912">
        <v>13.113899999999999</v>
      </c>
      <c r="H10912">
        <v>1</v>
      </c>
      <c r="I10912">
        <v>744</v>
      </c>
      <c r="J10912" t="str">
        <f>HYPERLINK("https://climate.onebuilding.org/WMO_Region_6_Europe/SWE_Sweden/KO_Dalarna/SWE_KO_Hogfjallshotellet.023110_TMYx.2004-2018.zip")</f>
        <v>https://climate.onebuilding.org/WMO_Region_6_Europe/SWE_Sweden/KO_Dalarna/SWE_KO_Hogfjallshotellet.023110_TMYx.2004-2018.zip</v>
      </c>
    </row>
    <row r="10913" spans="1:10" x14ac:dyDescent="0.25">
      <c r="A10913" t="s">
        <v>7602</v>
      </c>
      <c r="B10913" t="s">
        <v>7574</v>
      </c>
      <c r="C10913" t="s">
        <v>7929</v>
      </c>
      <c r="D10913" s="1" t="s">
        <v>7930</v>
      </c>
      <c r="E10913" t="s">
        <v>14</v>
      </c>
      <c r="F10913">
        <v>61.158099999999997</v>
      </c>
      <c r="G10913">
        <v>13.113899999999999</v>
      </c>
      <c r="H10913">
        <v>1</v>
      </c>
      <c r="I10913">
        <v>744</v>
      </c>
      <c r="J10913" t="str">
        <f>HYPERLINK("https://climate.onebuilding.org/WMO_Region_6_Europe/SWE_Sweden/KO_Dalarna/SWE_KO_Hogfjallshotellet.023110_TMYx.2007-2021.zip")</f>
        <v>https://climate.onebuilding.org/WMO_Region_6_Europe/SWE_Sweden/KO_Dalarna/SWE_KO_Hogfjallshotellet.023110_TMYx.2007-2021.zip</v>
      </c>
    </row>
    <row r="10914" spans="1:10" x14ac:dyDescent="0.25">
      <c r="A10914" t="s">
        <v>7602</v>
      </c>
      <c r="B10914" t="s">
        <v>7574</v>
      </c>
      <c r="C10914" t="s">
        <v>7929</v>
      </c>
      <c r="D10914" s="1" t="s">
        <v>7930</v>
      </c>
      <c r="E10914" t="s">
        <v>14</v>
      </c>
      <c r="F10914">
        <v>61.158099999999997</v>
      </c>
      <c r="G10914">
        <v>13.113899999999999</v>
      </c>
      <c r="H10914">
        <v>1</v>
      </c>
      <c r="I10914">
        <v>744</v>
      </c>
      <c r="J10914" t="str">
        <f>HYPERLINK("https://climate.onebuilding.org/WMO_Region_6_Europe/SWE_Sweden/KO_Dalarna/SWE_KO_Hogfjallshotellet.023110_TMYx.2009-2023.zip")</f>
        <v>https://climate.onebuilding.org/WMO_Region_6_Europe/SWE_Sweden/KO_Dalarna/SWE_KO_Hogfjallshotellet.023110_TMYx.2009-2023.zip</v>
      </c>
    </row>
    <row r="10915" spans="1:10" x14ac:dyDescent="0.25">
      <c r="A10915" t="s">
        <v>7602</v>
      </c>
      <c r="B10915" t="s">
        <v>7574</v>
      </c>
      <c r="C10915" t="s">
        <v>7929</v>
      </c>
      <c r="D10915" s="1" t="s">
        <v>7930</v>
      </c>
      <c r="E10915" t="s">
        <v>14</v>
      </c>
      <c r="F10915">
        <v>61.158099999999997</v>
      </c>
      <c r="G10915">
        <v>13.113899999999999</v>
      </c>
      <c r="H10915">
        <v>1</v>
      </c>
      <c r="I10915">
        <v>744</v>
      </c>
      <c r="J10915" t="str">
        <f>HYPERLINK("https://climate.onebuilding.org/WMO_Region_6_Europe/SWE_Sweden/KO_Dalarna/SWE_KO_Hogfjallshotellet.023110_TMYx.zip")</f>
        <v>https://climate.onebuilding.org/WMO_Region_6_Europe/SWE_Sweden/KO_Dalarna/SWE_KO_Hogfjallshotellet.023110_TMYx.zip</v>
      </c>
    </row>
    <row r="10916" spans="1:10" x14ac:dyDescent="0.25">
      <c r="A10916" t="s">
        <v>7602</v>
      </c>
      <c r="B10916" t="s">
        <v>7574</v>
      </c>
      <c r="C10916" t="s">
        <v>7932</v>
      </c>
      <c r="D10916" s="1" t="s">
        <v>7933</v>
      </c>
      <c r="E10916" t="s">
        <v>14</v>
      </c>
      <c r="F10916">
        <v>61.692149999999998</v>
      </c>
      <c r="G10916">
        <v>13.1881</v>
      </c>
      <c r="H10916">
        <v>1</v>
      </c>
      <c r="I10916">
        <v>425</v>
      </c>
      <c r="J10916" t="str">
        <f>HYPERLINK("https://climate.onebuilding.org/WMO_Region_6_Europe/SWE_Sweden/KO_Dalarna/SWE_KO_Sarna.023160_TMYx.zip")</f>
        <v>https://climate.onebuilding.org/WMO_Region_6_Europe/SWE_Sweden/KO_Dalarna/SWE_KO_Sarna.023160_TMYx.zip</v>
      </c>
    </row>
    <row r="10917" spans="1:10" x14ac:dyDescent="0.25">
      <c r="A10917" t="s">
        <v>7602</v>
      </c>
      <c r="B10917" t="s">
        <v>7691</v>
      </c>
      <c r="C10917" t="s">
        <v>7934</v>
      </c>
      <c r="D10917" s="1" t="s">
        <v>7935</v>
      </c>
      <c r="E10917" t="s">
        <v>7936</v>
      </c>
      <c r="F10917">
        <v>62.0944</v>
      </c>
      <c r="G10917">
        <v>13.611700000000001</v>
      </c>
      <c r="H10917">
        <v>1</v>
      </c>
      <c r="I10917">
        <v>566.29999999999995</v>
      </c>
      <c r="J10917" t="str">
        <f>HYPERLINK("https://climate.onebuilding.org/WMO_Region_6_Europe/SWE_Sweden/JA_Jamtland/SWE_JA_Dravagen.023170_TMYx.2004-2018.zip")</f>
        <v>https://climate.onebuilding.org/WMO_Region_6_Europe/SWE_Sweden/JA_Jamtland/SWE_JA_Dravagen.023170_TMYx.2004-2018.zip</v>
      </c>
    </row>
    <row r="10918" spans="1:10" x14ac:dyDescent="0.25">
      <c r="A10918" t="s">
        <v>7602</v>
      </c>
      <c r="B10918" t="s">
        <v>7691</v>
      </c>
      <c r="C10918" t="s">
        <v>7934</v>
      </c>
      <c r="D10918" s="1" t="s">
        <v>7935</v>
      </c>
      <c r="E10918" t="s">
        <v>14</v>
      </c>
      <c r="F10918">
        <v>62.0944</v>
      </c>
      <c r="G10918">
        <v>13.611700000000001</v>
      </c>
      <c r="H10918">
        <v>1</v>
      </c>
      <c r="I10918">
        <v>566.29999999999995</v>
      </c>
      <c r="J10918" t="str">
        <f>HYPERLINK("https://climate.onebuilding.org/WMO_Region_6_Europe/SWE_Sweden/JA_Jamtland/SWE_JA_Dravagen.023170_TMYx.2007-2021.zip")</f>
        <v>https://climate.onebuilding.org/WMO_Region_6_Europe/SWE_Sweden/JA_Jamtland/SWE_JA_Dravagen.023170_TMYx.2007-2021.zip</v>
      </c>
    </row>
    <row r="10919" spans="1:10" x14ac:dyDescent="0.25">
      <c r="A10919" t="s">
        <v>7602</v>
      </c>
      <c r="B10919" t="s">
        <v>7691</v>
      </c>
      <c r="C10919" t="s">
        <v>7934</v>
      </c>
      <c r="D10919" s="1" t="s">
        <v>7935</v>
      </c>
      <c r="E10919" t="s">
        <v>14</v>
      </c>
      <c r="F10919">
        <v>62.0944</v>
      </c>
      <c r="G10919">
        <v>13.611700000000001</v>
      </c>
      <c r="H10919">
        <v>1</v>
      </c>
      <c r="I10919">
        <v>566.29999999999995</v>
      </c>
      <c r="J10919" t="str">
        <f>HYPERLINK("https://climate.onebuilding.org/WMO_Region_6_Europe/SWE_Sweden/JA_Jamtland/SWE_JA_Dravagen.023170_TMYx.2009-2023.zip")</f>
        <v>https://climate.onebuilding.org/WMO_Region_6_Europe/SWE_Sweden/JA_Jamtland/SWE_JA_Dravagen.023170_TMYx.2009-2023.zip</v>
      </c>
    </row>
    <row r="10920" spans="1:10" x14ac:dyDescent="0.25">
      <c r="A10920" t="s">
        <v>7602</v>
      </c>
      <c r="B10920" t="s">
        <v>7691</v>
      </c>
      <c r="C10920" t="s">
        <v>7934</v>
      </c>
      <c r="D10920" s="1" t="s">
        <v>7935</v>
      </c>
      <c r="E10920" t="s">
        <v>14</v>
      </c>
      <c r="F10920">
        <v>62.0944</v>
      </c>
      <c r="G10920">
        <v>13.611700000000001</v>
      </c>
      <c r="H10920">
        <v>1</v>
      </c>
      <c r="I10920">
        <v>566.29999999999995</v>
      </c>
      <c r="J10920" t="str">
        <f>HYPERLINK("https://climate.onebuilding.org/WMO_Region_6_Europe/SWE_Sweden/JA_Jamtland/SWE_JA_Dravagen.023170_TMYx.zip")</f>
        <v>https://climate.onebuilding.org/WMO_Region_6_Europe/SWE_Sweden/JA_Jamtland/SWE_JA_Dravagen.023170_TMYx.zip</v>
      </c>
    </row>
    <row r="10921" spans="1:10" x14ac:dyDescent="0.25">
      <c r="A10921" t="s">
        <v>7602</v>
      </c>
      <c r="B10921" t="s">
        <v>7691</v>
      </c>
      <c r="C10921" t="s">
        <v>7937</v>
      </c>
      <c r="D10921" s="1" t="s">
        <v>7938</v>
      </c>
      <c r="E10921" t="s">
        <v>7939</v>
      </c>
      <c r="F10921">
        <v>62.755800000000001</v>
      </c>
      <c r="G10921">
        <v>13.845800000000001</v>
      </c>
      <c r="H10921">
        <v>1</v>
      </c>
      <c r="I10921">
        <v>466.9</v>
      </c>
      <c r="J10921" t="str">
        <f>HYPERLINK("https://climate.onebuilding.org/WMO_Region_6_Europe/SWE_Sweden/JA_Jamtland/SWE_JA_Bortnan.023190_TMYx.2004-2018.zip")</f>
        <v>https://climate.onebuilding.org/WMO_Region_6_Europe/SWE_Sweden/JA_Jamtland/SWE_JA_Bortnan.023190_TMYx.2004-2018.zip</v>
      </c>
    </row>
    <row r="10922" spans="1:10" x14ac:dyDescent="0.25">
      <c r="A10922" t="s">
        <v>7602</v>
      </c>
      <c r="B10922" t="s">
        <v>7691</v>
      </c>
      <c r="C10922" t="s">
        <v>7937</v>
      </c>
      <c r="D10922" s="1" t="s">
        <v>7938</v>
      </c>
      <c r="E10922" t="s">
        <v>14</v>
      </c>
      <c r="F10922">
        <v>62.755800000000001</v>
      </c>
      <c r="G10922">
        <v>13.845800000000001</v>
      </c>
      <c r="H10922">
        <v>1</v>
      </c>
      <c r="I10922">
        <v>466.9</v>
      </c>
      <c r="J10922" t="str">
        <f>HYPERLINK("https://climate.onebuilding.org/WMO_Region_6_Europe/SWE_Sweden/JA_Jamtland/SWE_JA_Bortnan.023190_TMYx.2007-2021.zip")</f>
        <v>https://climate.onebuilding.org/WMO_Region_6_Europe/SWE_Sweden/JA_Jamtland/SWE_JA_Bortnan.023190_TMYx.2007-2021.zip</v>
      </c>
    </row>
    <row r="10923" spans="1:10" x14ac:dyDescent="0.25">
      <c r="A10923" t="s">
        <v>7602</v>
      </c>
      <c r="B10923" t="s">
        <v>7691</v>
      </c>
      <c r="C10923" t="s">
        <v>7937</v>
      </c>
      <c r="D10923" s="1" t="s">
        <v>7938</v>
      </c>
      <c r="E10923" t="s">
        <v>14</v>
      </c>
      <c r="F10923">
        <v>62.755800000000001</v>
      </c>
      <c r="G10923">
        <v>13.845800000000001</v>
      </c>
      <c r="H10923">
        <v>1</v>
      </c>
      <c r="I10923">
        <v>466.9</v>
      </c>
      <c r="J10923" t="str">
        <f>HYPERLINK("https://climate.onebuilding.org/WMO_Region_6_Europe/SWE_Sweden/JA_Jamtland/SWE_JA_Bortnan.023190_TMYx.2009-2023.zip")</f>
        <v>https://climate.onebuilding.org/WMO_Region_6_Europe/SWE_Sweden/JA_Jamtland/SWE_JA_Bortnan.023190_TMYx.2009-2023.zip</v>
      </c>
    </row>
    <row r="10924" spans="1:10" x14ac:dyDescent="0.25">
      <c r="A10924" t="s">
        <v>7602</v>
      </c>
      <c r="B10924" t="s">
        <v>7691</v>
      </c>
      <c r="C10924" t="s">
        <v>7937</v>
      </c>
      <c r="D10924" s="1" t="s">
        <v>7938</v>
      </c>
      <c r="E10924" t="s">
        <v>14</v>
      </c>
      <c r="F10924">
        <v>62.755800000000001</v>
      </c>
      <c r="G10924">
        <v>13.845800000000001</v>
      </c>
      <c r="H10924">
        <v>1</v>
      </c>
      <c r="I10924">
        <v>466.9</v>
      </c>
      <c r="J10924" t="str">
        <f>HYPERLINK("https://climate.onebuilding.org/WMO_Region_6_Europe/SWE_Sweden/JA_Jamtland/SWE_JA_Bortnan.023190_TMYx.zip")</f>
        <v>https://climate.onebuilding.org/WMO_Region_6_Europe/SWE_Sweden/JA_Jamtland/SWE_JA_Bortnan.023190_TMYx.zip</v>
      </c>
    </row>
    <row r="10925" spans="1:10" x14ac:dyDescent="0.25">
      <c r="A10925" t="s">
        <v>7602</v>
      </c>
      <c r="B10925" t="s">
        <v>7574</v>
      </c>
      <c r="C10925" t="s">
        <v>7940</v>
      </c>
      <c r="D10925" s="1" t="s">
        <v>7941</v>
      </c>
      <c r="E10925" t="s">
        <v>7942</v>
      </c>
      <c r="F10925">
        <v>61.254399999999997</v>
      </c>
      <c r="G10925">
        <v>14.038600000000001</v>
      </c>
      <c r="H10925">
        <v>1</v>
      </c>
      <c r="I10925">
        <v>253</v>
      </c>
      <c r="J10925" t="str">
        <f>HYPERLINK("https://climate.onebuilding.org/WMO_Region_6_Europe/SWE_Sweden/KO_Dalarna/SWE_KO_Alvdalen.023210_TMYx.2004-2018.zip")</f>
        <v>https://climate.onebuilding.org/WMO_Region_6_Europe/SWE_Sweden/KO_Dalarna/SWE_KO_Alvdalen.023210_TMYx.2004-2018.zip</v>
      </c>
    </row>
    <row r="10926" spans="1:10" x14ac:dyDescent="0.25">
      <c r="A10926" t="s">
        <v>7602</v>
      </c>
      <c r="B10926" t="s">
        <v>7574</v>
      </c>
      <c r="C10926" t="s">
        <v>7940</v>
      </c>
      <c r="D10926" s="1" t="s">
        <v>7941</v>
      </c>
      <c r="E10926" t="s">
        <v>14</v>
      </c>
      <c r="F10926">
        <v>61.254399999999997</v>
      </c>
      <c r="G10926">
        <v>14.038600000000001</v>
      </c>
      <c r="H10926">
        <v>1</v>
      </c>
      <c r="I10926">
        <v>253</v>
      </c>
      <c r="J10926" t="str">
        <f>HYPERLINK("https://climate.onebuilding.org/WMO_Region_6_Europe/SWE_Sweden/KO_Dalarna/SWE_KO_Alvdalen.023210_TMYx.2007-2021.zip")</f>
        <v>https://climate.onebuilding.org/WMO_Region_6_Europe/SWE_Sweden/KO_Dalarna/SWE_KO_Alvdalen.023210_TMYx.2007-2021.zip</v>
      </c>
    </row>
    <row r="10927" spans="1:10" x14ac:dyDescent="0.25">
      <c r="A10927" t="s">
        <v>7602</v>
      </c>
      <c r="B10927" t="s">
        <v>7574</v>
      </c>
      <c r="C10927" t="s">
        <v>7940</v>
      </c>
      <c r="D10927" s="1" t="s">
        <v>7941</v>
      </c>
      <c r="E10927" t="s">
        <v>14</v>
      </c>
      <c r="F10927">
        <v>61.254399999999997</v>
      </c>
      <c r="G10927">
        <v>14.038600000000001</v>
      </c>
      <c r="H10927">
        <v>1</v>
      </c>
      <c r="I10927">
        <v>253</v>
      </c>
      <c r="J10927" t="str">
        <f>HYPERLINK("https://climate.onebuilding.org/WMO_Region_6_Europe/SWE_Sweden/KO_Dalarna/SWE_KO_Alvdalen.023210_TMYx.2009-2023.zip")</f>
        <v>https://climate.onebuilding.org/WMO_Region_6_Europe/SWE_Sweden/KO_Dalarna/SWE_KO_Alvdalen.023210_TMYx.2009-2023.zip</v>
      </c>
    </row>
    <row r="10928" spans="1:10" x14ac:dyDescent="0.25">
      <c r="A10928" t="s">
        <v>7602</v>
      </c>
      <c r="B10928" t="s">
        <v>7574</v>
      </c>
      <c r="C10928" t="s">
        <v>7940</v>
      </c>
      <c r="D10928" s="1" t="s">
        <v>7941</v>
      </c>
      <c r="E10928" t="s">
        <v>14</v>
      </c>
      <c r="F10928">
        <v>61.254399999999997</v>
      </c>
      <c r="G10928">
        <v>14.038600000000001</v>
      </c>
      <c r="H10928">
        <v>1</v>
      </c>
      <c r="I10928">
        <v>253</v>
      </c>
      <c r="J10928" t="str">
        <f>HYPERLINK("https://climate.onebuilding.org/WMO_Region_6_Europe/SWE_Sweden/KO_Dalarna/SWE_KO_Alvdalen.023210_TMYx.zip")</f>
        <v>https://climate.onebuilding.org/WMO_Region_6_Europe/SWE_Sweden/KO_Dalarna/SWE_KO_Alvdalen.023210_TMYx.zip</v>
      </c>
    </row>
    <row r="10929" spans="1:10" x14ac:dyDescent="0.25">
      <c r="A10929" t="s">
        <v>7602</v>
      </c>
      <c r="B10929" t="s">
        <v>7691</v>
      </c>
      <c r="C10929" t="s">
        <v>7943</v>
      </c>
      <c r="D10929" s="1" t="s">
        <v>7944</v>
      </c>
      <c r="E10929" t="s">
        <v>7945</v>
      </c>
      <c r="F10929">
        <v>62.496099999999998</v>
      </c>
      <c r="G10929">
        <v>14.1572</v>
      </c>
      <c r="H10929">
        <v>1</v>
      </c>
      <c r="I10929">
        <v>802.9</v>
      </c>
      <c r="J10929" t="str">
        <f>HYPERLINK("https://climate.onebuilding.org/WMO_Region_6_Europe/SWE_Sweden/JA_Jamtland/SWE_JA_Klovsjohojden.023250_TMYx.2004-2018.zip")</f>
        <v>https://climate.onebuilding.org/WMO_Region_6_Europe/SWE_Sweden/JA_Jamtland/SWE_JA_Klovsjohojden.023250_TMYx.2004-2018.zip</v>
      </c>
    </row>
    <row r="10930" spans="1:10" x14ac:dyDescent="0.25">
      <c r="A10930" t="s">
        <v>7602</v>
      </c>
      <c r="B10930" t="s">
        <v>7691</v>
      </c>
      <c r="C10930" t="s">
        <v>7943</v>
      </c>
      <c r="D10930" s="1" t="s">
        <v>7944</v>
      </c>
      <c r="E10930" t="s">
        <v>14</v>
      </c>
      <c r="F10930">
        <v>62.496099999999998</v>
      </c>
      <c r="G10930">
        <v>14.1572</v>
      </c>
      <c r="H10930">
        <v>1</v>
      </c>
      <c r="I10930">
        <v>802.9</v>
      </c>
      <c r="J10930" t="str">
        <f>HYPERLINK("https://climate.onebuilding.org/WMO_Region_6_Europe/SWE_Sweden/JA_Jamtland/SWE_JA_Klovsjohojden.023250_TMYx.2007-2021.zip")</f>
        <v>https://climate.onebuilding.org/WMO_Region_6_Europe/SWE_Sweden/JA_Jamtland/SWE_JA_Klovsjohojden.023250_TMYx.2007-2021.zip</v>
      </c>
    </row>
    <row r="10931" spans="1:10" x14ac:dyDescent="0.25">
      <c r="A10931" t="s">
        <v>7602</v>
      </c>
      <c r="B10931" t="s">
        <v>7691</v>
      </c>
      <c r="C10931" t="s">
        <v>7943</v>
      </c>
      <c r="D10931" s="1" t="s">
        <v>7944</v>
      </c>
      <c r="E10931" t="s">
        <v>14</v>
      </c>
      <c r="F10931">
        <v>62.496099999999998</v>
      </c>
      <c r="G10931">
        <v>14.1572</v>
      </c>
      <c r="H10931">
        <v>1</v>
      </c>
      <c r="I10931">
        <v>802.9</v>
      </c>
      <c r="J10931" t="str">
        <f>HYPERLINK("https://climate.onebuilding.org/WMO_Region_6_Europe/SWE_Sweden/JA_Jamtland/SWE_JA_Klovsjohojden.023250_TMYx.2009-2023.zip")</f>
        <v>https://climate.onebuilding.org/WMO_Region_6_Europe/SWE_Sweden/JA_Jamtland/SWE_JA_Klovsjohojden.023250_TMYx.2009-2023.zip</v>
      </c>
    </row>
    <row r="10932" spans="1:10" x14ac:dyDescent="0.25">
      <c r="A10932" t="s">
        <v>7602</v>
      </c>
      <c r="B10932" t="s">
        <v>7691</v>
      </c>
      <c r="C10932" t="s">
        <v>7943</v>
      </c>
      <c r="D10932" s="1" t="s">
        <v>7944</v>
      </c>
      <c r="E10932" t="s">
        <v>14</v>
      </c>
      <c r="F10932">
        <v>62.496099999999998</v>
      </c>
      <c r="G10932">
        <v>14.1572</v>
      </c>
      <c r="H10932">
        <v>1</v>
      </c>
      <c r="I10932">
        <v>802.9</v>
      </c>
      <c r="J10932" t="str">
        <f>HYPERLINK("https://climate.onebuilding.org/WMO_Region_6_Europe/SWE_Sweden/JA_Jamtland/SWE_JA_Klovsjohojden.023250_TMYx.zip")</f>
        <v>https://climate.onebuilding.org/WMO_Region_6_Europe/SWE_Sweden/JA_Jamtland/SWE_JA_Klovsjohojden.023250_TMYx.zip</v>
      </c>
    </row>
    <row r="10933" spans="1:10" x14ac:dyDescent="0.25">
      <c r="A10933" t="s">
        <v>7602</v>
      </c>
      <c r="B10933" t="s">
        <v>7691</v>
      </c>
      <c r="C10933" t="s">
        <v>7946</v>
      </c>
      <c r="D10933" s="1" t="s">
        <v>7947</v>
      </c>
      <c r="E10933" t="s">
        <v>7948</v>
      </c>
      <c r="F10933">
        <v>62.046100000000003</v>
      </c>
      <c r="G10933">
        <v>14.4069</v>
      </c>
      <c r="H10933">
        <v>1</v>
      </c>
      <c r="I10933">
        <v>359.3</v>
      </c>
      <c r="J10933" t="str">
        <f>HYPERLINK("https://climate.onebuilding.org/WMO_Region_6_Europe/SWE_Sweden/JA_Jamtland/SWE_JA_Harjedalen.Sveg.AP.023270_TMYx.2004-2018.zip")</f>
        <v>https://climate.onebuilding.org/WMO_Region_6_Europe/SWE_Sweden/JA_Jamtland/SWE_JA_Harjedalen.Sveg.AP.023270_TMYx.2004-2018.zip</v>
      </c>
    </row>
    <row r="10934" spans="1:10" x14ac:dyDescent="0.25">
      <c r="A10934" t="s">
        <v>7602</v>
      </c>
      <c r="B10934" t="s">
        <v>7691</v>
      </c>
      <c r="C10934" t="s">
        <v>7946</v>
      </c>
      <c r="D10934" s="1" t="s">
        <v>7947</v>
      </c>
      <c r="E10934" t="s">
        <v>14</v>
      </c>
      <c r="F10934">
        <v>62.046100000000003</v>
      </c>
      <c r="G10934">
        <v>14.4069</v>
      </c>
      <c r="H10934">
        <v>1</v>
      </c>
      <c r="I10934">
        <v>359.3</v>
      </c>
      <c r="J10934" t="str">
        <f>HYPERLINK("https://climate.onebuilding.org/WMO_Region_6_Europe/SWE_Sweden/JA_Jamtland/SWE_JA_Harjedalen.Sveg.AP.023270_TMYx.2007-2021.zip")</f>
        <v>https://climate.onebuilding.org/WMO_Region_6_Europe/SWE_Sweden/JA_Jamtland/SWE_JA_Harjedalen.Sveg.AP.023270_TMYx.2007-2021.zip</v>
      </c>
    </row>
    <row r="10935" spans="1:10" x14ac:dyDescent="0.25">
      <c r="A10935" t="s">
        <v>7602</v>
      </c>
      <c r="B10935" t="s">
        <v>7691</v>
      </c>
      <c r="C10935" t="s">
        <v>7946</v>
      </c>
      <c r="D10935" s="1" t="s">
        <v>7947</v>
      </c>
      <c r="E10935" t="s">
        <v>14</v>
      </c>
      <c r="F10935">
        <v>62.046100000000003</v>
      </c>
      <c r="G10935">
        <v>14.4069</v>
      </c>
      <c r="H10935">
        <v>1</v>
      </c>
      <c r="I10935">
        <v>359.3</v>
      </c>
      <c r="J10935" t="str">
        <f>HYPERLINK("https://climate.onebuilding.org/WMO_Region_6_Europe/SWE_Sweden/JA_Jamtland/SWE_JA_Harjedalen.Sveg.AP.023270_TMYx.2009-2023.zip")</f>
        <v>https://climate.onebuilding.org/WMO_Region_6_Europe/SWE_Sweden/JA_Jamtland/SWE_JA_Harjedalen.Sveg.AP.023270_TMYx.2009-2023.zip</v>
      </c>
    </row>
    <row r="10936" spans="1:10" x14ac:dyDescent="0.25">
      <c r="A10936" t="s">
        <v>7602</v>
      </c>
      <c r="B10936" t="s">
        <v>7691</v>
      </c>
      <c r="C10936" t="s">
        <v>7946</v>
      </c>
      <c r="D10936" s="1" t="s">
        <v>7947</v>
      </c>
      <c r="E10936" t="s">
        <v>14</v>
      </c>
      <c r="F10936">
        <v>62.046100000000003</v>
      </c>
      <c r="G10936">
        <v>14.4069</v>
      </c>
      <c r="H10936">
        <v>1</v>
      </c>
      <c r="I10936">
        <v>359.3</v>
      </c>
      <c r="J10936" t="str">
        <f>HYPERLINK("https://climate.onebuilding.org/WMO_Region_6_Europe/SWE_Sweden/JA_Jamtland/SWE_JA_Harjedalen.Sveg.AP.023270_TMYx.zip")</f>
        <v>https://climate.onebuilding.org/WMO_Region_6_Europe/SWE_Sweden/JA_Jamtland/SWE_JA_Harjedalen.Sveg.AP.023270_TMYx.zip</v>
      </c>
    </row>
    <row r="10937" spans="1:10" x14ac:dyDescent="0.25">
      <c r="A10937" t="s">
        <v>7602</v>
      </c>
      <c r="B10937" t="s">
        <v>7891</v>
      </c>
      <c r="C10937" t="s">
        <v>7949</v>
      </c>
      <c r="D10937" s="1" t="s">
        <v>7950</v>
      </c>
      <c r="E10937" t="s">
        <v>7951</v>
      </c>
      <c r="F10937">
        <v>61.661099999999998</v>
      </c>
      <c r="G10937">
        <v>14.993</v>
      </c>
      <c r="H10937">
        <v>1</v>
      </c>
      <c r="I10937">
        <v>445</v>
      </c>
      <c r="J10937" t="str">
        <f>HYPERLINK("https://climate.onebuilding.org/WMO_Region_6_Europe/SWE_Sweden/GV_Gavleborg/SWE_GV_Hamra.023290_TMYx.2004-2018.zip")</f>
        <v>https://climate.onebuilding.org/WMO_Region_6_Europe/SWE_Sweden/GV_Gavleborg/SWE_GV_Hamra.023290_TMYx.2004-2018.zip</v>
      </c>
    </row>
    <row r="10938" spans="1:10" x14ac:dyDescent="0.25">
      <c r="A10938" t="s">
        <v>7602</v>
      </c>
      <c r="B10938" t="s">
        <v>7891</v>
      </c>
      <c r="C10938" t="s">
        <v>7949</v>
      </c>
      <c r="D10938" s="1" t="s">
        <v>7950</v>
      </c>
      <c r="E10938" t="s">
        <v>14</v>
      </c>
      <c r="F10938">
        <v>61.661099999999998</v>
      </c>
      <c r="G10938">
        <v>14.993</v>
      </c>
      <c r="H10938">
        <v>1</v>
      </c>
      <c r="I10938">
        <v>445</v>
      </c>
      <c r="J10938" t="str">
        <f>HYPERLINK("https://climate.onebuilding.org/WMO_Region_6_Europe/SWE_Sweden/GV_Gavleborg/SWE_GV_Hamra.023290_TMYx.2007-2021.zip")</f>
        <v>https://climate.onebuilding.org/WMO_Region_6_Europe/SWE_Sweden/GV_Gavleborg/SWE_GV_Hamra.023290_TMYx.2007-2021.zip</v>
      </c>
    </row>
    <row r="10939" spans="1:10" x14ac:dyDescent="0.25">
      <c r="A10939" t="s">
        <v>7602</v>
      </c>
      <c r="B10939" t="s">
        <v>7891</v>
      </c>
      <c r="C10939" t="s">
        <v>7949</v>
      </c>
      <c r="D10939" s="1" t="s">
        <v>7950</v>
      </c>
      <c r="E10939" t="s">
        <v>14</v>
      </c>
      <c r="F10939">
        <v>61.661099999999998</v>
      </c>
      <c r="G10939">
        <v>14.993</v>
      </c>
      <c r="H10939">
        <v>1</v>
      </c>
      <c r="I10939">
        <v>445</v>
      </c>
      <c r="J10939" t="str">
        <f>HYPERLINK("https://climate.onebuilding.org/WMO_Region_6_Europe/SWE_Sweden/GV_Gavleborg/SWE_GV_Hamra.023290_TMYx.2009-2023.zip")</f>
        <v>https://climate.onebuilding.org/WMO_Region_6_Europe/SWE_Sweden/GV_Gavleborg/SWE_GV_Hamra.023290_TMYx.2009-2023.zip</v>
      </c>
    </row>
    <row r="10940" spans="1:10" x14ac:dyDescent="0.25">
      <c r="A10940" t="s">
        <v>7602</v>
      </c>
      <c r="B10940" t="s">
        <v>7891</v>
      </c>
      <c r="C10940" t="s">
        <v>7949</v>
      </c>
      <c r="D10940" s="1" t="s">
        <v>7950</v>
      </c>
      <c r="E10940" t="s">
        <v>14</v>
      </c>
      <c r="F10940">
        <v>61.661099999999998</v>
      </c>
      <c r="G10940">
        <v>14.993</v>
      </c>
      <c r="H10940">
        <v>1</v>
      </c>
      <c r="I10940">
        <v>445</v>
      </c>
      <c r="J10940" t="str">
        <f>HYPERLINK("https://climate.onebuilding.org/WMO_Region_6_Europe/SWE_Sweden/GV_Gavleborg/SWE_GV_Hamra.023290_TMYx.zip")</f>
        <v>https://climate.onebuilding.org/WMO_Region_6_Europe/SWE_Sweden/GV_Gavleborg/SWE_GV_Hamra.023290_TMYx.zip</v>
      </c>
    </row>
    <row r="10941" spans="1:10" x14ac:dyDescent="0.25">
      <c r="A10941" t="s">
        <v>7602</v>
      </c>
      <c r="B10941" t="s">
        <v>7691</v>
      </c>
      <c r="C10941" t="s">
        <v>7952</v>
      </c>
      <c r="D10941" s="1" t="s">
        <v>7953</v>
      </c>
      <c r="E10941" t="s">
        <v>7954</v>
      </c>
      <c r="F10941">
        <v>62.751399999999997</v>
      </c>
      <c r="G10941">
        <v>15.0878</v>
      </c>
      <c r="H10941">
        <v>1</v>
      </c>
      <c r="I10941">
        <v>343.2</v>
      </c>
      <c r="J10941" t="str">
        <f>HYPERLINK("https://climate.onebuilding.org/WMO_Region_6_Europe/SWE_Sweden/JA_Jamtland/SWE_JA_Hunge.023310_TMYx.2004-2018.zip")</f>
        <v>https://climate.onebuilding.org/WMO_Region_6_Europe/SWE_Sweden/JA_Jamtland/SWE_JA_Hunge.023310_TMYx.2004-2018.zip</v>
      </c>
    </row>
    <row r="10942" spans="1:10" x14ac:dyDescent="0.25">
      <c r="A10942" t="s">
        <v>7602</v>
      </c>
      <c r="B10942" t="s">
        <v>7691</v>
      </c>
      <c r="C10942" t="s">
        <v>7952</v>
      </c>
      <c r="D10942" s="1" t="s">
        <v>7953</v>
      </c>
      <c r="E10942" t="s">
        <v>14</v>
      </c>
      <c r="F10942">
        <v>62.751399999999997</v>
      </c>
      <c r="G10942">
        <v>15.0878</v>
      </c>
      <c r="H10942">
        <v>1</v>
      </c>
      <c r="I10942">
        <v>343.2</v>
      </c>
      <c r="J10942" t="str">
        <f>HYPERLINK("https://climate.onebuilding.org/WMO_Region_6_Europe/SWE_Sweden/JA_Jamtland/SWE_JA_Hunge.023310_TMYx.2007-2021.zip")</f>
        <v>https://climate.onebuilding.org/WMO_Region_6_Europe/SWE_Sweden/JA_Jamtland/SWE_JA_Hunge.023310_TMYx.2007-2021.zip</v>
      </c>
    </row>
    <row r="10943" spans="1:10" x14ac:dyDescent="0.25">
      <c r="A10943" t="s">
        <v>7602</v>
      </c>
      <c r="B10943" t="s">
        <v>7691</v>
      </c>
      <c r="C10943" t="s">
        <v>7952</v>
      </c>
      <c r="D10943" s="1" t="s">
        <v>7953</v>
      </c>
      <c r="E10943" t="s">
        <v>14</v>
      </c>
      <c r="F10943">
        <v>62.751399999999997</v>
      </c>
      <c r="G10943">
        <v>15.0878</v>
      </c>
      <c r="H10943">
        <v>1</v>
      </c>
      <c r="I10943">
        <v>343.2</v>
      </c>
      <c r="J10943" t="str">
        <f>HYPERLINK("https://climate.onebuilding.org/WMO_Region_6_Europe/SWE_Sweden/JA_Jamtland/SWE_JA_Hunge.023310_TMYx.2009-2023.zip")</f>
        <v>https://climate.onebuilding.org/WMO_Region_6_Europe/SWE_Sweden/JA_Jamtland/SWE_JA_Hunge.023310_TMYx.2009-2023.zip</v>
      </c>
    </row>
    <row r="10944" spans="1:10" x14ac:dyDescent="0.25">
      <c r="A10944" t="s">
        <v>7602</v>
      </c>
      <c r="B10944" t="s">
        <v>7691</v>
      </c>
      <c r="C10944" t="s">
        <v>7952</v>
      </c>
      <c r="D10944" s="1" t="s">
        <v>7953</v>
      </c>
      <c r="E10944" t="s">
        <v>14</v>
      </c>
      <c r="F10944">
        <v>62.751399999999997</v>
      </c>
      <c r="G10944">
        <v>15.0878</v>
      </c>
      <c r="H10944">
        <v>1</v>
      </c>
      <c r="I10944">
        <v>343.2</v>
      </c>
      <c r="J10944" t="str">
        <f>HYPERLINK("https://climate.onebuilding.org/WMO_Region_6_Europe/SWE_Sweden/JA_Jamtland/SWE_JA_Hunge.023310_TMYx.zip")</f>
        <v>https://climate.onebuilding.org/WMO_Region_6_Europe/SWE_Sweden/JA_Jamtland/SWE_JA_Hunge.023310_TMYx.zip</v>
      </c>
    </row>
    <row r="10945" spans="1:10" x14ac:dyDescent="0.25">
      <c r="A10945" t="s">
        <v>7602</v>
      </c>
      <c r="B10945" t="s">
        <v>7891</v>
      </c>
      <c r="C10945" t="s">
        <v>7955</v>
      </c>
      <c r="D10945" s="1" t="s">
        <v>7956</v>
      </c>
      <c r="E10945" t="s">
        <v>14</v>
      </c>
      <c r="F10945">
        <v>62.052500000000002</v>
      </c>
      <c r="G10945">
        <v>15.4636</v>
      </c>
      <c r="H10945">
        <v>1</v>
      </c>
      <c r="I10945">
        <v>280</v>
      </c>
      <c r="J10945" t="str">
        <f>HYPERLINK("https://climate.onebuilding.org/WMO_Region_6_Europe/SWE_Sweden/GV_Gavleborg/SWE_GV_Finneby.023340_TMYx.zip")</f>
        <v>https://climate.onebuilding.org/WMO_Region_6_Europe/SWE_Sweden/GV_Gavleborg/SWE_GV_Finneby.023340_TMYx.zip</v>
      </c>
    </row>
    <row r="10946" spans="1:10" x14ac:dyDescent="0.25">
      <c r="A10946" t="s">
        <v>7602</v>
      </c>
      <c r="B10946" t="s">
        <v>7891</v>
      </c>
      <c r="C10946" t="s">
        <v>7957</v>
      </c>
      <c r="D10946" s="1" t="s">
        <v>7958</v>
      </c>
      <c r="E10946" t="s">
        <v>7959</v>
      </c>
      <c r="F10946">
        <v>62.263100000000001</v>
      </c>
      <c r="G10946">
        <v>15.6708</v>
      </c>
      <c r="H10946">
        <v>1</v>
      </c>
      <c r="I10946">
        <v>320</v>
      </c>
      <c r="J10946" t="str">
        <f>HYPERLINK("https://climate.onebuilding.org/WMO_Region_6_Europe/SWE_Sweden/GV_Gavleborg/SWE_GV_Norrhog.023370_TMYx.2004-2018.zip")</f>
        <v>https://climate.onebuilding.org/WMO_Region_6_Europe/SWE_Sweden/GV_Gavleborg/SWE_GV_Norrhog.023370_TMYx.2004-2018.zip</v>
      </c>
    </row>
    <row r="10947" spans="1:10" x14ac:dyDescent="0.25">
      <c r="A10947" t="s">
        <v>7602</v>
      </c>
      <c r="B10947" t="s">
        <v>7891</v>
      </c>
      <c r="C10947" t="s">
        <v>7957</v>
      </c>
      <c r="D10947" s="1" t="s">
        <v>7958</v>
      </c>
      <c r="E10947" t="s">
        <v>14</v>
      </c>
      <c r="F10947">
        <v>62.263100000000001</v>
      </c>
      <c r="G10947">
        <v>15.6708</v>
      </c>
      <c r="H10947">
        <v>1</v>
      </c>
      <c r="I10947">
        <v>320</v>
      </c>
      <c r="J10947" t="str">
        <f>HYPERLINK("https://climate.onebuilding.org/WMO_Region_6_Europe/SWE_Sweden/GV_Gavleborg/SWE_GV_Norrhog.023370_TMYx.2007-2021.zip")</f>
        <v>https://climate.onebuilding.org/WMO_Region_6_Europe/SWE_Sweden/GV_Gavleborg/SWE_GV_Norrhog.023370_TMYx.2007-2021.zip</v>
      </c>
    </row>
    <row r="10948" spans="1:10" x14ac:dyDescent="0.25">
      <c r="A10948" t="s">
        <v>7602</v>
      </c>
      <c r="B10948" t="s">
        <v>7891</v>
      </c>
      <c r="C10948" t="s">
        <v>7957</v>
      </c>
      <c r="D10948" s="1" t="s">
        <v>7958</v>
      </c>
      <c r="E10948" t="s">
        <v>14</v>
      </c>
      <c r="F10948">
        <v>62.263100000000001</v>
      </c>
      <c r="G10948">
        <v>15.6708</v>
      </c>
      <c r="H10948">
        <v>1</v>
      </c>
      <c r="I10948">
        <v>320</v>
      </c>
      <c r="J10948" t="str">
        <f>HYPERLINK("https://climate.onebuilding.org/WMO_Region_6_Europe/SWE_Sweden/GV_Gavleborg/SWE_GV_Norrhog.023370_TMYx.2009-2023.zip")</f>
        <v>https://climate.onebuilding.org/WMO_Region_6_Europe/SWE_Sweden/GV_Gavleborg/SWE_GV_Norrhog.023370_TMYx.2009-2023.zip</v>
      </c>
    </row>
    <row r="10949" spans="1:10" x14ac:dyDescent="0.25">
      <c r="A10949" t="s">
        <v>7602</v>
      </c>
      <c r="B10949" t="s">
        <v>7891</v>
      </c>
      <c r="C10949" t="s">
        <v>7957</v>
      </c>
      <c r="D10949" s="1" t="s">
        <v>7958</v>
      </c>
      <c r="E10949" t="s">
        <v>14</v>
      </c>
      <c r="F10949">
        <v>62.263100000000001</v>
      </c>
      <c r="G10949">
        <v>15.6708</v>
      </c>
      <c r="H10949">
        <v>1</v>
      </c>
      <c r="I10949">
        <v>320</v>
      </c>
      <c r="J10949" t="str">
        <f>HYPERLINK("https://climate.onebuilding.org/WMO_Region_6_Europe/SWE_Sweden/GV_Gavleborg/SWE_GV_Norrhog.023370_TMYx.zip")</f>
        <v>https://climate.onebuilding.org/WMO_Region_6_Europe/SWE_Sweden/GV_Gavleborg/SWE_GV_Norrhog.023370_TMYx.zip</v>
      </c>
    </row>
    <row r="10950" spans="1:10" x14ac:dyDescent="0.25">
      <c r="A10950" t="s">
        <v>7602</v>
      </c>
      <c r="B10950" t="s">
        <v>7891</v>
      </c>
      <c r="C10950" t="s">
        <v>7960</v>
      </c>
      <c r="D10950" s="1" t="s">
        <v>7961</v>
      </c>
      <c r="E10950" t="s">
        <v>7962</v>
      </c>
      <c r="F10950">
        <v>61.361400000000003</v>
      </c>
      <c r="G10950">
        <v>15.7178</v>
      </c>
      <c r="H10950">
        <v>1</v>
      </c>
      <c r="I10950">
        <v>185</v>
      </c>
      <c r="J10950" t="str">
        <f>HYPERLINK("https://climate.onebuilding.org/WMO_Region_6_Europe/SWE_Sweden/GV_Gavleborg/SWE_GV_Edsbyn.023380_TMYx.2004-2018.zip")</f>
        <v>https://climate.onebuilding.org/WMO_Region_6_Europe/SWE_Sweden/GV_Gavleborg/SWE_GV_Edsbyn.023380_TMYx.2004-2018.zip</v>
      </c>
    </row>
    <row r="10951" spans="1:10" x14ac:dyDescent="0.25">
      <c r="A10951" t="s">
        <v>7602</v>
      </c>
      <c r="B10951" t="s">
        <v>7891</v>
      </c>
      <c r="C10951" t="s">
        <v>7960</v>
      </c>
      <c r="D10951" s="1" t="s">
        <v>7961</v>
      </c>
      <c r="E10951" t="s">
        <v>14</v>
      </c>
      <c r="F10951">
        <v>61.361400000000003</v>
      </c>
      <c r="G10951">
        <v>15.7178</v>
      </c>
      <c r="H10951">
        <v>1</v>
      </c>
      <c r="I10951">
        <v>185</v>
      </c>
      <c r="J10951" t="str">
        <f>HYPERLINK("https://climate.onebuilding.org/WMO_Region_6_Europe/SWE_Sweden/GV_Gavleborg/SWE_GV_Edsbyn.023380_TMYx.2007-2021.zip")</f>
        <v>https://climate.onebuilding.org/WMO_Region_6_Europe/SWE_Sweden/GV_Gavleborg/SWE_GV_Edsbyn.023380_TMYx.2007-2021.zip</v>
      </c>
    </row>
    <row r="10952" spans="1:10" x14ac:dyDescent="0.25">
      <c r="A10952" t="s">
        <v>7602</v>
      </c>
      <c r="B10952" t="s">
        <v>7891</v>
      </c>
      <c r="C10952" t="s">
        <v>7960</v>
      </c>
      <c r="D10952" s="1" t="s">
        <v>7961</v>
      </c>
      <c r="E10952" t="s">
        <v>14</v>
      </c>
      <c r="F10952">
        <v>61.361400000000003</v>
      </c>
      <c r="G10952">
        <v>15.7178</v>
      </c>
      <c r="H10952">
        <v>1</v>
      </c>
      <c r="I10952">
        <v>185</v>
      </c>
      <c r="J10952" t="str">
        <f>HYPERLINK("https://climate.onebuilding.org/WMO_Region_6_Europe/SWE_Sweden/GV_Gavleborg/SWE_GV_Edsbyn.023380_TMYx.2009-2023.zip")</f>
        <v>https://climate.onebuilding.org/WMO_Region_6_Europe/SWE_Sweden/GV_Gavleborg/SWE_GV_Edsbyn.023380_TMYx.2009-2023.zip</v>
      </c>
    </row>
    <row r="10953" spans="1:10" x14ac:dyDescent="0.25">
      <c r="A10953" t="s">
        <v>7602</v>
      </c>
      <c r="B10953" t="s">
        <v>7891</v>
      </c>
      <c r="C10953" t="s">
        <v>7960</v>
      </c>
      <c r="D10953" s="1" t="s">
        <v>7961</v>
      </c>
      <c r="E10953" t="s">
        <v>14</v>
      </c>
      <c r="F10953">
        <v>61.361400000000003</v>
      </c>
      <c r="G10953">
        <v>15.7178</v>
      </c>
      <c r="H10953">
        <v>1</v>
      </c>
      <c r="I10953">
        <v>185</v>
      </c>
      <c r="J10953" t="str">
        <f>HYPERLINK("https://climate.onebuilding.org/WMO_Region_6_Europe/SWE_Sweden/GV_Gavleborg/SWE_GV_Edsbyn.023380_TMYx.zip")</f>
        <v>https://climate.onebuilding.org/WMO_Region_6_Europe/SWE_Sweden/GV_Gavleborg/SWE_GV_Edsbyn.023380_TMYx.zip</v>
      </c>
    </row>
    <row r="10954" spans="1:10" x14ac:dyDescent="0.25">
      <c r="A10954" t="s">
        <v>7602</v>
      </c>
      <c r="B10954" t="s">
        <v>518</v>
      </c>
      <c r="C10954" t="s">
        <v>7963</v>
      </c>
      <c r="D10954" s="1" t="s">
        <v>7964</v>
      </c>
      <c r="E10954" t="s">
        <v>14</v>
      </c>
      <c r="F10954">
        <v>62.517000000000003</v>
      </c>
      <c r="G10954">
        <v>16.183</v>
      </c>
      <c r="H10954">
        <v>1</v>
      </c>
      <c r="I10954">
        <v>118</v>
      </c>
      <c r="J10954" t="str">
        <f>HYPERLINK("https://climate.onebuilding.org/WMO_Region_6_Europe/SWE_Sweden/VN_Vasternorrland/SWE_VN_Fransta.023420_TMYx.zip")</f>
        <v>https://climate.onebuilding.org/WMO_Region_6_Europe/SWE_Sweden/VN_Vasternorrland/SWE_VN_Fransta.023420_TMYx.zip</v>
      </c>
    </row>
    <row r="10955" spans="1:10" x14ac:dyDescent="0.25">
      <c r="A10955" t="s">
        <v>7602</v>
      </c>
      <c r="B10955" t="s">
        <v>518</v>
      </c>
      <c r="C10955" t="s">
        <v>7965</v>
      </c>
      <c r="D10955" s="1" t="s">
        <v>7966</v>
      </c>
      <c r="E10955" t="s">
        <v>7967</v>
      </c>
      <c r="F10955">
        <v>62.494399999999999</v>
      </c>
      <c r="G10955">
        <v>16.2775</v>
      </c>
      <c r="H10955">
        <v>1</v>
      </c>
      <c r="I10955">
        <v>100.2</v>
      </c>
      <c r="J10955" t="str">
        <f>HYPERLINK("https://climate.onebuilding.org/WMO_Region_6_Europe/SWE_Sweden/VN_Vasternorrland/SWE_VN_Torpshammar.023430_TMYx.2004-2018.zip")</f>
        <v>https://climate.onebuilding.org/WMO_Region_6_Europe/SWE_Sweden/VN_Vasternorrland/SWE_VN_Torpshammar.023430_TMYx.2004-2018.zip</v>
      </c>
    </row>
    <row r="10956" spans="1:10" x14ac:dyDescent="0.25">
      <c r="A10956" t="s">
        <v>7602</v>
      </c>
      <c r="B10956" t="s">
        <v>518</v>
      </c>
      <c r="C10956" t="s">
        <v>7965</v>
      </c>
      <c r="D10956" s="1" t="s">
        <v>7966</v>
      </c>
      <c r="E10956" t="s">
        <v>14</v>
      </c>
      <c r="F10956">
        <v>62.494399999999999</v>
      </c>
      <c r="G10956">
        <v>16.2775</v>
      </c>
      <c r="H10956">
        <v>1</v>
      </c>
      <c r="I10956">
        <v>100.2</v>
      </c>
      <c r="J10956" t="str">
        <f>HYPERLINK("https://climate.onebuilding.org/WMO_Region_6_Europe/SWE_Sweden/VN_Vasternorrland/SWE_VN_Torpshammar.023430_TMYx.2007-2021.zip")</f>
        <v>https://climate.onebuilding.org/WMO_Region_6_Europe/SWE_Sweden/VN_Vasternorrland/SWE_VN_Torpshammar.023430_TMYx.2007-2021.zip</v>
      </c>
    </row>
    <row r="10957" spans="1:10" x14ac:dyDescent="0.25">
      <c r="A10957" t="s">
        <v>7602</v>
      </c>
      <c r="B10957" t="s">
        <v>518</v>
      </c>
      <c r="C10957" t="s">
        <v>7965</v>
      </c>
      <c r="D10957" s="1" t="s">
        <v>7966</v>
      </c>
      <c r="E10957" t="s">
        <v>14</v>
      </c>
      <c r="F10957">
        <v>62.494399999999999</v>
      </c>
      <c r="G10957">
        <v>16.2775</v>
      </c>
      <c r="H10957">
        <v>1</v>
      </c>
      <c r="I10957">
        <v>100.2</v>
      </c>
      <c r="J10957" t="str">
        <f>HYPERLINK("https://climate.onebuilding.org/WMO_Region_6_Europe/SWE_Sweden/VN_Vasternorrland/SWE_VN_Torpshammar.023430_TMYx.2009-2023.zip")</f>
        <v>https://climate.onebuilding.org/WMO_Region_6_Europe/SWE_Sweden/VN_Vasternorrland/SWE_VN_Torpshammar.023430_TMYx.2009-2023.zip</v>
      </c>
    </row>
    <row r="10958" spans="1:10" x14ac:dyDescent="0.25">
      <c r="A10958" t="s">
        <v>7602</v>
      </c>
      <c r="B10958" t="s">
        <v>518</v>
      </c>
      <c r="C10958" t="s">
        <v>7965</v>
      </c>
      <c r="D10958" s="1" t="s">
        <v>7966</v>
      </c>
      <c r="E10958" t="s">
        <v>14</v>
      </c>
      <c r="F10958">
        <v>62.494399999999999</v>
      </c>
      <c r="G10958">
        <v>16.2775</v>
      </c>
      <c r="H10958">
        <v>1</v>
      </c>
      <c r="I10958">
        <v>100.2</v>
      </c>
      <c r="J10958" t="str">
        <f>HYPERLINK("https://climate.onebuilding.org/WMO_Region_6_Europe/SWE_Sweden/VN_Vasternorrland/SWE_VN_Torpshammar.023430_TMYx.zip")</f>
        <v>https://climate.onebuilding.org/WMO_Region_6_Europe/SWE_Sweden/VN_Vasternorrland/SWE_VN_Torpshammar.023430_TMYx.zip</v>
      </c>
    </row>
    <row r="10959" spans="1:10" x14ac:dyDescent="0.25">
      <c r="A10959" t="s">
        <v>7602</v>
      </c>
      <c r="B10959" t="s">
        <v>7891</v>
      </c>
      <c r="C10959" t="s">
        <v>7968</v>
      </c>
      <c r="D10959" s="1" t="s">
        <v>7969</v>
      </c>
      <c r="E10959" t="s">
        <v>7970</v>
      </c>
      <c r="F10959">
        <v>61.827199999999998</v>
      </c>
      <c r="G10959">
        <v>16.541899999999998</v>
      </c>
      <c r="H10959">
        <v>1</v>
      </c>
      <c r="I10959">
        <v>71.900000000000006</v>
      </c>
      <c r="J10959" t="str">
        <f>HYPERLINK("https://climate.onebuilding.org/WMO_Region_6_Europe/SWE_Sweden/GV_Gavleborg/SWE_GV_Delsbo.023470_TMYx.2004-2018.zip")</f>
        <v>https://climate.onebuilding.org/WMO_Region_6_Europe/SWE_Sweden/GV_Gavleborg/SWE_GV_Delsbo.023470_TMYx.2004-2018.zip</v>
      </c>
    </row>
    <row r="10960" spans="1:10" x14ac:dyDescent="0.25">
      <c r="A10960" t="s">
        <v>7602</v>
      </c>
      <c r="B10960" t="s">
        <v>7891</v>
      </c>
      <c r="C10960" t="s">
        <v>7968</v>
      </c>
      <c r="D10960" s="1" t="s">
        <v>7969</v>
      </c>
      <c r="E10960" t="s">
        <v>14</v>
      </c>
      <c r="F10960">
        <v>61.827199999999998</v>
      </c>
      <c r="G10960">
        <v>16.541899999999998</v>
      </c>
      <c r="H10960">
        <v>1</v>
      </c>
      <c r="I10960">
        <v>71.900000000000006</v>
      </c>
      <c r="J10960" t="str">
        <f>HYPERLINK("https://climate.onebuilding.org/WMO_Region_6_Europe/SWE_Sweden/GV_Gavleborg/SWE_GV_Delsbo.023470_TMYx.2007-2021.zip")</f>
        <v>https://climate.onebuilding.org/WMO_Region_6_Europe/SWE_Sweden/GV_Gavleborg/SWE_GV_Delsbo.023470_TMYx.2007-2021.zip</v>
      </c>
    </row>
    <row r="10961" spans="1:10" x14ac:dyDescent="0.25">
      <c r="A10961" t="s">
        <v>7602</v>
      </c>
      <c r="B10961" t="s">
        <v>7891</v>
      </c>
      <c r="C10961" t="s">
        <v>7968</v>
      </c>
      <c r="D10961" s="1" t="s">
        <v>7969</v>
      </c>
      <c r="E10961" t="s">
        <v>14</v>
      </c>
      <c r="F10961">
        <v>61.827199999999998</v>
      </c>
      <c r="G10961">
        <v>16.541899999999998</v>
      </c>
      <c r="H10961">
        <v>1</v>
      </c>
      <c r="I10961">
        <v>71.900000000000006</v>
      </c>
      <c r="J10961" t="str">
        <f>HYPERLINK("https://climate.onebuilding.org/WMO_Region_6_Europe/SWE_Sweden/GV_Gavleborg/SWE_GV_Delsbo.023470_TMYx.2009-2023.zip")</f>
        <v>https://climate.onebuilding.org/WMO_Region_6_Europe/SWE_Sweden/GV_Gavleborg/SWE_GV_Delsbo.023470_TMYx.2009-2023.zip</v>
      </c>
    </row>
    <row r="10962" spans="1:10" x14ac:dyDescent="0.25">
      <c r="A10962" t="s">
        <v>7602</v>
      </c>
      <c r="B10962" t="s">
        <v>7891</v>
      </c>
      <c r="C10962" t="s">
        <v>7968</v>
      </c>
      <c r="D10962" s="1" t="s">
        <v>7969</v>
      </c>
      <c r="E10962" t="s">
        <v>14</v>
      </c>
      <c r="F10962">
        <v>61.827199999999998</v>
      </c>
      <c r="G10962">
        <v>16.541899999999998</v>
      </c>
      <c r="H10962">
        <v>1</v>
      </c>
      <c r="I10962">
        <v>71.900000000000006</v>
      </c>
      <c r="J10962" t="str">
        <f>HYPERLINK("https://climate.onebuilding.org/WMO_Region_6_Europe/SWE_Sweden/GV_Gavleborg/SWE_GV_Delsbo.023470_TMYx.zip")</f>
        <v>https://climate.onebuilding.org/WMO_Region_6_Europe/SWE_Sweden/GV_Gavleborg/SWE_GV_Delsbo.023470_TMYx.zip</v>
      </c>
    </row>
    <row r="10963" spans="1:10" x14ac:dyDescent="0.25">
      <c r="A10963" t="s">
        <v>7602</v>
      </c>
      <c r="B10963" t="s">
        <v>518</v>
      </c>
      <c r="C10963" t="s">
        <v>7971</v>
      </c>
      <c r="D10963" s="1" t="s">
        <v>7972</v>
      </c>
      <c r="E10963" t="s">
        <v>7973</v>
      </c>
      <c r="F10963">
        <v>62.762799999999999</v>
      </c>
      <c r="G10963">
        <v>16.7392</v>
      </c>
      <c r="H10963">
        <v>1</v>
      </c>
      <c r="I10963">
        <v>205</v>
      </c>
      <c r="J10963" t="str">
        <f>HYPERLINK("https://climate.onebuilding.org/WMO_Region_6_Europe/SWE_Sweden/VN_Vasternorrland/SWE_VN_Sillre.023490_TMYx.2004-2018.zip")</f>
        <v>https://climate.onebuilding.org/WMO_Region_6_Europe/SWE_Sweden/VN_Vasternorrland/SWE_VN_Sillre.023490_TMYx.2004-2018.zip</v>
      </c>
    </row>
    <row r="10964" spans="1:10" x14ac:dyDescent="0.25">
      <c r="A10964" t="s">
        <v>7602</v>
      </c>
      <c r="B10964" t="s">
        <v>518</v>
      </c>
      <c r="C10964" t="s">
        <v>7971</v>
      </c>
      <c r="D10964" s="1" t="s">
        <v>7972</v>
      </c>
      <c r="E10964" t="s">
        <v>14</v>
      </c>
      <c r="F10964">
        <v>62.762799999999999</v>
      </c>
      <c r="G10964">
        <v>16.7392</v>
      </c>
      <c r="H10964">
        <v>1</v>
      </c>
      <c r="I10964">
        <v>205</v>
      </c>
      <c r="J10964" t="str">
        <f>HYPERLINK("https://climate.onebuilding.org/WMO_Region_6_Europe/SWE_Sweden/VN_Vasternorrland/SWE_VN_Sillre.023490_TMYx.2007-2021.zip")</f>
        <v>https://climate.onebuilding.org/WMO_Region_6_Europe/SWE_Sweden/VN_Vasternorrland/SWE_VN_Sillre.023490_TMYx.2007-2021.zip</v>
      </c>
    </row>
    <row r="10965" spans="1:10" x14ac:dyDescent="0.25">
      <c r="A10965" t="s">
        <v>7602</v>
      </c>
      <c r="B10965" t="s">
        <v>518</v>
      </c>
      <c r="C10965" t="s">
        <v>7971</v>
      </c>
      <c r="D10965" s="1" t="s">
        <v>7972</v>
      </c>
      <c r="E10965" t="s">
        <v>14</v>
      </c>
      <c r="F10965">
        <v>62.762799999999999</v>
      </c>
      <c r="G10965">
        <v>16.7392</v>
      </c>
      <c r="H10965">
        <v>1</v>
      </c>
      <c r="I10965">
        <v>205</v>
      </c>
      <c r="J10965" t="str">
        <f>HYPERLINK("https://climate.onebuilding.org/WMO_Region_6_Europe/SWE_Sweden/VN_Vasternorrland/SWE_VN_Sillre.023490_TMYx.2009-2023.zip")</f>
        <v>https://climate.onebuilding.org/WMO_Region_6_Europe/SWE_Sweden/VN_Vasternorrland/SWE_VN_Sillre.023490_TMYx.2009-2023.zip</v>
      </c>
    </row>
    <row r="10966" spans="1:10" x14ac:dyDescent="0.25">
      <c r="A10966" t="s">
        <v>7602</v>
      </c>
      <c r="B10966" t="s">
        <v>518</v>
      </c>
      <c r="C10966" t="s">
        <v>7971</v>
      </c>
      <c r="D10966" s="1" t="s">
        <v>7972</v>
      </c>
      <c r="E10966" t="s">
        <v>14</v>
      </c>
      <c r="F10966">
        <v>62.762799999999999</v>
      </c>
      <c r="G10966">
        <v>16.7392</v>
      </c>
      <c r="H10966">
        <v>1</v>
      </c>
      <c r="I10966">
        <v>205</v>
      </c>
      <c r="J10966" t="str">
        <f>HYPERLINK("https://climate.onebuilding.org/WMO_Region_6_Europe/SWE_Sweden/VN_Vasternorrland/SWE_VN_Sillre.023490_TMYx.zip")</f>
        <v>https://climate.onebuilding.org/WMO_Region_6_Europe/SWE_Sweden/VN_Vasternorrland/SWE_VN_Sillre.023490_TMYx.zip</v>
      </c>
    </row>
    <row r="10967" spans="1:10" x14ac:dyDescent="0.25">
      <c r="A10967" t="s">
        <v>7602</v>
      </c>
      <c r="B10967" t="s">
        <v>518</v>
      </c>
      <c r="C10967" t="s">
        <v>7974</v>
      </c>
      <c r="D10967" s="1" t="s">
        <v>7975</v>
      </c>
      <c r="E10967" t="s">
        <v>7976</v>
      </c>
      <c r="F10967">
        <v>62.430599999999998</v>
      </c>
      <c r="G10967">
        <v>17.3447</v>
      </c>
      <c r="H10967">
        <v>1</v>
      </c>
      <c r="I10967">
        <v>80</v>
      </c>
      <c r="J10967" t="str">
        <f>HYPERLINK("https://climate.onebuilding.org/WMO_Region_6_Europe/SWE_Sweden/VN_Vasternorrland/SWE_VN_Rasta.023540_TMYx.2004-2018.zip")</f>
        <v>https://climate.onebuilding.org/WMO_Region_6_Europe/SWE_Sweden/VN_Vasternorrland/SWE_VN_Rasta.023540_TMYx.2004-2018.zip</v>
      </c>
    </row>
    <row r="10968" spans="1:10" x14ac:dyDescent="0.25">
      <c r="A10968" t="s">
        <v>7602</v>
      </c>
      <c r="B10968" t="s">
        <v>518</v>
      </c>
      <c r="C10968" t="s">
        <v>7974</v>
      </c>
      <c r="D10968" s="1" t="s">
        <v>7975</v>
      </c>
      <c r="E10968" t="s">
        <v>14</v>
      </c>
      <c r="F10968">
        <v>62.430599999999998</v>
      </c>
      <c r="G10968">
        <v>17.3447</v>
      </c>
      <c r="H10968">
        <v>1</v>
      </c>
      <c r="I10968">
        <v>80</v>
      </c>
      <c r="J10968" t="str">
        <f>HYPERLINK("https://climate.onebuilding.org/WMO_Region_6_Europe/SWE_Sweden/VN_Vasternorrland/SWE_VN_Rasta.023540_TMYx.2007-2021.zip")</f>
        <v>https://climate.onebuilding.org/WMO_Region_6_Europe/SWE_Sweden/VN_Vasternorrland/SWE_VN_Rasta.023540_TMYx.2007-2021.zip</v>
      </c>
    </row>
    <row r="10969" spans="1:10" x14ac:dyDescent="0.25">
      <c r="A10969" t="s">
        <v>7602</v>
      </c>
      <c r="B10969" t="s">
        <v>518</v>
      </c>
      <c r="C10969" t="s">
        <v>7974</v>
      </c>
      <c r="D10969" s="1" t="s">
        <v>7975</v>
      </c>
      <c r="E10969" t="s">
        <v>14</v>
      </c>
      <c r="F10969">
        <v>62.430599999999998</v>
      </c>
      <c r="G10969">
        <v>17.3447</v>
      </c>
      <c r="H10969">
        <v>1</v>
      </c>
      <c r="I10969">
        <v>80</v>
      </c>
      <c r="J10969" t="str">
        <f>HYPERLINK("https://climate.onebuilding.org/WMO_Region_6_Europe/SWE_Sweden/VN_Vasternorrland/SWE_VN_Rasta.023540_TMYx.2009-2023.zip")</f>
        <v>https://climate.onebuilding.org/WMO_Region_6_Europe/SWE_Sweden/VN_Vasternorrland/SWE_VN_Rasta.023540_TMYx.2009-2023.zip</v>
      </c>
    </row>
    <row r="10970" spans="1:10" x14ac:dyDescent="0.25">
      <c r="A10970" t="s">
        <v>7602</v>
      </c>
      <c r="B10970" t="s">
        <v>518</v>
      </c>
      <c r="C10970" t="s">
        <v>7974</v>
      </c>
      <c r="D10970" s="1" t="s">
        <v>7975</v>
      </c>
      <c r="E10970" t="s">
        <v>14</v>
      </c>
      <c r="F10970">
        <v>62.430599999999998</v>
      </c>
      <c r="G10970">
        <v>17.3447</v>
      </c>
      <c r="H10970">
        <v>1</v>
      </c>
      <c r="I10970">
        <v>80</v>
      </c>
      <c r="J10970" t="str">
        <f>HYPERLINK("https://climate.onebuilding.org/WMO_Region_6_Europe/SWE_Sweden/VN_Vasternorrland/SWE_VN_Rasta.023540_TMYx.zip")</f>
        <v>https://climate.onebuilding.org/WMO_Region_6_Europe/SWE_Sweden/VN_Vasternorrland/SWE_VN_Rasta.023540_TMYx.zip</v>
      </c>
    </row>
    <row r="10971" spans="1:10" x14ac:dyDescent="0.25">
      <c r="A10971" t="s">
        <v>7602</v>
      </c>
      <c r="B10971" t="s">
        <v>7891</v>
      </c>
      <c r="C10971" t="s">
        <v>7977</v>
      </c>
      <c r="D10971" s="1" t="s">
        <v>7978</v>
      </c>
      <c r="E10971" t="s">
        <v>7979</v>
      </c>
      <c r="F10971">
        <v>61.703000000000003</v>
      </c>
      <c r="G10971">
        <v>17.521000000000001</v>
      </c>
      <c r="H10971">
        <v>1</v>
      </c>
      <c r="I10971">
        <v>10.1</v>
      </c>
      <c r="J10971" t="str">
        <f>HYPERLINK("https://climate.onebuilding.org/WMO_Region_6_Europe/SWE_Sweden/GV_Gavleborg/SWE_GV_Kuggoren.023550_TMYx.2004-2018.zip")</f>
        <v>https://climate.onebuilding.org/WMO_Region_6_Europe/SWE_Sweden/GV_Gavleborg/SWE_GV_Kuggoren.023550_TMYx.2004-2018.zip</v>
      </c>
    </row>
    <row r="10972" spans="1:10" x14ac:dyDescent="0.25">
      <c r="A10972" t="s">
        <v>7602</v>
      </c>
      <c r="B10972" t="s">
        <v>7891</v>
      </c>
      <c r="C10972" t="s">
        <v>7977</v>
      </c>
      <c r="D10972" s="1" t="s">
        <v>7978</v>
      </c>
      <c r="E10972" t="s">
        <v>14</v>
      </c>
      <c r="F10972">
        <v>61.703000000000003</v>
      </c>
      <c r="G10972">
        <v>17.521000000000001</v>
      </c>
      <c r="H10972">
        <v>1</v>
      </c>
      <c r="I10972">
        <v>10.1</v>
      </c>
      <c r="J10972" t="str">
        <f>HYPERLINK("https://climate.onebuilding.org/WMO_Region_6_Europe/SWE_Sweden/GV_Gavleborg/SWE_GV_Kuggoren.023550_TMYx.2007-2021.zip")</f>
        <v>https://climate.onebuilding.org/WMO_Region_6_Europe/SWE_Sweden/GV_Gavleborg/SWE_GV_Kuggoren.023550_TMYx.2007-2021.zip</v>
      </c>
    </row>
    <row r="10973" spans="1:10" x14ac:dyDescent="0.25">
      <c r="A10973" t="s">
        <v>7602</v>
      </c>
      <c r="B10973" t="s">
        <v>7891</v>
      </c>
      <c r="C10973" t="s">
        <v>7977</v>
      </c>
      <c r="D10973" s="1" t="s">
        <v>7978</v>
      </c>
      <c r="E10973" t="s">
        <v>14</v>
      </c>
      <c r="F10973">
        <v>61.703000000000003</v>
      </c>
      <c r="G10973">
        <v>17.521000000000001</v>
      </c>
      <c r="H10973">
        <v>1</v>
      </c>
      <c r="I10973">
        <v>10.1</v>
      </c>
      <c r="J10973" t="str">
        <f>HYPERLINK("https://climate.onebuilding.org/WMO_Region_6_Europe/SWE_Sweden/GV_Gavleborg/SWE_GV_Kuggoren.023550_TMYx.2009-2023.zip")</f>
        <v>https://climate.onebuilding.org/WMO_Region_6_Europe/SWE_Sweden/GV_Gavleborg/SWE_GV_Kuggoren.023550_TMYx.2009-2023.zip</v>
      </c>
    </row>
    <row r="10974" spans="1:10" x14ac:dyDescent="0.25">
      <c r="A10974" t="s">
        <v>7602</v>
      </c>
      <c r="B10974" t="s">
        <v>7891</v>
      </c>
      <c r="C10974" t="s">
        <v>7977</v>
      </c>
      <c r="D10974" s="1" t="s">
        <v>7978</v>
      </c>
      <c r="E10974" t="s">
        <v>14</v>
      </c>
      <c r="F10974">
        <v>61.703000000000003</v>
      </c>
      <c r="G10974">
        <v>17.521000000000001</v>
      </c>
      <c r="H10974">
        <v>1</v>
      </c>
      <c r="I10974">
        <v>10.1</v>
      </c>
      <c r="J10974" t="str">
        <f>HYPERLINK("https://climate.onebuilding.org/WMO_Region_6_Europe/SWE_Sweden/GV_Gavleborg/SWE_GV_Kuggoren.023550_TMYx.zip")</f>
        <v>https://climate.onebuilding.org/WMO_Region_6_Europe/SWE_Sweden/GV_Gavleborg/SWE_GV_Kuggoren.023550_TMYx.zip</v>
      </c>
    </row>
    <row r="10975" spans="1:10" x14ac:dyDescent="0.25">
      <c r="A10975" t="s">
        <v>7602</v>
      </c>
      <c r="B10975" t="s">
        <v>518</v>
      </c>
      <c r="C10975" t="s">
        <v>7980</v>
      </c>
      <c r="D10975" s="1" t="s">
        <v>7981</v>
      </c>
      <c r="E10975" t="s">
        <v>14</v>
      </c>
      <c r="F10975">
        <v>62.633000000000003</v>
      </c>
      <c r="G10975">
        <v>17.95</v>
      </c>
      <c r="H10975">
        <v>1</v>
      </c>
      <c r="I10975">
        <v>8</v>
      </c>
      <c r="J10975" t="str">
        <f>HYPERLINK("https://climate.onebuilding.org/WMO_Region_6_Europe/SWE_Sweden/VN_Vasternorrland/SWE_VN_Harnosand.023610_TMYx.zip")</f>
        <v>https://climate.onebuilding.org/WMO_Region_6_Europe/SWE_Sweden/VN_Vasternorrland/SWE_VN_Harnosand.023610_TMYx.zip</v>
      </c>
    </row>
    <row r="10976" spans="1:10" x14ac:dyDescent="0.25">
      <c r="A10976" t="s">
        <v>7602</v>
      </c>
      <c r="B10976" t="s">
        <v>518</v>
      </c>
      <c r="C10976" t="s">
        <v>7982</v>
      </c>
      <c r="D10976" s="1" t="s">
        <v>7983</v>
      </c>
      <c r="E10976" t="s">
        <v>7984</v>
      </c>
      <c r="F10976">
        <v>62.522799999999997</v>
      </c>
      <c r="G10976">
        <v>17.449400000000001</v>
      </c>
      <c r="H10976">
        <v>1</v>
      </c>
      <c r="I10976">
        <v>8.5</v>
      </c>
      <c r="J10976" t="str">
        <f>HYPERLINK("https://climate.onebuilding.org/WMO_Region_6_Europe/SWE_Sweden/VN_Vasternorrland/SWE_VN_Harnosand-Sundsvall.Timra.AP.023660_TMYx.2004-2018.zip")</f>
        <v>https://climate.onebuilding.org/WMO_Region_6_Europe/SWE_Sweden/VN_Vasternorrland/SWE_VN_Harnosand-Sundsvall.Timra.AP.023660_TMYx.2004-2018.zip</v>
      </c>
    </row>
    <row r="10977" spans="1:10" x14ac:dyDescent="0.25">
      <c r="A10977" t="s">
        <v>7602</v>
      </c>
      <c r="B10977" t="s">
        <v>518</v>
      </c>
      <c r="C10977" t="s">
        <v>7982</v>
      </c>
      <c r="D10977" s="1" t="s">
        <v>7983</v>
      </c>
      <c r="E10977" t="s">
        <v>14</v>
      </c>
      <c r="F10977">
        <v>62.527999999999999</v>
      </c>
      <c r="G10977">
        <v>17.443999999999999</v>
      </c>
      <c r="H10977">
        <v>1</v>
      </c>
      <c r="I10977">
        <v>8.5</v>
      </c>
      <c r="J10977" t="str">
        <f>HYPERLINK("https://climate.onebuilding.org/WMO_Region_6_Europe/SWE_Sweden/VN_Vasternorrland/SWE_VN_Harnosand-Sundsvall.Timra.AP.023660_TMYx.2007-2021.zip")</f>
        <v>https://climate.onebuilding.org/WMO_Region_6_Europe/SWE_Sweden/VN_Vasternorrland/SWE_VN_Harnosand-Sundsvall.Timra.AP.023660_TMYx.2007-2021.zip</v>
      </c>
    </row>
    <row r="10978" spans="1:10" x14ac:dyDescent="0.25">
      <c r="A10978" t="s">
        <v>7602</v>
      </c>
      <c r="B10978" t="s">
        <v>518</v>
      </c>
      <c r="C10978" t="s">
        <v>7982</v>
      </c>
      <c r="D10978" s="1" t="s">
        <v>7983</v>
      </c>
      <c r="E10978" t="s">
        <v>14</v>
      </c>
      <c r="F10978">
        <v>62.527999999999999</v>
      </c>
      <c r="G10978">
        <v>17.443999999999999</v>
      </c>
      <c r="H10978">
        <v>1</v>
      </c>
      <c r="I10978">
        <v>8.5</v>
      </c>
      <c r="J10978" t="str">
        <f>HYPERLINK("https://climate.onebuilding.org/WMO_Region_6_Europe/SWE_Sweden/VN_Vasternorrland/SWE_VN_Harnosand-Sundsvall.Timra.AP.023660_TMYx.2009-2023.zip")</f>
        <v>https://climate.onebuilding.org/WMO_Region_6_Europe/SWE_Sweden/VN_Vasternorrland/SWE_VN_Harnosand-Sundsvall.Timra.AP.023660_TMYx.2009-2023.zip</v>
      </c>
    </row>
    <row r="10979" spans="1:10" x14ac:dyDescent="0.25">
      <c r="A10979" t="s">
        <v>7602</v>
      </c>
      <c r="B10979" t="s">
        <v>518</v>
      </c>
      <c r="C10979" t="s">
        <v>7982</v>
      </c>
      <c r="D10979" s="1" t="s">
        <v>7983</v>
      </c>
      <c r="E10979" t="s">
        <v>14</v>
      </c>
      <c r="F10979">
        <v>62.527999999999999</v>
      </c>
      <c r="G10979">
        <v>17.443999999999999</v>
      </c>
      <c r="H10979">
        <v>1</v>
      </c>
      <c r="I10979">
        <v>8.5</v>
      </c>
      <c r="J10979" t="str">
        <f>HYPERLINK("https://climate.onebuilding.org/WMO_Region_6_Europe/SWE_Sweden/VN_Vasternorrland/SWE_VN_Harnosand-Sundsvall.Timra.AP.023660_TMYx.zip")</f>
        <v>https://climate.onebuilding.org/WMO_Region_6_Europe/SWE_Sweden/VN_Vasternorrland/SWE_VN_Harnosand-Sundsvall.Timra.AP.023660_TMYx.zip</v>
      </c>
    </row>
    <row r="10980" spans="1:10" x14ac:dyDescent="0.25">
      <c r="A10980" t="s">
        <v>7602</v>
      </c>
      <c r="B10980" t="s">
        <v>518</v>
      </c>
      <c r="C10980" t="s">
        <v>7985</v>
      </c>
      <c r="D10980" s="1" t="s">
        <v>7986</v>
      </c>
      <c r="E10980" t="s">
        <v>14</v>
      </c>
      <c r="F10980">
        <v>62.368000000000002</v>
      </c>
      <c r="G10980">
        <v>17.5214</v>
      </c>
      <c r="H10980">
        <v>1</v>
      </c>
      <c r="I10980">
        <v>33</v>
      </c>
      <c r="J10980" t="str">
        <f>HYPERLINK("https://climate.onebuilding.org/WMO_Region_6_Europe/SWE_Sweden/VN_Vasternorrland/SWE_VN_Spikarna-Alnon.Island.023670_TMYx.zip")</f>
        <v>https://climate.onebuilding.org/WMO_Region_6_Europe/SWE_Sweden/VN_Vasternorrland/SWE_VN_Spikarna-Alnon.Island.023670_TMYx.zip</v>
      </c>
    </row>
    <row r="10981" spans="1:10" x14ac:dyDescent="0.25">
      <c r="A10981" t="s">
        <v>7602</v>
      </c>
      <c r="B10981" t="s">
        <v>518</v>
      </c>
      <c r="C10981" t="s">
        <v>7987</v>
      </c>
      <c r="D10981" s="1" t="s">
        <v>7988</v>
      </c>
      <c r="E10981" t="s">
        <v>7989</v>
      </c>
      <c r="F10981">
        <v>62.220799999999997</v>
      </c>
      <c r="G10981">
        <v>17.742799999999999</v>
      </c>
      <c r="H10981">
        <v>1</v>
      </c>
      <c r="I10981">
        <v>17.7</v>
      </c>
      <c r="J10981" t="str">
        <f>HYPERLINK("https://climate.onebuilding.org/WMO_Region_6_Europe/SWE_Sweden/VN_Vasternorrland/SWE_VN_Bramon.Lighthouse.023680_TMYx.2004-2018.zip")</f>
        <v>https://climate.onebuilding.org/WMO_Region_6_Europe/SWE_Sweden/VN_Vasternorrland/SWE_VN_Bramon.Lighthouse.023680_TMYx.2004-2018.zip</v>
      </c>
    </row>
    <row r="10982" spans="1:10" x14ac:dyDescent="0.25">
      <c r="A10982" t="s">
        <v>7602</v>
      </c>
      <c r="B10982" t="s">
        <v>518</v>
      </c>
      <c r="C10982" t="s">
        <v>7987</v>
      </c>
      <c r="D10982" s="1" t="s">
        <v>7988</v>
      </c>
      <c r="E10982" t="s">
        <v>14</v>
      </c>
      <c r="F10982">
        <v>62.220799999999997</v>
      </c>
      <c r="G10982">
        <v>17.742799999999999</v>
      </c>
      <c r="H10982">
        <v>1</v>
      </c>
      <c r="I10982">
        <v>17.7</v>
      </c>
      <c r="J10982" t="str">
        <f>HYPERLINK("https://climate.onebuilding.org/WMO_Region_6_Europe/SWE_Sweden/VN_Vasternorrland/SWE_VN_Bramon.Lighthouse.023680_TMYx.2007-2021.zip")</f>
        <v>https://climate.onebuilding.org/WMO_Region_6_Europe/SWE_Sweden/VN_Vasternorrland/SWE_VN_Bramon.Lighthouse.023680_TMYx.2007-2021.zip</v>
      </c>
    </row>
    <row r="10983" spans="1:10" x14ac:dyDescent="0.25">
      <c r="A10983" t="s">
        <v>7602</v>
      </c>
      <c r="B10983" t="s">
        <v>518</v>
      </c>
      <c r="C10983" t="s">
        <v>7987</v>
      </c>
      <c r="D10983" s="1" t="s">
        <v>7988</v>
      </c>
      <c r="E10983" t="s">
        <v>14</v>
      </c>
      <c r="F10983">
        <v>62.220799999999997</v>
      </c>
      <c r="G10983">
        <v>17.742799999999999</v>
      </c>
      <c r="H10983">
        <v>1</v>
      </c>
      <c r="I10983">
        <v>17.7</v>
      </c>
      <c r="J10983" t="str">
        <f>HYPERLINK("https://climate.onebuilding.org/WMO_Region_6_Europe/SWE_Sweden/VN_Vasternorrland/SWE_VN_Bramon.Lighthouse.023680_TMYx.2009-2023.zip")</f>
        <v>https://climate.onebuilding.org/WMO_Region_6_Europe/SWE_Sweden/VN_Vasternorrland/SWE_VN_Bramon.Lighthouse.023680_TMYx.2009-2023.zip</v>
      </c>
    </row>
    <row r="10984" spans="1:10" x14ac:dyDescent="0.25">
      <c r="A10984" t="s">
        <v>7602</v>
      </c>
      <c r="B10984" t="s">
        <v>518</v>
      </c>
      <c r="C10984" t="s">
        <v>7987</v>
      </c>
      <c r="D10984" s="1" t="s">
        <v>7988</v>
      </c>
      <c r="E10984" t="s">
        <v>14</v>
      </c>
      <c r="F10984">
        <v>62.220799999999997</v>
      </c>
      <c r="G10984">
        <v>17.742799999999999</v>
      </c>
      <c r="H10984">
        <v>1</v>
      </c>
      <c r="I10984">
        <v>17.7</v>
      </c>
      <c r="J10984" t="str">
        <f>HYPERLINK("https://climate.onebuilding.org/WMO_Region_6_Europe/SWE_Sweden/VN_Vasternorrland/SWE_VN_Bramon.Lighthouse.023680_TMYx.zip")</f>
        <v>https://climate.onebuilding.org/WMO_Region_6_Europe/SWE_Sweden/VN_Vasternorrland/SWE_VN_Bramon.Lighthouse.023680_TMYx.zip</v>
      </c>
    </row>
    <row r="10985" spans="1:10" x14ac:dyDescent="0.25">
      <c r="A10985" t="s">
        <v>7602</v>
      </c>
      <c r="B10985" t="s">
        <v>518</v>
      </c>
      <c r="C10985" t="s">
        <v>7990</v>
      </c>
      <c r="D10985" s="1" t="s">
        <v>7991</v>
      </c>
      <c r="E10985" t="s">
        <v>7992</v>
      </c>
      <c r="F10985">
        <v>62.642200000000003</v>
      </c>
      <c r="G10985">
        <v>18.088799999999999</v>
      </c>
      <c r="H10985">
        <v>1</v>
      </c>
      <c r="I10985">
        <v>17.8</v>
      </c>
      <c r="J10985" t="str">
        <f>HYPERLINK("https://climate.onebuilding.org/WMO_Region_6_Europe/SWE_Sweden/VN_Vasternorrland/SWE_VN_Lungo.Lighthouse.023820_TMYx.2004-2018.zip")</f>
        <v>https://climate.onebuilding.org/WMO_Region_6_Europe/SWE_Sweden/VN_Vasternorrland/SWE_VN_Lungo.Lighthouse.023820_TMYx.2004-2018.zip</v>
      </c>
    </row>
    <row r="10986" spans="1:10" x14ac:dyDescent="0.25">
      <c r="A10986" t="s">
        <v>7602</v>
      </c>
      <c r="B10986" t="s">
        <v>518</v>
      </c>
      <c r="C10986" t="s">
        <v>7990</v>
      </c>
      <c r="D10986" s="1" t="s">
        <v>7991</v>
      </c>
      <c r="E10986" t="s">
        <v>14</v>
      </c>
      <c r="F10986">
        <v>62.642200000000003</v>
      </c>
      <c r="G10986">
        <v>18.088799999999999</v>
      </c>
      <c r="H10986">
        <v>1</v>
      </c>
      <c r="I10986">
        <v>17.8</v>
      </c>
      <c r="J10986" t="str">
        <f>HYPERLINK("https://climate.onebuilding.org/WMO_Region_6_Europe/SWE_Sweden/VN_Vasternorrland/SWE_VN_Lungo.Lighthouse.023820_TMYx.2007-2021.zip")</f>
        <v>https://climate.onebuilding.org/WMO_Region_6_Europe/SWE_Sweden/VN_Vasternorrland/SWE_VN_Lungo.Lighthouse.023820_TMYx.2007-2021.zip</v>
      </c>
    </row>
    <row r="10987" spans="1:10" x14ac:dyDescent="0.25">
      <c r="A10987" t="s">
        <v>7602</v>
      </c>
      <c r="B10987" t="s">
        <v>518</v>
      </c>
      <c r="C10987" t="s">
        <v>7990</v>
      </c>
      <c r="D10987" s="1" t="s">
        <v>7991</v>
      </c>
      <c r="E10987" t="s">
        <v>14</v>
      </c>
      <c r="F10987">
        <v>62.642200000000003</v>
      </c>
      <c r="G10987">
        <v>18.088799999999999</v>
      </c>
      <c r="H10987">
        <v>1</v>
      </c>
      <c r="I10987">
        <v>17.8</v>
      </c>
      <c r="J10987" t="str">
        <f>HYPERLINK("https://climate.onebuilding.org/WMO_Region_6_Europe/SWE_Sweden/VN_Vasternorrland/SWE_VN_Lungo.Lighthouse.023820_TMYx.2009-2023.zip")</f>
        <v>https://climate.onebuilding.org/WMO_Region_6_Europe/SWE_Sweden/VN_Vasternorrland/SWE_VN_Lungo.Lighthouse.023820_TMYx.2009-2023.zip</v>
      </c>
    </row>
    <row r="10988" spans="1:10" x14ac:dyDescent="0.25">
      <c r="A10988" t="s">
        <v>7602</v>
      </c>
      <c r="B10988" t="s">
        <v>518</v>
      </c>
      <c r="C10988" t="s">
        <v>7990</v>
      </c>
      <c r="D10988" s="1" t="s">
        <v>7991</v>
      </c>
      <c r="E10988" t="s">
        <v>14</v>
      </c>
      <c r="F10988">
        <v>62.642200000000003</v>
      </c>
      <c r="G10988">
        <v>18.088799999999999</v>
      </c>
      <c r="H10988">
        <v>1</v>
      </c>
      <c r="I10988">
        <v>17.8</v>
      </c>
      <c r="J10988" t="str">
        <f>HYPERLINK("https://climate.onebuilding.org/WMO_Region_6_Europe/SWE_Sweden/VN_Vasternorrland/SWE_VN_Lungo.Lighthouse.023820_TMYx.zip")</f>
        <v>https://climate.onebuilding.org/WMO_Region_6_Europe/SWE_Sweden/VN_Vasternorrland/SWE_VN_Lungo.Lighthouse.023820_TMYx.zip</v>
      </c>
    </row>
    <row r="10989" spans="1:10" x14ac:dyDescent="0.25">
      <c r="A10989" t="s">
        <v>7602</v>
      </c>
      <c r="B10989" t="s">
        <v>60</v>
      </c>
      <c r="C10989" t="s">
        <v>7993</v>
      </c>
      <c r="D10989" s="1" t="s">
        <v>7994</v>
      </c>
      <c r="E10989" t="s">
        <v>14</v>
      </c>
      <c r="F10989">
        <v>60.35</v>
      </c>
      <c r="G10989">
        <v>12.65</v>
      </c>
      <c r="H10989">
        <v>1</v>
      </c>
      <c r="I10989">
        <v>204</v>
      </c>
      <c r="J10989" t="str">
        <f>HYPERLINK("https://climate.onebuilding.org/WMO_Region_6_Europe/SWE_Sweden/VR_Varmland/SWE_VR_Ostmark.024000_TMYx.zip")</f>
        <v>https://climate.onebuilding.org/WMO_Region_6_Europe/SWE_Sweden/VR_Varmland/SWE_VR_Ostmark.024000_TMYx.zip</v>
      </c>
    </row>
    <row r="10990" spans="1:10" x14ac:dyDescent="0.25">
      <c r="A10990" t="s">
        <v>7602</v>
      </c>
      <c r="B10990" t="s">
        <v>60</v>
      </c>
      <c r="C10990" t="s">
        <v>7995</v>
      </c>
      <c r="D10990" s="1" t="s">
        <v>7996</v>
      </c>
      <c r="E10990" t="s">
        <v>14</v>
      </c>
      <c r="F10990">
        <v>59.866999999999997</v>
      </c>
      <c r="G10990">
        <v>11.967000000000001</v>
      </c>
      <c r="H10990">
        <v>1</v>
      </c>
      <c r="I10990">
        <v>130</v>
      </c>
      <c r="J10990" t="str">
        <f>HYPERLINK("https://climate.onebuilding.org/WMO_Region_6_Europe/SWE_Sweden/VR_Varmland/SWE_VR_Skillingmark.024020_TMYx.zip")</f>
        <v>https://climate.onebuilding.org/WMO_Region_6_Europe/SWE_Sweden/VR_Varmland/SWE_VR_Skillingmark.024020_TMYx.zip</v>
      </c>
    </row>
    <row r="10991" spans="1:10" x14ac:dyDescent="0.25">
      <c r="A10991" t="s">
        <v>7602</v>
      </c>
      <c r="B10991" t="s">
        <v>2305</v>
      </c>
      <c r="C10991" t="s">
        <v>7997</v>
      </c>
      <c r="D10991" s="1" t="s">
        <v>7998</v>
      </c>
      <c r="E10991" t="s">
        <v>7999</v>
      </c>
      <c r="F10991">
        <v>58.701300000000003</v>
      </c>
      <c r="G10991">
        <v>13.109299999999999</v>
      </c>
      <c r="H10991">
        <v>1</v>
      </c>
      <c r="I10991">
        <v>53</v>
      </c>
      <c r="J10991" t="str">
        <f>HYPERLINK("https://climate.onebuilding.org/WMO_Region_6_Europe/SWE_Sweden/VG_Vastra_Gotaland/SWE_VG_Naven.Lighthouse-Vanern.Lake.024030_TMYx.2004-2018.zip")</f>
        <v>https://climate.onebuilding.org/WMO_Region_6_Europe/SWE_Sweden/VG_Vastra_Gotaland/SWE_VG_Naven.Lighthouse-Vanern.Lake.024030_TMYx.2004-2018.zip</v>
      </c>
    </row>
    <row r="10992" spans="1:10" x14ac:dyDescent="0.25">
      <c r="A10992" t="s">
        <v>7602</v>
      </c>
      <c r="B10992" t="s">
        <v>2305</v>
      </c>
      <c r="C10992" t="s">
        <v>7997</v>
      </c>
      <c r="D10992" s="1" t="s">
        <v>7998</v>
      </c>
      <c r="E10992" t="s">
        <v>14</v>
      </c>
      <c r="F10992">
        <v>58.701300000000003</v>
      </c>
      <c r="G10992">
        <v>13.109299999999999</v>
      </c>
      <c r="H10992">
        <v>1</v>
      </c>
      <c r="I10992">
        <v>53</v>
      </c>
      <c r="J10992" t="str">
        <f>HYPERLINK("https://climate.onebuilding.org/WMO_Region_6_Europe/SWE_Sweden/VG_Vastra_Gotaland/SWE_VG_Naven.Lighthouse-Vanern.Lake.024030_TMYx.2007-2021.zip")</f>
        <v>https://climate.onebuilding.org/WMO_Region_6_Europe/SWE_Sweden/VG_Vastra_Gotaland/SWE_VG_Naven.Lighthouse-Vanern.Lake.024030_TMYx.2007-2021.zip</v>
      </c>
    </row>
    <row r="10993" spans="1:10" x14ac:dyDescent="0.25">
      <c r="A10993" t="s">
        <v>7602</v>
      </c>
      <c r="B10993" t="s">
        <v>2305</v>
      </c>
      <c r="C10993" t="s">
        <v>7997</v>
      </c>
      <c r="D10993" s="1" t="s">
        <v>7998</v>
      </c>
      <c r="E10993" t="s">
        <v>14</v>
      </c>
      <c r="F10993">
        <v>58.701300000000003</v>
      </c>
      <c r="G10993">
        <v>13.109299999999999</v>
      </c>
      <c r="H10993">
        <v>1</v>
      </c>
      <c r="I10993">
        <v>53</v>
      </c>
      <c r="J10993" t="str">
        <f>HYPERLINK("https://climate.onebuilding.org/WMO_Region_6_Europe/SWE_Sweden/VG_Vastra_Gotaland/SWE_VG_Naven.Lighthouse-Vanern.Lake.024030_TMYx.2009-2023.zip")</f>
        <v>https://climate.onebuilding.org/WMO_Region_6_Europe/SWE_Sweden/VG_Vastra_Gotaland/SWE_VG_Naven.Lighthouse-Vanern.Lake.024030_TMYx.2009-2023.zip</v>
      </c>
    </row>
    <row r="10994" spans="1:10" x14ac:dyDescent="0.25">
      <c r="A10994" t="s">
        <v>7602</v>
      </c>
      <c r="B10994" t="s">
        <v>2305</v>
      </c>
      <c r="C10994" t="s">
        <v>7997</v>
      </c>
      <c r="D10994" s="1" t="s">
        <v>7998</v>
      </c>
      <c r="E10994" t="s">
        <v>14</v>
      </c>
      <c r="F10994">
        <v>58.701300000000003</v>
      </c>
      <c r="G10994">
        <v>13.109299999999999</v>
      </c>
      <c r="H10994">
        <v>1</v>
      </c>
      <c r="I10994">
        <v>53</v>
      </c>
      <c r="J10994" t="str">
        <f>HYPERLINK("https://climate.onebuilding.org/WMO_Region_6_Europe/SWE_Sweden/VG_Vastra_Gotaland/SWE_VG_Naven.Lighthouse-Vanern.Lake.024030_TMYx.zip")</f>
        <v>https://climate.onebuilding.org/WMO_Region_6_Europe/SWE_Sweden/VG_Vastra_Gotaland/SWE_VG_Naven.Lighthouse-Vanern.Lake.024030_TMYx.zip</v>
      </c>
    </row>
    <row r="10995" spans="1:10" x14ac:dyDescent="0.25">
      <c r="A10995" t="s">
        <v>7602</v>
      </c>
      <c r="B10995" t="s">
        <v>7574</v>
      </c>
      <c r="C10995" t="s">
        <v>8000</v>
      </c>
      <c r="D10995" s="1" t="s">
        <v>8001</v>
      </c>
      <c r="E10995" t="s">
        <v>8002</v>
      </c>
      <c r="F10995">
        <v>60.676400000000001</v>
      </c>
      <c r="G10995">
        <v>13.7072</v>
      </c>
      <c r="H10995">
        <v>1</v>
      </c>
      <c r="I10995">
        <v>304.5</v>
      </c>
      <c r="J10995" t="str">
        <f>HYPERLINK("https://climate.onebuilding.org/WMO_Region_6_Europe/SWE_Sweden/KO_Dalarna/SWE_KO_Malung.024070_TMYx.2004-2018.zip")</f>
        <v>https://climate.onebuilding.org/WMO_Region_6_Europe/SWE_Sweden/KO_Dalarna/SWE_KO_Malung.024070_TMYx.2004-2018.zip</v>
      </c>
    </row>
    <row r="10996" spans="1:10" x14ac:dyDescent="0.25">
      <c r="A10996" t="s">
        <v>7602</v>
      </c>
      <c r="B10996" t="s">
        <v>7574</v>
      </c>
      <c r="C10996" t="s">
        <v>8000</v>
      </c>
      <c r="D10996" s="1" t="s">
        <v>8001</v>
      </c>
      <c r="E10996" t="s">
        <v>14</v>
      </c>
      <c r="F10996">
        <v>60.676400000000001</v>
      </c>
      <c r="G10996">
        <v>13.7072</v>
      </c>
      <c r="H10996">
        <v>1</v>
      </c>
      <c r="I10996">
        <v>304.5</v>
      </c>
      <c r="J10996" t="str">
        <f>HYPERLINK("https://climate.onebuilding.org/WMO_Region_6_Europe/SWE_Sweden/KO_Dalarna/SWE_KO_Malung.024070_TMYx.2007-2021.zip")</f>
        <v>https://climate.onebuilding.org/WMO_Region_6_Europe/SWE_Sweden/KO_Dalarna/SWE_KO_Malung.024070_TMYx.2007-2021.zip</v>
      </c>
    </row>
    <row r="10997" spans="1:10" x14ac:dyDescent="0.25">
      <c r="A10997" t="s">
        <v>7602</v>
      </c>
      <c r="B10997" t="s">
        <v>7574</v>
      </c>
      <c r="C10997" t="s">
        <v>8000</v>
      </c>
      <c r="D10997" s="1" t="s">
        <v>8001</v>
      </c>
      <c r="E10997" t="s">
        <v>14</v>
      </c>
      <c r="F10997">
        <v>60.676400000000001</v>
      </c>
      <c r="G10997">
        <v>13.7072</v>
      </c>
      <c r="H10997">
        <v>1</v>
      </c>
      <c r="I10997">
        <v>304.5</v>
      </c>
      <c r="J10997" t="str">
        <f>HYPERLINK("https://climate.onebuilding.org/WMO_Region_6_Europe/SWE_Sweden/KO_Dalarna/SWE_KO_Malung.024070_TMYx.2009-2023.zip")</f>
        <v>https://climate.onebuilding.org/WMO_Region_6_Europe/SWE_Sweden/KO_Dalarna/SWE_KO_Malung.024070_TMYx.2009-2023.zip</v>
      </c>
    </row>
    <row r="10998" spans="1:10" x14ac:dyDescent="0.25">
      <c r="A10998" t="s">
        <v>7602</v>
      </c>
      <c r="B10998" t="s">
        <v>7574</v>
      </c>
      <c r="C10998" t="s">
        <v>8000</v>
      </c>
      <c r="D10998" s="1" t="s">
        <v>8001</v>
      </c>
      <c r="E10998" t="s">
        <v>14</v>
      </c>
      <c r="F10998">
        <v>60.676400000000001</v>
      </c>
      <c r="G10998">
        <v>13.7072</v>
      </c>
      <c r="H10998">
        <v>1</v>
      </c>
      <c r="I10998">
        <v>304.5</v>
      </c>
      <c r="J10998" t="str">
        <f>HYPERLINK("https://climate.onebuilding.org/WMO_Region_6_Europe/SWE_Sweden/KO_Dalarna/SWE_KO_Malung.024070_TMYx.zip")</f>
        <v>https://climate.onebuilding.org/WMO_Region_6_Europe/SWE_Sweden/KO_Dalarna/SWE_KO_Malung.024070_TMYx.zip</v>
      </c>
    </row>
    <row r="10999" spans="1:10" x14ac:dyDescent="0.25">
      <c r="A10999" t="s">
        <v>7602</v>
      </c>
      <c r="B10999" t="s">
        <v>2305</v>
      </c>
      <c r="C10999" t="s">
        <v>8003</v>
      </c>
      <c r="D10999" s="1" t="s">
        <v>8004</v>
      </c>
      <c r="E10999" t="s">
        <v>8005</v>
      </c>
      <c r="F10999">
        <v>59.222000000000001</v>
      </c>
      <c r="G10999">
        <v>12.078099999999999</v>
      </c>
      <c r="H10999">
        <v>1</v>
      </c>
      <c r="I10999">
        <v>171.2</v>
      </c>
      <c r="J10999" t="str">
        <f>HYPERLINK("https://climate.onebuilding.org/WMO_Region_6_Europe/SWE_Sweden/VG_Vastra_Gotaland/SWE_VG_Blomskog.024080_TMYx.2004-2018.zip")</f>
        <v>https://climate.onebuilding.org/WMO_Region_6_Europe/SWE_Sweden/VG_Vastra_Gotaland/SWE_VG_Blomskog.024080_TMYx.2004-2018.zip</v>
      </c>
    </row>
    <row r="11000" spans="1:10" x14ac:dyDescent="0.25">
      <c r="A11000" t="s">
        <v>7602</v>
      </c>
      <c r="B11000" t="s">
        <v>2305</v>
      </c>
      <c r="C11000" t="s">
        <v>8003</v>
      </c>
      <c r="D11000" s="1" t="s">
        <v>8004</v>
      </c>
      <c r="E11000" t="s">
        <v>14</v>
      </c>
      <c r="F11000">
        <v>59.222000000000001</v>
      </c>
      <c r="G11000">
        <v>12.078099999999999</v>
      </c>
      <c r="H11000">
        <v>1</v>
      </c>
      <c r="I11000">
        <v>171.2</v>
      </c>
      <c r="J11000" t="str">
        <f>HYPERLINK("https://climate.onebuilding.org/WMO_Region_6_Europe/SWE_Sweden/VG_Vastra_Gotaland/SWE_VG_Blomskog.024080_TMYx.2007-2021.zip")</f>
        <v>https://climate.onebuilding.org/WMO_Region_6_Europe/SWE_Sweden/VG_Vastra_Gotaland/SWE_VG_Blomskog.024080_TMYx.2007-2021.zip</v>
      </c>
    </row>
    <row r="11001" spans="1:10" x14ac:dyDescent="0.25">
      <c r="A11001" t="s">
        <v>7602</v>
      </c>
      <c r="B11001" t="s">
        <v>2305</v>
      </c>
      <c r="C11001" t="s">
        <v>8003</v>
      </c>
      <c r="D11001" s="1" t="s">
        <v>8004</v>
      </c>
      <c r="E11001" t="s">
        <v>14</v>
      </c>
      <c r="F11001">
        <v>59.222000000000001</v>
      </c>
      <c r="G11001">
        <v>12.078099999999999</v>
      </c>
      <c r="H11001">
        <v>1</v>
      </c>
      <c r="I11001">
        <v>171.2</v>
      </c>
      <c r="J11001" t="str">
        <f>HYPERLINK("https://climate.onebuilding.org/WMO_Region_6_Europe/SWE_Sweden/VG_Vastra_Gotaland/SWE_VG_Blomskog.024080_TMYx.2009-2023.zip")</f>
        <v>https://climate.onebuilding.org/WMO_Region_6_Europe/SWE_Sweden/VG_Vastra_Gotaland/SWE_VG_Blomskog.024080_TMYx.2009-2023.zip</v>
      </c>
    </row>
    <row r="11002" spans="1:10" x14ac:dyDescent="0.25">
      <c r="A11002" t="s">
        <v>7602</v>
      </c>
      <c r="B11002" t="s">
        <v>2305</v>
      </c>
      <c r="C11002" t="s">
        <v>8003</v>
      </c>
      <c r="D11002" s="1" t="s">
        <v>8004</v>
      </c>
      <c r="E11002" t="s">
        <v>14</v>
      </c>
      <c r="F11002">
        <v>59.222000000000001</v>
      </c>
      <c r="G11002">
        <v>12.078099999999999</v>
      </c>
      <c r="H11002">
        <v>1</v>
      </c>
      <c r="I11002">
        <v>171.2</v>
      </c>
      <c r="J11002" t="str">
        <f>HYPERLINK("https://climate.onebuilding.org/WMO_Region_6_Europe/SWE_Sweden/VG_Vastra_Gotaland/SWE_VG_Blomskog.024080_TMYx.zip")</f>
        <v>https://climate.onebuilding.org/WMO_Region_6_Europe/SWE_Sweden/VG_Vastra_Gotaland/SWE_VG_Blomskog.024080_TMYx.zip</v>
      </c>
    </row>
    <row r="11003" spans="1:10" x14ac:dyDescent="0.25">
      <c r="A11003" t="s">
        <v>7602</v>
      </c>
      <c r="B11003" t="s">
        <v>2305</v>
      </c>
      <c r="C11003" t="s">
        <v>8006</v>
      </c>
      <c r="D11003" s="1" t="s">
        <v>8007</v>
      </c>
      <c r="E11003" t="s">
        <v>14</v>
      </c>
      <c r="F11003">
        <v>59.05</v>
      </c>
      <c r="G11003">
        <v>12.7</v>
      </c>
      <c r="H11003">
        <v>1</v>
      </c>
      <c r="I11003">
        <v>60</v>
      </c>
      <c r="J11003" t="str">
        <f>HYPERLINK("https://climate.onebuilding.org/WMO_Region_6_Europe/SWE_Sweden/VG_Vastra_Gotaland/SWE_VG_Amal.024090_TMYx.zip")</f>
        <v>https://climate.onebuilding.org/WMO_Region_6_Europe/SWE_Sweden/VG_Vastra_Gotaland/SWE_VG_Amal.024090_TMYx.zip</v>
      </c>
    </row>
    <row r="11004" spans="1:10" x14ac:dyDescent="0.25">
      <c r="A11004" t="s">
        <v>7602</v>
      </c>
      <c r="B11004" t="s">
        <v>60</v>
      </c>
      <c r="C11004" t="s">
        <v>8008</v>
      </c>
      <c r="D11004" s="1" t="s">
        <v>8009</v>
      </c>
      <c r="E11004" t="s">
        <v>8010</v>
      </c>
      <c r="F11004">
        <v>59.674700000000001</v>
      </c>
      <c r="G11004">
        <v>12.6381</v>
      </c>
      <c r="H11004">
        <v>1</v>
      </c>
      <c r="I11004">
        <v>67.099999999999994</v>
      </c>
      <c r="J11004" t="str">
        <f>HYPERLINK("https://climate.onebuilding.org/WMO_Region_6_Europe/SWE_Sweden/VR_Varmland/SWE_VR_Arvika.AP.024110_TMYx.2004-2018.zip")</f>
        <v>https://climate.onebuilding.org/WMO_Region_6_Europe/SWE_Sweden/VR_Varmland/SWE_VR_Arvika.AP.024110_TMYx.2004-2018.zip</v>
      </c>
    </row>
    <row r="11005" spans="1:10" x14ac:dyDescent="0.25">
      <c r="A11005" t="s">
        <v>7602</v>
      </c>
      <c r="B11005" t="s">
        <v>60</v>
      </c>
      <c r="C11005" t="s">
        <v>8008</v>
      </c>
      <c r="D11005" s="1" t="s">
        <v>8009</v>
      </c>
      <c r="E11005" t="s">
        <v>14</v>
      </c>
      <c r="F11005">
        <v>59.674700000000001</v>
      </c>
      <c r="G11005">
        <v>12.6381</v>
      </c>
      <c r="H11005">
        <v>1</v>
      </c>
      <c r="I11005">
        <v>67.099999999999994</v>
      </c>
      <c r="J11005" t="str">
        <f>HYPERLINK("https://climate.onebuilding.org/WMO_Region_6_Europe/SWE_Sweden/VR_Varmland/SWE_VR_Arvika.AP.024110_TMYx.2007-2021.zip")</f>
        <v>https://climate.onebuilding.org/WMO_Region_6_Europe/SWE_Sweden/VR_Varmland/SWE_VR_Arvika.AP.024110_TMYx.2007-2021.zip</v>
      </c>
    </row>
    <row r="11006" spans="1:10" x14ac:dyDescent="0.25">
      <c r="A11006" t="s">
        <v>7602</v>
      </c>
      <c r="B11006" t="s">
        <v>60</v>
      </c>
      <c r="C11006" t="s">
        <v>8008</v>
      </c>
      <c r="D11006" s="1" t="s">
        <v>8009</v>
      </c>
      <c r="E11006" t="s">
        <v>14</v>
      </c>
      <c r="F11006">
        <v>59.674700000000001</v>
      </c>
      <c r="G11006">
        <v>12.6381</v>
      </c>
      <c r="H11006">
        <v>1</v>
      </c>
      <c r="I11006">
        <v>67.099999999999994</v>
      </c>
      <c r="J11006" t="str">
        <f>HYPERLINK("https://climate.onebuilding.org/WMO_Region_6_Europe/SWE_Sweden/VR_Varmland/SWE_VR_Arvika.AP.024110_TMYx.2009-2023.zip")</f>
        <v>https://climate.onebuilding.org/WMO_Region_6_Europe/SWE_Sweden/VR_Varmland/SWE_VR_Arvika.AP.024110_TMYx.2009-2023.zip</v>
      </c>
    </row>
    <row r="11007" spans="1:10" x14ac:dyDescent="0.25">
      <c r="A11007" t="s">
        <v>7602</v>
      </c>
      <c r="B11007" t="s">
        <v>60</v>
      </c>
      <c r="C11007" t="s">
        <v>8008</v>
      </c>
      <c r="D11007" s="1" t="s">
        <v>8009</v>
      </c>
      <c r="E11007" t="s">
        <v>14</v>
      </c>
      <c r="F11007">
        <v>59.674700000000001</v>
      </c>
      <c r="G11007">
        <v>12.6381</v>
      </c>
      <c r="H11007">
        <v>1</v>
      </c>
      <c r="I11007">
        <v>67.099999999999994</v>
      </c>
      <c r="J11007" t="str">
        <f>HYPERLINK("https://climate.onebuilding.org/WMO_Region_6_Europe/SWE_Sweden/VR_Varmland/SWE_VR_Arvika.AP.024110_TMYx.zip")</f>
        <v>https://climate.onebuilding.org/WMO_Region_6_Europe/SWE_Sweden/VR_Varmland/SWE_VR_Arvika.AP.024110_TMYx.zip</v>
      </c>
    </row>
    <row r="11008" spans="1:10" x14ac:dyDescent="0.25">
      <c r="A11008" t="s">
        <v>7602</v>
      </c>
      <c r="B11008" t="s">
        <v>60</v>
      </c>
      <c r="C11008" t="s">
        <v>8011</v>
      </c>
      <c r="D11008" s="1" t="s">
        <v>8012</v>
      </c>
      <c r="E11008" t="s">
        <v>8013</v>
      </c>
      <c r="F11008">
        <v>60.756900000000002</v>
      </c>
      <c r="G11008">
        <v>12.7722</v>
      </c>
      <c r="H11008">
        <v>1</v>
      </c>
      <c r="I11008">
        <v>205</v>
      </c>
      <c r="J11008" t="str">
        <f>HYPERLINK("https://climate.onebuilding.org/WMO_Region_6_Europe/SWE_Sweden/VR_Varmland/SWE_VR_Brattmon.024130_TMYx.2004-2018.zip")</f>
        <v>https://climate.onebuilding.org/WMO_Region_6_Europe/SWE_Sweden/VR_Varmland/SWE_VR_Brattmon.024130_TMYx.2004-2018.zip</v>
      </c>
    </row>
    <row r="11009" spans="1:10" x14ac:dyDescent="0.25">
      <c r="A11009" t="s">
        <v>7602</v>
      </c>
      <c r="B11009" t="s">
        <v>60</v>
      </c>
      <c r="C11009" t="s">
        <v>8011</v>
      </c>
      <c r="D11009" s="1" t="s">
        <v>8012</v>
      </c>
      <c r="E11009" t="s">
        <v>14</v>
      </c>
      <c r="F11009">
        <v>60.756900000000002</v>
      </c>
      <c r="G11009">
        <v>12.7722</v>
      </c>
      <c r="H11009">
        <v>1</v>
      </c>
      <c r="I11009">
        <v>205</v>
      </c>
      <c r="J11009" t="str">
        <f>HYPERLINK("https://climate.onebuilding.org/WMO_Region_6_Europe/SWE_Sweden/VR_Varmland/SWE_VR_Brattmon.024130_TMYx.2007-2021.zip")</f>
        <v>https://climate.onebuilding.org/WMO_Region_6_Europe/SWE_Sweden/VR_Varmland/SWE_VR_Brattmon.024130_TMYx.2007-2021.zip</v>
      </c>
    </row>
    <row r="11010" spans="1:10" x14ac:dyDescent="0.25">
      <c r="A11010" t="s">
        <v>7602</v>
      </c>
      <c r="B11010" t="s">
        <v>60</v>
      </c>
      <c r="C11010" t="s">
        <v>8011</v>
      </c>
      <c r="D11010" s="1" t="s">
        <v>8012</v>
      </c>
      <c r="E11010" t="s">
        <v>14</v>
      </c>
      <c r="F11010">
        <v>60.756900000000002</v>
      </c>
      <c r="G11010">
        <v>12.7722</v>
      </c>
      <c r="H11010">
        <v>1</v>
      </c>
      <c r="I11010">
        <v>205</v>
      </c>
      <c r="J11010" t="str">
        <f>HYPERLINK("https://climate.onebuilding.org/WMO_Region_6_Europe/SWE_Sweden/VR_Varmland/SWE_VR_Brattmon.024130_TMYx.2009-2023.zip")</f>
        <v>https://climate.onebuilding.org/WMO_Region_6_Europe/SWE_Sweden/VR_Varmland/SWE_VR_Brattmon.024130_TMYx.2009-2023.zip</v>
      </c>
    </row>
    <row r="11011" spans="1:10" x14ac:dyDescent="0.25">
      <c r="A11011" t="s">
        <v>7602</v>
      </c>
      <c r="B11011" t="s">
        <v>60</v>
      </c>
      <c r="C11011" t="s">
        <v>8011</v>
      </c>
      <c r="D11011" s="1" t="s">
        <v>8012</v>
      </c>
      <c r="E11011" t="s">
        <v>14</v>
      </c>
      <c r="F11011">
        <v>60.756900000000002</v>
      </c>
      <c r="G11011">
        <v>12.7722</v>
      </c>
      <c r="H11011">
        <v>1</v>
      </c>
      <c r="I11011">
        <v>205</v>
      </c>
      <c r="J11011" t="str">
        <f>HYPERLINK("https://climate.onebuilding.org/WMO_Region_6_Europe/SWE_Sweden/VR_Varmland/SWE_VR_Brattmon.024130_TMYx.zip")</f>
        <v>https://climate.onebuilding.org/WMO_Region_6_Europe/SWE_Sweden/VR_Varmland/SWE_VR_Brattmon.024130_TMYx.zip</v>
      </c>
    </row>
    <row r="11012" spans="1:10" x14ac:dyDescent="0.25">
      <c r="A11012" t="s">
        <v>7602</v>
      </c>
      <c r="B11012" t="s">
        <v>2305</v>
      </c>
      <c r="C11012" t="s">
        <v>8014</v>
      </c>
      <c r="D11012" s="1" t="s">
        <v>8015</v>
      </c>
      <c r="E11012" t="s">
        <v>14</v>
      </c>
      <c r="F11012">
        <v>58.75</v>
      </c>
      <c r="G11012">
        <v>13.15</v>
      </c>
      <c r="H11012">
        <v>1</v>
      </c>
      <c r="I11012">
        <v>50</v>
      </c>
      <c r="J11012" t="str">
        <f>HYPERLINK("https://climate.onebuilding.org/WMO_Region_6_Europe/SWE_Sweden/VG_Vastra_Gotaland/SWE_VG_Palgrunden.Water.Quality.Monitoring.Stn-Vanern.Lak.024170_TMYx.zip")</f>
        <v>https://climate.onebuilding.org/WMO_Region_6_Europe/SWE_Sweden/VG_Vastra_Gotaland/SWE_VG_Palgrunden.Water.Quality.Monitoring.Stn-Vanern.Lak.024170_TMYx.zip</v>
      </c>
    </row>
    <row r="11013" spans="1:10" x14ac:dyDescent="0.25">
      <c r="A11013" t="s">
        <v>7602</v>
      </c>
      <c r="B11013" t="s">
        <v>60</v>
      </c>
      <c r="C11013" t="s">
        <v>8016</v>
      </c>
      <c r="D11013" s="1" t="s">
        <v>8017</v>
      </c>
      <c r="E11013" t="s">
        <v>8018</v>
      </c>
      <c r="F11013">
        <v>59.444699999999997</v>
      </c>
      <c r="G11013">
        <v>13.3375</v>
      </c>
      <c r="H11013">
        <v>1</v>
      </c>
      <c r="I11013">
        <v>99.5</v>
      </c>
      <c r="J11013" t="str">
        <f>HYPERLINK("https://climate.onebuilding.org/WMO_Region_6_Europe/SWE_Sweden/VR_Varmland/SWE_VR_Karlstad.AP.024180_TMYx.2004-2018.zip")</f>
        <v>https://climate.onebuilding.org/WMO_Region_6_Europe/SWE_Sweden/VR_Varmland/SWE_VR_Karlstad.AP.024180_TMYx.2004-2018.zip</v>
      </c>
    </row>
    <row r="11014" spans="1:10" x14ac:dyDescent="0.25">
      <c r="A11014" t="s">
        <v>7602</v>
      </c>
      <c r="B11014" t="s">
        <v>60</v>
      </c>
      <c r="C11014" t="s">
        <v>8016</v>
      </c>
      <c r="D11014" s="1" t="s">
        <v>8017</v>
      </c>
      <c r="E11014" t="s">
        <v>14</v>
      </c>
      <c r="F11014">
        <v>59.444699999999997</v>
      </c>
      <c r="G11014">
        <v>13.3375</v>
      </c>
      <c r="H11014">
        <v>1</v>
      </c>
      <c r="I11014">
        <v>99.5</v>
      </c>
      <c r="J11014" t="str">
        <f>HYPERLINK("https://climate.onebuilding.org/WMO_Region_6_Europe/SWE_Sweden/VR_Varmland/SWE_VR_Karlstad.AP.024180_TMYx.2007-2021.zip")</f>
        <v>https://climate.onebuilding.org/WMO_Region_6_Europe/SWE_Sweden/VR_Varmland/SWE_VR_Karlstad.AP.024180_TMYx.2007-2021.zip</v>
      </c>
    </row>
    <row r="11015" spans="1:10" x14ac:dyDescent="0.25">
      <c r="A11015" t="s">
        <v>7602</v>
      </c>
      <c r="B11015" t="s">
        <v>60</v>
      </c>
      <c r="C11015" t="s">
        <v>8016</v>
      </c>
      <c r="D11015" s="1" t="s">
        <v>8017</v>
      </c>
      <c r="E11015" t="s">
        <v>14</v>
      </c>
      <c r="F11015">
        <v>59.444699999999997</v>
      </c>
      <c r="G11015">
        <v>13.3375</v>
      </c>
      <c r="H11015">
        <v>1</v>
      </c>
      <c r="I11015">
        <v>99.5</v>
      </c>
      <c r="J11015" t="str">
        <f>HYPERLINK("https://climate.onebuilding.org/WMO_Region_6_Europe/SWE_Sweden/VR_Varmland/SWE_VR_Karlstad.AP.024180_TMYx.2009-2023.zip")</f>
        <v>https://climate.onebuilding.org/WMO_Region_6_Europe/SWE_Sweden/VR_Varmland/SWE_VR_Karlstad.AP.024180_TMYx.2009-2023.zip</v>
      </c>
    </row>
    <row r="11016" spans="1:10" x14ac:dyDescent="0.25">
      <c r="A11016" t="s">
        <v>7602</v>
      </c>
      <c r="B11016" t="s">
        <v>60</v>
      </c>
      <c r="C11016" t="s">
        <v>8016</v>
      </c>
      <c r="D11016" s="1" t="s">
        <v>8017</v>
      </c>
      <c r="E11016" t="s">
        <v>14</v>
      </c>
      <c r="F11016">
        <v>59.444699999999997</v>
      </c>
      <c r="G11016">
        <v>13.3375</v>
      </c>
      <c r="H11016">
        <v>1</v>
      </c>
      <c r="I11016">
        <v>99.5</v>
      </c>
      <c r="J11016" t="str">
        <f>HYPERLINK("https://climate.onebuilding.org/WMO_Region_6_Europe/SWE_Sweden/VR_Varmland/SWE_VR_Karlstad.AP.024180_TMYx.zip")</f>
        <v>https://climate.onebuilding.org/WMO_Region_6_Europe/SWE_Sweden/VR_Varmland/SWE_VR_Karlstad.AP.024180_TMYx.zip</v>
      </c>
    </row>
    <row r="11017" spans="1:10" x14ac:dyDescent="0.25">
      <c r="A11017" t="s">
        <v>7602</v>
      </c>
      <c r="B11017" t="s">
        <v>60</v>
      </c>
      <c r="C11017" t="s">
        <v>8019</v>
      </c>
      <c r="D11017" s="1" t="s">
        <v>8020</v>
      </c>
      <c r="E11017" t="s">
        <v>8021</v>
      </c>
      <c r="F11017">
        <v>59.359200000000001</v>
      </c>
      <c r="G11017">
        <v>13.4719</v>
      </c>
      <c r="H11017">
        <v>1</v>
      </c>
      <c r="I11017">
        <v>46</v>
      </c>
      <c r="J11017" t="str">
        <f>HYPERLINK("https://climate.onebuilding.org/WMO_Region_6_Europe/SWE_Sweden/VR_Varmland/SWE_VR_Karlstad.024190_TMYx.2004-2018.zip")</f>
        <v>https://climate.onebuilding.org/WMO_Region_6_Europe/SWE_Sweden/VR_Varmland/SWE_VR_Karlstad.024190_TMYx.2004-2018.zip</v>
      </c>
    </row>
    <row r="11018" spans="1:10" x14ac:dyDescent="0.25">
      <c r="A11018" t="s">
        <v>7602</v>
      </c>
      <c r="B11018" t="s">
        <v>60</v>
      </c>
      <c r="C11018" t="s">
        <v>8019</v>
      </c>
      <c r="D11018" s="1" t="s">
        <v>8020</v>
      </c>
      <c r="E11018" t="s">
        <v>14</v>
      </c>
      <c r="F11018">
        <v>59.359200000000001</v>
      </c>
      <c r="G11018">
        <v>13.4719</v>
      </c>
      <c r="H11018">
        <v>1</v>
      </c>
      <c r="I11018">
        <v>46</v>
      </c>
      <c r="J11018" t="str">
        <f>HYPERLINK("https://climate.onebuilding.org/WMO_Region_6_Europe/SWE_Sweden/VR_Varmland/SWE_VR_Karlstad.024190_TMYx.2007-2021.zip")</f>
        <v>https://climate.onebuilding.org/WMO_Region_6_Europe/SWE_Sweden/VR_Varmland/SWE_VR_Karlstad.024190_TMYx.2007-2021.zip</v>
      </c>
    </row>
    <row r="11019" spans="1:10" x14ac:dyDescent="0.25">
      <c r="A11019" t="s">
        <v>7602</v>
      </c>
      <c r="B11019" t="s">
        <v>60</v>
      </c>
      <c r="C11019" t="s">
        <v>8019</v>
      </c>
      <c r="D11019" s="1" t="s">
        <v>8020</v>
      </c>
      <c r="E11019" t="s">
        <v>14</v>
      </c>
      <c r="F11019">
        <v>59.359200000000001</v>
      </c>
      <c r="G11019">
        <v>13.4719</v>
      </c>
      <c r="H11019">
        <v>1</v>
      </c>
      <c r="I11019">
        <v>46</v>
      </c>
      <c r="J11019" t="str">
        <f>HYPERLINK("https://climate.onebuilding.org/WMO_Region_6_Europe/SWE_Sweden/VR_Varmland/SWE_VR_Karlstad.024190_TMYx.zip")</f>
        <v>https://climate.onebuilding.org/WMO_Region_6_Europe/SWE_Sweden/VR_Varmland/SWE_VR_Karlstad.024190_TMYx.zip</v>
      </c>
    </row>
    <row r="11020" spans="1:10" x14ac:dyDescent="0.25">
      <c r="A11020" t="s">
        <v>7602</v>
      </c>
      <c r="B11020" t="s">
        <v>60</v>
      </c>
      <c r="C11020" t="s">
        <v>8022</v>
      </c>
      <c r="D11020" s="1" t="s">
        <v>8023</v>
      </c>
      <c r="E11020" t="s">
        <v>8024</v>
      </c>
      <c r="F11020">
        <v>59.864400000000003</v>
      </c>
      <c r="G11020">
        <v>13.119400000000001</v>
      </c>
      <c r="H11020">
        <v>1</v>
      </c>
      <c r="I11020">
        <v>109.1</v>
      </c>
      <c r="J11020" t="str">
        <f>HYPERLINK("https://climate.onebuilding.org/WMO_Region_6_Europe/SWE_Sweden/VR_Varmland/SWE_VR_Sunne-Holmby.AP.024230_TMYx.2004-2018.zip")</f>
        <v>https://climate.onebuilding.org/WMO_Region_6_Europe/SWE_Sweden/VR_Varmland/SWE_VR_Sunne-Holmby.AP.024230_TMYx.2004-2018.zip</v>
      </c>
    </row>
    <row r="11021" spans="1:10" x14ac:dyDescent="0.25">
      <c r="A11021" t="s">
        <v>7602</v>
      </c>
      <c r="B11021" t="s">
        <v>60</v>
      </c>
      <c r="C11021" t="s">
        <v>8022</v>
      </c>
      <c r="D11021" s="1" t="s">
        <v>8023</v>
      </c>
      <c r="E11021" t="s">
        <v>14</v>
      </c>
      <c r="F11021">
        <v>59.864400000000003</v>
      </c>
      <c r="G11021">
        <v>13.119400000000001</v>
      </c>
      <c r="H11021">
        <v>1</v>
      </c>
      <c r="I11021">
        <v>109.1</v>
      </c>
      <c r="J11021" t="str">
        <f>HYPERLINK("https://climate.onebuilding.org/WMO_Region_6_Europe/SWE_Sweden/VR_Varmland/SWE_VR_Sunne-Holmby.AP.024230_TMYx.2007-2021.zip")</f>
        <v>https://climate.onebuilding.org/WMO_Region_6_Europe/SWE_Sweden/VR_Varmland/SWE_VR_Sunne-Holmby.AP.024230_TMYx.2007-2021.zip</v>
      </c>
    </row>
    <row r="11022" spans="1:10" x14ac:dyDescent="0.25">
      <c r="A11022" t="s">
        <v>7602</v>
      </c>
      <c r="B11022" t="s">
        <v>60</v>
      </c>
      <c r="C11022" t="s">
        <v>8022</v>
      </c>
      <c r="D11022" s="1" t="s">
        <v>8023</v>
      </c>
      <c r="E11022" t="s">
        <v>14</v>
      </c>
      <c r="F11022">
        <v>59.864400000000003</v>
      </c>
      <c r="G11022">
        <v>13.119400000000001</v>
      </c>
      <c r="H11022">
        <v>1</v>
      </c>
      <c r="I11022">
        <v>109.1</v>
      </c>
      <c r="J11022" t="str">
        <f>HYPERLINK("https://climate.onebuilding.org/WMO_Region_6_Europe/SWE_Sweden/VR_Varmland/SWE_VR_Sunne-Holmby.AP.024230_TMYx.2009-2023.zip")</f>
        <v>https://climate.onebuilding.org/WMO_Region_6_Europe/SWE_Sweden/VR_Varmland/SWE_VR_Sunne-Holmby.AP.024230_TMYx.2009-2023.zip</v>
      </c>
    </row>
    <row r="11023" spans="1:10" x14ac:dyDescent="0.25">
      <c r="A11023" t="s">
        <v>7602</v>
      </c>
      <c r="B11023" t="s">
        <v>60</v>
      </c>
      <c r="C11023" t="s">
        <v>8022</v>
      </c>
      <c r="D11023" s="1" t="s">
        <v>8023</v>
      </c>
      <c r="E11023" t="s">
        <v>14</v>
      </c>
      <c r="F11023">
        <v>59.864400000000003</v>
      </c>
      <c r="G11023">
        <v>13.119400000000001</v>
      </c>
      <c r="H11023">
        <v>1</v>
      </c>
      <c r="I11023">
        <v>109.1</v>
      </c>
      <c r="J11023" t="str">
        <f>HYPERLINK("https://climate.onebuilding.org/WMO_Region_6_Europe/SWE_Sweden/VR_Varmland/SWE_VR_Sunne-Holmby.AP.024230_TMYx.zip")</f>
        <v>https://climate.onebuilding.org/WMO_Region_6_Europe/SWE_Sweden/VR_Varmland/SWE_VR_Sunne-Holmby.AP.024230_TMYx.zip</v>
      </c>
    </row>
    <row r="11024" spans="1:10" x14ac:dyDescent="0.25">
      <c r="A11024" t="s">
        <v>7602</v>
      </c>
      <c r="B11024" t="s">
        <v>7655</v>
      </c>
      <c r="C11024" t="s">
        <v>8025</v>
      </c>
      <c r="D11024" s="1" t="s">
        <v>8026</v>
      </c>
      <c r="E11024" t="s">
        <v>14</v>
      </c>
      <c r="F11024">
        <v>59.95</v>
      </c>
      <c r="G11024">
        <v>14.95</v>
      </c>
      <c r="H11024">
        <v>1</v>
      </c>
      <c r="I11024">
        <v>210</v>
      </c>
      <c r="J11024" t="str">
        <f>HYPERLINK("https://climate.onebuilding.org/WMO_Region_6_Europe/SWE_Sweden/OR_Orebro/SWE_OR_Stalldalen.024240_TMYx.zip")</f>
        <v>https://climate.onebuilding.org/WMO_Region_6_Europe/SWE_Sweden/OR_Orebro/SWE_OR_Stalldalen.024240_TMYx.zip</v>
      </c>
    </row>
    <row r="11025" spans="1:10" x14ac:dyDescent="0.25">
      <c r="A11025" t="s">
        <v>7602</v>
      </c>
      <c r="B11025" t="s">
        <v>60</v>
      </c>
      <c r="C11025" t="s">
        <v>8027</v>
      </c>
      <c r="D11025" s="1" t="s">
        <v>8028</v>
      </c>
      <c r="E11025" t="s">
        <v>8029</v>
      </c>
      <c r="F11025">
        <v>60.1539</v>
      </c>
      <c r="G11025">
        <v>13.8019</v>
      </c>
      <c r="H11025">
        <v>1</v>
      </c>
      <c r="I11025">
        <v>188.5</v>
      </c>
      <c r="J11025" t="str">
        <f>HYPERLINK("https://climate.onebuilding.org/WMO_Region_6_Europe/SWE_Sweden/VR_Varmland/SWE_VR_Gustavsfors.024260_TMYx.2004-2018.zip")</f>
        <v>https://climate.onebuilding.org/WMO_Region_6_Europe/SWE_Sweden/VR_Varmland/SWE_VR_Gustavsfors.024260_TMYx.2004-2018.zip</v>
      </c>
    </row>
    <row r="11026" spans="1:10" x14ac:dyDescent="0.25">
      <c r="A11026" t="s">
        <v>7602</v>
      </c>
      <c r="B11026" t="s">
        <v>60</v>
      </c>
      <c r="C11026" t="s">
        <v>8027</v>
      </c>
      <c r="D11026" s="1" t="s">
        <v>8028</v>
      </c>
      <c r="E11026" t="s">
        <v>14</v>
      </c>
      <c r="F11026">
        <v>60.151000000000003</v>
      </c>
      <c r="G11026">
        <v>13.797000000000001</v>
      </c>
      <c r="H11026">
        <v>1</v>
      </c>
      <c r="I11026">
        <v>188.5</v>
      </c>
      <c r="J11026" t="str">
        <f>HYPERLINK("https://climate.onebuilding.org/WMO_Region_6_Europe/SWE_Sweden/VR_Varmland/SWE_VR_Gustavsfors.024260_TMYx.2007-2021.zip")</f>
        <v>https://climate.onebuilding.org/WMO_Region_6_Europe/SWE_Sweden/VR_Varmland/SWE_VR_Gustavsfors.024260_TMYx.2007-2021.zip</v>
      </c>
    </row>
    <row r="11027" spans="1:10" x14ac:dyDescent="0.25">
      <c r="A11027" t="s">
        <v>7602</v>
      </c>
      <c r="B11027" t="s">
        <v>60</v>
      </c>
      <c r="C11027" t="s">
        <v>8027</v>
      </c>
      <c r="D11027" s="1" t="s">
        <v>8028</v>
      </c>
      <c r="E11027" t="s">
        <v>14</v>
      </c>
      <c r="F11027">
        <v>60.151000000000003</v>
      </c>
      <c r="G11027">
        <v>13.797000000000001</v>
      </c>
      <c r="H11027">
        <v>1</v>
      </c>
      <c r="I11027">
        <v>188.5</v>
      </c>
      <c r="J11027" t="str">
        <f>HYPERLINK("https://climate.onebuilding.org/WMO_Region_6_Europe/SWE_Sweden/VR_Varmland/SWE_VR_Gustavsfors.024260_TMYx.2009-2023.zip")</f>
        <v>https://climate.onebuilding.org/WMO_Region_6_Europe/SWE_Sweden/VR_Varmland/SWE_VR_Gustavsfors.024260_TMYx.2009-2023.zip</v>
      </c>
    </row>
    <row r="11028" spans="1:10" x14ac:dyDescent="0.25">
      <c r="A11028" t="s">
        <v>7602</v>
      </c>
      <c r="B11028" t="s">
        <v>60</v>
      </c>
      <c r="C11028" t="s">
        <v>8027</v>
      </c>
      <c r="D11028" s="1" t="s">
        <v>8028</v>
      </c>
      <c r="E11028" t="s">
        <v>14</v>
      </c>
      <c r="F11028">
        <v>60.151000000000003</v>
      </c>
      <c r="G11028">
        <v>13.797000000000001</v>
      </c>
      <c r="H11028">
        <v>1</v>
      </c>
      <c r="I11028">
        <v>188.5</v>
      </c>
      <c r="J11028" t="str">
        <f>HYPERLINK("https://climate.onebuilding.org/WMO_Region_6_Europe/SWE_Sweden/VR_Varmland/SWE_VR_Gustavsfors.024260_TMYx.zip")</f>
        <v>https://climate.onebuilding.org/WMO_Region_6_Europe/SWE_Sweden/VR_Varmland/SWE_VR_Gustavsfors.024260_TMYx.zip</v>
      </c>
    </row>
    <row r="11029" spans="1:10" x14ac:dyDescent="0.25">
      <c r="A11029" t="s">
        <v>7602</v>
      </c>
      <c r="B11029" t="s">
        <v>7655</v>
      </c>
      <c r="C11029" t="s">
        <v>8030</v>
      </c>
      <c r="D11029" s="1" t="s">
        <v>8031</v>
      </c>
      <c r="E11029" t="s">
        <v>14</v>
      </c>
      <c r="F11029">
        <v>59.1</v>
      </c>
      <c r="G11029">
        <v>14.367000000000001</v>
      </c>
      <c r="H11029">
        <v>1</v>
      </c>
      <c r="I11029">
        <v>105</v>
      </c>
      <c r="J11029" t="str">
        <f>HYPERLINK("https://climate.onebuilding.org/WMO_Region_6_Europe/SWE_Sweden/OR_Orebro/SWE_OR_Atorp.024280_TMYx.zip")</f>
        <v>https://climate.onebuilding.org/WMO_Region_6_Europe/SWE_Sweden/OR_Orebro/SWE_OR_Atorp.024280_TMYx.zip</v>
      </c>
    </row>
    <row r="11030" spans="1:10" x14ac:dyDescent="0.25">
      <c r="A11030" t="s">
        <v>7602</v>
      </c>
      <c r="B11030" t="s">
        <v>60</v>
      </c>
      <c r="C11030" t="s">
        <v>8032</v>
      </c>
      <c r="D11030" s="1" t="s">
        <v>8033</v>
      </c>
      <c r="E11030" t="s">
        <v>14</v>
      </c>
      <c r="F11030">
        <v>60.158000000000001</v>
      </c>
      <c r="G11030">
        <v>12.991</v>
      </c>
      <c r="H11030">
        <v>1</v>
      </c>
      <c r="I11030">
        <v>119.8</v>
      </c>
      <c r="J11030" t="str">
        <f>HYPERLINK("https://climate.onebuilding.org/WMO_Region_6_Europe/SWE_Sweden/VR_Varmland/SWE_VR_Torsby.AP.024285_TMYx.2007-2021.zip")</f>
        <v>https://climate.onebuilding.org/WMO_Region_6_Europe/SWE_Sweden/VR_Varmland/SWE_VR_Torsby.AP.024285_TMYx.2007-2021.zip</v>
      </c>
    </row>
    <row r="11031" spans="1:10" x14ac:dyDescent="0.25">
      <c r="A11031" t="s">
        <v>7602</v>
      </c>
      <c r="B11031" t="s">
        <v>60</v>
      </c>
      <c r="C11031" t="s">
        <v>8032</v>
      </c>
      <c r="D11031" s="1" t="s">
        <v>8033</v>
      </c>
      <c r="E11031" t="s">
        <v>14</v>
      </c>
      <c r="F11031">
        <v>60.158000000000001</v>
      </c>
      <c r="G11031">
        <v>12.991</v>
      </c>
      <c r="H11031">
        <v>1</v>
      </c>
      <c r="I11031">
        <v>119.8</v>
      </c>
      <c r="J11031" t="str">
        <f>HYPERLINK("https://climate.onebuilding.org/WMO_Region_6_Europe/SWE_Sweden/VR_Varmland/SWE_VR_Torsby.AP.024285_TMYx.2009-2023.zip")</f>
        <v>https://climate.onebuilding.org/WMO_Region_6_Europe/SWE_Sweden/VR_Varmland/SWE_VR_Torsby.AP.024285_TMYx.2009-2023.zip</v>
      </c>
    </row>
    <row r="11032" spans="1:10" x14ac:dyDescent="0.25">
      <c r="A11032" t="s">
        <v>7602</v>
      </c>
      <c r="B11032" t="s">
        <v>60</v>
      </c>
      <c r="C11032" t="s">
        <v>8032</v>
      </c>
      <c r="D11032" s="1" t="s">
        <v>8033</v>
      </c>
      <c r="E11032" t="s">
        <v>14</v>
      </c>
      <c r="F11032">
        <v>60.158000000000001</v>
      </c>
      <c r="G11032">
        <v>12.991</v>
      </c>
      <c r="H11032">
        <v>1</v>
      </c>
      <c r="I11032">
        <v>119.8</v>
      </c>
      <c r="J11032" t="str">
        <f>HYPERLINK("https://climate.onebuilding.org/WMO_Region_6_Europe/SWE_Sweden/VR_Varmland/SWE_VR_Torsby.AP.024285_TMYx.zip")</f>
        <v>https://climate.onebuilding.org/WMO_Region_6_Europe/SWE_Sweden/VR_Varmland/SWE_VR_Torsby.AP.024285_TMYx.zip</v>
      </c>
    </row>
    <row r="11033" spans="1:10" x14ac:dyDescent="0.25">
      <c r="A11033" t="s">
        <v>7602</v>
      </c>
      <c r="B11033" t="s">
        <v>60</v>
      </c>
      <c r="C11033" t="s">
        <v>8034</v>
      </c>
      <c r="D11033" s="1" t="s">
        <v>8035</v>
      </c>
      <c r="E11033" t="s">
        <v>8036</v>
      </c>
      <c r="F11033">
        <v>59.661900000000003</v>
      </c>
      <c r="G11033">
        <v>14.1831</v>
      </c>
      <c r="H11033">
        <v>1</v>
      </c>
      <c r="I11033">
        <v>133.4</v>
      </c>
      <c r="J11033" t="str">
        <f>HYPERLINK("https://climate.onebuilding.org/WMO_Region_6_Europe/SWE_Sweden/VR_Varmland/SWE_VR_Daglosen.024290_TMYx.2004-2018.zip")</f>
        <v>https://climate.onebuilding.org/WMO_Region_6_Europe/SWE_Sweden/VR_Varmland/SWE_VR_Daglosen.024290_TMYx.2004-2018.zip</v>
      </c>
    </row>
    <row r="11034" spans="1:10" x14ac:dyDescent="0.25">
      <c r="A11034" t="s">
        <v>7602</v>
      </c>
      <c r="B11034" t="s">
        <v>60</v>
      </c>
      <c r="C11034" t="s">
        <v>8034</v>
      </c>
      <c r="D11034" s="1" t="s">
        <v>8035</v>
      </c>
      <c r="E11034" t="s">
        <v>14</v>
      </c>
      <c r="F11034">
        <v>59.661900000000003</v>
      </c>
      <c r="G11034">
        <v>14.1831</v>
      </c>
      <c r="H11034">
        <v>1</v>
      </c>
      <c r="I11034">
        <v>133.4</v>
      </c>
      <c r="J11034" t="str">
        <f>HYPERLINK("https://climate.onebuilding.org/WMO_Region_6_Europe/SWE_Sweden/VR_Varmland/SWE_VR_Daglosen.024290_TMYx.2007-2021.zip")</f>
        <v>https://climate.onebuilding.org/WMO_Region_6_Europe/SWE_Sweden/VR_Varmland/SWE_VR_Daglosen.024290_TMYx.2007-2021.zip</v>
      </c>
    </row>
    <row r="11035" spans="1:10" x14ac:dyDescent="0.25">
      <c r="A11035" t="s">
        <v>7602</v>
      </c>
      <c r="B11035" t="s">
        <v>60</v>
      </c>
      <c r="C11035" t="s">
        <v>8034</v>
      </c>
      <c r="D11035" s="1" t="s">
        <v>8035</v>
      </c>
      <c r="E11035" t="s">
        <v>14</v>
      </c>
      <c r="F11035">
        <v>59.661900000000003</v>
      </c>
      <c r="G11035">
        <v>14.1831</v>
      </c>
      <c r="H11035">
        <v>1</v>
      </c>
      <c r="I11035">
        <v>133.4</v>
      </c>
      <c r="J11035" t="str">
        <f>HYPERLINK("https://climate.onebuilding.org/WMO_Region_6_Europe/SWE_Sweden/VR_Varmland/SWE_VR_Daglosen.024290_TMYx.2009-2023.zip")</f>
        <v>https://climate.onebuilding.org/WMO_Region_6_Europe/SWE_Sweden/VR_Varmland/SWE_VR_Daglosen.024290_TMYx.2009-2023.zip</v>
      </c>
    </row>
    <row r="11036" spans="1:10" x14ac:dyDescent="0.25">
      <c r="A11036" t="s">
        <v>7602</v>
      </c>
      <c r="B11036" t="s">
        <v>60</v>
      </c>
      <c r="C11036" t="s">
        <v>8034</v>
      </c>
      <c r="D11036" s="1" t="s">
        <v>8035</v>
      </c>
      <c r="E11036" t="s">
        <v>14</v>
      </c>
      <c r="F11036">
        <v>59.661900000000003</v>
      </c>
      <c r="G11036">
        <v>14.1831</v>
      </c>
      <c r="H11036">
        <v>1</v>
      </c>
      <c r="I11036">
        <v>133.4</v>
      </c>
      <c r="J11036" t="str">
        <f>HYPERLINK("https://climate.onebuilding.org/WMO_Region_6_Europe/SWE_Sweden/VR_Varmland/SWE_VR_Daglosen.024290_TMYx.zip")</f>
        <v>https://climate.onebuilding.org/WMO_Region_6_Europe/SWE_Sweden/VR_Varmland/SWE_VR_Daglosen.024290_TMYx.zip</v>
      </c>
    </row>
    <row r="11037" spans="1:10" x14ac:dyDescent="0.25">
      <c r="A11037" t="s">
        <v>7602</v>
      </c>
      <c r="B11037" t="s">
        <v>7655</v>
      </c>
      <c r="C11037" t="s">
        <v>8037</v>
      </c>
      <c r="D11037" s="1" t="s">
        <v>8038</v>
      </c>
      <c r="E11037" t="s">
        <v>8039</v>
      </c>
      <c r="F11037">
        <v>59.8703</v>
      </c>
      <c r="G11037">
        <v>15.2522</v>
      </c>
      <c r="H11037">
        <v>1</v>
      </c>
      <c r="I11037">
        <v>284.3</v>
      </c>
      <c r="J11037" t="str">
        <f>HYPERLINK("https://climate.onebuilding.org/WMO_Region_6_Europe/SWE_Sweden/OR_Orebro/SWE_OR_Kloten.024310_TMYx.2004-2018.zip")</f>
        <v>https://climate.onebuilding.org/WMO_Region_6_Europe/SWE_Sweden/OR_Orebro/SWE_OR_Kloten.024310_TMYx.2004-2018.zip</v>
      </c>
    </row>
    <row r="11038" spans="1:10" x14ac:dyDescent="0.25">
      <c r="A11038" t="s">
        <v>7602</v>
      </c>
      <c r="B11038" t="s">
        <v>7655</v>
      </c>
      <c r="C11038" t="s">
        <v>8037</v>
      </c>
      <c r="D11038" s="1" t="s">
        <v>8038</v>
      </c>
      <c r="E11038" t="s">
        <v>14</v>
      </c>
      <c r="F11038">
        <v>59.8703</v>
      </c>
      <c r="G11038">
        <v>15.2522</v>
      </c>
      <c r="H11038">
        <v>1</v>
      </c>
      <c r="I11038">
        <v>284.3</v>
      </c>
      <c r="J11038" t="str">
        <f>HYPERLINK("https://climate.onebuilding.org/WMO_Region_6_Europe/SWE_Sweden/OR_Orebro/SWE_OR_Kloten.024310_TMYx.2007-2021.zip")</f>
        <v>https://climate.onebuilding.org/WMO_Region_6_Europe/SWE_Sweden/OR_Orebro/SWE_OR_Kloten.024310_TMYx.2007-2021.zip</v>
      </c>
    </row>
    <row r="11039" spans="1:10" x14ac:dyDescent="0.25">
      <c r="A11039" t="s">
        <v>7602</v>
      </c>
      <c r="B11039" t="s">
        <v>7655</v>
      </c>
      <c r="C11039" t="s">
        <v>8037</v>
      </c>
      <c r="D11039" s="1" t="s">
        <v>8038</v>
      </c>
      <c r="E11039" t="s">
        <v>14</v>
      </c>
      <c r="F11039">
        <v>59.8703</v>
      </c>
      <c r="G11039">
        <v>15.2522</v>
      </c>
      <c r="H11039">
        <v>1</v>
      </c>
      <c r="I11039">
        <v>284.3</v>
      </c>
      <c r="J11039" t="str">
        <f>HYPERLINK("https://climate.onebuilding.org/WMO_Region_6_Europe/SWE_Sweden/OR_Orebro/SWE_OR_Kloten.024310_TMYx.2009-2023.zip")</f>
        <v>https://climate.onebuilding.org/WMO_Region_6_Europe/SWE_Sweden/OR_Orebro/SWE_OR_Kloten.024310_TMYx.2009-2023.zip</v>
      </c>
    </row>
    <row r="11040" spans="1:10" x14ac:dyDescent="0.25">
      <c r="A11040" t="s">
        <v>7602</v>
      </c>
      <c r="B11040" t="s">
        <v>7655</v>
      </c>
      <c r="C11040" t="s">
        <v>8037</v>
      </c>
      <c r="D11040" s="1" t="s">
        <v>8038</v>
      </c>
      <c r="E11040" t="s">
        <v>14</v>
      </c>
      <c r="F11040">
        <v>59.8703</v>
      </c>
      <c r="G11040">
        <v>15.2522</v>
      </c>
      <c r="H11040">
        <v>1</v>
      </c>
      <c r="I11040">
        <v>284.3</v>
      </c>
      <c r="J11040" t="str">
        <f>HYPERLINK("https://climate.onebuilding.org/WMO_Region_6_Europe/SWE_Sweden/OR_Orebro/SWE_OR_Kloten.024310_TMYx.zip")</f>
        <v>https://climate.onebuilding.org/WMO_Region_6_Europe/SWE_Sweden/OR_Orebro/SWE_OR_Kloten.024310_TMYx.zip</v>
      </c>
    </row>
    <row r="11041" spans="1:10" x14ac:dyDescent="0.25">
      <c r="A11041" t="s">
        <v>7602</v>
      </c>
      <c r="B11041" t="s">
        <v>7655</v>
      </c>
      <c r="C11041" t="s">
        <v>8040</v>
      </c>
      <c r="D11041" s="1" t="s">
        <v>8041</v>
      </c>
      <c r="E11041" t="s">
        <v>8042</v>
      </c>
      <c r="F11041">
        <v>59.228900000000003</v>
      </c>
      <c r="G11041">
        <v>15.0456</v>
      </c>
      <c r="H11041">
        <v>1</v>
      </c>
      <c r="I11041">
        <v>53</v>
      </c>
      <c r="J11041" t="str">
        <f>HYPERLINK("https://climate.onebuilding.org/WMO_Region_6_Europe/SWE_Sweden/OR_Orebro/SWE_OR_Orebro.AP.024320_TMYx.2004-2018.zip")</f>
        <v>https://climate.onebuilding.org/WMO_Region_6_Europe/SWE_Sweden/OR_Orebro/SWE_OR_Orebro.AP.024320_TMYx.2004-2018.zip</v>
      </c>
    </row>
    <row r="11042" spans="1:10" x14ac:dyDescent="0.25">
      <c r="A11042" t="s">
        <v>7602</v>
      </c>
      <c r="B11042" t="s">
        <v>7655</v>
      </c>
      <c r="C11042" t="s">
        <v>8040</v>
      </c>
      <c r="D11042" s="1" t="s">
        <v>8041</v>
      </c>
      <c r="E11042" t="s">
        <v>14</v>
      </c>
      <c r="F11042">
        <v>59.228900000000003</v>
      </c>
      <c r="G11042">
        <v>15.0456</v>
      </c>
      <c r="H11042">
        <v>1</v>
      </c>
      <c r="I11042">
        <v>53</v>
      </c>
      <c r="J11042" t="str">
        <f>HYPERLINK("https://climate.onebuilding.org/WMO_Region_6_Europe/SWE_Sweden/OR_Orebro/SWE_OR_Orebro.AP.024320_TMYx.2007-2021.zip")</f>
        <v>https://climate.onebuilding.org/WMO_Region_6_Europe/SWE_Sweden/OR_Orebro/SWE_OR_Orebro.AP.024320_TMYx.2007-2021.zip</v>
      </c>
    </row>
    <row r="11043" spans="1:10" x14ac:dyDescent="0.25">
      <c r="A11043" t="s">
        <v>7602</v>
      </c>
      <c r="B11043" t="s">
        <v>7655</v>
      </c>
      <c r="C11043" t="s">
        <v>8040</v>
      </c>
      <c r="D11043" s="1" t="s">
        <v>8041</v>
      </c>
      <c r="E11043" t="s">
        <v>14</v>
      </c>
      <c r="F11043">
        <v>59.228900000000003</v>
      </c>
      <c r="G11043">
        <v>15.0456</v>
      </c>
      <c r="H11043">
        <v>1</v>
      </c>
      <c r="I11043">
        <v>53</v>
      </c>
      <c r="J11043" t="str">
        <f>HYPERLINK("https://climate.onebuilding.org/WMO_Region_6_Europe/SWE_Sweden/OR_Orebro/SWE_OR_Orebro.AP.024320_TMYx.2009-2023.zip")</f>
        <v>https://climate.onebuilding.org/WMO_Region_6_Europe/SWE_Sweden/OR_Orebro/SWE_OR_Orebro.AP.024320_TMYx.2009-2023.zip</v>
      </c>
    </row>
    <row r="11044" spans="1:10" x14ac:dyDescent="0.25">
      <c r="A11044" t="s">
        <v>7602</v>
      </c>
      <c r="B11044" t="s">
        <v>7655</v>
      </c>
      <c r="C11044" t="s">
        <v>8040</v>
      </c>
      <c r="D11044" s="1" t="s">
        <v>8041</v>
      </c>
      <c r="E11044" t="s">
        <v>14</v>
      </c>
      <c r="F11044">
        <v>59.228900000000003</v>
      </c>
      <c r="G11044">
        <v>15.0456</v>
      </c>
      <c r="H11044">
        <v>1</v>
      </c>
      <c r="I11044">
        <v>53</v>
      </c>
      <c r="J11044" t="str">
        <f>HYPERLINK("https://climate.onebuilding.org/WMO_Region_6_Europe/SWE_Sweden/OR_Orebro/SWE_OR_Orebro.AP.024320_TMYx.zip")</f>
        <v>https://climate.onebuilding.org/WMO_Region_6_Europe/SWE_Sweden/OR_Orebro/SWE_OR_Orebro.AP.024320_TMYx.zip</v>
      </c>
    </row>
    <row r="11045" spans="1:10" x14ac:dyDescent="0.25">
      <c r="A11045" t="s">
        <v>7602</v>
      </c>
      <c r="B11045" t="s">
        <v>7574</v>
      </c>
      <c r="C11045" t="s">
        <v>8043</v>
      </c>
      <c r="D11045" s="1" t="s">
        <v>8044</v>
      </c>
      <c r="E11045" t="s">
        <v>8045</v>
      </c>
      <c r="F11045">
        <v>60.429200000000002</v>
      </c>
      <c r="G11045">
        <v>15.5008</v>
      </c>
      <c r="H11045">
        <v>1</v>
      </c>
      <c r="I11045">
        <v>149.9</v>
      </c>
      <c r="J11045" t="str">
        <f>HYPERLINK("https://climate.onebuilding.org/WMO_Region_6_Europe/SWE_Sweden/KO_Dalarna/SWE_KO_Borlange-Dala.AP.024350_TMYx.2004-2018.zip")</f>
        <v>https://climate.onebuilding.org/WMO_Region_6_Europe/SWE_Sweden/KO_Dalarna/SWE_KO_Borlange-Dala.AP.024350_TMYx.2004-2018.zip</v>
      </c>
    </row>
    <row r="11046" spans="1:10" x14ac:dyDescent="0.25">
      <c r="A11046" t="s">
        <v>7602</v>
      </c>
      <c r="B11046" t="s">
        <v>7574</v>
      </c>
      <c r="C11046" t="s">
        <v>8043</v>
      </c>
      <c r="D11046" s="1" t="s">
        <v>8044</v>
      </c>
      <c r="E11046" t="s">
        <v>14</v>
      </c>
      <c r="F11046">
        <v>60.429200000000002</v>
      </c>
      <c r="G11046">
        <v>15.5008</v>
      </c>
      <c r="H11046">
        <v>1</v>
      </c>
      <c r="I11046">
        <v>149.9</v>
      </c>
      <c r="J11046" t="str">
        <f>HYPERLINK("https://climate.onebuilding.org/WMO_Region_6_Europe/SWE_Sweden/KO_Dalarna/SWE_KO_Borlange-Dala.AP.024350_TMYx.2007-2021.zip")</f>
        <v>https://climate.onebuilding.org/WMO_Region_6_Europe/SWE_Sweden/KO_Dalarna/SWE_KO_Borlange-Dala.AP.024350_TMYx.2007-2021.zip</v>
      </c>
    </row>
    <row r="11047" spans="1:10" x14ac:dyDescent="0.25">
      <c r="A11047" t="s">
        <v>7602</v>
      </c>
      <c r="B11047" t="s">
        <v>7574</v>
      </c>
      <c r="C11047" t="s">
        <v>8043</v>
      </c>
      <c r="D11047" s="1" t="s">
        <v>8044</v>
      </c>
      <c r="E11047" t="s">
        <v>14</v>
      </c>
      <c r="F11047">
        <v>60.429200000000002</v>
      </c>
      <c r="G11047">
        <v>15.5008</v>
      </c>
      <c r="H11047">
        <v>1</v>
      </c>
      <c r="I11047">
        <v>149.9</v>
      </c>
      <c r="J11047" t="str">
        <f>HYPERLINK("https://climate.onebuilding.org/WMO_Region_6_Europe/SWE_Sweden/KO_Dalarna/SWE_KO_Borlange-Dala.AP.024350_TMYx.2009-2023.zip")</f>
        <v>https://climate.onebuilding.org/WMO_Region_6_Europe/SWE_Sweden/KO_Dalarna/SWE_KO_Borlange-Dala.AP.024350_TMYx.2009-2023.zip</v>
      </c>
    </row>
    <row r="11048" spans="1:10" x14ac:dyDescent="0.25">
      <c r="A11048" t="s">
        <v>7602</v>
      </c>
      <c r="B11048" t="s">
        <v>7574</v>
      </c>
      <c r="C11048" t="s">
        <v>8043</v>
      </c>
      <c r="D11048" s="1" t="s">
        <v>8044</v>
      </c>
      <c r="E11048" t="s">
        <v>14</v>
      </c>
      <c r="F11048">
        <v>60.429200000000002</v>
      </c>
      <c r="G11048">
        <v>15.5008</v>
      </c>
      <c r="H11048">
        <v>1</v>
      </c>
      <c r="I11048">
        <v>149.9</v>
      </c>
      <c r="J11048" t="str">
        <f>HYPERLINK("https://climate.onebuilding.org/WMO_Region_6_Europe/SWE_Sweden/KO_Dalarna/SWE_KO_Borlange-Dala.AP.024350_TMYx.zip")</f>
        <v>https://climate.onebuilding.org/WMO_Region_6_Europe/SWE_Sweden/KO_Dalarna/SWE_KO_Borlange-Dala.AP.024350_TMYx.zip</v>
      </c>
    </row>
    <row r="11049" spans="1:10" x14ac:dyDescent="0.25">
      <c r="A11049" t="s">
        <v>7602</v>
      </c>
      <c r="B11049" t="s">
        <v>7891</v>
      </c>
      <c r="C11049" t="s">
        <v>8046</v>
      </c>
      <c r="D11049" s="1" t="s">
        <v>8047</v>
      </c>
      <c r="E11049" t="s">
        <v>8048</v>
      </c>
      <c r="F11049">
        <v>60.962200000000003</v>
      </c>
      <c r="G11049">
        <v>16.431100000000001</v>
      </c>
      <c r="H11049">
        <v>1</v>
      </c>
      <c r="I11049">
        <v>161.80000000000001</v>
      </c>
      <c r="J11049" t="str">
        <f>HYPERLINK("https://climate.onebuilding.org/WMO_Region_6_Europe/SWE_Sweden/GV_Gavleborg/SWE_GV_Amot.024400_TMYx.2004-2018.zip")</f>
        <v>https://climate.onebuilding.org/WMO_Region_6_Europe/SWE_Sweden/GV_Gavleborg/SWE_GV_Amot.024400_TMYx.2004-2018.zip</v>
      </c>
    </row>
    <row r="11050" spans="1:10" x14ac:dyDescent="0.25">
      <c r="A11050" t="s">
        <v>7602</v>
      </c>
      <c r="B11050" t="s">
        <v>7891</v>
      </c>
      <c r="C11050" t="s">
        <v>8046</v>
      </c>
      <c r="D11050" s="1" t="s">
        <v>8047</v>
      </c>
      <c r="E11050" t="s">
        <v>14</v>
      </c>
      <c r="F11050">
        <v>60.962200000000003</v>
      </c>
      <c r="G11050">
        <v>16.431100000000001</v>
      </c>
      <c r="H11050">
        <v>1</v>
      </c>
      <c r="I11050">
        <v>161.80000000000001</v>
      </c>
      <c r="J11050" t="str">
        <f>HYPERLINK("https://climate.onebuilding.org/WMO_Region_6_Europe/SWE_Sweden/GV_Gavleborg/SWE_GV_Amot.024400_TMYx.2007-2021.zip")</f>
        <v>https://climate.onebuilding.org/WMO_Region_6_Europe/SWE_Sweden/GV_Gavleborg/SWE_GV_Amot.024400_TMYx.2007-2021.zip</v>
      </c>
    </row>
    <row r="11051" spans="1:10" x14ac:dyDescent="0.25">
      <c r="A11051" t="s">
        <v>7602</v>
      </c>
      <c r="B11051" t="s">
        <v>7891</v>
      </c>
      <c r="C11051" t="s">
        <v>8046</v>
      </c>
      <c r="D11051" s="1" t="s">
        <v>8047</v>
      </c>
      <c r="E11051" t="s">
        <v>14</v>
      </c>
      <c r="F11051">
        <v>60.962200000000003</v>
      </c>
      <c r="G11051">
        <v>16.431100000000001</v>
      </c>
      <c r="H11051">
        <v>1</v>
      </c>
      <c r="I11051">
        <v>161.80000000000001</v>
      </c>
      <c r="J11051" t="str">
        <f>HYPERLINK("https://climate.onebuilding.org/WMO_Region_6_Europe/SWE_Sweden/GV_Gavleborg/SWE_GV_Amot.024400_TMYx.2009-2023.zip")</f>
        <v>https://climate.onebuilding.org/WMO_Region_6_Europe/SWE_Sweden/GV_Gavleborg/SWE_GV_Amot.024400_TMYx.2009-2023.zip</v>
      </c>
    </row>
    <row r="11052" spans="1:10" x14ac:dyDescent="0.25">
      <c r="A11052" t="s">
        <v>7602</v>
      </c>
      <c r="B11052" t="s">
        <v>7891</v>
      </c>
      <c r="C11052" t="s">
        <v>8046</v>
      </c>
      <c r="D11052" s="1" t="s">
        <v>8047</v>
      </c>
      <c r="E11052" t="s">
        <v>14</v>
      </c>
      <c r="F11052">
        <v>60.962200000000003</v>
      </c>
      <c r="G11052">
        <v>16.431100000000001</v>
      </c>
      <c r="H11052">
        <v>1</v>
      </c>
      <c r="I11052">
        <v>161.80000000000001</v>
      </c>
      <c r="J11052" t="str">
        <f>HYPERLINK("https://climate.onebuilding.org/WMO_Region_6_Europe/SWE_Sweden/GV_Gavleborg/SWE_GV_Amot.024400_TMYx.zip")</f>
        <v>https://climate.onebuilding.org/WMO_Region_6_Europe/SWE_Sweden/GV_Gavleborg/SWE_GV_Amot.024400_TMYx.zip</v>
      </c>
    </row>
    <row r="11053" spans="1:10" x14ac:dyDescent="0.25">
      <c r="A11053" t="s">
        <v>7602</v>
      </c>
      <c r="B11053" t="s">
        <v>7574</v>
      </c>
      <c r="C11053" t="s">
        <v>8049</v>
      </c>
      <c r="D11053" s="1" t="s">
        <v>8050</v>
      </c>
      <c r="E11053" t="s">
        <v>8051</v>
      </c>
      <c r="F11053">
        <v>60.960799999999999</v>
      </c>
      <c r="G11053">
        <v>14.507199999999999</v>
      </c>
      <c r="H11053">
        <v>1</v>
      </c>
      <c r="I11053">
        <v>197</v>
      </c>
      <c r="J11053" t="str">
        <f>HYPERLINK("https://climate.onebuilding.org/WMO_Region_6_Europe/SWE_Sweden/KO_Dalarna/SWE_KO_Mora-Siljan.AP.024410_TMYx.2004-2018.zip")</f>
        <v>https://climate.onebuilding.org/WMO_Region_6_Europe/SWE_Sweden/KO_Dalarna/SWE_KO_Mora-Siljan.AP.024410_TMYx.2004-2018.zip</v>
      </c>
    </row>
    <row r="11054" spans="1:10" x14ac:dyDescent="0.25">
      <c r="A11054" t="s">
        <v>7602</v>
      </c>
      <c r="B11054" t="s">
        <v>7574</v>
      </c>
      <c r="C11054" t="s">
        <v>8049</v>
      </c>
      <c r="D11054" s="1" t="s">
        <v>8050</v>
      </c>
      <c r="E11054" t="s">
        <v>14</v>
      </c>
      <c r="F11054">
        <v>60.960799999999999</v>
      </c>
      <c r="G11054">
        <v>14.507199999999999</v>
      </c>
      <c r="H11054">
        <v>1</v>
      </c>
      <c r="I11054">
        <v>197</v>
      </c>
      <c r="J11054" t="str">
        <f>HYPERLINK("https://climate.onebuilding.org/WMO_Region_6_Europe/SWE_Sweden/KO_Dalarna/SWE_KO_Mora-Siljan.AP.024410_TMYx.2007-2021.zip")</f>
        <v>https://climate.onebuilding.org/WMO_Region_6_Europe/SWE_Sweden/KO_Dalarna/SWE_KO_Mora-Siljan.AP.024410_TMYx.2007-2021.zip</v>
      </c>
    </row>
    <row r="11055" spans="1:10" x14ac:dyDescent="0.25">
      <c r="A11055" t="s">
        <v>7602</v>
      </c>
      <c r="B11055" t="s">
        <v>7574</v>
      </c>
      <c r="C11055" t="s">
        <v>8049</v>
      </c>
      <c r="D11055" s="1" t="s">
        <v>8050</v>
      </c>
      <c r="E11055" t="s">
        <v>14</v>
      </c>
      <c r="F11055">
        <v>60.960799999999999</v>
      </c>
      <c r="G11055">
        <v>14.507199999999999</v>
      </c>
      <c r="H11055">
        <v>1</v>
      </c>
      <c r="I11055">
        <v>197</v>
      </c>
      <c r="J11055" t="str">
        <f>HYPERLINK("https://climate.onebuilding.org/WMO_Region_6_Europe/SWE_Sweden/KO_Dalarna/SWE_KO_Mora-Siljan.AP.024410_TMYx.2009-2023.zip")</f>
        <v>https://climate.onebuilding.org/WMO_Region_6_Europe/SWE_Sweden/KO_Dalarna/SWE_KO_Mora-Siljan.AP.024410_TMYx.2009-2023.zip</v>
      </c>
    </row>
    <row r="11056" spans="1:10" x14ac:dyDescent="0.25">
      <c r="A11056" t="s">
        <v>7602</v>
      </c>
      <c r="B11056" t="s">
        <v>7574</v>
      </c>
      <c r="C11056" t="s">
        <v>8049</v>
      </c>
      <c r="D11056" s="1" t="s">
        <v>8050</v>
      </c>
      <c r="E11056" t="s">
        <v>14</v>
      </c>
      <c r="F11056">
        <v>60.960799999999999</v>
      </c>
      <c r="G11056">
        <v>14.507199999999999</v>
      </c>
      <c r="H11056">
        <v>1</v>
      </c>
      <c r="I11056">
        <v>197</v>
      </c>
      <c r="J11056" t="str">
        <f>HYPERLINK("https://climate.onebuilding.org/WMO_Region_6_Europe/SWE_Sweden/KO_Dalarna/SWE_KO_Mora-Siljan.AP.024410_TMYx.zip")</f>
        <v>https://climate.onebuilding.org/WMO_Region_6_Europe/SWE_Sweden/KO_Dalarna/SWE_KO_Mora-Siljan.AP.024410_TMYx.zip</v>
      </c>
    </row>
    <row r="11057" spans="1:10" x14ac:dyDescent="0.25">
      <c r="A11057" t="s">
        <v>7602</v>
      </c>
      <c r="B11057" t="s">
        <v>7721</v>
      </c>
      <c r="C11057" t="s">
        <v>8052</v>
      </c>
      <c r="D11057" s="1" t="s">
        <v>8053</v>
      </c>
      <c r="E11057" t="s">
        <v>8054</v>
      </c>
      <c r="F11057">
        <v>59.65</v>
      </c>
      <c r="G11057">
        <v>17.116700000000002</v>
      </c>
      <c r="H11057">
        <v>1</v>
      </c>
      <c r="I11057">
        <v>26</v>
      </c>
      <c r="J11057" t="str">
        <f>HYPERLINK("https://climate.onebuilding.org/WMO_Region_6_Europe/SWE_Sweden/UP_Uppsala/SWE_UP_Enkoping.024430_TMYx.2004-2018.zip")</f>
        <v>https://climate.onebuilding.org/WMO_Region_6_Europe/SWE_Sweden/UP_Uppsala/SWE_UP_Enkoping.024430_TMYx.2004-2018.zip</v>
      </c>
    </row>
    <row r="11058" spans="1:10" x14ac:dyDescent="0.25">
      <c r="A11058" t="s">
        <v>7602</v>
      </c>
      <c r="B11058" t="s">
        <v>7721</v>
      </c>
      <c r="C11058" t="s">
        <v>8052</v>
      </c>
      <c r="D11058" s="1" t="s">
        <v>8053</v>
      </c>
      <c r="E11058" t="s">
        <v>14</v>
      </c>
      <c r="F11058">
        <v>59.655999999999999</v>
      </c>
      <c r="G11058">
        <v>17.111999999999998</v>
      </c>
      <c r="H11058">
        <v>1</v>
      </c>
      <c r="I11058">
        <v>26</v>
      </c>
      <c r="J11058" t="str">
        <f>HYPERLINK("https://climate.onebuilding.org/WMO_Region_6_Europe/SWE_Sweden/UP_Uppsala/SWE_UP_Enkoping.024430_TMYx.2007-2021.zip")</f>
        <v>https://climate.onebuilding.org/WMO_Region_6_Europe/SWE_Sweden/UP_Uppsala/SWE_UP_Enkoping.024430_TMYx.2007-2021.zip</v>
      </c>
    </row>
    <row r="11059" spans="1:10" x14ac:dyDescent="0.25">
      <c r="A11059" t="s">
        <v>7602</v>
      </c>
      <c r="B11059" t="s">
        <v>7721</v>
      </c>
      <c r="C11059" t="s">
        <v>8052</v>
      </c>
      <c r="D11059" s="1" t="s">
        <v>8053</v>
      </c>
      <c r="E11059" t="s">
        <v>14</v>
      </c>
      <c r="F11059">
        <v>59.655999999999999</v>
      </c>
      <c r="G11059">
        <v>17.111999999999998</v>
      </c>
      <c r="H11059">
        <v>1</v>
      </c>
      <c r="I11059">
        <v>26</v>
      </c>
      <c r="J11059" t="str">
        <f>HYPERLINK("https://climate.onebuilding.org/WMO_Region_6_Europe/SWE_Sweden/UP_Uppsala/SWE_UP_Enkoping.024430_TMYx.2009-2023.zip")</f>
        <v>https://climate.onebuilding.org/WMO_Region_6_Europe/SWE_Sweden/UP_Uppsala/SWE_UP_Enkoping.024430_TMYx.2009-2023.zip</v>
      </c>
    </row>
    <row r="11060" spans="1:10" x14ac:dyDescent="0.25">
      <c r="A11060" t="s">
        <v>7602</v>
      </c>
      <c r="B11060" t="s">
        <v>7721</v>
      </c>
      <c r="C11060" t="s">
        <v>8052</v>
      </c>
      <c r="D11060" s="1" t="s">
        <v>8053</v>
      </c>
      <c r="E11060" t="s">
        <v>14</v>
      </c>
      <c r="F11060">
        <v>59.655999999999999</v>
      </c>
      <c r="G11060">
        <v>17.111999999999998</v>
      </c>
      <c r="H11060">
        <v>1</v>
      </c>
      <c r="I11060">
        <v>26</v>
      </c>
      <c r="J11060" t="str">
        <f>HYPERLINK("https://climate.onebuilding.org/WMO_Region_6_Europe/SWE_Sweden/UP_Uppsala/SWE_UP_Enkoping.024430_TMYx.zip")</f>
        <v>https://climate.onebuilding.org/WMO_Region_6_Europe/SWE_Sweden/UP_Uppsala/SWE_UP_Enkoping.024430_TMYx.zip</v>
      </c>
    </row>
    <row r="11061" spans="1:10" x14ac:dyDescent="0.25">
      <c r="A11061" t="s">
        <v>7602</v>
      </c>
      <c r="B11061" t="s">
        <v>7574</v>
      </c>
      <c r="C11061" t="s">
        <v>8055</v>
      </c>
      <c r="D11061" s="1" t="s">
        <v>8056</v>
      </c>
      <c r="E11061" t="s">
        <v>14</v>
      </c>
      <c r="F11061">
        <v>60.167819999999999</v>
      </c>
      <c r="G11061">
        <v>16.31861</v>
      </c>
      <c r="H11061">
        <v>1</v>
      </c>
      <c r="I11061">
        <v>78</v>
      </c>
      <c r="J11061" t="str">
        <f>HYPERLINK("https://climate.onebuilding.org/WMO_Region_6_Europe/SWE_Sweden/KO_Dalarna/SWE_KO_Folkarna.024440_TMYx.zip")</f>
        <v>https://climate.onebuilding.org/WMO_Region_6_Europe/SWE_Sweden/KO_Dalarna/SWE_KO_Folkarna.024440_TMYx.zip</v>
      </c>
    </row>
    <row r="11062" spans="1:10" x14ac:dyDescent="0.25">
      <c r="A11062" t="s">
        <v>7602</v>
      </c>
      <c r="B11062" t="s">
        <v>8057</v>
      </c>
      <c r="C11062" t="s">
        <v>8058</v>
      </c>
      <c r="D11062" s="1" t="s">
        <v>8059</v>
      </c>
      <c r="E11062" t="s">
        <v>8060</v>
      </c>
      <c r="F11062">
        <v>59.588999999999999</v>
      </c>
      <c r="G11062">
        <v>16.634</v>
      </c>
      <c r="H11062">
        <v>1</v>
      </c>
      <c r="I11062">
        <v>6.4</v>
      </c>
      <c r="J11062" t="str">
        <f>HYPERLINK("https://climate.onebuilding.org/WMO_Region_6_Europe/SWE_Sweden/VM_Vastmanland/SWE_VM_Stockholm.Vasteras.AP.024460_TMYx.2004-2018.zip")</f>
        <v>https://climate.onebuilding.org/WMO_Region_6_Europe/SWE_Sweden/VM_Vastmanland/SWE_VM_Stockholm.Vasteras.AP.024460_TMYx.2004-2018.zip</v>
      </c>
    </row>
    <row r="11063" spans="1:10" x14ac:dyDescent="0.25">
      <c r="A11063" t="s">
        <v>7602</v>
      </c>
      <c r="B11063" t="s">
        <v>8057</v>
      </c>
      <c r="C11063" t="s">
        <v>8058</v>
      </c>
      <c r="D11063" s="1" t="s">
        <v>8059</v>
      </c>
      <c r="E11063" t="s">
        <v>14</v>
      </c>
      <c r="F11063">
        <v>59.588999999999999</v>
      </c>
      <c r="G11063">
        <v>16.634</v>
      </c>
      <c r="H11063">
        <v>1</v>
      </c>
      <c r="I11063">
        <v>6.4</v>
      </c>
      <c r="J11063" t="str">
        <f>HYPERLINK("https://climate.onebuilding.org/WMO_Region_6_Europe/SWE_Sweden/VM_Vastmanland/SWE_VM_Stockholm.Vasteras.AP.024460_TMYx.2007-2021.zip")</f>
        <v>https://climate.onebuilding.org/WMO_Region_6_Europe/SWE_Sweden/VM_Vastmanland/SWE_VM_Stockholm.Vasteras.AP.024460_TMYx.2007-2021.zip</v>
      </c>
    </row>
    <row r="11064" spans="1:10" x14ac:dyDescent="0.25">
      <c r="A11064" t="s">
        <v>7602</v>
      </c>
      <c r="B11064" t="s">
        <v>8057</v>
      </c>
      <c r="C11064" t="s">
        <v>8058</v>
      </c>
      <c r="D11064" s="1" t="s">
        <v>8059</v>
      </c>
      <c r="E11064" t="s">
        <v>14</v>
      </c>
      <c r="F11064">
        <v>59.588999999999999</v>
      </c>
      <c r="G11064">
        <v>16.634</v>
      </c>
      <c r="H11064">
        <v>1</v>
      </c>
      <c r="I11064">
        <v>6.4</v>
      </c>
      <c r="J11064" t="str">
        <f>HYPERLINK("https://climate.onebuilding.org/WMO_Region_6_Europe/SWE_Sweden/VM_Vastmanland/SWE_VM_Stockholm.Vasteras.AP.024460_TMYx.2009-2023.zip")</f>
        <v>https://climate.onebuilding.org/WMO_Region_6_Europe/SWE_Sweden/VM_Vastmanland/SWE_VM_Stockholm.Vasteras.AP.024460_TMYx.2009-2023.zip</v>
      </c>
    </row>
    <row r="11065" spans="1:10" x14ac:dyDescent="0.25">
      <c r="A11065" t="s">
        <v>7602</v>
      </c>
      <c r="B11065" t="s">
        <v>8057</v>
      </c>
      <c r="C11065" t="s">
        <v>8058</v>
      </c>
      <c r="D11065" s="1" t="s">
        <v>8059</v>
      </c>
      <c r="E11065" t="s">
        <v>14</v>
      </c>
      <c r="F11065">
        <v>59.588999999999999</v>
      </c>
      <c r="G11065">
        <v>16.634</v>
      </c>
      <c r="H11065">
        <v>1</v>
      </c>
      <c r="I11065">
        <v>6.4</v>
      </c>
      <c r="J11065" t="str">
        <f>HYPERLINK("https://climate.onebuilding.org/WMO_Region_6_Europe/SWE_Sweden/VM_Vastmanland/SWE_VM_Stockholm.Vasteras.AP.024460_TMYx.zip")</f>
        <v>https://climate.onebuilding.org/WMO_Region_6_Europe/SWE_Sweden/VM_Vastmanland/SWE_VM_Stockholm.Vasteras.AP.024460_TMYx.zip</v>
      </c>
    </row>
    <row r="11066" spans="1:10" x14ac:dyDescent="0.25">
      <c r="A11066" t="s">
        <v>7602</v>
      </c>
      <c r="B11066" t="s">
        <v>44</v>
      </c>
      <c r="C11066" t="s">
        <v>8061</v>
      </c>
      <c r="D11066" s="1" t="s">
        <v>8062</v>
      </c>
      <c r="E11066" t="s">
        <v>8063</v>
      </c>
      <c r="F11066">
        <v>59.350700000000003</v>
      </c>
      <c r="G11066">
        <v>16.706800000000001</v>
      </c>
      <c r="H11066">
        <v>1</v>
      </c>
      <c r="I11066">
        <v>12.4</v>
      </c>
      <c r="J11066" t="str">
        <f>HYPERLINK("https://climate.onebuilding.org/WMO_Region_6_Europe/SWE_Sweden/SD_Sodermanland/SWE_SD_Eskilstuna.AP.024490_TMYx.2004-2018.zip")</f>
        <v>https://climate.onebuilding.org/WMO_Region_6_Europe/SWE_Sweden/SD_Sodermanland/SWE_SD_Eskilstuna.AP.024490_TMYx.2004-2018.zip</v>
      </c>
    </row>
    <row r="11067" spans="1:10" x14ac:dyDescent="0.25">
      <c r="A11067" t="s">
        <v>7602</v>
      </c>
      <c r="B11067" t="s">
        <v>44</v>
      </c>
      <c r="C11067" t="s">
        <v>8061</v>
      </c>
      <c r="D11067" s="1" t="s">
        <v>8062</v>
      </c>
      <c r="E11067" t="s">
        <v>14</v>
      </c>
      <c r="F11067">
        <v>59.3825</v>
      </c>
      <c r="G11067">
        <v>16.452200000000001</v>
      </c>
      <c r="H11067">
        <v>1</v>
      </c>
      <c r="I11067">
        <v>12.4</v>
      </c>
      <c r="J11067" t="str">
        <f>HYPERLINK("https://climate.onebuilding.org/WMO_Region_6_Europe/SWE_Sweden/SD_Sodermanland/SWE_SD_Eskilstuna.AP.024490_TMYx.2007-2021.zip")</f>
        <v>https://climate.onebuilding.org/WMO_Region_6_Europe/SWE_Sweden/SD_Sodermanland/SWE_SD_Eskilstuna.AP.024490_TMYx.2007-2021.zip</v>
      </c>
    </row>
    <row r="11068" spans="1:10" x14ac:dyDescent="0.25">
      <c r="A11068" t="s">
        <v>7602</v>
      </c>
      <c r="B11068" t="s">
        <v>44</v>
      </c>
      <c r="C11068" t="s">
        <v>8061</v>
      </c>
      <c r="D11068" s="1" t="s">
        <v>8062</v>
      </c>
      <c r="E11068" t="s">
        <v>14</v>
      </c>
      <c r="F11068">
        <v>59.3825</v>
      </c>
      <c r="G11068">
        <v>16.452200000000001</v>
      </c>
      <c r="H11068">
        <v>1</v>
      </c>
      <c r="I11068">
        <v>12.4</v>
      </c>
      <c r="J11068" t="str">
        <f>HYPERLINK("https://climate.onebuilding.org/WMO_Region_6_Europe/SWE_Sweden/SD_Sodermanland/SWE_SD_Eskilstuna.AP.024490_TMYx.2009-2023.zip")</f>
        <v>https://climate.onebuilding.org/WMO_Region_6_Europe/SWE_Sweden/SD_Sodermanland/SWE_SD_Eskilstuna.AP.024490_TMYx.2009-2023.zip</v>
      </c>
    </row>
    <row r="11069" spans="1:10" x14ac:dyDescent="0.25">
      <c r="A11069" t="s">
        <v>7602</v>
      </c>
      <c r="B11069" t="s">
        <v>44</v>
      </c>
      <c r="C11069" t="s">
        <v>8061</v>
      </c>
      <c r="D11069" s="1" t="s">
        <v>8062</v>
      </c>
      <c r="E11069" t="s">
        <v>14</v>
      </c>
      <c r="F11069">
        <v>59.3825</v>
      </c>
      <c r="G11069">
        <v>16.452200000000001</v>
      </c>
      <c r="H11069">
        <v>1</v>
      </c>
      <c r="I11069">
        <v>12.4</v>
      </c>
      <c r="J11069" t="str">
        <f>HYPERLINK("https://climate.onebuilding.org/WMO_Region_6_Europe/SWE_Sweden/SD_Sodermanland/SWE_SD_Eskilstuna.AP.024490_TMYx.zip")</f>
        <v>https://climate.onebuilding.org/WMO_Region_6_Europe/SWE_Sweden/SD_Sodermanland/SWE_SD_Eskilstuna.AP.024490_TMYx.zip</v>
      </c>
    </row>
    <row r="11070" spans="1:10" x14ac:dyDescent="0.25">
      <c r="A11070" t="s">
        <v>7602</v>
      </c>
      <c r="B11070" t="s">
        <v>7891</v>
      </c>
      <c r="C11070" t="s">
        <v>8064</v>
      </c>
      <c r="D11070" s="1" t="s">
        <v>8065</v>
      </c>
      <c r="E11070" t="s">
        <v>8066</v>
      </c>
      <c r="F11070">
        <v>60.729599999999998</v>
      </c>
      <c r="G11070">
        <v>17.5578</v>
      </c>
      <c r="H11070">
        <v>1</v>
      </c>
      <c r="I11070">
        <v>3.9</v>
      </c>
      <c r="J11070" t="str">
        <f>HYPERLINK("https://climate.onebuilding.org/WMO_Region_6_Europe/SWE_Sweden/GV_Gavleborg/SWE_GV_Eggegrund.Lighthouse.024500_TMYx.2004-2018.zip")</f>
        <v>https://climate.onebuilding.org/WMO_Region_6_Europe/SWE_Sweden/GV_Gavleborg/SWE_GV_Eggegrund.Lighthouse.024500_TMYx.2004-2018.zip</v>
      </c>
    </row>
    <row r="11071" spans="1:10" x14ac:dyDescent="0.25">
      <c r="A11071" t="s">
        <v>7602</v>
      </c>
      <c r="B11071" t="s">
        <v>7891</v>
      </c>
      <c r="C11071" t="s">
        <v>8064</v>
      </c>
      <c r="D11071" s="1" t="s">
        <v>8065</v>
      </c>
      <c r="E11071" t="s">
        <v>14</v>
      </c>
      <c r="F11071">
        <v>60.729599999999998</v>
      </c>
      <c r="G11071">
        <v>17.5578</v>
      </c>
      <c r="H11071">
        <v>1</v>
      </c>
      <c r="I11071">
        <v>3.9</v>
      </c>
      <c r="J11071" t="str">
        <f>HYPERLINK("https://climate.onebuilding.org/WMO_Region_6_Europe/SWE_Sweden/GV_Gavleborg/SWE_GV_Eggegrund.Lighthouse.024500_TMYx.2007-2021.zip")</f>
        <v>https://climate.onebuilding.org/WMO_Region_6_Europe/SWE_Sweden/GV_Gavleborg/SWE_GV_Eggegrund.Lighthouse.024500_TMYx.2007-2021.zip</v>
      </c>
    </row>
    <row r="11072" spans="1:10" x14ac:dyDescent="0.25">
      <c r="A11072" t="s">
        <v>7602</v>
      </c>
      <c r="B11072" t="s">
        <v>7891</v>
      </c>
      <c r="C11072" t="s">
        <v>8064</v>
      </c>
      <c r="D11072" s="1" t="s">
        <v>8065</v>
      </c>
      <c r="E11072" t="s">
        <v>14</v>
      </c>
      <c r="F11072">
        <v>60.729599999999998</v>
      </c>
      <c r="G11072">
        <v>17.5578</v>
      </c>
      <c r="H11072">
        <v>1</v>
      </c>
      <c r="I11072">
        <v>3.9</v>
      </c>
      <c r="J11072" t="str">
        <f>HYPERLINK("https://climate.onebuilding.org/WMO_Region_6_Europe/SWE_Sweden/GV_Gavleborg/SWE_GV_Eggegrund.Lighthouse.024500_TMYx.2009-2023.zip")</f>
        <v>https://climate.onebuilding.org/WMO_Region_6_Europe/SWE_Sweden/GV_Gavleborg/SWE_GV_Eggegrund.Lighthouse.024500_TMYx.2009-2023.zip</v>
      </c>
    </row>
    <row r="11073" spans="1:10" x14ac:dyDescent="0.25">
      <c r="A11073" t="s">
        <v>7602</v>
      </c>
      <c r="B11073" t="s">
        <v>7891</v>
      </c>
      <c r="C11073" t="s">
        <v>8064</v>
      </c>
      <c r="D11073" s="1" t="s">
        <v>8065</v>
      </c>
      <c r="E11073" t="s">
        <v>14</v>
      </c>
      <c r="F11073">
        <v>60.729599999999998</v>
      </c>
      <c r="G11073">
        <v>17.5578</v>
      </c>
      <c r="H11073">
        <v>1</v>
      </c>
      <c r="I11073">
        <v>3.9</v>
      </c>
      <c r="J11073" t="str">
        <f>HYPERLINK("https://climate.onebuilding.org/WMO_Region_6_Europe/SWE_Sweden/GV_Gavleborg/SWE_GV_Eggegrund.Lighthouse.024500_TMYx.zip")</f>
        <v>https://climate.onebuilding.org/WMO_Region_6_Europe/SWE_Sweden/GV_Gavleborg/SWE_GV_Eggegrund.Lighthouse.024500_TMYx.zip</v>
      </c>
    </row>
    <row r="11074" spans="1:10" x14ac:dyDescent="0.25">
      <c r="A11074" t="s">
        <v>7602</v>
      </c>
      <c r="B11074" t="s">
        <v>7655</v>
      </c>
      <c r="C11074" t="s">
        <v>8067</v>
      </c>
      <c r="D11074" s="1" t="s">
        <v>8068</v>
      </c>
      <c r="E11074" t="s">
        <v>8069</v>
      </c>
      <c r="F11074">
        <v>59.299399999999999</v>
      </c>
      <c r="G11074">
        <v>14.8986</v>
      </c>
      <c r="H11074">
        <v>1</v>
      </c>
      <c r="I11074">
        <v>218.9</v>
      </c>
      <c r="J11074" t="str">
        <f>HYPERLINK("https://climate.onebuilding.org/WMO_Region_6_Europe/SWE_Sweden/OR_Orebro/SWE_OR_Kilsbergen-Suttarboda.024520_TMYx.2004-2018.zip")</f>
        <v>https://climate.onebuilding.org/WMO_Region_6_Europe/SWE_Sweden/OR_Orebro/SWE_OR_Kilsbergen-Suttarboda.024520_TMYx.2004-2018.zip</v>
      </c>
    </row>
    <row r="11075" spans="1:10" x14ac:dyDescent="0.25">
      <c r="A11075" t="s">
        <v>7602</v>
      </c>
      <c r="B11075" t="s">
        <v>7655</v>
      </c>
      <c r="C11075" t="s">
        <v>8067</v>
      </c>
      <c r="D11075" s="1" t="s">
        <v>8068</v>
      </c>
      <c r="E11075" t="s">
        <v>14</v>
      </c>
      <c r="F11075">
        <v>59.299399999999999</v>
      </c>
      <c r="G11075">
        <v>14.8986</v>
      </c>
      <c r="H11075">
        <v>1</v>
      </c>
      <c r="I11075">
        <v>218.9</v>
      </c>
      <c r="J11075" t="str">
        <f>HYPERLINK("https://climate.onebuilding.org/WMO_Region_6_Europe/SWE_Sweden/OR_Orebro/SWE_OR_Kilsbergen-Suttarboda.024520_TMYx.2007-2021.zip")</f>
        <v>https://climate.onebuilding.org/WMO_Region_6_Europe/SWE_Sweden/OR_Orebro/SWE_OR_Kilsbergen-Suttarboda.024520_TMYx.2007-2021.zip</v>
      </c>
    </row>
    <row r="11076" spans="1:10" x14ac:dyDescent="0.25">
      <c r="A11076" t="s">
        <v>7602</v>
      </c>
      <c r="B11076" t="s">
        <v>7655</v>
      </c>
      <c r="C11076" t="s">
        <v>8067</v>
      </c>
      <c r="D11076" s="1" t="s">
        <v>8068</v>
      </c>
      <c r="E11076" t="s">
        <v>14</v>
      </c>
      <c r="F11076">
        <v>59.299399999999999</v>
      </c>
      <c r="G11076">
        <v>14.8986</v>
      </c>
      <c r="H11076">
        <v>1</v>
      </c>
      <c r="I11076">
        <v>218.9</v>
      </c>
      <c r="J11076" t="str">
        <f>HYPERLINK("https://climate.onebuilding.org/WMO_Region_6_Europe/SWE_Sweden/OR_Orebro/SWE_OR_Kilsbergen-Suttarboda.024520_TMYx.2009-2023.zip")</f>
        <v>https://climate.onebuilding.org/WMO_Region_6_Europe/SWE_Sweden/OR_Orebro/SWE_OR_Kilsbergen-Suttarboda.024520_TMYx.2009-2023.zip</v>
      </c>
    </row>
    <row r="11077" spans="1:10" x14ac:dyDescent="0.25">
      <c r="A11077" t="s">
        <v>7602</v>
      </c>
      <c r="B11077" t="s">
        <v>7655</v>
      </c>
      <c r="C11077" t="s">
        <v>8067</v>
      </c>
      <c r="D11077" s="1" t="s">
        <v>8068</v>
      </c>
      <c r="E11077" t="s">
        <v>14</v>
      </c>
      <c r="F11077">
        <v>59.299399999999999</v>
      </c>
      <c r="G11077">
        <v>14.8986</v>
      </c>
      <c r="H11077">
        <v>1</v>
      </c>
      <c r="I11077">
        <v>218.9</v>
      </c>
      <c r="J11077" t="str">
        <f>HYPERLINK("https://climate.onebuilding.org/WMO_Region_6_Europe/SWE_Sweden/OR_Orebro/SWE_OR_Kilsbergen-Suttarboda.024520_TMYx.zip")</f>
        <v>https://climate.onebuilding.org/WMO_Region_6_Europe/SWE_Sweden/OR_Orebro/SWE_OR_Kilsbergen-Suttarboda.024520_TMYx.zip</v>
      </c>
    </row>
    <row r="11078" spans="1:10" x14ac:dyDescent="0.25">
      <c r="A11078" t="s">
        <v>7602</v>
      </c>
      <c r="B11078" t="s">
        <v>7891</v>
      </c>
      <c r="C11078" t="s">
        <v>8070</v>
      </c>
      <c r="D11078" s="1" t="s">
        <v>8071</v>
      </c>
      <c r="E11078" t="s">
        <v>8072</v>
      </c>
      <c r="F11078">
        <v>60.595599999999997</v>
      </c>
      <c r="G11078">
        <v>16.9559</v>
      </c>
      <c r="H11078">
        <v>1</v>
      </c>
      <c r="I11078">
        <v>61</v>
      </c>
      <c r="J11078" t="str">
        <f>HYPERLINK("https://climate.onebuilding.org/WMO_Region_6_Europe/SWE_Sweden/GV_Gavleborg/SWE_GV_Gavle.024530_TMYx.2004-2018.zip")</f>
        <v>https://climate.onebuilding.org/WMO_Region_6_Europe/SWE_Sweden/GV_Gavleborg/SWE_GV_Gavle.024530_TMYx.2004-2018.zip</v>
      </c>
    </row>
    <row r="11079" spans="1:10" x14ac:dyDescent="0.25">
      <c r="A11079" t="s">
        <v>7602</v>
      </c>
      <c r="B11079" t="s">
        <v>7891</v>
      </c>
      <c r="C11079" t="s">
        <v>8070</v>
      </c>
      <c r="D11079" s="1" t="s">
        <v>8071</v>
      </c>
      <c r="E11079" t="s">
        <v>14</v>
      </c>
      <c r="F11079">
        <v>60.716099999999997</v>
      </c>
      <c r="G11079">
        <v>17.160699999999999</v>
      </c>
      <c r="H11079">
        <v>1</v>
      </c>
      <c r="I11079">
        <v>61</v>
      </c>
      <c r="J11079" t="str">
        <f>HYPERLINK("https://climate.onebuilding.org/WMO_Region_6_Europe/SWE_Sweden/GV_Gavleborg/SWE_GV_Gavle.024530_TMYx.2007-2021.zip")</f>
        <v>https://climate.onebuilding.org/WMO_Region_6_Europe/SWE_Sweden/GV_Gavleborg/SWE_GV_Gavle.024530_TMYx.2007-2021.zip</v>
      </c>
    </row>
    <row r="11080" spans="1:10" x14ac:dyDescent="0.25">
      <c r="A11080" t="s">
        <v>7602</v>
      </c>
      <c r="B11080" t="s">
        <v>7891</v>
      </c>
      <c r="C11080" t="s">
        <v>8070</v>
      </c>
      <c r="D11080" s="1" t="s">
        <v>8071</v>
      </c>
      <c r="E11080" t="s">
        <v>14</v>
      </c>
      <c r="F11080">
        <v>60.716099999999997</v>
      </c>
      <c r="G11080">
        <v>17.160699999999999</v>
      </c>
      <c r="H11080">
        <v>1</v>
      </c>
      <c r="I11080">
        <v>61</v>
      </c>
      <c r="J11080" t="str">
        <f>HYPERLINK("https://climate.onebuilding.org/WMO_Region_6_Europe/SWE_Sweden/GV_Gavleborg/SWE_GV_Gavle.024530_TMYx.2009-2023.zip")</f>
        <v>https://climate.onebuilding.org/WMO_Region_6_Europe/SWE_Sweden/GV_Gavleborg/SWE_GV_Gavle.024530_TMYx.2009-2023.zip</v>
      </c>
    </row>
    <row r="11081" spans="1:10" x14ac:dyDescent="0.25">
      <c r="A11081" t="s">
        <v>7602</v>
      </c>
      <c r="B11081" t="s">
        <v>7891</v>
      </c>
      <c r="C11081" t="s">
        <v>8070</v>
      </c>
      <c r="D11081" s="1" t="s">
        <v>8071</v>
      </c>
      <c r="E11081" t="s">
        <v>14</v>
      </c>
      <c r="F11081">
        <v>60.716099999999997</v>
      </c>
      <c r="G11081">
        <v>17.160699999999999</v>
      </c>
      <c r="H11081">
        <v>1</v>
      </c>
      <c r="I11081">
        <v>61</v>
      </c>
      <c r="J11081" t="str">
        <f>HYPERLINK("https://climate.onebuilding.org/WMO_Region_6_Europe/SWE_Sweden/GV_Gavleborg/SWE_GV_Gavle.024530_TMYx.zip")</f>
        <v>https://climate.onebuilding.org/WMO_Region_6_Europe/SWE_Sweden/GV_Gavleborg/SWE_GV_Gavle.024530_TMYx.zip</v>
      </c>
    </row>
    <row r="11082" spans="1:10" x14ac:dyDescent="0.25">
      <c r="A11082" t="s">
        <v>7602</v>
      </c>
      <c r="B11082" t="s">
        <v>7721</v>
      </c>
      <c r="C11082" t="s">
        <v>8073</v>
      </c>
      <c r="D11082" s="1" t="s">
        <v>8074</v>
      </c>
      <c r="E11082" t="s">
        <v>8075</v>
      </c>
      <c r="F11082">
        <v>60.235799999999998</v>
      </c>
      <c r="G11082">
        <v>17.904399999999999</v>
      </c>
      <c r="H11082">
        <v>1</v>
      </c>
      <c r="I11082">
        <v>34.6</v>
      </c>
      <c r="J11082" t="str">
        <f>HYPERLINK("https://climate.onebuilding.org/WMO_Region_6_Europe/SWE_Sweden/UP_Uppsala/SWE_UP_Film.024560_TMYx.2004-2018.zip")</f>
        <v>https://climate.onebuilding.org/WMO_Region_6_Europe/SWE_Sweden/UP_Uppsala/SWE_UP_Film.024560_TMYx.2004-2018.zip</v>
      </c>
    </row>
    <row r="11083" spans="1:10" x14ac:dyDescent="0.25">
      <c r="A11083" t="s">
        <v>7602</v>
      </c>
      <c r="B11083" t="s">
        <v>7721</v>
      </c>
      <c r="C11083" t="s">
        <v>8073</v>
      </c>
      <c r="D11083" s="1" t="s">
        <v>8074</v>
      </c>
      <c r="E11083" t="s">
        <v>14</v>
      </c>
      <c r="F11083">
        <v>60.235799999999998</v>
      </c>
      <c r="G11083">
        <v>17.904399999999999</v>
      </c>
      <c r="H11083">
        <v>1</v>
      </c>
      <c r="I11083">
        <v>34.6</v>
      </c>
      <c r="J11083" t="str">
        <f>HYPERLINK("https://climate.onebuilding.org/WMO_Region_6_Europe/SWE_Sweden/UP_Uppsala/SWE_UP_Film.024560_TMYx.2007-2021.zip")</f>
        <v>https://climate.onebuilding.org/WMO_Region_6_Europe/SWE_Sweden/UP_Uppsala/SWE_UP_Film.024560_TMYx.2007-2021.zip</v>
      </c>
    </row>
    <row r="11084" spans="1:10" x14ac:dyDescent="0.25">
      <c r="A11084" t="s">
        <v>7602</v>
      </c>
      <c r="B11084" t="s">
        <v>7721</v>
      </c>
      <c r="C11084" t="s">
        <v>8073</v>
      </c>
      <c r="D11084" s="1" t="s">
        <v>8074</v>
      </c>
      <c r="E11084" t="s">
        <v>14</v>
      </c>
      <c r="F11084">
        <v>60.235799999999998</v>
      </c>
      <c r="G11084">
        <v>17.904399999999999</v>
      </c>
      <c r="H11084">
        <v>1</v>
      </c>
      <c r="I11084">
        <v>34.6</v>
      </c>
      <c r="J11084" t="str">
        <f>HYPERLINK("https://climate.onebuilding.org/WMO_Region_6_Europe/SWE_Sweden/UP_Uppsala/SWE_UP_Film.024560_TMYx.2009-2023.zip")</f>
        <v>https://climate.onebuilding.org/WMO_Region_6_Europe/SWE_Sweden/UP_Uppsala/SWE_UP_Film.024560_TMYx.2009-2023.zip</v>
      </c>
    </row>
    <row r="11085" spans="1:10" x14ac:dyDescent="0.25">
      <c r="A11085" t="s">
        <v>7602</v>
      </c>
      <c r="B11085" t="s">
        <v>7721</v>
      </c>
      <c r="C11085" t="s">
        <v>8073</v>
      </c>
      <c r="D11085" s="1" t="s">
        <v>8074</v>
      </c>
      <c r="E11085" t="s">
        <v>14</v>
      </c>
      <c r="F11085">
        <v>60.235799999999998</v>
      </c>
      <c r="G11085">
        <v>17.904399999999999</v>
      </c>
      <c r="H11085">
        <v>1</v>
      </c>
      <c r="I11085">
        <v>34.6</v>
      </c>
      <c r="J11085" t="str">
        <f>HYPERLINK("https://climate.onebuilding.org/WMO_Region_6_Europe/SWE_Sweden/UP_Uppsala/SWE_UP_Film.024560_TMYx.zip")</f>
        <v>https://climate.onebuilding.org/WMO_Region_6_Europe/SWE_Sweden/UP_Uppsala/SWE_UP_Film.024560_TMYx.zip</v>
      </c>
    </row>
    <row r="11086" spans="1:10" x14ac:dyDescent="0.25">
      <c r="A11086" t="s">
        <v>7602</v>
      </c>
      <c r="B11086" t="s">
        <v>7721</v>
      </c>
      <c r="C11086" t="s">
        <v>8076</v>
      </c>
      <c r="D11086" s="1" t="s">
        <v>8077</v>
      </c>
      <c r="E11086" t="s">
        <v>8078</v>
      </c>
      <c r="F11086">
        <v>59.900799999999997</v>
      </c>
      <c r="G11086">
        <v>17.595800000000001</v>
      </c>
      <c r="H11086">
        <v>1</v>
      </c>
      <c r="I11086">
        <v>21</v>
      </c>
      <c r="J11086" t="str">
        <f>HYPERLINK("https://climate.onebuilding.org/WMO_Region_6_Europe/SWE_Sweden/UP_Uppsala/SWE_UP_Uppsala-Arna.AP.024580_TMYx.2004-2018.zip")</f>
        <v>https://climate.onebuilding.org/WMO_Region_6_Europe/SWE_Sweden/UP_Uppsala/SWE_UP_Uppsala-Arna.AP.024580_TMYx.2004-2018.zip</v>
      </c>
    </row>
    <row r="11087" spans="1:10" x14ac:dyDescent="0.25">
      <c r="A11087" t="s">
        <v>7602</v>
      </c>
      <c r="B11087" t="s">
        <v>7721</v>
      </c>
      <c r="C11087" t="s">
        <v>8076</v>
      </c>
      <c r="D11087" s="1" t="s">
        <v>8077</v>
      </c>
      <c r="E11087" t="s">
        <v>14</v>
      </c>
      <c r="F11087">
        <v>59.896999999999998</v>
      </c>
      <c r="G11087">
        <v>17.588999999999999</v>
      </c>
      <c r="H11087">
        <v>1</v>
      </c>
      <c r="I11087">
        <v>21</v>
      </c>
      <c r="J11087" t="str">
        <f>HYPERLINK("https://climate.onebuilding.org/WMO_Region_6_Europe/SWE_Sweden/UP_Uppsala/SWE_UP_Uppsala-Arna.AP.024580_TMYx.2007-2021.zip")</f>
        <v>https://climate.onebuilding.org/WMO_Region_6_Europe/SWE_Sweden/UP_Uppsala/SWE_UP_Uppsala-Arna.AP.024580_TMYx.2007-2021.zip</v>
      </c>
    </row>
    <row r="11088" spans="1:10" x14ac:dyDescent="0.25">
      <c r="A11088" t="s">
        <v>7602</v>
      </c>
      <c r="B11088" t="s">
        <v>7721</v>
      </c>
      <c r="C11088" t="s">
        <v>8076</v>
      </c>
      <c r="D11088" s="1" t="s">
        <v>8077</v>
      </c>
      <c r="E11088" t="s">
        <v>14</v>
      </c>
      <c r="F11088">
        <v>59.896999999999998</v>
      </c>
      <c r="G11088">
        <v>17.588999999999999</v>
      </c>
      <c r="H11088">
        <v>1</v>
      </c>
      <c r="I11088">
        <v>21</v>
      </c>
      <c r="J11088" t="str">
        <f>HYPERLINK("https://climate.onebuilding.org/WMO_Region_6_Europe/SWE_Sweden/UP_Uppsala/SWE_UP_Uppsala-Arna.AP.024580_TMYx.2009-2023.zip")</f>
        <v>https://climate.onebuilding.org/WMO_Region_6_Europe/SWE_Sweden/UP_Uppsala/SWE_UP_Uppsala-Arna.AP.024580_TMYx.2009-2023.zip</v>
      </c>
    </row>
    <row r="11089" spans="1:10" x14ac:dyDescent="0.25">
      <c r="A11089" t="s">
        <v>7602</v>
      </c>
      <c r="B11089" t="s">
        <v>7721</v>
      </c>
      <c r="C11089" t="s">
        <v>8076</v>
      </c>
      <c r="D11089" s="1" t="s">
        <v>8077</v>
      </c>
      <c r="E11089" t="s">
        <v>14</v>
      </c>
      <c r="F11089">
        <v>59.896999999999998</v>
      </c>
      <c r="G11089">
        <v>17.588999999999999</v>
      </c>
      <c r="H11089">
        <v>1</v>
      </c>
      <c r="I11089">
        <v>21</v>
      </c>
      <c r="J11089" t="str">
        <f>HYPERLINK("https://climate.onebuilding.org/WMO_Region_6_Europe/SWE_Sweden/UP_Uppsala/SWE_UP_Uppsala-Arna.AP.024580_TMYx.zip")</f>
        <v>https://climate.onebuilding.org/WMO_Region_6_Europe/SWE_Sweden/UP_Uppsala/SWE_UP_Uppsala-Arna.AP.024580_TMYx.zip</v>
      </c>
    </row>
    <row r="11090" spans="1:10" x14ac:dyDescent="0.25">
      <c r="A11090" t="s">
        <v>7602</v>
      </c>
      <c r="B11090" t="s">
        <v>210</v>
      </c>
      <c r="C11090" t="s">
        <v>8079</v>
      </c>
      <c r="D11090" s="1" t="s">
        <v>8080</v>
      </c>
      <c r="E11090" t="s">
        <v>8081</v>
      </c>
      <c r="F11090">
        <v>59.652000000000001</v>
      </c>
      <c r="G11090">
        <v>17.919</v>
      </c>
      <c r="H11090">
        <v>1</v>
      </c>
      <c r="I11090">
        <v>41.8</v>
      </c>
      <c r="J11090" t="str">
        <f>HYPERLINK("https://climate.onebuilding.org/WMO_Region_6_Europe/SWE_Sweden/ST_Stockholm/SWE_ST_Stockholm.Arlanda.AP.024600_TMYx.2004-2018.zip")</f>
        <v>https://climate.onebuilding.org/WMO_Region_6_Europe/SWE_Sweden/ST_Stockholm/SWE_ST_Stockholm.Arlanda.AP.024600_TMYx.2004-2018.zip</v>
      </c>
    </row>
    <row r="11091" spans="1:10" x14ac:dyDescent="0.25">
      <c r="A11091" t="s">
        <v>7602</v>
      </c>
      <c r="B11091" t="s">
        <v>210</v>
      </c>
      <c r="C11091" t="s">
        <v>8079</v>
      </c>
      <c r="D11091" s="1" t="s">
        <v>8080</v>
      </c>
      <c r="E11091" t="s">
        <v>14</v>
      </c>
      <c r="F11091">
        <v>59.627000000000002</v>
      </c>
      <c r="G11091">
        <v>17.954000000000001</v>
      </c>
      <c r="H11091">
        <v>1</v>
      </c>
      <c r="I11091">
        <v>41.8</v>
      </c>
      <c r="J11091" t="str">
        <f>HYPERLINK("https://climate.onebuilding.org/WMO_Region_6_Europe/SWE_Sweden/ST_Stockholm/SWE_ST_Stockholm.Arlanda.AP.024600_TMYx.2007-2021.zip")</f>
        <v>https://climate.onebuilding.org/WMO_Region_6_Europe/SWE_Sweden/ST_Stockholm/SWE_ST_Stockholm.Arlanda.AP.024600_TMYx.2007-2021.zip</v>
      </c>
    </row>
    <row r="11092" spans="1:10" x14ac:dyDescent="0.25">
      <c r="A11092" t="s">
        <v>7602</v>
      </c>
      <c r="B11092" t="s">
        <v>210</v>
      </c>
      <c r="C11092" t="s">
        <v>8079</v>
      </c>
      <c r="D11092" s="1" t="s">
        <v>8080</v>
      </c>
      <c r="E11092" t="s">
        <v>14</v>
      </c>
      <c r="F11092">
        <v>59.627000000000002</v>
      </c>
      <c r="G11092">
        <v>17.954000000000001</v>
      </c>
      <c r="H11092">
        <v>1</v>
      </c>
      <c r="I11092">
        <v>41.8</v>
      </c>
      <c r="J11092" t="str">
        <f>HYPERLINK("https://climate.onebuilding.org/WMO_Region_6_Europe/SWE_Sweden/ST_Stockholm/SWE_ST_Stockholm.Arlanda.AP.024600_TMYx.2009-2023.zip")</f>
        <v>https://climate.onebuilding.org/WMO_Region_6_Europe/SWE_Sweden/ST_Stockholm/SWE_ST_Stockholm.Arlanda.AP.024600_TMYx.2009-2023.zip</v>
      </c>
    </row>
    <row r="11093" spans="1:10" x14ac:dyDescent="0.25">
      <c r="A11093" t="s">
        <v>7602</v>
      </c>
      <c r="B11093" t="s">
        <v>210</v>
      </c>
      <c r="C11093" t="s">
        <v>8079</v>
      </c>
      <c r="D11093" s="1" t="s">
        <v>8080</v>
      </c>
      <c r="E11093" t="s">
        <v>14</v>
      </c>
      <c r="F11093">
        <v>59.627000000000002</v>
      </c>
      <c r="G11093">
        <v>17.954000000000001</v>
      </c>
      <c r="H11093">
        <v>1</v>
      </c>
      <c r="I11093">
        <v>41.8</v>
      </c>
      <c r="J11093" t="str">
        <f>HYPERLINK("https://climate.onebuilding.org/WMO_Region_6_Europe/SWE_Sweden/ST_Stockholm/SWE_ST_Stockholm.Arlanda.AP.024600_TMYx.zip")</f>
        <v>https://climate.onebuilding.org/WMO_Region_6_Europe/SWE_Sweden/ST_Stockholm/SWE_ST_Stockholm.Arlanda.AP.024600_TMYx.zip</v>
      </c>
    </row>
    <row r="11094" spans="1:10" x14ac:dyDescent="0.25">
      <c r="A11094" t="s">
        <v>7602</v>
      </c>
      <c r="B11094" t="s">
        <v>7721</v>
      </c>
      <c r="C11094" t="s">
        <v>8082</v>
      </c>
      <c r="D11094" s="1" t="s">
        <v>8083</v>
      </c>
      <c r="E11094" t="s">
        <v>8084</v>
      </c>
      <c r="F11094">
        <v>59.866700000000002</v>
      </c>
      <c r="G11094">
        <v>17.633299999999998</v>
      </c>
      <c r="H11094">
        <v>1</v>
      </c>
      <c r="I11094">
        <v>13</v>
      </c>
      <c r="J11094" t="str">
        <f>HYPERLINK("https://climate.onebuilding.org/WMO_Region_6_Europe/SWE_Sweden/UP_Uppsala/SWE_UP_Uppsala.Univ.024620_TMYx.2004-2018.zip")</f>
        <v>https://climate.onebuilding.org/WMO_Region_6_Europe/SWE_Sweden/UP_Uppsala/SWE_UP_Uppsala.Univ.024620_TMYx.2004-2018.zip</v>
      </c>
    </row>
    <row r="11095" spans="1:10" x14ac:dyDescent="0.25">
      <c r="A11095" t="s">
        <v>7602</v>
      </c>
      <c r="B11095" t="s">
        <v>7721</v>
      </c>
      <c r="C11095" t="s">
        <v>8082</v>
      </c>
      <c r="D11095" s="1" t="s">
        <v>8083</v>
      </c>
      <c r="E11095" t="s">
        <v>14</v>
      </c>
      <c r="F11095">
        <v>59.866700000000002</v>
      </c>
      <c r="G11095">
        <v>17.633299999999998</v>
      </c>
      <c r="H11095">
        <v>1</v>
      </c>
      <c r="I11095">
        <v>13</v>
      </c>
      <c r="J11095" t="str">
        <f>HYPERLINK("https://climate.onebuilding.org/WMO_Region_6_Europe/SWE_Sweden/UP_Uppsala/SWE_UP_Uppsala.Univ.024620_TMYx.2007-2021.zip")</f>
        <v>https://climate.onebuilding.org/WMO_Region_6_Europe/SWE_Sweden/UP_Uppsala/SWE_UP_Uppsala.Univ.024620_TMYx.2007-2021.zip</v>
      </c>
    </row>
    <row r="11096" spans="1:10" x14ac:dyDescent="0.25">
      <c r="A11096" t="s">
        <v>7602</v>
      </c>
      <c r="B11096" t="s">
        <v>7721</v>
      </c>
      <c r="C11096" t="s">
        <v>8082</v>
      </c>
      <c r="D11096" s="1" t="s">
        <v>8083</v>
      </c>
      <c r="E11096" t="s">
        <v>14</v>
      </c>
      <c r="F11096">
        <v>59.866700000000002</v>
      </c>
      <c r="G11096">
        <v>17.633299999999998</v>
      </c>
      <c r="H11096">
        <v>1</v>
      </c>
      <c r="I11096">
        <v>13</v>
      </c>
      <c r="J11096" t="str">
        <f>HYPERLINK("https://climate.onebuilding.org/WMO_Region_6_Europe/SWE_Sweden/UP_Uppsala/SWE_UP_Uppsala.Univ.024620_TMYx.2009-2023.zip")</f>
        <v>https://climate.onebuilding.org/WMO_Region_6_Europe/SWE_Sweden/UP_Uppsala/SWE_UP_Uppsala.Univ.024620_TMYx.2009-2023.zip</v>
      </c>
    </row>
    <row r="11097" spans="1:10" x14ac:dyDescent="0.25">
      <c r="A11097" t="s">
        <v>7602</v>
      </c>
      <c r="B11097" t="s">
        <v>7721</v>
      </c>
      <c r="C11097" t="s">
        <v>8082</v>
      </c>
      <c r="D11097" s="1" t="s">
        <v>8083</v>
      </c>
      <c r="E11097" t="s">
        <v>14</v>
      </c>
      <c r="F11097">
        <v>59.866700000000002</v>
      </c>
      <c r="G11097">
        <v>17.633299999999998</v>
      </c>
      <c r="H11097">
        <v>1</v>
      </c>
      <c r="I11097">
        <v>13</v>
      </c>
      <c r="J11097" t="str">
        <f>HYPERLINK("https://climate.onebuilding.org/WMO_Region_6_Europe/SWE_Sweden/UP_Uppsala/SWE_UP_Uppsala.Univ.024620_TMYx.zip")</f>
        <v>https://climate.onebuilding.org/WMO_Region_6_Europe/SWE_Sweden/UP_Uppsala/SWE_UP_Uppsala.Univ.024620_TMYx.zip</v>
      </c>
    </row>
    <row r="11098" spans="1:10" x14ac:dyDescent="0.25">
      <c r="A11098" t="s">
        <v>7602</v>
      </c>
      <c r="B11098" t="s">
        <v>210</v>
      </c>
      <c r="C11098" t="s">
        <v>8085</v>
      </c>
      <c r="D11098" s="1" t="s">
        <v>8086</v>
      </c>
      <c r="E11098" t="s">
        <v>8087</v>
      </c>
      <c r="F11098">
        <v>59.353999999999999</v>
      </c>
      <c r="G11098">
        <v>17.942</v>
      </c>
      <c r="H11098">
        <v>1</v>
      </c>
      <c r="I11098">
        <v>14.3</v>
      </c>
      <c r="J11098" t="str">
        <f>HYPERLINK("https://climate.onebuilding.org/WMO_Region_6_Europe/SWE_Sweden/ST_Stockholm/SWE_ST_Stockholm.Bromma.AP.024640_TMYx.2004-2018.zip")</f>
        <v>https://climate.onebuilding.org/WMO_Region_6_Europe/SWE_Sweden/ST_Stockholm/SWE_ST_Stockholm.Bromma.AP.024640_TMYx.2004-2018.zip</v>
      </c>
    </row>
    <row r="11099" spans="1:10" x14ac:dyDescent="0.25">
      <c r="A11099" t="s">
        <v>7602</v>
      </c>
      <c r="B11099" t="s">
        <v>210</v>
      </c>
      <c r="C11099" t="s">
        <v>8085</v>
      </c>
      <c r="D11099" s="1" t="s">
        <v>8086</v>
      </c>
      <c r="E11099" t="s">
        <v>14</v>
      </c>
      <c r="F11099">
        <v>59.353999999999999</v>
      </c>
      <c r="G11099">
        <v>17.942</v>
      </c>
      <c r="H11099">
        <v>1</v>
      </c>
      <c r="I11099">
        <v>14.3</v>
      </c>
      <c r="J11099" t="str">
        <f>HYPERLINK("https://climate.onebuilding.org/WMO_Region_6_Europe/SWE_Sweden/ST_Stockholm/SWE_ST_Stockholm.Bromma.AP.024640_TMYx.2007-2021.zip")</f>
        <v>https://climate.onebuilding.org/WMO_Region_6_Europe/SWE_Sweden/ST_Stockholm/SWE_ST_Stockholm.Bromma.AP.024640_TMYx.2007-2021.zip</v>
      </c>
    </row>
    <row r="11100" spans="1:10" x14ac:dyDescent="0.25">
      <c r="A11100" t="s">
        <v>7602</v>
      </c>
      <c r="B11100" t="s">
        <v>210</v>
      </c>
      <c r="C11100" t="s">
        <v>8085</v>
      </c>
      <c r="D11100" s="1" t="s">
        <v>8086</v>
      </c>
      <c r="E11100" t="s">
        <v>14</v>
      </c>
      <c r="F11100">
        <v>59.353999999999999</v>
      </c>
      <c r="G11100">
        <v>17.942</v>
      </c>
      <c r="H11100">
        <v>1</v>
      </c>
      <c r="I11100">
        <v>14.3</v>
      </c>
      <c r="J11100" t="str">
        <f>HYPERLINK("https://climate.onebuilding.org/WMO_Region_6_Europe/SWE_Sweden/ST_Stockholm/SWE_ST_Stockholm.Bromma.AP.024640_TMYx.2009-2023.zip")</f>
        <v>https://climate.onebuilding.org/WMO_Region_6_Europe/SWE_Sweden/ST_Stockholm/SWE_ST_Stockholm.Bromma.AP.024640_TMYx.2009-2023.zip</v>
      </c>
    </row>
    <row r="11101" spans="1:10" x14ac:dyDescent="0.25">
      <c r="A11101" t="s">
        <v>7602</v>
      </c>
      <c r="B11101" t="s">
        <v>210</v>
      </c>
      <c r="C11101" t="s">
        <v>8085</v>
      </c>
      <c r="D11101" s="1" t="s">
        <v>8086</v>
      </c>
      <c r="E11101" t="s">
        <v>14</v>
      </c>
      <c r="F11101">
        <v>59.353999999999999</v>
      </c>
      <c r="G11101">
        <v>17.942</v>
      </c>
      <c r="H11101">
        <v>1</v>
      </c>
      <c r="I11101">
        <v>14.3</v>
      </c>
      <c r="J11101" t="str">
        <f>HYPERLINK("https://climate.onebuilding.org/WMO_Region_6_Europe/SWE_Sweden/ST_Stockholm/SWE_ST_Stockholm.Bromma.AP.024640_TMYx.zip")</f>
        <v>https://climate.onebuilding.org/WMO_Region_6_Europe/SWE_Sweden/ST_Stockholm/SWE_ST_Stockholm.Bromma.AP.024640_TMYx.zip</v>
      </c>
    </row>
    <row r="11102" spans="1:10" x14ac:dyDescent="0.25">
      <c r="A11102" t="s">
        <v>7602</v>
      </c>
      <c r="B11102" t="s">
        <v>7574</v>
      </c>
      <c r="C11102" t="s">
        <v>8088</v>
      </c>
      <c r="D11102" s="1" t="s">
        <v>8089</v>
      </c>
      <c r="E11102" t="s">
        <v>8090</v>
      </c>
      <c r="F11102">
        <v>60.382199999999997</v>
      </c>
      <c r="G11102">
        <v>15.140599999999999</v>
      </c>
      <c r="H11102">
        <v>1</v>
      </c>
      <c r="I11102">
        <v>492.6</v>
      </c>
      <c r="J11102" t="str">
        <f>HYPERLINK("https://climate.onebuilding.org/WMO_Region_6_Europe/SWE_Sweden/KO_Dalarna/SWE_KO_Stora.Spansberget.024680_TMYx.2004-2018.zip")</f>
        <v>https://climate.onebuilding.org/WMO_Region_6_Europe/SWE_Sweden/KO_Dalarna/SWE_KO_Stora.Spansberget.024680_TMYx.2004-2018.zip</v>
      </c>
    </row>
    <row r="11103" spans="1:10" x14ac:dyDescent="0.25">
      <c r="A11103" t="s">
        <v>7602</v>
      </c>
      <c r="B11103" t="s">
        <v>7574</v>
      </c>
      <c r="C11103" t="s">
        <v>8088</v>
      </c>
      <c r="D11103" s="1" t="s">
        <v>8089</v>
      </c>
      <c r="E11103" t="s">
        <v>14</v>
      </c>
      <c r="F11103">
        <v>60.382199999999997</v>
      </c>
      <c r="G11103">
        <v>15.140599999999999</v>
      </c>
      <c r="H11103">
        <v>1</v>
      </c>
      <c r="I11103">
        <v>492.6</v>
      </c>
      <c r="J11103" t="str">
        <f>HYPERLINK("https://climate.onebuilding.org/WMO_Region_6_Europe/SWE_Sweden/KO_Dalarna/SWE_KO_Stora.Spansberget.024680_TMYx.2007-2021.zip")</f>
        <v>https://climate.onebuilding.org/WMO_Region_6_Europe/SWE_Sweden/KO_Dalarna/SWE_KO_Stora.Spansberget.024680_TMYx.2007-2021.zip</v>
      </c>
    </row>
    <row r="11104" spans="1:10" x14ac:dyDescent="0.25">
      <c r="A11104" t="s">
        <v>7602</v>
      </c>
      <c r="B11104" t="s">
        <v>7574</v>
      </c>
      <c r="C11104" t="s">
        <v>8088</v>
      </c>
      <c r="D11104" s="1" t="s">
        <v>8089</v>
      </c>
      <c r="E11104" t="s">
        <v>14</v>
      </c>
      <c r="F11104">
        <v>60.382199999999997</v>
      </c>
      <c r="G11104">
        <v>15.140599999999999</v>
      </c>
      <c r="H11104">
        <v>1</v>
      </c>
      <c r="I11104">
        <v>492.6</v>
      </c>
      <c r="J11104" t="str">
        <f>HYPERLINK("https://climate.onebuilding.org/WMO_Region_6_Europe/SWE_Sweden/KO_Dalarna/SWE_KO_Stora.Spansberget.024680_TMYx.2009-2023.zip")</f>
        <v>https://climate.onebuilding.org/WMO_Region_6_Europe/SWE_Sweden/KO_Dalarna/SWE_KO_Stora.Spansberget.024680_TMYx.2009-2023.zip</v>
      </c>
    </row>
    <row r="11105" spans="1:10" x14ac:dyDescent="0.25">
      <c r="A11105" t="s">
        <v>7602</v>
      </c>
      <c r="B11105" t="s">
        <v>7574</v>
      </c>
      <c r="C11105" t="s">
        <v>8088</v>
      </c>
      <c r="D11105" s="1" t="s">
        <v>8089</v>
      </c>
      <c r="E11105" t="s">
        <v>14</v>
      </c>
      <c r="F11105">
        <v>60.382199999999997</v>
      </c>
      <c r="G11105">
        <v>15.140599999999999</v>
      </c>
      <c r="H11105">
        <v>1</v>
      </c>
      <c r="I11105">
        <v>492.6</v>
      </c>
      <c r="J11105" t="str">
        <f>HYPERLINK("https://climate.onebuilding.org/WMO_Region_6_Europe/SWE_Sweden/KO_Dalarna/SWE_KO_Stora.Spansberget.024680_TMYx.zip")</f>
        <v>https://climate.onebuilding.org/WMO_Region_6_Europe/SWE_Sweden/KO_Dalarna/SWE_KO_Stora.Spansberget.024680_TMYx.zip</v>
      </c>
    </row>
    <row r="11106" spans="1:10" x14ac:dyDescent="0.25">
      <c r="A11106" t="s">
        <v>7602</v>
      </c>
      <c r="B11106" t="s">
        <v>210</v>
      </c>
      <c r="C11106" t="s">
        <v>8091</v>
      </c>
      <c r="D11106" s="1" t="s">
        <v>8092</v>
      </c>
      <c r="E11106" t="s">
        <v>8093</v>
      </c>
      <c r="F11106">
        <v>59.178899999999999</v>
      </c>
      <c r="G11106">
        <v>17.912800000000001</v>
      </c>
      <c r="H11106">
        <v>1</v>
      </c>
      <c r="I11106">
        <v>44.7</v>
      </c>
      <c r="J11106" t="str">
        <f>HYPERLINK("https://climate.onebuilding.org/WMO_Region_6_Europe/SWE_Sweden/ST_Stockholm/SWE_ST_Tullinge.AP.024690_TMYx.2004-2018.zip")</f>
        <v>https://climate.onebuilding.org/WMO_Region_6_Europe/SWE_Sweden/ST_Stockholm/SWE_ST_Tullinge.AP.024690_TMYx.2004-2018.zip</v>
      </c>
    </row>
    <row r="11107" spans="1:10" x14ac:dyDescent="0.25">
      <c r="A11107" t="s">
        <v>7602</v>
      </c>
      <c r="B11107" t="s">
        <v>210</v>
      </c>
      <c r="C11107" t="s">
        <v>8091</v>
      </c>
      <c r="D11107" s="1" t="s">
        <v>8092</v>
      </c>
      <c r="E11107" t="s">
        <v>14</v>
      </c>
      <c r="F11107">
        <v>59.178899999999999</v>
      </c>
      <c r="G11107">
        <v>17.912800000000001</v>
      </c>
      <c r="H11107">
        <v>1</v>
      </c>
      <c r="I11107">
        <v>44.7</v>
      </c>
      <c r="J11107" t="str">
        <f>HYPERLINK("https://climate.onebuilding.org/WMO_Region_6_Europe/SWE_Sweden/ST_Stockholm/SWE_ST_Tullinge.AP.024690_TMYx.2007-2021.zip")</f>
        <v>https://climate.onebuilding.org/WMO_Region_6_Europe/SWE_Sweden/ST_Stockholm/SWE_ST_Tullinge.AP.024690_TMYx.2007-2021.zip</v>
      </c>
    </row>
    <row r="11108" spans="1:10" x14ac:dyDescent="0.25">
      <c r="A11108" t="s">
        <v>7602</v>
      </c>
      <c r="B11108" t="s">
        <v>210</v>
      </c>
      <c r="C11108" t="s">
        <v>8091</v>
      </c>
      <c r="D11108" s="1" t="s">
        <v>8092</v>
      </c>
      <c r="E11108" t="s">
        <v>14</v>
      </c>
      <c r="F11108">
        <v>59.178899999999999</v>
      </c>
      <c r="G11108">
        <v>17.912800000000001</v>
      </c>
      <c r="H11108">
        <v>1</v>
      </c>
      <c r="I11108">
        <v>44.7</v>
      </c>
      <c r="J11108" t="str">
        <f>HYPERLINK("https://climate.onebuilding.org/WMO_Region_6_Europe/SWE_Sweden/ST_Stockholm/SWE_ST_Tullinge.AP.024690_TMYx.2009-2023.zip")</f>
        <v>https://climate.onebuilding.org/WMO_Region_6_Europe/SWE_Sweden/ST_Stockholm/SWE_ST_Tullinge.AP.024690_TMYx.2009-2023.zip</v>
      </c>
    </row>
    <row r="11109" spans="1:10" x14ac:dyDescent="0.25">
      <c r="A11109" t="s">
        <v>7602</v>
      </c>
      <c r="B11109" t="s">
        <v>210</v>
      </c>
      <c r="C11109" t="s">
        <v>8091</v>
      </c>
      <c r="D11109" s="1" t="s">
        <v>8092</v>
      </c>
      <c r="E11109" t="s">
        <v>14</v>
      </c>
      <c r="F11109">
        <v>59.178899999999999</v>
      </c>
      <c r="G11109">
        <v>17.912800000000001</v>
      </c>
      <c r="H11109">
        <v>1</v>
      </c>
      <c r="I11109">
        <v>44.7</v>
      </c>
      <c r="J11109" t="str">
        <f>HYPERLINK("https://climate.onebuilding.org/WMO_Region_6_Europe/SWE_Sweden/ST_Stockholm/SWE_ST_Tullinge.AP.024690_TMYx.zip")</f>
        <v>https://climate.onebuilding.org/WMO_Region_6_Europe/SWE_Sweden/ST_Stockholm/SWE_ST_Tullinge.AP.024690_TMYx.zip</v>
      </c>
    </row>
    <row r="11110" spans="1:10" x14ac:dyDescent="0.25">
      <c r="A11110" t="s">
        <v>7602</v>
      </c>
      <c r="B11110" t="s">
        <v>7574</v>
      </c>
      <c r="C11110" t="s">
        <v>8094</v>
      </c>
      <c r="D11110" s="1" t="s">
        <v>8095</v>
      </c>
      <c r="E11110" t="s">
        <v>8096</v>
      </c>
      <c r="F11110">
        <v>60.122799999999998</v>
      </c>
      <c r="G11110">
        <v>15.1228</v>
      </c>
      <c r="H11110">
        <v>1</v>
      </c>
      <c r="I11110">
        <v>240</v>
      </c>
      <c r="J11110" t="str">
        <f>HYPERLINK("https://climate.onebuilding.org/WMO_Region_6_Europe/SWE_Sweden/KO_Dalarna/SWE_KO_Skeppmora.024720_TMYx.2004-2018.zip")</f>
        <v>https://climate.onebuilding.org/WMO_Region_6_Europe/SWE_Sweden/KO_Dalarna/SWE_KO_Skeppmora.024720_TMYx.2004-2018.zip</v>
      </c>
    </row>
    <row r="11111" spans="1:10" x14ac:dyDescent="0.25">
      <c r="A11111" t="s">
        <v>7602</v>
      </c>
      <c r="B11111" t="s">
        <v>7574</v>
      </c>
      <c r="C11111" t="s">
        <v>8094</v>
      </c>
      <c r="D11111" s="1" t="s">
        <v>8095</v>
      </c>
      <c r="E11111" t="s">
        <v>14</v>
      </c>
      <c r="F11111">
        <v>60.122799999999998</v>
      </c>
      <c r="G11111">
        <v>15.1228</v>
      </c>
      <c r="H11111">
        <v>1</v>
      </c>
      <c r="I11111">
        <v>240</v>
      </c>
      <c r="J11111" t="str">
        <f>HYPERLINK("https://climate.onebuilding.org/WMO_Region_6_Europe/SWE_Sweden/KO_Dalarna/SWE_KO_Skeppmora.024720_TMYx.2007-2021.zip")</f>
        <v>https://climate.onebuilding.org/WMO_Region_6_Europe/SWE_Sweden/KO_Dalarna/SWE_KO_Skeppmora.024720_TMYx.2007-2021.zip</v>
      </c>
    </row>
    <row r="11112" spans="1:10" x14ac:dyDescent="0.25">
      <c r="A11112" t="s">
        <v>7602</v>
      </c>
      <c r="B11112" t="s">
        <v>7574</v>
      </c>
      <c r="C11112" t="s">
        <v>8094</v>
      </c>
      <c r="D11112" s="1" t="s">
        <v>8095</v>
      </c>
      <c r="E11112" t="s">
        <v>14</v>
      </c>
      <c r="F11112">
        <v>60.122799999999998</v>
      </c>
      <c r="G11112">
        <v>15.1228</v>
      </c>
      <c r="H11112">
        <v>1</v>
      </c>
      <c r="I11112">
        <v>240</v>
      </c>
      <c r="J11112" t="str">
        <f>HYPERLINK("https://climate.onebuilding.org/WMO_Region_6_Europe/SWE_Sweden/KO_Dalarna/SWE_KO_Skeppmora.024720_TMYx.2009-2023.zip")</f>
        <v>https://climate.onebuilding.org/WMO_Region_6_Europe/SWE_Sweden/KO_Dalarna/SWE_KO_Skeppmora.024720_TMYx.2009-2023.zip</v>
      </c>
    </row>
    <row r="11113" spans="1:10" x14ac:dyDescent="0.25">
      <c r="A11113" t="s">
        <v>7602</v>
      </c>
      <c r="B11113" t="s">
        <v>7574</v>
      </c>
      <c r="C11113" t="s">
        <v>8094</v>
      </c>
      <c r="D11113" s="1" t="s">
        <v>8095</v>
      </c>
      <c r="E11113" t="s">
        <v>14</v>
      </c>
      <c r="F11113">
        <v>60.122799999999998</v>
      </c>
      <c r="G11113">
        <v>15.1228</v>
      </c>
      <c r="H11113">
        <v>1</v>
      </c>
      <c r="I11113">
        <v>240</v>
      </c>
      <c r="J11113" t="str">
        <f>HYPERLINK("https://climate.onebuilding.org/WMO_Region_6_Europe/SWE_Sweden/KO_Dalarna/SWE_KO_Skeppmora.024720_TMYx.zip")</f>
        <v>https://climate.onebuilding.org/WMO_Region_6_Europe/SWE_Sweden/KO_Dalarna/SWE_KO_Skeppmora.024720_TMYx.zip</v>
      </c>
    </row>
    <row r="11114" spans="1:10" x14ac:dyDescent="0.25">
      <c r="A11114" t="s">
        <v>7602</v>
      </c>
      <c r="B11114" t="s">
        <v>210</v>
      </c>
      <c r="C11114" t="s">
        <v>8097</v>
      </c>
      <c r="D11114" s="1" t="s">
        <v>8098</v>
      </c>
      <c r="E11114" t="s">
        <v>14</v>
      </c>
      <c r="F11114">
        <v>60.167000000000002</v>
      </c>
      <c r="G11114">
        <v>18.75</v>
      </c>
      <c r="H11114">
        <v>1</v>
      </c>
      <c r="I11114">
        <v>14</v>
      </c>
      <c r="J11114" t="str">
        <f>HYPERLINK("https://climate.onebuilding.org/WMO_Region_6_Europe/SWE_Sweden/ST_Stockholm/SWE_ST_Singo.Island.024740_TMYx.zip")</f>
        <v>https://climate.onebuilding.org/WMO_Region_6_Europe/SWE_Sweden/ST_Stockholm/SWE_ST_Singo.Island.024740_TMYx.zip</v>
      </c>
    </row>
    <row r="11115" spans="1:10" x14ac:dyDescent="0.25">
      <c r="A11115" t="s">
        <v>7602</v>
      </c>
      <c r="B11115" t="s">
        <v>44</v>
      </c>
      <c r="C11115" t="s">
        <v>8099</v>
      </c>
      <c r="D11115" s="1" t="s">
        <v>8100</v>
      </c>
      <c r="E11115" t="s">
        <v>8101</v>
      </c>
      <c r="F11115">
        <v>59.056399999999996</v>
      </c>
      <c r="G11115">
        <v>16.3978</v>
      </c>
      <c r="H11115">
        <v>1</v>
      </c>
      <c r="I11115">
        <v>33</v>
      </c>
      <c r="J11115" t="str">
        <f>HYPERLINK("https://climate.onebuilding.org/WMO_Region_6_Europe/SWE_Sweden/SD_Sodermanland/SWE_SD_Floda.024760_TMYx.2004-2018.zip")</f>
        <v>https://climate.onebuilding.org/WMO_Region_6_Europe/SWE_Sweden/SD_Sodermanland/SWE_SD_Floda.024760_TMYx.2004-2018.zip</v>
      </c>
    </row>
    <row r="11116" spans="1:10" x14ac:dyDescent="0.25">
      <c r="A11116" t="s">
        <v>7602</v>
      </c>
      <c r="B11116" t="s">
        <v>44</v>
      </c>
      <c r="C11116" t="s">
        <v>8099</v>
      </c>
      <c r="D11116" s="1" t="s">
        <v>8100</v>
      </c>
      <c r="E11116" t="s">
        <v>14</v>
      </c>
      <c r="F11116">
        <v>59.056399999999996</v>
      </c>
      <c r="G11116">
        <v>16.3978</v>
      </c>
      <c r="H11116">
        <v>1</v>
      </c>
      <c r="I11116">
        <v>33</v>
      </c>
      <c r="J11116" t="str">
        <f>HYPERLINK("https://climate.onebuilding.org/WMO_Region_6_Europe/SWE_Sweden/SD_Sodermanland/SWE_SD_Floda.024760_TMYx.2007-2021.zip")</f>
        <v>https://climate.onebuilding.org/WMO_Region_6_Europe/SWE_Sweden/SD_Sodermanland/SWE_SD_Floda.024760_TMYx.2007-2021.zip</v>
      </c>
    </row>
    <row r="11117" spans="1:10" x14ac:dyDescent="0.25">
      <c r="A11117" t="s">
        <v>7602</v>
      </c>
      <c r="B11117" t="s">
        <v>44</v>
      </c>
      <c r="C11117" t="s">
        <v>8099</v>
      </c>
      <c r="D11117" s="1" t="s">
        <v>8100</v>
      </c>
      <c r="E11117" t="s">
        <v>14</v>
      </c>
      <c r="F11117">
        <v>59.056399999999996</v>
      </c>
      <c r="G11117">
        <v>16.3978</v>
      </c>
      <c r="H11117">
        <v>1</v>
      </c>
      <c r="I11117">
        <v>33</v>
      </c>
      <c r="J11117" t="str">
        <f>HYPERLINK("https://climate.onebuilding.org/WMO_Region_6_Europe/SWE_Sweden/SD_Sodermanland/SWE_SD_Floda.024760_TMYx.2009-2023.zip")</f>
        <v>https://climate.onebuilding.org/WMO_Region_6_Europe/SWE_Sweden/SD_Sodermanland/SWE_SD_Floda.024760_TMYx.2009-2023.zip</v>
      </c>
    </row>
    <row r="11118" spans="1:10" x14ac:dyDescent="0.25">
      <c r="A11118" t="s">
        <v>7602</v>
      </c>
      <c r="B11118" t="s">
        <v>44</v>
      </c>
      <c r="C11118" t="s">
        <v>8099</v>
      </c>
      <c r="D11118" s="1" t="s">
        <v>8100</v>
      </c>
      <c r="E11118" t="s">
        <v>14</v>
      </c>
      <c r="F11118">
        <v>59.056399999999996</v>
      </c>
      <c r="G11118">
        <v>16.3978</v>
      </c>
      <c r="H11118">
        <v>1</v>
      </c>
      <c r="I11118">
        <v>33</v>
      </c>
      <c r="J11118" t="str">
        <f>HYPERLINK("https://climate.onebuilding.org/WMO_Region_6_Europe/SWE_Sweden/SD_Sodermanland/SWE_SD_Floda.024760_TMYx.zip")</f>
        <v>https://climate.onebuilding.org/WMO_Region_6_Europe/SWE_Sweden/SD_Sodermanland/SWE_SD_Floda.024760_TMYx.zip</v>
      </c>
    </row>
    <row r="11119" spans="1:10" x14ac:dyDescent="0.25">
      <c r="A11119" t="s">
        <v>7602</v>
      </c>
      <c r="B11119" t="s">
        <v>60</v>
      </c>
      <c r="C11119" t="s">
        <v>8102</v>
      </c>
      <c r="D11119" s="1" t="s">
        <v>8103</v>
      </c>
      <c r="E11119" t="s">
        <v>8104</v>
      </c>
      <c r="F11119">
        <v>59.909700000000001</v>
      </c>
      <c r="G11119">
        <v>16.687799999999999</v>
      </c>
      <c r="H11119">
        <v>1</v>
      </c>
      <c r="I11119">
        <v>58.1</v>
      </c>
      <c r="J11119" t="str">
        <f>HYPERLINK("https://climate.onebuilding.org/WMO_Region_6_Europe/SWE_Sweden/VR_Varmland/SWE_VR_Sala.024810_TMYx.2004-2018.zip")</f>
        <v>https://climate.onebuilding.org/WMO_Region_6_Europe/SWE_Sweden/VR_Varmland/SWE_VR_Sala.024810_TMYx.2004-2018.zip</v>
      </c>
    </row>
    <row r="11120" spans="1:10" x14ac:dyDescent="0.25">
      <c r="A11120" t="s">
        <v>7602</v>
      </c>
      <c r="B11120" t="s">
        <v>60</v>
      </c>
      <c r="C11120" t="s">
        <v>8102</v>
      </c>
      <c r="D11120" s="1" t="s">
        <v>8103</v>
      </c>
      <c r="E11120" t="s">
        <v>14</v>
      </c>
      <c r="F11120">
        <v>59.909700000000001</v>
      </c>
      <c r="G11120">
        <v>16.687799999999999</v>
      </c>
      <c r="H11120">
        <v>1</v>
      </c>
      <c r="I11120">
        <v>58.1</v>
      </c>
      <c r="J11120" t="str">
        <f>HYPERLINK("https://climate.onebuilding.org/WMO_Region_6_Europe/SWE_Sweden/VR_Varmland/SWE_VR_Sala.024810_TMYx.2007-2021.zip")</f>
        <v>https://climate.onebuilding.org/WMO_Region_6_Europe/SWE_Sweden/VR_Varmland/SWE_VR_Sala.024810_TMYx.2007-2021.zip</v>
      </c>
    </row>
    <row r="11121" spans="1:10" x14ac:dyDescent="0.25">
      <c r="A11121" t="s">
        <v>7602</v>
      </c>
      <c r="B11121" t="s">
        <v>60</v>
      </c>
      <c r="C11121" t="s">
        <v>8102</v>
      </c>
      <c r="D11121" s="1" t="s">
        <v>8103</v>
      </c>
      <c r="E11121" t="s">
        <v>14</v>
      </c>
      <c r="F11121">
        <v>59.909700000000001</v>
      </c>
      <c r="G11121">
        <v>16.687799999999999</v>
      </c>
      <c r="H11121">
        <v>1</v>
      </c>
      <c r="I11121">
        <v>58.1</v>
      </c>
      <c r="J11121" t="str">
        <f>HYPERLINK("https://climate.onebuilding.org/WMO_Region_6_Europe/SWE_Sweden/VR_Varmland/SWE_VR_Sala.024810_TMYx.2009-2023.zip")</f>
        <v>https://climate.onebuilding.org/WMO_Region_6_Europe/SWE_Sweden/VR_Varmland/SWE_VR_Sala.024810_TMYx.2009-2023.zip</v>
      </c>
    </row>
    <row r="11122" spans="1:10" x14ac:dyDescent="0.25">
      <c r="A11122" t="s">
        <v>7602</v>
      </c>
      <c r="B11122" t="s">
        <v>60</v>
      </c>
      <c r="C11122" t="s">
        <v>8102</v>
      </c>
      <c r="D11122" s="1" t="s">
        <v>8103</v>
      </c>
      <c r="E11122" t="s">
        <v>14</v>
      </c>
      <c r="F11122">
        <v>59.909700000000001</v>
      </c>
      <c r="G11122">
        <v>16.687799999999999</v>
      </c>
      <c r="H11122">
        <v>1</v>
      </c>
      <c r="I11122">
        <v>58.1</v>
      </c>
      <c r="J11122" t="str">
        <f>HYPERLINK("https://climate.onebuilding.org/WMO_Region_6_Europe/SWE_Sweden/VR_Varmland/SWE_VR_Sala.024810_TMYx.zip")</f>
        <v>https://climate.onebuilding.org/WMO_Region_6_Europe/SWE_Sweden/VR_Varmland/SWE_VR_Sala.024810_TMYx.zip</v>
      </c>
    </row>
    <row r="11123" spans="1:10" x14ac:dyDescent="0.25">
      <c r="A11123" t="s">
        <v>7602</v>
      </c>
      <c r="B11123" t="s">
        <v>7721</v>
      </c>
      <c r="C11123" t="s">
        <v>8105</v>
      </c>
      <c r="D11123" s="1" t="s">
        <v>8106</v>
      </c>
      <c r="E11123" t="s">
        <v>8107</v>
      </c>
      <c r="F11123">
        <v>60.268900000000002</v>
      </c>
      <c r="G11123">
        <v>16.9772</v>
      </c>
      <c r="H11123">
        <v>1</v>
      </c>
      <c r="I11123">
        <v>57.1</v>
      </c>
      <c r="J11123" t="str">
        <f>HYPERLINK("https://climate.onebuilding.org/WMO_Region_6_Europe/SWE_Sweden/UP_Uppsala/SWE_UP_Kerstinbo.024820_TMYx.2004-2018.zip")</f>
        <v>https://climate.onebuilding.org/WMO_Region_6_Europe/SWE_Sweden/UP_Uppsala/SWE_UP_Kerstinbo.024820_TMYx.2004-2018.zip</v>
      </c>
    </row>
    <row r="11124" spans="1:10" x14ac:dyDescent="0.25">
      <c r="A11124" t="s">
        <v>7602</v>
      </c>
      <c r="B11124" t="s">
        <v>7721</v>
      </c>
      <c r="C11124" t="s">
        <v>8105</v>
      </c>
      <c r="D11124" s="1" t="s">
        <v>8106</v>
      </c>
      <c r="E11124" t="s">
        <v>14</v>
      </c>
      <c r="F11124">
        <v>60.268900000000002</v>
      </c>
      <c r="G11124">
        <v>16.9772</v>
      </c>
      <c r="H11124">
        <v>1</v>
      </c>
      <c r="I11124">
        <v>57.1</v>
      </c>
      <c r="J11124" t="str">
        <f>HYPERLINK("https://climate.onebuilding.org/WMO_Region_6_Europe/SWE_Sweden/UP_Uppsala/SWE_UP_Kerstinbo.024820_TMYx.2007-2021.zip")</f>
        <v>https://climate.onebuilding.org/WMO_Region_6_Europe/SWE_Sweden/UP_Uppsala/SWE_UP_Kerstinbo.024820_TMYx.2007-2021.zip</v>
      </c>
    </row>
    <row r="11125" spans="1:10" x14ac:dyDescent="0.25">
      <c r="A11125" t="s">
        <v>7602</v>
      </c>
      <c r="B11125" t="s">
        <v>7721</v>
      </c>
      <c r="C11125" t="s">
        <v>8105</v>
      </c>
      <c r="D11125" s="1" t="s">
        <v>8106</v>
      </c>
      <c r="E11125" t="s">
        <v>14</v>
      </c>
      <c r="F11125">
        <v>60.268900000000002</v>
      </c>
      <c r="G11125">
        <v>16.9772</v>
      </c>
      <c r="H11125">
        <v>1</v>
      </c>
      <c r="I11125">
        <v>57.1</v>
      </c>
      <c r="J11125" t="str">
        <f>HYPERLINK("https://climate.onebuilding.org/WMO_Region_6_Europe/SWE_Sweden/UP_Uppsala/SWE_UP_Kerstinbo.024820_TMYx.2009-2023.zip")</f>
        <v>https://climate.onebuilding.org/WMO_Region_6_Europe/SWE_Sweden/UP_Uppsala/SWE_UP_Kerstinbo.024820_TMYx.2009-2023.zip</v>
      </c>
    </row>
    <row r="11126" spans="1:10" x14ac:dyDescent="0.25">
      <c r="A11126" t="s">
        <v>7602</v>
      </c>
      <c r="B11126" t="s">
        <v>7721</v>
      </c>
      <c r="C11126" t="s">
        <v>8105</v>
      </c>
      <c r="D11126" s="1" t="s">
        <v>8106</v>
      </c>
      <c r="E11126" t="s">
        <v>14</v>
      </c>
      <c r="F11126">
        <v>60.268900000000002</v>
      </c>
      <c r="G11126">
        <v>16.9772</v>
      </c>
      <c r="H11126">
        <v>1</v>
      </c>
      <c r="I11126">
        <v>57.1</v>
      </c>
      <c r="J11126" t="str">
        <f>HYPERLINK("https://climate.onebuilding.org/WMO_Region_6_Europe/SWE_Sweden/UP_Uppsala/SWE_UP_Kerstinbo.024820_TMYx.zip")</f>
        <v>https://climate.onebuilding.org/WMO_Region_6_Europe/SWE_Sweden/UP_Uppsala/SWE_UP_Kerstinbo.024820_TMYx.zip</v>
      </c>
    </row>
    <row r="11127" spans="1:10" x14ac:dyDescent="0.25">
      <c r="A11127" t="s">
        <v>7602</v>
      </c>
      <c r="B11127" t="s">
        <v>210</v>
      </c>
      <c r="C11127" t="s">
        <v>8108</v>
      </c>
      <c r="D11127" s="1" t="s">
        <v>8109</v>
      </c>
      <c r="E11127" t="s">
        <v>8110</v>
      </c>
      <c r="F11127">
        <v>59.35</v>
      </c>
      <c r="G11127">
        <v>18.066700000000001</v>
      </c>
      <c r="H11127">
        <v>1</v>
      </c>
      <c r="I11127">
        <v>52</v>
      </c>
      <c r="J11127" t="str">
        <f>HYPERLINK("https://climate.onebuilding.org/WMO_Region_6_Europe/SWE_Sweden/ST_Stockholm/SWE_ST_Stockholm.024850_TMYx.2004-2018.zip")</f>
        <v>https://climate.onebuilding.org/WMO_Region_6_Europe/SWE_Sweden/ST_Stockholm/SWE_ST_Stockholm.024850_TMYx.2004-2018.zip</v>
      </c>
    </row>
    <row r="11128" spans="1:10" x14ac:dyDescent="0.25">
      <c r="A11128" t="s">
        <v>7602</v>
      </c>
      <c r="B11128" t="s">
        <v>210</v>
      </c>
      <c r="C11128" t="s">
        <v>8108</v>
      </c>
      <c r="D11128" s="1" t="s">
        <v>8109</v>
      </c>
      <c r="E11128" t="s">
        <v>14</v>
      </c>
      <c r="F11128">
        <v>59.35</v>
      </c>
      <c r="G11128">
        <v>18.066700000000001</v>
      </c>
      <c r="H11128">
        <v>1</v>
      </c>
      <c r="I11128">
        <v>52</v>
      </c>
      <c r="J11128" t="str">
        <f>HYPERLINK("https://climate.onebuilding.org/WMO_Region_6_Europe/SWE_Sweden/ST_Stockholm/SWE_ST_Stockholm.024850_TMYx.2007-2021.zip")</f>
        <v>https://climate.onebuilding.org/WMO_Region_6_Europe/SWE_Sweden/ST_Stockholm/SWE_ST_Stockholm.024850_TMYx.2007-2021.zip</v>
      </c>
    </row>
    <row r="11129" spans="1:10" x14ac:dyDescent="0.25">
      <c r="A11129" t="s">
        <v>7602</v>
      </c>
      <c r="B11129" t="s">
        <v>210</v>
      </c>
      <c r="C11129" t="s">
        <v>8108</v>
      </c>
      <c r="D11129" s="1" t="s">
        <v>8109</v>
      </c>
      <c r="E11129" t="s">
        <v>14</v>
      </c>
      <c r="F11129">
        <v>59.35</v>
      </c>
      <c r="G11129">
        <v>18.066700000000001</v>
      </c>
      <c r="H11129">
        <v>1</v>
      </c>
      <c r="I11129">
        <v>52</v>
      </c>
      <c r="J11129" t="str">
        <f>HYPERLINK("https://climate.onebuilding.org/WMO_Region_6_Europe/SWE_Sweden/ST_Stockholm/SWE_ST_Stockholm.024850_TMYx.2009-2023.zip")</f>
        <v>https://climate.onebuilding.org/WMO_Region_6_Europe/SWE_Sweden/ST_Stockholm/SWE_ST_Stockholm.024850_TMYx.2009-2023.zip</v>
      </c>
    </row>
    <row r="11130" spans="1:10" x14ac:dyDescent="0.25">
      <c r="A11130" t="s">
        <v>7602</v>
      </c>
      <c r="B11130" t="s">
        <v>210</v>
      </c>
      <c r="C11130" t="s">
        <v>8108</v>
      </c>
      <c r="D11130" s="1" t="s">
        <v>8109</v>
      </c>
      <c r="E11130" t="s">
        <v>14</v>
      </c>
      <c r="F11130">
        <v>59.35</v>
      </c>
      <c r="G11130">
        <v>18.066700000000001</v>
      </c>
      <c r="H11130">
        <v>1</v>
      </c>
      <c r="I11130">
        <v>52</v>
      </c>
      <c r="J11130" t="str">
        <f>HYPERLINK("https://climate.onebuilding.org/WMO_Region_6_Europe/SWE_Sweden/ST_Stockholm/SWE_ST_Stockholm.024850_TMYx.zip")</f>
        <v>https://climate.onebuilding.org/WMO_Region_6_Europe/SWE_Sweden/ST_Stockholm/SWE_ST_Stockholm.024850_TMYx.zip</v>
      </c>
    </row>
    <row r="11131" spans="1:10" x14ac:dyDescent="0.25">
      <c r="A11131" t="s">
        <v>7602</v>
      </c>
      <c r="B11131" t="s">
        <v>210</v>
      </c>
      <c r="C11131" t="s">
        <v>8111</v>
      </c>
      <c r="D11131" s="1" t="s">
        <v>8112</v>
      </c>
      <c r="E11131" t="s">
        <v>8113</v>
      </c>
      <c r="F11131">
        <v>59.3583</v>
      </c>
      <c r="G11131">
        <v>17.5244</v>
      </c>
      <c r="H11131">
        <v>1</v>
      </c>
      <c r="I11131">
        <v>6.3</v>
      </c>
      <c r="J11131" t="str">
        <f>HYPERLINK("https://climate.onebuilding.org/WMO_Region_6_Europe/SWE_Sweden/ST_Stockholm/SWE_ST_Adelso.024860_TMYx.2004-2018.zip")</f>
        <v>https://climate.onebuilding.org/WMO_Region_6_Europe/SWE_Sweden/ST_Stockholm/SWE_ST_Adelso.024860_TMYx.2004-2018.zip</v>
      </c>
    </row>
    <row r="11132" spans="1:10" x14ac:dyDescent="0.25">
      <c r="A11132" t="s">
        <v>7602</v>
      </c>
      <c r="B11132" t="s">
        <v>210</v>
      </c>
      <c r="C11132" t="s">
        <v>8111</v>
      </c>
      <c r="D11132" s="1" t="s">
        <v>8112</v>
      </c>
      <c r="E11132" t="s">
        <v>14</v>
      </c>
      <c r="F11132">
        <v>59.3583</v>
      </c>
      <c r="G11132">
        <v>17.5244</v>
      </c>
      <c r="H11132">
        <v>1</v>
      </c>
      <c r="I11132">
        <v>6.3</v>
      </c>
      <c r="J11132" t="str">
        <f>HYPERLINK("https://climate.onebuilding.org/WMO_Region_6_Europe/SWE_Sweden/ST_Stockholm/SWE_ST_Adelso.024860_TMYx.2007-2021.zip")</f>
        <v>https://climate.onebuilding.org/WMO_Region_6_Europe/SWE_Sweden/ST_Stockholm/SWE_ST_Adelso.024860_TMYx.2007-2021.zip</v>
      </c>
    </row>
    <row r="11133" spans="1:10" x14ac:dyDescent="0.25">
      <c r="A11133" t="s">
        <v>7602</v>
      </c>
      <c r="B11133" t="s">
        <v>210</v>
      </c>
      <c r="C11133" t="s">
        <v>8111</v>
      </c>
      <c r="D11133" s="1" t="s">
        <v>8112</v>
      </c>
      <c r="E11133" t="s">
        <v>14</v>
      </c>
      <c r="F11133">
        <v>59.3583</v>
      </c>
      <c r="G11133">
        <v>17.5244</v>
      </c>
      <c r="H11133">
        <v>1</v>
      </c>
      <c r="I11133">
        <v>6.3</v>
      </c>
      <c r="J11133" t="str">
        <f>HYPERLINK("https://climate.onebuilding.org/WMO_Region_6_Europe/SWE_Sweden/ST_Stockholm/SWE_ST_Adelso.024860_TMYx.2009-2023.zip")</f>
        <v>https://climate.onebuilding.org/WMO_Region_6_Europe/SWE_Sweden/ST_Stockholm/SWE_ST_Adelso.024860_TMYx.2009-2023.zip</v>
      </c>
    </row>
    <row r="11134" spans="1:10" x14ac:dyDescent="0.25">
      <c r="A11134" t="s">
        <v>7602</v>
      </c>
      <c r="B11134" t="s">
        <v>210</v>
      </c>
      <c r="C11134" t="s">
        <v>8111</v>
      </c>
      <c r="D11134" s="1" t="s">
        <v>8112</v>
      </c>
      <c r="E11134" t="s">
        <v>14</v>
      </c>
      <c r="F11134">
        <v>59.3583</v>
      </c>
      <c r="G11134">
        <v>17.5244</v>
      </c>
      <c r="H11134">
        <v>1</v>
      </c>
      <c r="I11134">
        <v>6.3</v>
      </c>
      <c r="J11134" t="str">
        <f>HYPERLINK("https://climate.onebuilding.org/WMO_Region_6_Europe/SWE_Sweden/ST_Stockholm/SWE_ST_Adelso.024860_TMYx.zip")</f>
        <v>https://climate.onebuilding.org/WMO_Region_6_Europe/SWE_Sweden/ST_Stockholm/SWE_ST_Adelso.024860_TMYx.zip</v>
      </c>
    </row>
    <row r="11135" spans="1:10" x14ac:dyDescent="0.25">
      <c r="A11135" t="s">
        <v>7602</v>
      </c>
      <c r="B11135" t="s">
        <v>210</v>
      </c>
      <c r="C11135" t="s">
        <v>8114</v>
      </c>
      <c r="D11135" s="1" t="s">
        <v>8115</v>
      </c>
      <c r="E11135" t="s">
        <v>8116</v>
      </c>
      <c r="F11135">
        <v>59.3444</v>
      </c>
      <c r="G11135">
        <v>18.740600000000001</v>
      </c>
      <c r="H11135">
        <v>1</v>
      </c>
      <c r="I11135">
        <v>22</v>
      </c>
      <c r="J11135" t="str">
        <f>HYPERLINK("https://climate.onebuilding.org/WMO_Region_6_Europe/SWE_Sweden/ST_Stockholm/SWE_ST_Skarpo-Stavnas.024870_TMYx.2004-2018.zip")</f>
        <v>https://climate.onebuilding.org/WMO_Region_6_Europe/SWE_Sweden/ST_Stockholm/SWE_ST_Skarpo-Stavnas.024870_TMYx.2004-2018.zip</v>
      </c>
    </row>
    <row r="11136" spans="1:10" x14ac:dyDescent="0.25">
      <c r="A11136" t="s">
        <v>7602</v>
      </c>
      <c r="B11136" t="s">
        <v>210</v>
      </c>
      <c r="C11136" t="s">
        <v>8114</v>
      </c>
      <c r="D11136" s="1" t="s">
        <v>8115</v>
      </c>
      <c r="E11136" t="s">
        <v>14</v>
      </c>
      <c r="F11136">
        <v>59.3444</v>
      </c>
      <c r="G11136">
        <v>18.740600000000001</v>
      </c>
      <c r="H11136">
        <v>1</v>
      </c>
      <c r="I11136">
        <v>22</v>
      </c>
      <c r="J11136" t="str">
        <f>HYPERLINK("https://climate.onebuilding.org/WMO_Region_6_Europe/SWE_Sweden/ST_Stockholm/SWE_ST_Skarpo-Stavnas.024870_TMYx.2007-2021.zip")</f>
        <v>https://climate.onebuilding.org/WMO_Region_6_Europe/SWE_Sweden/ST_Stockholm/SWE_ST_Skarpo-Stavnas.024870_TMYx.2007-2021.zip</v>
      </c>
    </row>
    <row r="11137" spans="1:10" x14ac:dyDescent="0.25">
      <c r="A11137" t="s">
        <v>7602</v>
      </c>
      <c r="B11137" t="s">
        <v>210</v>
      </c>
      <c r="C11137" t="s">
        <v>8114</v>
      </c>
      <c r="D11137" s="1" t="s">
        <v>8115</v>
      </c>
      <c r="E11137" t="s">
        <v>14</v>
      </c>
      <c r="F11137">
        <v>59.3444</v>
      </c>
      <c r="G11137">
        <v>18.740600000000001</v>
      </c>
      <c r="H11137">
        <v>1</v>
      </c>
      <c r="I11137">
        <v>22</v>
      </c>
      <c r="J11137" t="str">
        <f>HYPERLINK("https://climate.onebuilding.org/WMO_Region_6_Europe/SWE_Sweden/ST_Stockholm/SWE_ST_Skarpo-Stavnas.024870_TMYx.2009-2023.zip")</f>
        <v>https://climate.onebuilding.org/WMO_Region_6_Europe/SWE_Sweden/ST_Stockholm/SWE_ST_Skarpo-Stavnas.024870_TMYx.2009-2023.zip</v>
      </c>
    </row>
    <row r="11138" spans="1:10" x14ac:dyDescent="0.25">
      <c r="A11138" t="s">
        <v>7602</v>
      </c>
      <c r="B11138" t="s">
        <v>210</v>
      </c>
      <c r="C11138" t="s">
        <v>8114</v>
      </c>
      <c r="D11138" s="1" t="s">
        <v>8115</v>
      </c>
      <c r="E11138" t="s">
        <v>14</v>
      </c>
      <c r="F11138">
        <v>59.3444</v>
      </c>
      <c r="G11138">
        <v>18.740600000000001</v>
      </c>
      <c r="H11138">
        <v>1</v>
      </c>
      <c r="I11138">
        <v>22</v>
      </c>
      <c r="J11138" t="str">
        <f>HYPERLINK("https://climate.onebuilding.org/WMO_Region_6_Europe/SWE_Sweden/ST_Stockholm/SWE_ST_Skarpo-Stavnas.024870_TMYx.zip")</f>
        <v>https://climate.onebuilding.org/WMO_Region_6_Europe/SWE_Sweden/ST_Stockholm/SWE_ST_Skarpo-Stavnas.024870_TMYx.zip</v>
      </c>
    </row>
    <row r="11139" spans="1:10" x14ac:dyDescent="0.25">
      <c r="A11139" t="s">
        <v>7602</v>
      </c>
      <c r="B11139" t="s">
        <v>7721</v>
      </c>
      <c r="C11139" t="s">
        <v>8117</v>
      </c>
      <c r="D11139" s="1" t="s">
        <v>8118</v>
      </c>
      <c r="E11139" t="s">
        <v>8119</v>
      </c>
      <c r="F11139">
        <v>60.5261</v>
      </c>
      <c r="G11139">
        <v>18.3767</v>
      </c>
      <c r="H11139">
        <v>1</v>
      </c>
      <c r="I11139">
        <v>9.5</v>
      </c>
      <c r="J11139" t="str">
        <f>HYPERLINK("https://climate.onebuilding.org/WMO_Region_6_Europe/SWE_Sweden/UP_Uppsala/SWE_UP_Orskar.Lighthouse.024880_TMYx.2004-2018.zip")</f>
        <v>https://climate.onebuilding.org/WMO_Region_6_Europe/SWE_Sweden/UP_Uppsala/SWE_UP_Orskar.Lighthouse.024880_TMYx.2004-2018.zip</v>
      </c>
    </row>
    <row r="11140" spans="1:10" x14ac:dyDescent="0.25">
      <c r="A11140" t="s">
        <v>7602</v>
      </c>
      <c r="B11140" t="s">
        <v>7721</v>
      </c>
      <c r="C11140" t="s">
        <v>8117</v>
      </c>
      <c r="D11140" s="1" t="s">
        <v>8118</v>
      </c>
      <c r="E11140" t="s">
        <v>14</v>
      </c>
      <c r="F11140">
        <v>60.5261</v>
      </c>
      <c r="G11140">
        <v>18.3767</v>
      </c>
      <c r="H11140">
        <v>1</v>
      </c>
      <c r="I11140">
        <v>9.5</v>
      </c>
      <c r="J11140" t="str">
        <f>HYPERLINK("https://climate.onebuilding.org/WMO_Region_6_Europe/SWE_Sweden/UP_Uppsala/SWE_UP_Orskar.Lighthouse.024880_TMYx.2007-2021.zip")</f>
        <v>https://climate.onebuilding.org/WMO_Region_6_Europe/SWE_Sweden/UP_Uppsala/SWE_UP_Orskar.Lighthouse.024880_TMYx.2007-2021.zip</v>
      </c>
    </row>
    <row r="11141" spans="1:10" x14ac:dyDescent="0.25">
      <c r="A11141" t="s">
        <v>7602</v>
      </c>
      <c r="B11141" t="s">
        <v>7721</v>
      </c>
      <c r="C11141" t="s">
        <v>8117</v>
      </c>
      <c r="D11141" s="1" t="s">
        <v>8118</v>
      </c>
      <c r="E11141" t="s">
        <v>14</v>
      </c>
      <c r="F11141">
        <v>60.5261</v>
      </c>
      <c r="G11141">
        <v>18.3767</v>
      </c>
      <c r="H11141">
        <v>1</v>
      </c>
      <c r="I11141">
        <v>9.5</v>
      </c>
      <c r="J11141" t="str">
        <f>HYPERLINK("https://climate.onebuilding.org/WMO_Region_6_Europe/SWE_Sweden/UP_Uppsala/SWE_UP_Orskar.Lighthouse.024880_TMYx.2009-2023.zip")</f>
        <v>https://climate.onebuilding.org/WMO_Region_6_Europe/SWE_Sweden/UP_Uppsala/SWE_UP_Orskar.Lighthouse.024880_TMYx.2009-2023.zip</v>
      </c>
    </row>
    <row r="11142" spans="1:10" x14ac:dyDescent="0.25">
      <c r="A11142" t="s">
        <v>7602</v>
      </c>
      <c r="B11142" t="s">
        <v>7721</v>
      </c>
      <c r="C11142" t="s">
        <v>8117</v>
      </c>
      <c r="D11142" s="1" t="s">
        <v>8118</v>
      </c>
      <c r="E11142" t="s">
        <v>14</v>
      </c>
      <c r="F11142">
        <v>60.5261</v>
      </c>
      <c r="G11142">
        <v>18.3767</v>
      </c>
      <c r="H11142">
        <v>1</v>
      </c>
      <c r="I11142">
        <v>9.5</v>
      </c>
      <c r="J11142" t="str">
        <f>HYPERLINK("https://climate.onebuilding.org/WMO_Region_6_Europe/SWE_Sweden/UP_Uppsala/SWE_UP_Orskar.Lighthouse.024880_TMYx.zip")</f>
        <v>https://climate.onebuilding.org/WMO_Region_6_Europe/SWE_Sweden/UP_Uppsala/SWE_UP_Orskar.Lighthouse.024880_TMYx.zip</v>
      </c>
    </row>
    <row r="11143" spans="1:10" x14ac:dyDescent="0.25">
      <c r="A11143" t="s">
        <v>7602</v>
      </c>
      <c r="B11143" t="s">
        <v>210</v>
      </c>
      <c r="C11143" t="s">
        <v>8120</v>
      </c>
      <c r="D11143" s="1" t="s">
        <v>8121</v>
      </c>
      <c r="E11143" t="s">
        <v>8122</v>
      </c>
      <c r="F11143">
        <v>59.067799999999998</v>
      </c>
      <c r="G11143">
        <v>18.108899999999998</v>
      </c>
      <c r="H11143">
        <v>1</v>
      </c>
      <c r="I11143">
        <v>6</v>
      </c>
      <c r="J11143" t="str">
        <f>HYPERLINK("https://climate.onebuilding.org/WMO_Region_6_Europe/SWE_Sweden/ST_Stockholm/SWE_ST_Berga.024890_TMYx.2004-2018.zip")</f>
        <v>https://climate.onebuilding.org/WMO_Region_6_Europe/SWE_Sweden/ST_Stockholm/SWE_ST_Berga.024890_TMYx.2004-2018.zip</v>
      </c>
    </row>
    <row r="11144" spans="1:10" x14ac:dyDescent="0.25">
      <c r="A11144" t="s">
        <v>7602</v>
      </c>
      <c r="B11144" t="s">
        <v>210</v>
      </c>
      <c r="C11144" t="s">
        <v>8120</v>
      </c>
      <c r="D11144" s="1" t="s">
        <v>8121</v>
      </c>
      <c r="E11144" t="s">
        <v>14</v>
      </c>
      <c r="F11144">
        <v>59.069000000000003</v>
      </c>
      <c r="G11144">
        <v>18.117999999999999</v>
      </c>
      <c r="H11144">
        <v>1</v>
      </c>
      <c r="I11144">
        <v>6</v>
      </c>
      <c r="J11144" t="str">
        <f>HYPERLINK("https://climate.onebuilding.org/WMO_Region_6_Europe/SWE_Sweden/ST_Stockholm/SWE_ST_Berga.024890_TMYx.2007-2021.zip")</f>
        <v>https://climate.onebuilding.org/WMO_Region_6_Europe/SWE_Sweden/ST_Stockholm/SWE_ST_Berga.024890_TMYx.2007-2021.zip</v>
      </c>
    </row>
    <row r="11145" spans="1:10" x14ac:dyDescent="0.25">
      <c r="A11145" t="s">
        <v>7602</v>
      </c>
      <c r="B11145" t="s">
        <v>210</v>
      </c>
      <c r="C11145" t="s">
        <v>8120</v>
      </c>
      <c r="D11145" s="1" t="s">
        <v>8121</v>
      </c>
      <c r="E11145" t="s">
        <v>14</v>
      </c>
      <c r="F11145">
        <v>59.069000000000003</v>
      </c>
      <c r="G11145">
        <v>18.117999999999999</v>
      </c>
      <c r="H11145">
        <v>1</v>
      </c>
      <c r="I11145">
        <v>6</v>
      </c>
      <c r="J11145" t="str">
        <f>HYPERLINK("https://climate.onebuilding.org/WMO_Region_6_Europe/SWE_Sweden/ST_Stockholm/SWE_ST_Berga.024890_TMYx.2009-2023.zip")</f>
        <v>https://climate.onebuilding.org/WMO_Region_6_Europe/SWE_Sweden/ST_Stockholm/SWE_ST_Berga.024890_TMYx.2009-2023.zip</v>
      </c>
    </row>
    <row r="11146" spans="1:10" x14ac:dyDescent="0.25">
      <c r="A11146" t="s">
        <v>7602</v>
      </c>
      <c r="B11146" t="s">
        <v>210</v>
      </c>
      <c r="C11146" t="s">
        <v>8120</v>
      </c>
      <c r="D11146" s="1" t="s">
        <v>8121</v>
      </c>
      <c r="E11146" t="s">
        <v>14</v>
      </c>
      <c r="F11146">
        <v>59.069000000000003</v>
      </c>
      <c r="G11146">
        <v>18.117999999999999</v>
      </c>
      <c r="H11146">
        <v>1</v>
      </c>
      <c r="I11146">
        <v>6</v>
      </c>
      <c r="J11146" t="str">
        <f>HYPERLINK("https://climate.onebuilding.org/WMO_Region_6_Europe/SWE_Sweden/ST_Stockholm/SWE_ST_Berga.024890_TMYx.zip")</f>
        <v>https://climate.onebuilding.org/WMO_Region_6_Europe/SWE_Sweden/ST_Stockholm/SWE_ST_Berga.024890_TMYx.zip</v>
      </c>
    </row>
    <row r="11147" spans="1:10" x14ac:dyDescent="0.25">
      <c r="A11147" t="s">
        <v>7602</v>
      </c>
      <c r="B11147" t="s">
        <v>210</v>
      </c>
      <c r="C11147" t="s">
        <v>8123</v>
      </c>
      <c r="D11147" s="1" t="s">
        <v>8124</v>
      </c>
      <c r="E11147" t="s">
        <v>8125</v>
      </c>
      <c r="F11147">
        <v>59.8322</v>
      </c>
      <c r="G11147">
        <v>18.634699999999999</v>
      </c>
      <c r="H11147">
        <v>1</v>
      </c>
      <c r="I11147">
        <v>16.2</v>
      </c>
      <c r="J11147" t="str">
        <f>HYPERLINK("https://climate.onebuilding.org/WMO_Region_6_Europe/SWE_Sweden/ST_Stockholm/SWE_ST_Svanberga.024900_TMYx.2004-2018.zip")</f>
        <v>https://climate.onebuilding.org/WMO_Region_6_Europe/SWE_Sweden/ST_Stockholm/SWE_ST_Svanberga.024900_TMYx.2004-2018.zip</v>
      </c>
    </row>
    <row r="11148" spans="1:10" x14ac:dyDescent="0.25">
      <c r="A11148" t="s">
        <v>7602</v>
      </c>
      <c r="B11148" t="s">
        <v>210</v>
      </c>
      <c r="C11148" t="s">
        <v>8123</v>
      </c>
      <c r="D11148" s="1" t="s">
        <v>8124</v>
      </c>
      <c r="E11148" t="s">
        <v>14</v>
      </c>
      <c r="F11148">
        <v>59.8322</v>
      </c>
      <c r="G11148">
        <v>18.634699999999999</v>
      </c>
      <c r="H11148">
        <v>1</v>
      </c>
      <c r="I11148">
        <v>16.2</v>
      </c>
      <c r="J11148" t="str">
        <f>HYPERLINK("https://climate.onebuilding.org/WMO_Region_6_Europe/SWE_Sweden/ST_Stockholm/SWE_ST_Svanberga.024900_TMYx.2007-2021.zip")</f>
        <v>https://climate.onebuilding.org/WMO_Region_6_Europe/SWE_Sweden/ST_Stockholm/SWE_ST_Svanberga.024900_TMYx.2007-2021.zip</v>
      </c>
    </row>
    <row r="11149" spans="1:10" x14ac:dyDescent="0.25">
      <c r="A11149" t="s">
        <v>7602</v>
      </c>
      <c r="B11149" t="s">
        <v>210</v>
      </c>
      <c r="C11149" t="s">
        <v>8123</v>
      </c>
      <c r="D11149" s="1" t="s">
        <v>8124</v>
      </c>
      <c r="E11149" t="s">
        <v>14</v>
      </c>
      <c r="F11149">
        <v>59.8322</v>
      </c>
      <c r="G11149">
        <v>18.634699999999999</v>
      </c>
      <c r="H11149">
        <v>1</v>
      </c>
      <c r="I11149">
        <v>16.2</v>
      </c>
      <c r="J11149" t="str">
        <f>HYPERLINK("https://climate.onebuilding.org/WMO_Region_6_Europe/SWE_Sweden/ST_Stockholm/SWE_ST_Svanberga.024900_TMYx.2009-2023.zip")</f>
        <v>https://climate.onebuilding.org/WMO_Region_6_Europe/SWE_Sweden/ST_Stockholm/SWE_ST_Svanberga.024900_TMYx.2009-2023.zip</v>
      </c>
    </row>
    <row r="11150" spans="1:10" x14ac:dyDescent="0.25">
      <c r="A11150" t="s">
        <v>7602</v>
      </c>
      <c r="B11150" t="s">
        <v>210</v>
      </c>
      <c r="C11150" t="s">
        <v>8123</v>
      </c>
      <c r="D11150" s="1" t="s">
        <v>8124</v>
      </c>
      <c r="E11150" t="s">
        <v>14</v>
      </c>
      <c r="F11150">
        <v>59.8322</v>
      </c>
      <c r="G11150">
        <v>18.634699999999999</v>
      </c>
      <c r="H11150">
        <v>1</v>
      </c>
      <c r="I11150">
        <v>16.2</v>
      </c>
      <c r="J11150" t="str">
        <f>HYPERLINK("https://climate.onebuilding.org/WMO_Region_6_Europe/SWE_Sweden/ST_Stockholm/SWE_ST_Svanberga.024900_TMYx.zip")</f>
        <v>https://climate.onebuilding.org/WMO_Region_6_Europe/SWE_Sweden/ST_Stockholm/SWE_ST_Svanberga.024900_TMYx.zip</v>
      </c>
    </row>
    <row r="11151" spans="1:10" x14ac:dyDescent="0.25">
      <c r="A11151" t="s">
        <v>7602</v>
      </c>
      <c r="B11151" t="s">
        <v>210</v>
      </c>
      <c r="C11151" t="s">
        <v>8126</v>
      </c>
      <c r="D11151" s="1" t="s">
        <v>8127</v>
      </c>
      <c r="E11151" t="s">
        <v>8128</v>
      </c>
      <c r="F11151">
        <v>59.752600000000001</v>
      </c>
      <c r="G11151">
        <v>19.4055</v>
      </c>
      <c r="H11151">
        <v>1</v>
      </c>
      <c r="I11151">
        <v>14.8</v>
      </c>
      <c r="J11151" t="str">
        <f>HYPERLINK("https://climate.onebuilding.org/WMO_Region_6_Europe/SWE_Sweden/ST_Stockholm/SWE_ST_Soderarm.024930_TMYx.2004-2018.zip")</f>
        <v>https://climate.onebuilding.org/WMO_Region_6_Europe/SWE_Sweden/ST_Stockholm/SWE_ST_Soderarm.024930_TMYx.2004-2018.zip</v>
      </c>
    </row>
    <row r="11152" spans="1:10" x14ac:dyDescent="0.25">
      <c r="A11152" t="s">
        <v>7602</v>
      </c>
      <c r="B11152" t="s">
        <v>210</v>
      </c>
      <c r="C11152" t="s">
        <v>8126</v>
      </c>
      <c r="D11152" s="1" t="s">
        <v>8127</v>
      </c>
      <c r="E11152" t="s">
        <v>14</v>
      </c>
      <c r="F11152">
        <v>59.752600000000001</v>
      </c>
      <c r="G11152">
        <v>19.4055</v>
      </c>
      <c r="H11152">
        <v>1</v>
      </c>
      <c r="I11152">
        <v>14.8</v>
      </c>
      <c r="J11152" t="str">
        <f>HYPERLINK("https://climate.onebuilding.org/WMO_Region_6_Europe/SWE_Sweden/ST_Stockholm/SWE_ST_Soderarm.024930_TMYx.2007-2021.zip")</f>
        <v>https://climate.onebuilding.org/WMO_Region_6_Europe/SWE_Sweden/ST_Stockholm/SWE_ST_Soderarm.024930_TMYx.2007-2021.zip</v>
      </c>
    </row>
    <row r="11153" spans="1:10" x14ac:dyDescent="0.25">
      <c r="A11153" t="s">
        <v>7602</v>
      </c>
      <c r="B11153" t="s">
        <v>210</v>
      </c>
      <c r="C11153" t="s">
        <v>8126</v>
      </c>
      <c r="D11153" s="1" t="s">
        <v>8127</v>
      </c>
      <c r="E11153" t="s">
        <v>14</v>
      </c>
      <c r="F11153">
        <v>59.752600000000001</v>
      </c>
      <c r="G11153">
        <v>19.4055</v>
      </c>
      <c r="H11153">
        <v>1</v>
      </c>
      <c r="I11153">
        <v>14.8</v>
      </c>
      <c r="J11153" t="str">
        <f>HYPERLINK("https://climate.onebuilding.org/WMO_Region_6_Europe/SWE_Sweden/ST_Stockholm/SWE_ST_Soderarm.024930_TMYx.2009-2023.zip")</f>
        <v>https://climate.onebuilding.org/WMO_Region_6_Europe/SWE_Sweden/ST_Stockholm/SWE_ST_Soderarm.024930_TMYx.2009-2023.zip</v>
      </c>
    </row>
    <row r="11154" spans="1:10" x14ac:dyDescent="0.25">
      <c r="A11154" t="s">
        <v>7602</v>
      </c>
      <c r="B11154" t="s">
        <v>210</v>
      </c>
      <c r="C11154" t="s">
        <v>8126</v>
      </c>
      <c r="D11154" s="1" t="s">
        <v>8127</v>
      </c>
      <c r="E11154" t="s">
        <v>14</v>
      </c>
      <c r="F11154">
        <v>59.752600000000001</v>
      </c>
      <c r="G11154">
        <v>19.4055</v>
      </c>
      <c r="H11154">
        <v>1</v>
      </c>
      <c r="I11154">
        <v>14.8</v>
      </c>
      <c r="J11154" t="str">
        <f>HYPERLINK("https://climate.onebuilding.org/WMO_Region_6_Europe/SWE_Sweden/ST_Stockholm/SWE_ST_Soderarm.024930_TMYx.zip")</f>
        <v>https://climate.onebuilding.org/WMO_Region_6_Europe/SWE_Sweden/ST_Stockholm/SWE_ST_Soderarm.024930_TMYx.zip</v>
      </c>
    </row>
    <row r="11155" spans="1:10" x14ac:dyDescent="0.25">
      <c r="A11155" t="s">
        <v>7602</v>
      </c>
      <c r="B11155" t="s">
        <v>210</v>
      </c>
      <c r="C11155" t="s">
        <v>8129</v>
      </c>
      <c r="D11155" s="1" t="s">
        <v>8130</v>
      </c>
      <c r="E11155" t="s">
        <v>14</v>
      </c>
      <c r="F11155">
        <v>59.55</v>
      </c>
      <c r="G11155">
        <v>20.016999999999999</v>
      </c>
      <c r="H11155">
        <v>1</v>
      </c>
      <c r="I11155">
        <v>24</v>
      </c>
      <c r="J11155" t="str">
        <f>HYPERLINK("https://climate.onebuilding.org/WMO_Region_6_Europe/SWE_Sweden/ST_Stockholm/SWE_ST_Svenska.Bjorn.Lighthouse.024950_TMYx.zip")</f>
        <v>https://climate.onebuilding.org/WMO_Region_6_Europe/SWE_Sweden/ST_Stockholm/SWE_ST_Svenska.Bjorn.Lighthouse.024950_TMYx.zip</v>
      </c>
    </row>
    <row r="11156" spans="1:10" x14ac:dyDescent="0.25">
      <c r="A11156" t="s">
        <v>7602</v>
      </c>
      <c r="B11156" t="s">
        <v>7721</v>
      </c>
      <c r="C11156" t="s">
        <v>8131</v>
      </c>
      <c r="D11156" s="1" t="s">
        <v>8132</v>
      </c>
      <c r="E11156" t="s">
        <v>8133</v>
      </c>
      <c r="F11156">
        <v>59.444499999999998</v>
      </c>
      <c r="G11156">
        <v>19.505800000000001</v>
      </c>
      <c r="H11156">
        <v>1</v>
      </c>
      <c r="I11156">
        <v>12</v>
      </c>
      <c r="J11156" t="str">
        <f>HYPERLINK("https://climate.onebuilding.org/WMO_Region_6_Europe/SWE_Sweden/UP_Uppsala/SWE_UP_Svenska.Hogarna.Lighthouse.024960_TMYx.2004-2018.zip")</f>
        <v>https://climate.onebuilding.org/WMO_Region_6_Europe/SWE_Sweden/UP_Uppsala/SWE_UP_Svenska.Hogarna.Lighthouse.024960_TMYx.2004-2018.zip</v>
      </c>
    </row>
    <row r="11157" spans="1:10" x14ac:dyDescent="0.25">
      <c r="A11157" t="s">
        <v>7602</v>
      </c>
      <c r="B11157" t="s">
        <v>7721</v>
      </c>
      <c r="C11157" t="s">
        <v>8131</v>
      </c>
      <c r="D11157" s="1" t="s">
        <v>8132</v>
      </c>
      <c r="E11157" t="s">
        <v>14</v>
      </c>
      <c r="F11157">
        <v>59.444499999999998</v>
      </c>
      <c r="G11157">
        <v>19.505800000000001</v>
      </c>
      <c r="H11157">
        <v>1</v>
      </c>
      <c r="I11157">
        <v>12</v>
      </c>
      <c r="J11157" t="str">
        <f>HYPERLINK("https://climate.onebuilding.org/WMO_Region_6_Europe/SWE_Sweden/UP_Uppsala/SWE_UP_Svenska.Hogarna.Lighthouse.024960_TMYx.2007-2021.zip")</f>
        <v>https://climate.onebuilding.org/WMO_Region_6_Europe/SWE_Sweden/UP_Uppsala/SWE_UP_Svenska.Hogarna.Lighthouse.024960_TMYx.2007-2021.zip</v>
      </c>
    </row>
    <row r="11158" spans="1:10" x14ac:dyDescent="0.25">
      <c r="A11158" t="s">
        <v>7602</v>
      </c>
      <c r="B11158" t="s">
        <v>7721</v>
      </c>
      <c r="C11158" t="s">
        <v>8131</v>
      </c>
      <c r="D11158" s="1" t="s">
        <v>8132</v>
      </c>
      <c r="E11158" t="s">
        <v>14</v>
      </c>
      <c r="F11158">
        <v>59.444499999999998</v>
      </c>
      <c r="G11158">
        <v>19.505800000000001</v>
      </c>
      <c r="H11158">
        <v>1</v>
      </c>
      <c r="I11158">
        <v>12</v>
      </c>
      <c r="J11158" t="str">
        <f>HYPERLINK("https://climate.onebuilding.org/WMO_Region_6_Europe/SWE_Sweden/UP_Uppsala/SWE_UP_Svenska.Hogarna.Lighthouse.024960_TMYx.2009-2023.zip")</f>
        <v>https://climate.onebuilding.org/WMO_Region_6_Europe/SWE_Sweden/UP_Uppsala/SWE_UP_Svenska.Hogarna.Lighthouse.024960_TMYx.2009-2023.zip</v>
      </c>
    </row>
    <row r="11159" spans="1:10" x14ac:dyDescent="0.25">
      <c r="A11159" t="s">
        <v>7602</v>
      </c>
      <c r="B11159" t="s">
        <v>7721</v>
      </c>
      <c r="C11159" t="s">
        <v>8131</v>
      </c>
      <c r="D11159" s="1" t="s">
        <v>8132</v>
      </c>
      <c r="E11159" t="s">
        <v>14</v>
      </c>
      <c r="F11159">
        <v>59.444499999999998</v>
      </c>
      <c r="G11159">
        <v>19.505800000000001</v>
      </c>
      <c r="H11159">
        <v>1</v>
      </c>
      <c r="I11159">
        <v>12</v>
      </c>
      <c r="J11159" t="str">
        <f>HYPERLINK("https://climate.onebuilding.org/WMO_Region_6_Europe/SWE_Sweden/UP_Uppsala/SWE_UP_Svenska.Hogarna.Lighthouse.024960_TMYx.zip")</f>
        <v>https://climate.onebuilding.org/WMO_Region_6_Europe/SWE_Sweden/UP_Uppsala/SWE_UP_Svenska.Hogarna.Lighthouse.024960_TMYx.zip</v>
      </c>
    </row>
    <row r="11160" spans="1:10" x14ac:dyDescent="0.25">
      <c r="A11160" t="s">
        <v>7602</v>
      </c>
      <c r="B11160" t="s">
        <v>210</v>
      </c>
      <c r="C11160" t="s">
        <v>8134</v>
      </c>
      <c r="D11160" s="1" t="s">
        <v>8135</v>
      </c>
      <c r="E11160" t="s">
        <v>14</v>
      </c>
      <c r="F11160">
        <v>59.2667</v>
      </c>
      <c r="G11160">
        <v>19.5167</v>
      </c>
      <c r="H11160">
        <v>1</v>
      </c>
      <c r="I11160">
        <v>25</v>
      </c>
      <c r="J11160" t="str">
        <f>HYPERLINK("https://climate.onebuilding.org/WMO_Region_6_Europe/SWE_Sweden/ST_Stockholm/SWE_ST_Almagrundet.Lighthouse.024990_TMYx.zip")</f>
        <v>https://climate.onebuilding.org/WMO_Region_6_Europe/SWE_Sweden/ST_Stockholm/SWE_ST_Almagrundet.Lighthouse.024990_TMYx.zip</v>
      </c>
    </row>
    <row r="11161" spans="1:10" x14ac:dyDescent="0.25">
      <c r="A11161" t="s">
        <v>7602</v>
      </c>
      <c r="B11161" t="s">
        <v>2305</v>
      </c>
      <c r="C11161" t="s">
        <v>8136</v>
      </c>
      <c r="D11161" s="1" t="s">
        <v>8137</v>
      </c>
      <c r="E11161" t="s">
        <v>8138</v>
      </c>
      <c r="F11161">
        <v>58.8919</v>
      </c>
      <c r="G11161">
        <v>11.0039</v>
      </c>
      <c r="H11161">
        <v>1</v>
      </c>
      <c r="I11161">
        <v>34.6</v>
      </c>
      <c r="J11161" t="str">
        <f>HYPERLINK("https://climate.onebuilding.org/WMO_Region_6_Europe/SWE_Sweden/VG_Vastra_Gotaland/SWE_VG_Nordkoster.Natl.Park.025000_TMYx.2004-2018.zip")</f>
        <v>https://climate.onebuilding.org/WMO_Region_6_Europe/SWE_Sweden/VG_Vastra_Gotaland/SWE_VG_Nordkoster.Natl.Park.025000_TMYx.2004-2018.zip</v>
      </c>
    </row>
    <row r="11162" spans="1:10" x14ac:dyDescent="0.25">
      <c r="A11162" t="s">
        <v>7602</v>
      </c>
      <c r="B11162" t="s">
        <v>2305</v>
      </c>
      <c r="C11162" t="s">
        <v>8136</v>
      </c>
      <c r="D11162" s="1" t="s">
        <v>8137</v>
      </c>
      <c r="E11162" t="s">
        <v>14</v>
      </c>
      <c r="F11162">
        <v>58.8919</v>
      </c>
      <c r="G11162">
        <v>11.0039</v>
      </c>
      <c r="H11162">
        <v>1</v>
      </c>
      <c r="I11162">
        <v>34.6</v>
      </c>
      <c r="J11162" t="str">
        <f>HYPERLINK("https://climate.onebuilding.org/WMO_Region_6_Europe/SWE_Sweden/VG_Vastra_Gotaland/SWE_VG_Nordkoster.Natl.Park.025000_TMYx.2007-2021.zip")</f>
        <v>https://climate.onebuilding.org/WMO_Region_6_Europe/SWE_Sweden/VG_Vastra_Gotaland/SWE_VG_Nordkoster.Natl.Park.025000_TMYx.2007-2021.zip</v>
      </c>
    </row>
    <row r="11163" spans="1:10" x14ac:dyDescent="0.25">
      <c r="A11163" t="s">
        <v>7602</v>
      </c>
      <c r="B11163" t="s">
        <v>2305</v>
      </c>
      <c r="C11163" t="s">
        <v>8136</v>
      </c>
      <c r="D11163" s="1" t="s">
        <v>8137</v>
      </c>
      <c r="E11163" t="s">
        <v>14</v>
      </c>
      <c r="F11163">
        <v>58.8919</v>
      </c>
      <c r="G11163">
        <v>11.0039</v>
      </c>
      <c r="H11163">
        <v>1</v>
      </c>
      <c r="I11163">
        <v>34.6</v>
      </c>
      <c r="J11163" t="str">
        <f>HYPERLINK("https://climate.onebuilding.org/WMO_Region_6_Europe/SWE_Sweden/VG_Vastra_Gotaland/SWE_VG_Nordkoster.Natl.Park.025000_TMYx.2009-2023.zip")</f>
        <v>https://climate.onebuilding.org/WMO_Region_6_Europe/SWE_Sweden/VG_Vastra_Gotaland/SWE_VG_Nordkoster.Natl.Park.025000_TMYx.2009-2023.zip</v>
      </c>
    </row>
    <row r="11164" spans="1:10" x14ac:dyDescent="0.25">
      <c r="A11164" t="s">
        <v>7602</v>
      </c>
      <c r="B11164" t="s">
        <v>2305</v>
      </c>
      <c r="C11164" t="s">
        <v>8136</v>
      </c>
      <c r="D11164" s="1" t="s">
        <v>8137</v>
      </c>
      <c r="E11164" t="s">
        <v>14</v>
      </c>
      <c r="F11164">
        <v>58.8919</v>
      </c>
      <c r="G11164">
        <v>11.0039</v>
      </c>
      <c r="H11164">
        <v>1</v>
      </c>
      <c r="I11164">
        <v>34.6</v>
      </c>
      <c r="J11164" t="str">
        <f>HYPERLINK("https://climate.onebuilding.org/WMO_Region_6_Europe/SWE_Sweden/VG_Vastra_Gotaland/SWE_VG_Nordkoster.Natl.Park.025000_TMYx.zip")</f>
        <v>https://climate.onebuilding.org/WMO_Region_6_Europe/SWE_Sweden/VG_Vastra_Gotaland/SWE_VG_Nordkoster.Natl.Park.025000_TMYx.zip</v>
      </c>
    </row>
    <row r="11165" spans="1:10" x14ac:dyDescent="0.25">
      <c r="A11165" t="s">
        <v>7602</v>
      </c>
      <c r="B11165" t="s">
        <v>2305</v>
      </c>
      <c r="C11165" t="s">
        <v>8139</v>
      </c>
      <c r="D11165" s="1" t="s">
        <v>8140</v>
      </c>
      <c r="E11165" t="s">
        <v>8141</v>
      </c>
      <c r="F11165">
        <v>58.576099999999997</v>
      </c>
      <c r="G11165">
        <v>11.0661</v>
      </c>
      <c r="H11165">
        <v>1</v>
      </c>
      <c r="I11165">
        <v>23.6</v>
      </c>
      <c r="J11165" t="str">
        <f>HYPERLINK("https://climate.onebuilding.org/WMO_Region_6_Europe/SWE_Sweden/VG_Vastra_Gotaland/SWE_VG_Vaderoarna.025010_TMYx.2004-2018.zip")</f>
        <v>https://climate.onebuilding.org/WMO_Region_6_Europe/SWE_Sweden/VG_Vastra_Gotaland/SWE_VG_Vaderoarna.025010_TMYx.2004-2018.zip</v>
      </c>
    </row>
    <row r="11166" spans="1:10" x14ac:dyDescent="0.25">
      <c r="A11166" t="s">
        <v>7602</v>
      </c>
      <c r="B11166" t="s">
        <v>2305</v>
      </c>
      <c r="C11166" t="s">
        <v>8139</v>
      </c>
      <c r="D11166" s="1" t="s">
        <v>8140</v>
      </c>
      <c r="E11166" t="s">
        <v>14</v>
      </c>
      <c r="F11166">
        <v>58.576099999999997</v>
      </c>
      <c r="G11166">
        <v>11.0661</v>
      </c>
      <c r="H11166">
        <v>1</v>
      </c>
      <c r="I11166">
        <v>23.6</v>
      </c>
      <c r="J11166" t="str">
        <f>HYPERLINK("https://climate.onebuilding.org/WMO_Region_6_Europe/SWE_Sweden/VG_Vastra_Gotaland/SWE_VG_Vaderoarna.025010_TMYx.2007-2021.zip")</f>
        <v>https://climate.onebuilding.org/WMO_Region_6_Europe/SWE_Sweden/VG_Vastra_Gotaland/SWE_VG_Vaderoarna.025010_TMYx.2007-2021.zip</v>
      </c>
    </row>
    <row r="11167" spans="1:10" x14ac:dyDescent="0.25">
      <c r="A11167" t="s">
        <v>7602</v>
      </c>
      <c r="B11167" t="s">
        <v>2305</v>
      </c>
      <c r="C11167" t="s">
        <v>8139</v>
      </c>
      <c r="D11167" s="1" t="s">
        <v>8140</v>
      </c>
      <c r="E11167" t="s">
        <v>14</v>
      </c>
      <c r="F11167">
        <v>58.576099999999997</v>
      </c>
      <c r="G11167">
        <v>11.0661</v>
      </c>
      <c r="H11167">
        <v>1</v>
      </c>
      <c r="I11167">
        <v>23.6</v>
      </c>
      <c r="J11167" t="str">
        <f>HYPERLINK("https://climate.onebuilding.org/WMO_Region_6_Europe/SWE_Sweden/VG_Vastra_Gotaland/SWE_VG_Vaderoarna.025010_TMYx.2009-2023.zip")</f>
        <v>https://climate.onebuilding.org/WMO_Region_6_Europe/SWE_Sweden/VG_Vastra_Gotaland/SWE_VG_Vaderoarna.025010_TMYx.2009-2023.zip</v>
      </c>
    </row>
    <row r="11168" spans="1:10" x14ac:dyDescent="0.25">
      <c r="A11168" t="s">
        <v>7602</v>
      </c>
      <c r="B11168" t="s">
        <v>2305</v>
      </c>
      <c r="C11168" t="s">
        <v>8139</v>
      </c>
      <c r="D11168" s="1" t="s">
        <v>8140</v>
      </c>
      <c r="E11168" t="s">
        <v>14</v>
      </c>
      <c r="F11168">
        <v>58.576099999999997</v>
      </c>
      <c r="G11168">
        <v>11.0661</v>
      </c>
      <c r="H11168">
        <v>1</v>
      </c>
      <c r="I11168">
        <v>23.6</v>
      </c>
      <c r="J11168" t="str">
        <f>HYPERLINK("https://climate.onebuilding.org/WMO_Region_6_Europe/SWE_Sweden/VG_Vastra_Gotaland/SWE_VG_Vaderoarna.025010_TMYx.zip")</f>
        <v>https://climate.onebuilding.org/WMO_Region_6_Europe/SWE_Sweden/VG_Vastra_Gotaland/SWE_VG_Vaderoarna.025010_TMYx.zip</v>
      </c>
    </row>
    <row r="11169" spans="1:10" x14ac:dyDescent="0.25">
      <c r="A11169" t="s">
        <v>7602</v>
      </c>
      <c r="B11169" t="s">
        <v>2305</v>
      </c>
      <c r="C11169" t="s">
        <v>8142</v>
      </c>
      <c r="D11169" s="1" t="s">
        <v>8143</v>
      </c>
      <c r="E11169" t="s">
        <v>14</v>
      </c>
      <c r="F11169">
        <v>58.567</v>
      </c>
      <c r="G11169">
        <v>11.55</v>
      </c>
      <c r="H11169">
        <v>1</v>
      </c>
      <c r="I11169">
        <v>70</v>
      </c>
      <c r="J11169" t="str">
        <f>HYPERLINK("https://climate.onebuilding.org/WMO_Region_6_Europe/SWE_Sweden/VG_Vastra_Gotaland/SWE_VG_Svarteborg.025040_TMYx.zip")</f>
        <v>https://climate.onebuilding.org/WMO_Region_6_Europe/SWE_Sweden/VG_Vastra_Gotaland/SWE_VG_Svarteborg.025040_TMYx.zip</v>
      </c>
    </row>
    <row r="11170" spans="1:10" x14ac:dyDescent="0.25">
      <c r="A11170" t="s">
        <v>7602</v>
      </c>
      <c r="B11170" t="s">
        <v>2305</v>
      </c>
      <c r="C11170" t="s">
        <v>8144</v>
      </c>
      <c r="D11170" s="1" t="s">
        <v>8145</v>
      </c>
      <c r="E11170" t="s">
        <v>8146</v>
      </c>
      <c r="F11170">
        <v>58.094200000000001</v>
      </c>
      <c r="G11170">
        <v>11.333600000000001</v>
      </c>
      <c r="H11170">
        <v>1</v>
      </c>
      <c r="I11170">
        <v>15.7</v>
      </c>
      <c r="J11170" t="str">
        <f>HYPERLINK("https://climate.onebuilding.org/WMO_Region_6_Europe/SWE_Sweden/VG_Vastra_Gotaland/SWE_VG_Maseskar.Lighthouse.025050_TMYx.2004-2018.zip")</f>
        <v>https://climate.onebuilding.org/WMO_Region_6_Europe/SWE_Sweden/VG_Vastra_Gotaland/SWE_VG_Maseskar.Lighthouse.025050_TMYx.2004-2018.zip</v>
      </c>
    </row>
    <row r="11171" spans="1:10" x14ac:dyDescent="0.25">
      <c r="A11171" t="s">
        <v>7602</v>
      </c>
      <c r="B11171" t="s">
        <v>2305</v>
      </c>
      <c r="C11171" t="s">
        <v>8144</v>
      </c>
      <c r="D11171" s="1" t="s">
        <v>8145</v>
      </c>
      <c r="E11171" t="s">
        <v>14</v>
      </c>
      <c r="F11171">
        <v>58.094200000000001</v>
      </c>
      <c r="G11171">
        <v>11.333600000000001</v>
      </c>
      <c r="H11171">
        <v>1</v>
      </c>
      <c r="I11171">
        <v>15.7</v>
      </c>
      <c r="J11171" t="str">
        <f>HYPERLINK("https://climate.onebuilding.org/WMO_Region_6_Europe/SWE_Sweden/VG_Vastra_Gotaland/SWE_VG_Maseskar.Lighthouse.025050_TMYx.2007-2021.zip")</f>
        <v>https://climate.onebuilding.org/WMO_Region_6_Europe/SWE_Sweden/VG_Vastra_Gotaland/SWE_VG_Maseskar.Lighthouse.025050_TMYx.2007-2021.zip</v>
      </c>
    </row>
    <row r="11172" spans="1:10" x14ac:dyDescent="0.25">
      <c r="A11172" t="s">
        <v>7602</v>
      </c>
      <c r="B11172" t="s">
        <v>2305</v>
      </c>
      <c r="C11172" t="s">
        <v>8144</v>
      </c>
      <c r="D11172" s="1" t="s">
        <v>8145</v>
      </c>
      <c r="E11172" t="s">
        <v>14</v>
      </c>
      <c r="F11172">
        <v>58.094200000000001</v>
      </c>
      <c r="G11172">
        <v>11.333600000000001</v>
      </c>
      <c r="H11172">
        <v>1</v>
      </c>
      <c r="I11172">
        <v>15.7</v>
      </c>
      <c r="J11172" t="str">
        <f>HYPERLINK("https://climate.onebuilding.org/WMO_Region_6_Europe/SWE_Sweden/VG_Vastra_Gotaland/SWE_VG_Maseskar.Lighthouse.025050_TMYx.2009-2023.zip")</f>
        <v>https://climate.onebuilding.org/WMO_Region_6_Europe/SWE_Sweden/VG_Vastra_Gotaland/SWE_VG_Maseskar.Lighthouse.025050_TMYx.2009-2023.zip</v>
      </c>
    </row>
    <row r="11173" spans="1:10" x14ac:dyDescent="0.25">
      <c r="A11173" t="s">
        <v>7602</v>
      </c>
      <c r="B11173" t="s">
        <v>2305</v>
      </c>
      <c r="C11173" t="s">
        <v>8144</v>
      </c>
      <c r="D11173" s="1" t="s">
        <v>8145</v>
      </c>
      <c r="E11173" t="s">
        <v>14</v>
      </c>
      <c r="F11173">
        <v>58.094200000000001</v>
      </c>
      <c r="G11173">
        <v>11.333600000000001</v>
      </c>
      <c r="H11173">
        <v>1</v>
      </c>
      <c r="I11173">
        <v>15.7</v>
      </c>
      <c r="J11173" t="str">
        <f>HYPERLINK("https://climate.onebuilding.org/WMO_Region_6_Europe/SWE_Sweden/VG_Vastra_Gotaland/SWE_VG_Maseskar.Lighthouse.025050_TMYx.zip")</f>
        <v>https://climate.onebuilding.org/WMO_Region_6_Europe/SWE_Sweden/VG_Vastra_Gotaland/SWE_VG_Maseskar.Lighthouse.025050_TMYx.zip</v>
      </c>
    </row>
    <row r="11174" spans="1:10" x14ac:dyDescent="0.25">
      <c r="A11174" t="s">
        <v>7602</v>
      </c>
      <c r="B11174" t="s">
        <v>2305</v>
      </c>
      <c r="C11174" t="s">
        <v>8147</v>
      </c>
      <c r="D11174" s="1" t="s">
        <v>8148</v>
      </c>
      <c r="E11174" t="s">
        <v>8149</v>
      </c>
      <c r="F11174">
        <v>58.660800000000002</v>
      </c>
      <c r="G11174">
        <v>11.4178</v>
      </c>
      <c r="H11174">
        <v>1</v>
      </c>
      <c r="I11174">
        <v>80</v>
      </c>
      <c r="J11174" t="str">
        <f>HYPERLINK("https://climate.onebuilding.org/WMO_Region_6_Europe/SWE_Sweden/VG_Vastra_Gotaland/SWE_VG_Hud.025070_TMYx.2004-2018.zip")</f>
        <v>https://climate.onebuilding.org/WMO_Region_6_Europe/SWE_Sweden/VG_Vastra_Gotaland/SWE_VG_Hud.025070_TMYx.2004-2018.zip</v>
      </c>
    </row>
    <row r="11175" spans="1:10" x14ac:dyDescent="0.25">
      <c r="A11175" t="s">
        <v>7602</v>
      </c>
      <c r="B11175" t="s">
        <v>2305</v>
      </c>
      <c r="C11175" t="s">
        <v>8147</v>
      </c>
      <c r="D11175" s="1" t="s">
        <v>8148</v>
      </c>
      <c r="E11175" t="s">
        <v>14</v>
      </c>
      <c r="F11175">
        <v>58.660800000000002</v>
      </c>
      <c r="G11175">
        <v>11.4178</v>
      </c>
      <c r="H11175">
        <v>1</v>
      </c>
      <c r="I11175">
        <v>80</v>
      </c>
      <c r="J11175" t="str">
        <f>HYPERLINK("https://climate.onebuilding.org/WMO_Region_6_Europe/SWE_Sweden/VG_Vastra_Gotaland/SWE_VG_Hud.025070_TMYx.2007-2021.zip")</f>
        <v>https://climate.onebuilding.org/WMO_Region_6_Europe/SWE_Sweden/VG_Vastra_Gotaland/SWE_VG_Hud.025070_TMYx.2007-2021.zip</v>
      </c>
    </row>
    <row r="11176" spans="1:10" x14ac:dyDescent="0.25">
      <c r="A11176" t="s">
        <v>7602</v>
      </c>
      <c r="B11176" t="s">
        <v>2305</v>
      </c>
      <c r="C11176" t="s">
        <v>8147</v>
      </c>
      <c r="D11176" s="1" t="s">
        <v>8148</v>
      </c>
      <c r="E11176" t="s">
        <v>14</v>
      </c>
      <c r="F11176">
        <v>58.660800000000002</v>
      </c>
      <c r="G11176">
        <v>11.4178</v>
      </c>
      <c r="H11176">
        <v>1</v>
      </c>
      <c r="I11176">
        <v>80</v>
      </c>
      <c r="J11176" t="str">
        <f>HYPERLINK("https://climate.onebuilding.org/WMO_Region_6_Europe/SWE_Sweden/VG_Vastra_Gotaland/SWE_VG_Hud.025070_TMYx.2009-2023.zip")</f>
        <v>https://climate.onebuilding.org/WMO_Region_6_Europe/SWE_Sweden/VG_Vastra_Gotaland/SWE_VG_Hud.025070_TMYx.2009-2023.zip</v>
      </c>
    </row>
    <row r="11177" spans="1:10" x14ac:dyDescent="0.25">
      <c r="A11177" t="s">
        <v>7602</v>
      </c>
      <c r="B11177" t="s">
        <v>2305</v>
      </c>
      <c r="C11177" t="s">
        <v>8147</v>
      </c>
      <c r="D11177" s="1" t="s">
        <v>8148</v>
      </c>
      <c r="E11177" t="s">
        <v>14</v>
      </c>
      <c r="F11177">
        <v>58.660800000000002</v>
      </c>
      <c r="G11177">
        <v>11.4178</v>
      </c>
      <c r="H11177">
        <v>1</v>
      </c>
      <c r="I11177">
        <v>80</v>
      </c>
      <c r="J11177" t="str">
        <f>HYPERLINK("https://climate.onebuilding.org/WMO_Region_6_Europe/SWE_Sweden/VG_Vastra_Gotaland/SWE_VG_Hud.025070_TMYx.zip")</f>
        <v>https://climate.onebuilding.org/WMO_Region_6_Europe/SWE_Sweden/VG_Vastra_Gotaland/SWE_VG_Hud.025070_TMYx.zip</v>
      </c>
    </row>
    <row r="11178" spans="1:10" x14ac:dyDescent="0.25">
      <c r="A11178" t="s">
        <v>7602</v>
      </c>
      <c r="B11178" t="s">
        <v>2305</v>
      </c>
      <c r="C11178" t="s">
        <v>8150</v>
      </c>
      <c r="D11178" s="1" t="s">
        <v>8151</v>
      </c>
      <c r="E11178" t="s">
        <v>14</v>
      </c>
      <c r="F11178">
        <v>58.216999999999999</v>
      </c>
      <c r="G11178">
        <v>11.933</v>
      </c>
      <c r="H11178">
        <v>1</v>
      </c>
      <c r="I11178">
        <v>70</v>
      </c>
      <c r="J11178" t="str">
        <f>HYPERLINK("https://climate.onebuilding.org/WMO_Region_6_Europe/SWE_Sweden/VG_Vastra_Gotaland/SWE_VG_Ljungskile.025100_TMYx.zip")</f>
        <v>https://climate.onebuilding.org/WMO_Region_6_Europe/SWE_Sweden/VG_Vastra_Gotaland/SWE_VG_Ljungskile.025100_TMYx.zip</v>
      </c>
    </row>
    <row r="11179" spans="1:10" x14ac:dyDescent="0.25">
      <c r="A11179" t="s">
        <v>7602</v>
      </c>
      <c r="B11179" t="s">
        <v>2305</v>
      </c>
      <c r="C11179" t="s">
        <v>8152</v>
      </c>
      <c r="D11179" s="1" t="s">
        <v>8153</v>
      </c>
      <c r="E11179" t="s">
        <v>14</v>
      </c>
      <c r="F11179">
        <v>58.317999999999998</v>
      </c>
      <c r="G11179">
        <v>12.345000000000001</v>
      </c>
      <c r="H11179">
        <v>1</v>
      </c>
      <c r="I11179">
        <v>41.8</v>
      </c>
      <c r="J11179" t="str">
        <f>HYPERLINK("https://climate.onebuilding.org/WMO_Region_6_Europe/SWE_Sweden/VG_Vastra_Gotaland/SWE_VG_Trollhattan.Vanersborg.AP.025103_TMYx.2007-2021.zip")</f>
        <v>https://climate.onebuilding.org/WMO_Region_6_Europe/SWE_Sweden/VG_Vastra_Gotaland/SWE_VG_Trollhattan.Vanersborg.AP.025103_TMYx.2007-2021.zip</v>
      </c>
    </row>
    <row r="11180" spans="1:10" x14ac:dyDescent="0.25">
      <c r="A11180" t="s">
        <v>7602</v>
      </c>
      <c r="B11180" t="s">
        <v>2305</v>
      </c>
      <c r="C11180" t="s">
        <v>8152</v>
      </c>
      <c r="D11180" s="1" t="s">
        <v>8153</v>
      </c>
      <c r="E11180" t="s">
        <v>14</v>
      </c>
      <c r="F11180">
        <v>58.317999999999998</v>
      </c>
      <c r="G11180">
        <v>12.345000000000001</v>
      </c>
      <c r="H11180">
        <v>1</v>
      </c>
      <c r="I11180">
        <v>41.8</v>
      </c>
      <c r="J11180" t="str">
        <f>HYPERLINK("https://climate.onebuilding.org/WMO_Region_6_Europe/SWE_Sweden/VG_Vastra_Gotaland/SWE_VG_Trollhattan.Vanersborg.AP.025103_TMYx.2009-2023.zip")</f>
        <v>https://climate.onebuilding.org/WMO_Region_6_Europe/SWE_Sweden/VG_Vastra_Gotaland/SWE_VG_Trollhattan.Vanersborg.AP.025103_TMYx.2009-2023.zip</v>
      </c>
    </row>
    <row r="11181" spans="1:10" x14ac:dyDescent="0.25">
      <c r="A11181" t="s">
        <v>7602</v>
      </c>
      <c r="B11181" t="s">
        <v>2305</v>
      </c>
      <c r="C11181" t="s">
        <v>8152</v>
      </c>
      <c r="D11181" s="1" t="s">
        <v>8153</v>
      </c>
      <c r="E11181" t="s">
        <v>14</v>
      </c>
      <c r="F11181">
        <v>58.317999999999998</v>
      </c>
      <c r="G11181">
        <v>12.345000000000001</v>
      </c>
      <c r="H11181">
        <v>1</v>
      </c>
      <c r="I11181">
        <v>41.8</v>
      </c>
      <c r="J11181" t="str">
        <f>HYPERLINK("https://climate.onebuilding.org/WMO_Region_6_Europe/SWE_Sweden/VG_Vastra_Gotaland/SWE_VG_Trollhattan.Vanersborg.AP.025103_TMYx.zip")</f>
        <v>https://climate.onebuilding.org/WMO_Region_6_Europe/SWE_Sweden/VG_Vastra_Gotaland/SWE_VG_Trollhattan.Vanersborg.AP.025103_TMYx.zip</v>
      </c>
    </row>
    <row r="11182" spans="1:10" x14ac:dyDescent="0.25">
      <c r="A11182" t="s">
        <v>7602</v>
      </c>
      <c r="B11182" t="s">
        <v>2305</v>
      </c>
      <c r="C11182" t="s">
        <v>8154</v>
      </c>
      <c r="D11182" s="1" t="s">
        <v>8155</v>
      </c>
      <c r="E11182" t="s">
        <v>8156</v>
      </c>
      <c r="F11182">
        <v>57.774999999999999</v>
      </c>
      <c r="G11182">
        <v>11.87</v>
      </c>
      <c r="H11182">
        <v>1</v>
      </c>
      <c r="I11182">
        <v>18</v>
      </c>
      <c r="J11182" t="str">
        <f>HYPERLINK("https://climate.onebuilding.org/WMO_Region_6_Europe/SWE_Sweden/VG_Vastra_Gotaland/SWE_VG_Goteborg.City.AP.025120_TMYx.2004-2018.zip")</f>
        <v>https://climate.onebuilding.org/WMO_Region_6_Europe/SWE_Sweden/VG_Vastra_Gotaland/SWE_VG_Goteborg.City.AP.025120_TMYx.2004-2018.zip</v>
      </c>
    </row>
    <row r="11183" spans="1:10" x14ac:dyDescent="0.25">
      <c r="A11183" t="s">
        <v>7602</v>
      </c>
      <c r="B11183" t="s">
        <v>2305</v>
      </c>
      <c r="C11183" t="s">
        <v>8154</v>
      </c>
      <c r="D11183" s="1" t="s">
        <v>8155</v>
      </c>
      <c r="E11183" t="s">
        <v>14</v>
      </c>
      <c r="F11183">
        <v>57.774999999999999</v>
      </c>
      <c r="G11183">
        <v>11.87</v>
      </c>
      <c r="H11183">
        <v>1</v>
      </c>
      <c r="I11183">
        <v>18</v>
      </c>
      <c r="J11183" t="str">
        <f>HYPERLINK("https://climate.onebuilding.org/WMO_Region_6_Europe/SWE_Sweden/VG_Vastra_Gotaland/SWE_VG_Goteborg.City.AP.025120_TMYx.2007-2021.zip")</f>
        <v>https://climate.onebuilding.org/WMO_Region_6_Europe/SWE_Sweden/VG_Vastra_Gotaland/SWE_VG_Goteborg.City.AP.025120_TMYx.2007-2021.zip</v>
      </c>
    </row>
    <row r="11184" spans="1:10" x14ac:dyDescent="0.25">
      <c r="A11184" t="s">
        <v>7602</v>
      </c>
      <c r="B11184" t="s">
        <v>2305</v>
      </c>
      <c r="C11184" t="s">
        <v>8154</v>
      </c>
      <c r="D11184" s="1" t="s">
        <v>8155</v>
      </c>
      <c r="E11184" t="s">
        <v>14</v>
      </c>
      <c r="F11184">
        <v>57.774999999999999</v>
      </c>
      <c r="G11184">
        <v>11.87</v>
      </c>
      <c r="H11184">
        <v>1</v>
      </c>
      <c r="I11184">
        <v>18</v>
      </c>
      <c r="J11184" t="str">
        <f>HYPERLINK("https://climate.onebuilding.org/WMO_Region_6_Europe/SWE_Sweden/VG_Vastra_Gotaland/SWE_VG_Goteborg.City.AP.025120_TMYx.2009-2023.zip")</f>
        <v>https://climate.onebuilding.org/WMO_Region_6_Europe/SWE_Sweden/VG_Vastra_Gotaland/SWE_VG_Goteborg.City.AP.025120_TMYx.2009-2023.zip</v>
      </c>
    </row>
    <row r="11185" spans="1:10" x14ac:dyDescent="0.25">
      <c r="A11185" t="s">
        <v>7602</v>
      </c>
      <c r="B11185" t="s">
        <v>2305</v>
      </c>
      <c r="C11185" t="s">
        <v>8154</v>
      </c>
      <c r="D11185" s="1" t="s">
        <v>8155</v>
      </c>
      <c r="E11185" t="s">
        <v>14</v>
      </c>
      <c r="F11185">
        <v>57.774999999999999</v>
      </c>
      <c r="G11185">
        <v>11.87</v>
      </c>
      <c r="H11185">
        <v>1</v>
      </c>
      <c r="I11185">
        <v>18</v>
      </c>
      <c r="J11185" t="str">
        <f>HYPERLINK("https://climate.onebuilding.org/WMO_Region_6_Europe/SWE_Sweden/VG_Vastra_Gotaland/SWE_VG_Goteborg.City.AP.025120_TMYx.zip")</f>
        <v>https://climate.onebuilding.org/WMO_Region_6_Europe/SWE_Sweden/VG_Vastra_Gotaland/SWE_VG_Goteborg.City.AP.025120_TMYx.zip</v>
      </c>
    </row>
    <row r="11186" spans="1:10" x14ac:dyDescent="0.25">
      <c r="A11186" t="s">
        <v>7602</v>
      </c>
      <c r="B11186" t="s">
        <v>2305</v>
      </c>
      <c r="C11186" t="s">
        <v>8157</v>
      </c>
      <c r="D11186" s="1" t="s">
        <v>8158</v>
      </c>
      <c r="E11186" t="s">
        <v>8159</v>
      </c>
      <c r="F11186">
        <v>57.715600000000002</v>
      </c>
      <c r="G11186">
        <v>11.9925</v>
      </c>
      <c r="H11186">
        <v>1</v>
      </c>
      <c r="I11186">
        <v>3.4</v>
      </c>
      <c r="J11186" t="str">
        <f>HYPERLINK("https://climate.onebuilding.org/WMO_Region_6_Europe/SWE_Sweden/VG_Vastra_Gotaland/SWE_VG_Goteborg.025130_TMYx.2004-2018.zip")</f>
        <v>https://climate.onebuilding.org/WMO_Region_6_Europe/SWE_Sweden/VG_Vastra_Gotaland/SWE_VG_Goteborg.025130_TMYx.2004-2018.zip</v>
      </c>
    </row>
    <row r="11187" spans="1:10" x14ac:dyDescent="0.25">
      <c r="A11187" t="s">
        <v>7602</v>
      </c>
      <c r="B11187" t="s">
        <v>2305</v>
      </c>
      <c r="C11187" t="s">
        <v>8157</v>
      </c>
      <c r="D11187" s="1" t="s">
        <v>8158</v>
      </c>
      <c r="E11187" t="s">
        <v>14</v>
      </c>
      <c r="F11187">
        <v>57.715600000000002</v>
      </c>
      <c r="G11187">
        <v>11.9925</v>
      </c>
      <c r="H11187">
        <v>1</v>
      </c>
      <c r="I11187">
        <v>3.4</v>
      </c>
      <c r="J11187" t="str">
        <f>HYPERLINK("https://climate.onebuilding.org/WMO_Region_6_Europe/SWE_Sweden/VG_Vastra_Gotaland/SWE_VG_Goteborg.025130_TMYx.2007-2021.zip")</f>
        <v>https://climate.onebuilding.org/WMO_Region_6_Europe/SWE_Sweden/VG_Vastra_Gotaland/SWE_VG_Goteborg.025130_TMYx.2007-2021.zip</v>
      </c>
    </row>
    <row r="11188" spans="1:10" x14ac:dyDescent="0.25">
      <c r="A11188" t="s">
        <v>7602</v>
      </c>
      <c r="B11188" t="s">
        <v>2305</v>
      </c>
      <c r="C11188" t="s">
        <v>8157</v>
      </c>
      <c r="D11188" s="1" t="s">
        <v>8158</v>
      </c>
      <c r="E11188" t="s">
        <v>14</v>
      </c>
      <c r="F11188">
        <v>57.715600000000002</v>
      </c>
      <c r="G11188">
        <v>11.9925</v>
      </c>
      <c r="H11188">
        <v>1</v>
      </c>
      <c r="I11188">
        <v>3.4</v>
      </c>
      <c r="J11188" t="str">
        <f>HYPERLINK("https://climate.onebuilding.org/WMO_Region_6_Europe/SWE_Sweden/VG_Vastra_Gotaland/SWE_VG_Goteborg.025130_TMYx.2009-2023.zip")</f>
        <v>https://climate.onebuilding.org/WMO_Region_6_Europe/SWE_Sweden/VG_Vastra_Gotaland/SWE_VG_Goteborg.025130_TMYx.2009-2023.zip</v>
      </c>
    </row>
    <row r="11189" spans="1:10" x14ac:dyDescent="0.25">
      <c r="A11189" t="s">
        <v>7602</v>
      </c>
      <c r="B11189" t="s">
        <v>2305</v>
      </c>
      <c r="C11189" t="s">
        <v>8157</v>
      </c>
      <c r="D11189" s="1" t="s">
        <v>8158</v>
      </c>
      <c r="E11189" t="s">
        <v>14</v>
      </c>
      <c r="F11189">
        <v>57.715600000000002</v>
      </c>
      <c r="G11189">
        <v>11.9925</v>
      </c>
      <c r="H11189">
        <v>1</v>
      </c>
      <c r="I11189">
        <v>3.4</v>
      </c>
      <c r="J11189" t="str">
        <f>HYPERLINK("https://climate.onebuilding.org/WMO_Region_6_Europe/SWE_Sweden/VG_Vastra_Gotaland/SWE_VG_Goteborg.025130_TMYx.zip")</f>
        <v>https://climate.onebuilding.org/WMO_Region_6_Europe/SWE_Sweden/VG_Vastra_Gotaland/SWE_VG_Goteborg.025130_TMYx.zip</v>
      </c>
    </row>
    <row r="11190" spans="1:10" x14ac:dyDescent="0.25">
      <c r="A11190" t="s">
        <v>7602</v>
      </c>
      <c r="B11190" t="s">
        <v>2305</v>
      </c>
      <c r="C11190" t="s">
        <v>8160</v>
      </c>
      <c r="D11190" s="1" t="s">
        <v>8161</v>
      </c>
      <c r="E11190" t="s">
        <v>8162</v>
      </c>
      <c r="F11190">
        <v>58.1997</v>
      </c>
      <c r="G11190">
        <v>12.154199999999999</v>
      </c>
      <c r="H11190">
        <v>1</v>
      </c>
      <c r="I11190">
        <v>20</v>
      </c>
      <c r="J11190" t="str">
        <f>HYPERLINK("https://climate.onebuilding.org/WMO_Region_6_Europe/SWE_Sweden/VG_Vastra_Gotaland/SWE_VG_Torpabron.025150_TMYx.2004-2018.zip")</f>
        <v>https://climate.onebuilding.org/WMO_Region_6_Europe/SWE_Sweden/VG_Vastra_Gotaland/SWE_VG_Torpabron.025150_TMYx.2004-2018.zip</v>
      </c>
    </row>
    <row r="11191" spans="1:10" x14ac:dyDescent="0.25">
      <c r="A11191" t="s">
        <v>7602</v>
      </c>
      <c r="B11191" t="s">
        <v>2305</v>
      </c>
      <c r="C11191" t="s">
        <v>8160</v>
      </c>
      <c r="D11191" s="1" t="s">
        <v>8161</v>
      </c>
      <c r="E11191" t="s">
        <v>14</v>
      </c>
      <c r="F11191">
        <v>58.1997</v>
      </c>
      <c r="G11191">
        <v>12.154199999999999</v>
      </c>
      <c r="H11191">
        <v>1</v>
      </c>
      <c r="I11191">
        <v>20</v>
      </c>
      <c r="J11191" t="str">
        <f>HYPERLINK("https://climate.onebuilding.org/WMO_Region_6_Europe/SWE_Sweden/VG_Vastra_Gotaland/SWE_VG_Torpabron.025150_TMYx.2007-2021.zip")</f>
        <v>https://climate.onebuilding.org/WMO_Region_6_Europe/SWE_Sweden/VG_Vastra_Gotaland/SWE_VG_Torpabron.025150_TMYx.2007-2021.zip</v>
      </c>
    </row>
    <row r="11192" spans="1:10" x14ac:dyDescent="0.25">
      <c r="A11192" t="s">
        <v>7602</v>
      </c>
      <c r="B11192" t="s">
        <v>2305</v>
      </c>
      <c r="C11192" t="s">
        <v>8160</v>
      </c>
      <c r="D11192" s="1" t="s">
        <v>8161</v>
      </c>
      <c r="E11192" t="s">
        <v>14</v>
      </c>
      <c r="F11192">
        <v>58.1997</v>
      </c>
      <c r="G11192">
        <v>12.154199999999999</v>
      </c>
      <c r="H11192">
        <v>1</v>
      </c>
      <c r="I11192">
        <v>20</v>
      </c>
      <c r="J11192" t="str">
        <f>HYPERLINK("https://climate.onebuilding.org/WMO_Region_6_Europe/SWE_Sweden/VG_Vastra_Gotaland/SWE_VG_Torpabron.025150_TMYx.2009-2023.zip")</f>
        <v>https://climate.onebuilding.org/WMO_Region_6_Europe/SWE_Sweden/VG_Vastra_Gotaland/SWE_VG_Torpabron.025150_TMYx.2009-2023.zip</v>
      </c>
    </row>
    <row r="11193" spans="1:10" x14ac:dyDescent="0.25">
      <c r="A11193" t="s">
        <v>7602</v>
      </c>
      <c r="B11193" t="s">
        <v>2305</v>
      </c>
      <c r="C11193" t="s">
        <v>8160</v>
      </c>
      <c r="D11193" s="1" t="s">
        <v>8161</v>
      </c>
      <c r="E11193" t="s">
        <v>14</v>
      </c>
      <c r="F11193">
        <v>58.1997</v>
      </c>
      <c r="G11193">
        <v>12.154199999999999</v>
      </c>
      <c r="H11193">
        <v>1</v>
      </c>
      <c r="I11193">
        <v>20</v>
      </c>
      <c r="J11193" t="str">
        <f>HYPERLINK("https://climate.onebuilding.org/WMO_Region_6_Europe/SWE_Sweden/VG_Vastra_Gotaland/SWE_VG_Torpabron.025150_TMYx.zip")</f>
        <v>https://climate.onebuilding.org/WMO_Region_6_Europe/SWE_Sweden/VG_Vastra_Gotaland/SWE_VG_Torpabron.025150_TMYx.zip</v>
      </c>
    </row>
    <row r="11194" spans="1:10" x14ac:dyDescent="0.25">
      <c r="A11194" t="s">
        <v>7602</v>
      </c>
      <c r="B11194" t="s">
        <v>2305</v>
      </c>
      <c r="C11194" t="s">
        <v>8163</v>
      </c>
      <c r="D11194" s="1" t="s">
        <v>8164</v>
      </c>
      <c r="E11194" t="s">
        <v>8165</v>
      </c>
      <c r="F11194">
        <v>57.632199999999997</v>
      </c>
      <c r="G11194">
        <v>11.604699999999999</v>
      </c>
      <c r="H11194">
        <v>1</v>
      </c>
      <c r="I11194">
        <v>19</v>
      </c>
      <c r="J11194" t="str">
        <f>HYPERLINK("https://climate.onebuilding.org/WMO_Region_6_Europe/SWE_Sweden/VG_Vastra_Gotaland/SWE_VG_Vinga.Lighthouse.025160_TMYx.2004-2018.zip")</f>
        <v>https://climate.onebuilding.org/WMO_Region_6_Europe/SWE_Sweden/VG_Vastra_Gotaland/SWE_VG_Vinga.Lighthouse.025160_TMYx.2004-2018.zip</v>
      </c>
    </row>
    <row r="11195" spans="1:10" x14ac:dyDescent="0.25">
      <c r="A11195" t="s">
        <v>7602</v>
      </c>
      <c r="B11195" t="s">
        <v>2305</v>
      </c>
      <c r="C11195" t="s">
        <v>8163</v>
      </c>
      <c r="D11195" s="1" t="s">
        <v>8164</v>
      </c>
      <c r="E11195" t="s">
        <v>14</v>
      </c>
      <c r="F11195">
        <v>57.632199999999997</v>
      </c>
      <c r="G11195">
        <v>11.604699999999999</v>
      </c>
      <c r="H11195">
        <v>1</v>
      </c>
      <c r="I11195">
        <v>19</v>
      </c>
      <c r="J11195" t="str">
        <f>HYPERLINK("https://climate.onebuilding.org/WMO_Region_6_Europe/SWE_Sweden/VG_Vastra_Gotaland/SWE_VG_Vinga.Lighthouse.025160_TMYx.2007-2021.zip")</f>
        <v>https://climate.onebuilding.org/WMO_Region_6_Europe/SWE_Sweden/VG_Vastra_Gotaland/SWE_VG_Vinga.Lighthouse.025160_TMYx.2007-2021.zip</v>
      </c>
    </row>
    <row r="11196" spans="1:10" x14ac:dyDescent="0.25">
      <c r="A11196" t="s">
        <v>7602</v>
      </c>
      <c r="B11196" t="s">
        <v>2305</v>
      </c>
      <c r="C11196" t="s">
        <v>8163</v>
      </c>
      <c r="D11196" s="1" t="s">
        <v>8164</v>
      </c>
      <c r="E11196" t="s">
        <v>14</v>
      </c>
      <c r="F11196">
        <v>57.632199999999997</v>
      </c>
      <c r="G11196">
        <v>11.604699999999999</v>
      </c>
      <c r="H11196">
        <v>1</v>
      </c>
      <c r="I11196">
        <v>19</v>
      </c>
      <c r="J11196" t="str">
        <f>HYPERLINK("https://climate.onebuilding.org/WMO_Region_6_Europe/SWE_Sweden/VG_Vastra_Gotaland/SWE_VG_Vinga.Lighthouse.025160_TMYx.2009-2023.zip")</f>
        <v>https://climate.onebuilding.org/WMO_Region_6_Europe/SWE_Sweden/VG_Vastra_Gotaland/SWE_VG_Vinga.Lighthouse.025160_TMYx.2009-2023.zip</v>
      </c>
    </row>
    <row r="11197" spans="1:10" x14ac:dyDescent="0.25">
      <c r="A11197" t="s">
        <v>7602</v>
      </c>
      <c r="B11197" t="s">
        <v>2305</v>
      </c>
      <c r="C11197" t="s">
        <v>8163</v>
      </c>
      <c r="D11197" s="1" t="s">
        <v>8164</v>
      </c>
      <c r="E11197" t="s">
        <v>14</v>
      </c>
      <c r="F11197">
        <v>57.632199999999997</v>
      </c>
      <c r="G11197">
        <v>11.604699999999999</v>
      </c>
      <c r="H11197">
        <v>1</v>
      </c>
      <c r="I11197">
        <v>19</v>
      </c>
      <c r="J11197" t="str">
        <f>HYPERLINK("https://climate.onebuilding.org/WMO_Region_6_Europe/SWE_Sweden/VG_Vastra_Gotaland/SWE_VG_Vinga.Lighthouse.025160_TMYx.zip")</f>
        <v>https://climate.onebuilding.org/WMO_Region_6_Europe/SWE_Sweden/VG_Vastra_Gotaland/SWE_VG_Vinga.Lighthouse.025160_TMYx.zip</v>
      </c>
    </row>
    <row r="11198" spans="1:10" x14ac:dyDescent="0.25">
      <c r="A11198" t="s">
        <v>7602</v>
      </c>
      <c r="B11198" t="s">
        <v>2305</v>
      </c>
      <c r="C11198" t="s">
        <v>8166</v>
      </c>
      <c r="D11198" s="1" t="s">
        <v>8167</v>
      </c>
      <c r="E11198" t="s">
        <v>14</v>
      </c>
      <c r="F11198">
        <v>57.6</v>
      </c>
      <c r="G11198">
        <v>11.632999999999999</v>
      </c>
      <c r="H11198">
        <v>1</v>
      </c>
      <c r="I11198">
        <v>26</v>
      </c>
      <c r="J11198" t="str">
        <f>HYPERLINK("https://climate.onebuilding.org/WMO_Region_6_Europe/SWE_Sweden/VG_Vastra_Gotaland/SWE_VG_Trubaduren.025170_TMYx.zip")</f>
        <v>https://climate.onebuilding.org/WMO_Region_6_Europe/SWE_Sweden/VG_Vastra_Gotaland/SWE_VG_Trubaduren.025170_TMYx.zip</v>
      </c>
    </row>
    <row r="11199" spans="1:10" x14ac:dyDescent="0.25">
      <c r="A11199" t="s">
        <v>7602</v>
      </c>
      <c r="B11199" t="s">
        <v>2249</v>
      </c>
      <c r="C11199" t="s">
        <v>8168</v>
      </c>
      <c r="D11199" s="1" t="s">
        <v>8169</v>
      </c>
      <c r="E11199" t="s">
        <v>8170</v>
      </c>
      <c r="F11199">
        <v>57.303899999999999</v>
      </c>
      <c r="G11199">
        <v>11.9064</v>
      </c>
      <c r="H11199">
        <v>1</v>
      </c>
      <c r="I11199">
        <v>1.7</v>
      </c>
      <c r="J11199" t="str">
        <f>HYPERLINK("https://climate.onebuilding.org/WMO_Region_6_Europe/SWE_Sweden/HA_Halland/SWE_HA_Nidingen.Lighthouse.025180_TMYx.2004-2018.zip")</f>
        <v>https://climate.onebuilding.org/WMO_Region_6_Europe/SWE_Sweden/HA_Halland/SWE_HA_Nidingen.Lighthouse.025180_TMYx.2004-2018.zip</v>
      </c>
    </row>
    <row r="11200" spans="1:10" x14ac:dyDescent="0.25">
      <c r="A11200" t="s">
        <v>7602</v>
      </c>
      <c r="B11200" t="s">
        <v>2249</v>
      </c>
      <c r="C11200" t="s">
        <v>8168</v>
      </c>
      <c r="D11200" s="1" t="s">
        <v>8169</v>
      </c>
      <c r="E11200" t="s">
        <v>14</v>
      </c>
      <c r="F11200">
        <v>57.303899999999999</v>
      </c>
      <c r="G11200">
        <v>11.9064</v>
      </c>
      <c r="H11200">
        <v>1</v>
      </c>
      <c r="I11200">
        <v>1.7</v>
      </c>
      <c r="J11200" t="str">
        <f>HYPERLINK("https://climate.onebuilding.org/WMO_Region_6_Europe/SWE_Sweden/HA_Halland/SWE_HA_Nidingen.Lighthouse.025180_TMYx.2007-2021.zip")</f>
        <v>https://climate.onebuilding.org/WMO_Region_6_Europe/SWE_Sweden/HA_Halland/SWE_HA_Nidingen.Lighthouse.025180_TMYx.2007-2021.zip</v>
      </c>
    </row>
    <row r="11201" spans="1:10" x14ac:dyDescent="0.25">
      <c r="A11201" t="s">
        <v>7602</v>
      </c>
      <c r="B11201" t="s">
        <v>2249</v>
      </c>
      <c r="C11201" t="s">
        <v>8168</v>
      </c>
      <c r="D11201" s="1" t="s">
        <v>8169</v>
      </c>
      <c r="E11201" t="s">
        <v>14</v>
      </c>
      <c r="F11201">
        <v>57.303899999999999</v>
      </c>
      <c r="G11201">
        <v>11.9064</v>
      </c>
      <c r="H11201">
        <v>1</v>
      </c>
      <c r="I11201">
        <v>1.7</v>
      </c>
      <c r="J11201" t="str">
        <f>HYPERLINK("https://climate.onebuilding.org/WMO_Region_6_Europe/SWE_Sweden/HA_Halland/SWE_HA_Nidingen.Lighthouse.025180_TMYx.2009-2023.zip")</f>
        <v>https://climate.onebuilding.org/WMO_Region_6_Europe/SWE_Sweden/HA_Halland/SWE_HA_Nidingen.Lighthouse.025180_TMYx.2009-2023.zip</v>
      </c>
    </row>
    <row r="11202" spans="1:10" x14ac:dyDescent="0.25">
      <c r="A11202" t="s">
        <v>7602</v>
      </c>
      <c r="B11202" t="s">
        <v>2249</v>
      </c>
      <c r="C11202" t="s">
        <v>8168</v>
      </c>
      <c r="D11202" s="1" t="s">
        <v>8169</v>
      </c>
      <c r="E11202" t="s">
        <v>14</v>
      </c>
      <c r="F11202">
        <v>57.303899999999999</v>
      </c>
      <c r="G11202">
        <v>11.9064</v>
      </c>
      <c r="H11202">
        <v>1</v>
      </c>
      <c r="I11202">
        <v>1.7</v>
      </c>
      <c r="J11202" t="str">
        <f>HYPERLINK("https://climate.onebuilding.org/WMO_Region_6_Europe/SWE_Sweden/HA_Halland/SWE_HA_Nidingen.Lighthouse.025180_TMYx.zip")</f>
        <v>https://climate.onebuilding.org/WMO_Region_6_Europe/SWE_Sweden/HA_Halland/SWE_HA_Nidingen.Lighthouse.025180_TMYx.zip</v>
      </c>
    </row>
    <row r="11203" spans="1:10" x14ac:dyDescent="0.25">
      <c r="A11203" t="s">
        <v>7602</v>
      </c>
      <c r="B11203" t="s">
        <v>2305</v>
      </c>
      <c r="C11203" t="s">
        <v>8171</v>
      </c>
      <c r="D11203" s="1" t="s">
        <v>8172</v>
      </c>
      <c r="E11203" t="s">
        <v>8173</v>
      </c>
      <c r="F11203">
        <v>58.428899999999999</v>
      </c>
      <c r="G11203">
        <v>12.713900000000001</v>
      </c>
      <c r="H11203">
        <v>1</v>
      </c>
      <c r="I11203">
        <v>54</v>
      </c>
      <c r="J11203" t="str">
        <f>HYPERLINK("https://climate.onebuilding.org/WMO_Region_6_Europe/SWE_Sweden/VG_Vastra_Gotaland/SWE_VG_Satenas.AP.025200_TMYx.2004-2018.zip")</f>
        <v>https://climate.onebuilding.org/WMO_Region_6_Europe/SWE_Sweden/VG_Vastra_Gotaland/SWE_VG_Satenas.AP.025200_TMYx.2004-2018.zip</v>
      </c>
    </row>
    <row r="11204" spans="1:10" x14ac:dyDescent="0.25">
      <c r="A11204" t="s">
        <v>7602</v>
      </c>
      <c r="B11204" t="s">
        <v>2305</v>
      </c>
      <c r="C11204" t="s">
        <v>8171</v>
      </c>
      <c r="D11204" s="1" t="s">
        <v>8172</v>
      </c>
      <c r="E11204" t="s">
        <v>14</v>
      </c>
      <c r="F11204">
        <v>58.436</v>
      </c>
      <c r="G11204">
        <v>12.707000000000001</v>
      </c>
      <c r="H11204">
        <v>1</v>
      </c>
      <c r="I11204">
        <v>54</v>
      </c>
      <c r="J11204" t="str">
        <f>HYPERLINK("https://climate.onebuilding.org/WMO_Region_6_Europe/SWE_Sweden/VG_Vastra_Gotaland/SWE_VG_Satenas.AP.025200_TMYx.2007-2021.zip")</f>
        <v>https://climate.onebuilding.org/WMO_Region_6_Europe/SWE_Sweden/VG_Vastra_Gotaland/SWE_VG_Satenas.AP.025200_TMYx.2007-2021.zip</v>
      </c>
    </row>
    <row r="11205" spans="1:10" x14ac:dyDescent="0.25">
      <c r="A11205" t="s">
        <v>7602</v>
      </c>
      <c r="B11205" t="s">
        <v>2305</v>
      </c>
      <c r="C11205" t="s">
        <v>8171</v>
      </c>
      <c r="D11205" s="1" t="s">
        <v>8172</v>
      </c>
      <c r="E11205" t="s">
        <v>14</v>
      </c>
      <c r="F11205">
        <v>58.436</v>
      </c>
      <c r="G11205">
        <v>12.707000000000001</v>
      </c>
      <c r="H11205">
        <v>1</v>
      </c>
      <c r="I11205">
        <v>54</v>
      </c>
      <c r="J11205" t="str">
        <f>HYPERLINK("https://climate.onebuilding.org/WMO_Region_6_Europe/SWE_Sweden/VG_Vastra_Gotaland/SWE_VG_Satenas.AP.025200_TMYx.2009-2023.zip")</f>
        <v>https://climate.onebuilding.org/WMO_Region_6_Europe/SWE_Sweden/VG_Vastra_Gotaland/SWE_VG_Satenas.AP.025200_TMYx.2009-2023.zip</v>
      </c>
    </row>
    <row r="11206" spans="1:10" x14ac:dyDescent="0.25">
      <c r="A11206" t="s">
        <v>7602</v>
      </c>
      <c r="B11206" t="s">
        <v>2305</v>
      </c>
      <c r="C11206" t="s">
        <v>8171</v>
      </c>
      <c r="D11206" s="1" t="s">
        <v>8172</v>
      </c>
      <c r="E11206" t="s">
        <v>14</v>
      </c>
      <c r="F11206">
        <v>58.436</v>
      </c>
      <c r="G11206">
        <v>12.707000000000001</v>
      </c>
      <c r="H11206">
        <v>1</v>
      </c>
      <c r="I11206">
        <v>54</v>
      </c>
      <c r="J11206" t="str">
        <f>HYPERLINK("https://climate.onebuilding.org/WMO_Region_6_Europe/SWE_Sweden/VG_Vastra_Gotaland/SWE_VG_Satenas.AP.025200_TMYx.zip")</f>
        <v>https://climate.onebuilding.org/WMO_Region_6_Europe/SWE_Sweden/VG_Vastra_Gotaland/SWE_VG_Satenas.AP.025200_TMYx.zip</v>
      </c>
    </row>
    <row r="11207" spans="1:10" x14ac:dyDescent="0.25">
      <c r="A11207" t="s">
        <v>7602</v>
      </c>
      <c r="B11207" t="s">
        <v>2305</v>
      </c>
      <c r="C11207" t="s">
        <v>8174</v>
      </c>
      <c r="D11207" s="1" t="s">
        <v>8175</v>
      </c>
      <c r="E11207" t="s">
        <v>8176</v>
      </c>
      <c r="F11207">
        <v>58.600299999999997</v>
      </c>
      <c r="G11207">
        <v>12.4131</v>
      </c>
      <c r="H11207">
        <v>1</v>
      </c>
      <c r="I11207">
        <v>55</v>
      </c>
      <c r="J11207" t="str">
        <f>HYPERLINK("https://climate.onebuilding.org/WMO_Region_6_Europe/SWE_Sweden/VG_Vastra_Gotaland/SWE_VG_Bergarud.025210_TMYx.2004-2018.zip")</f>
        <v>https://climate.onebuilding.org/WMO_Region_6_Europe/SWE_Sweden/VG_Vastra_Gotaland/SWE_VG_Bergarud.025210_TMYx.2004-2018.zip</v>
      </c>
    </row>
    <row r="11208" spans="1:10" x14ac:dyDescent="0.25">
      <c r="A11208" t="s">
        <v>7602</v>
      </c>
      <c r="B11208" t="s">
        <v>2305</v>
      </c>
      <c r="C11208" t="s">
        <v>8174</v>
      </c>
      <c r="D11208" s="1" t="s">
        <v>8175</v>
      </c>
      <c r="E11208" t="s">
        <v>14</v>
      </c>
      <c r="F11208">
        <v>58.600299999999997</v>
      </c>
      <c r="G11208">
        <v>12.4131</v>
      </c>
      <c r="H11208">
        <v>1</v>
      </c>
      <c r="I11208">
        <v>55</v>
      </c>
      <c r="J11208" t="str">
        <f>HYPERLINK("https://climate.onebuilding.org/WMO_Region_6_Europe/SWE_Sweden/VG_Vastra_Gotaland/SWE_VG_Bergarud.025210_TMYx.2007-2021.zip")</f>
        <v>https://climate.onebuilding.org/WMO_Region_6_Europe/SWE_Sweden/VG_Vastra_Gotaland/SWE_VG_Bergarud.025210_TMYx.2007-2021.zip</v>
      </c>
    </row>
    <row r="11209" spans="1:10" x14ac:dyDescent="0.25">
      <c r="A11209" t="s">
        <v>7602</v>
      </c>
      <c r="B11209" t="s">
        <v>2305</v>
      </c>
      <c r="C11209" t="s">
        <v>8174</v>
      </c>
      <c r="D11209" s="1" t="s">
        <v>8175</v>
      </c>
      <c r="E11209" t="s">
        <v>14</v>
      </c>
      <c r="F11209">
        <v>58.600299999999997</v>
      </c>
      <c r="G11209">
        <v>12.4131</v>
      </c>
      <c r="H11209">
        <v>1</v>
      </c>
      <c r="I11209">
        <v>55</v>
      </c>
      <c r="J11209" t="str">
        <f>HYPERLINK("https://climate.onebuilding.org/WMO_Region_6_Europe/SWE_Sweden/VG_Vastra_Gotaland/SWE_VG_Bergarud.025210_TMYx.2009-2023.zip")</f>
        <v>https://climate.onebuilding.org/WMO_Region_6_Europe/SWE_Sweden/VG_Vastra_Gotaland/SWE_VG_Bergarud.025210_TMYx.2009-2023.zip</v>
      </c>
    </row>
    <row r="11210" spans="1:10" x14ac:dyDescent="0.25">
      <c r="A11210" t="s">
        <v>7602</v>
      </c>
      <c r="B11210" t="s">
        <v>2305</v>
      </c>
      <c r="C11210" t="s">
        <v>8174</v>
      </c>
      <c r="D11210" s="1" t="s">
        <v>8175</v>
      </c>
      <c r="E11210" t="s">
        <v>14</v>
      </c>
      <c r="F11210">
        <v>58.600299999999997</v>
      </c>
      <c r="G11210">
        <v>12.4131</v>
      </c>
      <c r="H11210">
        <v>1</v>
      </c>
      <c r="I11210">
        <v>55</v>
      </c>
      <c r="J11210" t="str">
        <f>HYPERLINK("https://climate.onebuilding.org/WMO_Region_6_Europe/SWE_Sweden/VG_Vastra_Gotaland/SWE_VG_Bergarud.025210_TMYx.zip")</f>
        <v>https://climate.onebuilding.org/WMO_Region_6_Europe/SWE_Sweden/VG_Vastra_Gotaland/SWE_VG_Bergarud.025210_TMYx.zip</v>
      </c>
    </row>
    <row r="11211" spans="1:10" x14ac:dyDescent="0.25">
      <c r="A11211" t="s">
        <v>7602</v>
      </c>
      <c r="B11211" t="s">
        <v>2305</v>
      </c>
      <c r="C11211" t="s">
        <v>8177</v>
      </c>
      <c r="D11211" s="1" t="s">
        <v>8178</v>
      </c>
      <c r="E11211" t="s">
        <v>14</v>
      </c>
      <c r="F11211">
        <v>57.933</v>
      </c>
      <c r="G11211">
        <v>13.067</v>
      </c>
      <c r="H11211">
        <v>1</v>
      </c>
      <c r="I11211">
        <v>190</v>
      </c>
      <c r="J11211" t="str">
        <f>HYPERLINK("https://climate.onebuilding.org/WMO_Region_6_Europe/SWE_Sweden/VG_Vastra_Gotaland/SWE_VG_Molla.025240_TMYx.zip")</f>
        <v>https://climate.onebuilding.org/WMO_Region_6_Europe/SWE_Sweden/VG_Vastra_Gotaland/SWE_VG_Molla.025240_TMYx.zip</v>
      </c>
    </row>
    <row r="11212" spans="1:10" x14ac:dyDescent="0.25">
      <c r="A11212" t="s">
        <v>7602</v>
      </c>
      <c r="B11212" t="s">
        <v>2305</v>
      </c>
      <c r="C11212" t="s">
        <v>8179</v>
      </c>
      <c r="D11212" s="1" t="s">
        <v>8180</v>
      </c>
      <c r="E11212" t="s">
        <v>8181</v>
      </c>
      <c r="F11212">
        <v>57.676099999999998</v>
      </c>
      <c r="G11212">
        <v>12.2919</v>
      </c>
      <c r="H11212">
        <v>1</v>
      </c>
      <c r="I11212">
        <v>155.19999999999999</v>
      </c>
      <c r="J11212" t="str">
        <f>HYPERLINK("https://climate.onebuilding.org/WMO_Region_6_Europe/SWE_Sweden/VG_Vastra_Gotaland/SWE_VG_Gothenburg-Landvetter.AP.025260_TMYx.2004-2018.zip")</f>
        <v>https://climate.onebuilding.org/WMO_Region_6_Europe/SWE_Sweden/VG_Vastra_Gotaland/SWE_VG_Gothenburg-Landvetter.AP.025260_TMYx.2004-2018.zip</v>
      </c>
    </row>
    <row r="11213" spans="1:10" x14ac:dyDescent="0.25">
      <c r="A11213" t="s">
        <v>7602</v>
      </c>
      <c r="B11213" t="s">
        <v>2305</v>
      </c>
      <c r="C11213" t="s">
        <v>8179</v>
      </c>
      <c r="D11213" s="1" t="s">
        <v>8180</v>
      </c>
      <c r="E11213" t="s">
        <v>14</v>
      </c>
      <c r="F11213">
        <v>57.662999999999997</v>
      </c>
      <c r="G11213">
        <v>12.28</v>
      </c>
      <c r="H11213">
        <v>1</v>
      </c>
      <c r="I11213">
        <v>155.19999999999999</v>
      </c>
      <c r="J11213" t="str">
        <f>HYPERLINK("https://climate.onebuilding.org/WMO_Region_6_Europe/SWE_Sweden/VG_Vastra_Gotaland/SWE_VG_Gothenburg-Landvetter.AP.025260_TMYx.2007-2021.zip")</f>
        <v>https://climate.onebuilding.org/WMO_Region_6_Europe/SWE_Sweden/VG_Vastra_Gotaland/SWE_VG_Gothenburg-Landvetter.AP.025260_TMYx.2007-2021.zip</v>
      </c>
    </row>
    <row r="11214" spans="1:10" x14ac:dyDescent="0.25">
      <c r="A11214" t="s">
        <v>7602</v>
      </c>
      <c r="B11214" t="s">
        <v>2305</v>
      </c>
      <c r="C11214" t="s">
        <v>8179</v>
      </c>
      <c r="D11214" s="1" t="s">
        <v>8180</v>
      </c>
      <c r="E11214" t="s">
        <v>14</v>
      </c>
      <c r="F11214">
        <v>57.662999999999997</v>
      </c>
      <c r="G11214">
        <v>12.28</v>
      </c>
      <c r="H11214">
        <v>1</v>
      </c>
      <c r="I11214">
        <v>155.19999999999999</v>
      </c>
      <c r="J11214" t="str">
        <f>HYPERLINK("https://climate.onebuilding.org/WMO_Region_6_Europe/SWE_Sweden/VG_Vastra_Gotaland/SWE_VG_Gothenburg-Landvetter.AP.025260_TMYx.2009-2023.zip")</f>
        <v>https://climate.onebuilding.org/WMO_Region_6_Europe/SWE_Sweden/VG_Vastra_Gotaland/SWE_VG_Gothenburg-Landvetter.AP.025260_TMYx.2009-2023.zip</v>
      </c>
    </row>
    <row r="11215" spans="1:10" x14ac:dyDescent="0.25">
      <c r="A11215" t="s">
        <v>7602</v>
      </c>
      <c r="B11215" t="s">
        <v>2305</v>
      </c>
      <c r="C11215" t="s">
        <v>8179</v>
      </c>
      <c r="D11215" s="1" t="s">
        <v>8180</v>
      </c>
      <c r="E11215" t="s">
        <v>14</v>
      </c>
      <c r="F11215">
        <v>57.662999999999997</v>
      </c>
      <c r="G11215">
        <v>12.28</v>
      </c>
      <c r="H11215">
        <v>1</v>
      </c>
      <c r="I11215">
        <v>155.19999999999999</v>
      </c>
      <c r="J11215" t="str">
        <f>HYPERLINK("https://climate.onebuilding.org/WMO_Region_6_Europe/SWE_Sweden/VG_Vastra_Gotaland/SWE_VG_Gothenburg-Landvetter.AP.025260_TMYx.zip")</f>
        <v>https://climate.onebuilding.org/WMO_Region_6_Europe/SWE_Sweden/VG_Vastra_Gotaland/SWE_VG_Gothenburg-Landvetter.AP.025260_TMYx.zip</v>
      </c>
    </row>
    <row r="11216" spans="1:10" x14ac:dyDescent="0.25">
      <c r="A11216" t="s">
        <v>7602</v>
      </c>
      <c r="B11216" t="s">
        <v>7574</v>
      </c>
      <c r="C11216" t="s">
        <v>8182</v>
      </c>
      <c r="D11216" s="1" t="s">
        <v>8183</v>
      </c>
      <c r="E11216" t="s">
        <v>14</v>
      </c>
      <c r="F11216">
        <v>61.167000000000002</v>
      </c>
      <c r="G11216">
        <v>13.016999999999999</v>
      </c>
      <c r="H11216">
        <v>1</v>
      </c>
      <c r="I11216">
        <v>830</v>
      </c>
      <c r="J11216" t="str">
        <f>HYPERLINK("https://climate.onebuilding.org/WMO_Region_6_Europe/SWE_Sweden/KO_Dalarna/SWE_KO_Tandadalen.025280_TMYx.zip")</f>
        <v>https://climate.onebuilding.org/WMO_Region_6_Europe/SWE_Sweden/KO_Dalarna/SWE_KO_Tandadalen.025280_TMYx.zip</v>
      </c>
    </row>
    <row r="11217" spans="1:10" x14ac:dyDescent="0.25">
      <c r="A11217" t="s">
        <v>7602</v>
      </c>
      <c r="B11217" t="s">
        <v>2305</v>
      </c>
      <c r="C11217" t="s">
        <v>8184</v>
      </c>
      <c r="D11217" s="1" t="s">
        <v>8185</v>
      </c>
      <c r="E11217" t="s">
        <v>14</v>
      </c>
      <c r="F11217">
        <v>58.9</v>
      </c>
      <c r="G11217">
        <v>13.25</v>
      </c>
      <c r="H11217">
        <v>1</v>
      </c>
      <c r="I11217">
        <v>50</v>
      </c>
      <c r="J11217" t="str">
        <f>HYPERLINK("https://climate.onebuilding.org/WMO_Region_6_Europe/SWE_Sweden/VG_Vastra_Gotaland/SWE_VG_Nashuvud.025300_TMYx.zip")</f>
        <v>https://climate.onebuilding.org/WMO_Region_6_Europe/SWE_Sweden/VG_Vastra_Gotaland/SWE_VG_Nashuvud.025300_TMYx.zip</v>
      </c>
    </row>
    <row r="11218" spans="1:10" x14ac:dyDescent="0.25">
      <c r="A11218" t="s">
        <v>7602</v>
      </c>
      <c r="B11218" t="s">
        <v>2305</v>
      </c>
      <c r="C11218" t="s">
        <v>8186</v>
      </c>
      <c r="D11218" s="1" t="s">
        <v>8187</v>
      </c>
      <c r="E11218" t="s">
        <v>14</v>
      </c>
      <c r="F11218">
        <v>58.383000000000003</v>
      </c>
      <c r="G11218">
        <v>13.25</v>
      </c>
      <c r="H11218">
        <v>1</v>
      </c>
      <c r="I11218">
        <v>120</v>
      </c>
      <c r="J11218" t="str">
        <f>HYPERLINK("https://climate.onebuilding.org/WMO_Region_6_Europe/SWE_Sweden/VG_Vastra_Gotaland/SWE_VG_Skara.025330_TMYx.zip")</f>
        <v>https://climate.onebuilding.org/WMO_Region_6_Europe/SWE_Sweden/VG_Vastra_Gotaland/SWE_VG_Skara.025330_TMYx.zip</v>
      </c>
    </row>
    <row r="11219" spans="1:10" x14ac:dyDescent="0.25">
      <c r="A11219" t="s">
        <v>7602</v>
      </c>
      <c r="B11219" t="s">
        <v>2305</v>
      </c>
      <c r="C11219" t="s">
        <v>8188</v>
      </c>
      <c r="D11219" s="1" t="s">
        <v>8189</v>
      </c>
      <c r="E11219" t="s">
        <v>8190</v>
      </c>
      <c r="F11219">
        <v>58.456000000000003</v>
      </c>
      <c r="G11219">
        <v>13.973000000000001</v>
      </c>
      <c r="H11219">
        <v>1</v>
      </c>
      <c r="I11219">
        <v>98.8</v>
      </c>
      <c r="J11219" t="str">
        <f>HYPERLINK("https://climate.onebuilding.org/WMO_Region_6_Europe/SWE_Sweden/VG_Vastra_Gotaland/SWE_VG_Skovde.AP.025350_TMYx.2004-2018.zip")</f>
        <v>https://climate.onebuilding.org/WMO_Region_6_Europe/SWE_Sweden/VG_Vastra_Gotaland/SWE_VG_Skovde.AP.025350_TMYx.2004-2018.zip</v>
      </c>
    </row>
    <row r="11220" spans="1:10" x14ac:dyDescent="0.25">
      <c r="A11220" t="s">
        <v>7602</v>
      </c>
      <c r="B11220" t="s">
        <v>2305</v>
      </c>
      <c r="C11220" t="s">
        <v>8188</v>
      </c>
      <c r="D11220" s="1" t="s">
        <v>8189</v>
      </c>
      <c r="E11220" t="s">
        <v>14</v>
      </c>
      <c r="F11220">
        <v>58.456000000000003</v>
      </c>
      <c r="G11220">
        <v>13.973000000000001</v>
      </c>
      <c r="H11220">
        <v>1</v>
      </c>
      <c r="I11220">
        <v>98.8</v>
      </c>
      <c r="J11220" t="str">
        <f>HYPERLINK("https://climate.onebuilding.org/WMO_Region_6_Europe/SWE_Sweden/VG_Vastra_Gotaland/SWE_VG_Skovde.AP.025350_TMYx.2007-2021.zip")</f>
        <v>https://climate.onebuilding.org/WMO_Region_6_Europe/SWE_Sweden/VG_Vastra_Gotaland/SWE_VG_Skovde.AP.025350_TMYx.2007-2021.zip</v>
      </c>
    </row>
    <row r="11221" spans="1:10" x14ac:dyDescent="0.25">
      <c r="A11221" t="s">
        <v>7602</v>
      </c>
      <c r="B11221" t="s">
        <v>2305</v>
      </c>
      <c r="C11221" t="s">
        <v>8188</v>
      </c>
      <c r="D11221" s="1" t="s">
        <v>8189</v>
      </c>
      <c r="E11221" t="s">
        <v>14</v>
      </c>
      <c r="F11221">
        <v>58.456000000000003</v>
      </c>
      <c r="G11221">
        <v>13.973000000000001</v>
      </c>
      <c r="H11221">
        <v>1</v>
      </c>
      <c r="I11221">
        <v>98.8</v>
      </c>
      <c r="J11221" t="str">
        <f>HYPERLINK("https://climate.onebuilding.org/WMO_Region_6_Europe/SWE_Sweden/VG_Vastra_Gotaland/SWE_VG_Skovde.AP.025350_TMYx.2009-2023.zip")</f>
        <v>https://climate.onebuilding.org/WMO_Region_6_Europe/SWE_Sweden/VG_Vastra_Gotaland/SWE_VG_Skovde.AP.025350_TMYx.2009-2023.zip</v>
      </c>
    </row>
    <row r="11222" spans="1:10" x14ac:dyDescent="0.25">
      <c r="A11222" t="s">
        <v>7602</v>
      </c>
      <c r="B11222" t="s">
        <v>2305</v>
      </c>
      <c r="C11222" t="s">
        <v>8188</v>
      </c>
      <c r="D11222" s="1" t="s">
        <v>8189</v>
      </c>
      <c r="E11222" t="s">
        <v>14</v>
      </c>
      <c r="F11222">
        <v>58.456000000000003</v>
      </c>
      <c r="G11222">
        <v>13.973000000000001</v>
      </c>
      <c r="H11222">
        <v>1</v>
      </c>
      <c r="I11222">
        <v>98.8</v>
      </c>
      <c r="J11222" t="str">
        <f>HYPERLINK("https://climate.onebuilding.org/WMO_Region_6_Europe/SWE_Sweden/VG_Vastra_Gotaland/SWE_VG_Skovde.AP.025350_TMYx.zip")</f>
        <v>https://climate.onebuilding.org/WMO_Region_6_Europe/SWE_Sweden/VG_Vastra_Gotaland/SWE_VG_Skovde.AP.025350_TMYx.zip</v>
      </c>
    </row>
    <row r="11223" spans="1:10" x14ac:dyDescent="0.25">
      <c r="A11223" t="s">
        <v>7602</v>
      </c>
      <c r="B11223" t="s">
        <v>2305</v>
      </c>
      <c r="C11223" t="s">
        <v>8191</v>
      </c>
      <c r="D11223" s="1" t="s">
        <v>8192</v>
      </c>
      <c r="E11223" t="s">
        <v>8193</v>
      </c>
      <c r="F11223">
        <v>57.784999999999997</v>
      </c>
      <c r="G11223">
        <v>13.1669</v>
      </c>
      <c r="H11223">
        <v>1</v>
      </c>
      <c r="I11223">
        <v>298.8</v>
      </c>
      <c r="J11223" t="str">
        <f>HYPERLINK("https://climate.onebuilding.org/WMO_Region_6_Europe/SWE_Sweden/VG_Vastra_Gotaland/SWE_VG_Rangedala.025360_TMYx.2004-2018.zip")</f>
        <v>https://climate.onebuilding.org/WMO_Region_6_Europe/SWE_Sweden/VG_Vastra_Gotaland/SWE_VG_Rangedala.025360_TMYx.2004-2018.zip</v>
      </c>
    </row>
    <row r="11224" spans="1:10" x14ac:dyDescent="0.25">
      <c r="A11224" t="s">
        <v>7602</v>
      </c>
      <c r="B11224" t="s">
        <v>2305</v>
      </c>
      <c r="C11224" t="s">
        <v>8191</v>
      </c>
      <c r="D11224" s="1" t="s">
        <v>8192</v>
      </c>
      <c r="E11224" t="s">
        <v>14</v>
      </c>
      <c r="F11224">
        <v>57.784999999999997</v>
      </c>
      <c r="G11224">
        <v>13.1669</v>
      </c>
      <c r="H11224">
        <v>1</v>
      </c>
      <c r="I11224">
        <v>298.8</v>
      </c>
      <c r="J11224" t="str">
        <f>HYPERLINK("https://climate.onebuilding.org/WMO_Region_6_Europe/SWE_Sweden/VG_Vastra_Gotaland/SWE_VG_Rangedala.025360_TMYx.2007-2021.zip")</f>
        <v>https://climate.onebuilding.org/WMO_Region_6_Europe/SWE_Sweden/VG_Vastra_Gotaland/SWE_VG_Rangedala.025360_TMYx.2007-2021.zip</v>
      </c>
    </row>
    <row r="11225" spans="1:10" x14ac:dyDescent="0.25">
      <c r="A11225" t="s">
        <v>7602</v>
      </c>
      <c r="B11225" t="s">
        <v>2305</v>
      </c>
      <c r="C11225" t="s">
        <v>8191</v>
      </c>
      <c r="D11225" s="1" t="s">
        <v>8192</v>
      </c>
      <c r="E11225" t="s">
        <v>14</v>
      </c>
      <c r="F11225">
        <v>57.784999999999997</v>
      </c>
      <c r="G11225">
        <v>13.1669</v>
      </c>
      <c r="H11225">
        <v>1</v>
      </c>
      <c r="I11225">
        <v>298.8</v>
      </c>
      <c r="J11225" t="str">
        <f>HYPERLINK("https://climate.onebuilding.org/WMO_Region_6_Europe/SWE_Sweden/VG_Vastra_Gotaland/SWE_VG_Rangedala.025360_TMYx.2009-2023.zip")</f>
        <v>https://climate.onebuilding.org/WMO_Region_6_Europe/SWE_Sweden/VG_Vastra_Gotaland/SWE_VG_Rangedala.025360_TMYx.2009-2023.zip</v>
      </c>
    </row>
    <row r="11226" spans="1:10" x14ac:dyDescent="0.25">
      <c r="A11226" t="s">
        <v>7602</v>
      </c>
      <c r="B11226" t="s">
        <v>2305</v>
      </c>
      <c r="C11226" t="s">
        <v>8191</v>
      </c>
      <c r="D11226" s="1" t="s">
        <v>8192</v>
      </c>
      <c r="E11226" t="s">
        <v>14</v>
      </c>
      <c r="F11226">
        <v>57.784999999999997</v>
      </c>
      <c r="G11226">
        <v>13.1669</v>
      </c>
      <c r="H11226">
        <v>1</v>
      </c>
      <c r="I11226">
        <v>298.8</v>
      </c>
      <c r="J11226" t="str">
        <f>HYPERLINK("https://climate.onebuilding.org/WMO_Region_6_Europe/SWE_Sweden/VG_Vastra_Gotaland/SWE_VG_Rangedala.025360_TMYx.zip")</f>
        <v>https://climate.onebuilding.org/WMO_Region_6_Europe/SWE_Sweden/VG_Vastra_Gotaland/SWE_VG_Rangedala.025360_TMYx.zip</v>
      </c>
    </row>
    <row r="11227" spans="1:10" x14ac:dyDescent="0.25">
      <c r="A11227" t="s">
        <v>7602</v>
      </c>
      <c r="B11227" t="s">
        <v>2305</v>
      </c>
      <c r="C11227" t="s">
        <v>8194</v>
      </c>
      <c r="D11227" s="1" t="s">
        <v>8195</v>
      </c>
      <c r="E11227" t="s">
        <v>14</v>
      </c>
      <c r="F11227">
        <v>57.716999999999999</v>
      </c>
      <c r="G11227">
        <v>13.083</v>
      </c>
      <c r="H11227">
        <v>1</v>
      </c>
      <c r="I11227">
        <v>259</v>
      </c>
      <c r="J11227" t="str">
        <f>HYPERLINK("https://climate.onebuilding.org/WMO_Region_6_Europe/SWE_Sweden/VG_Vastra_Gotaland/SWE_VG_Dalsjofors.025361_TMYx.2007-2021.zip")</f>
        <v>https://climate.onebuilding.org/WMO_Region_6_Europe/SWE_Sweden/VG_Vastra_Gotaland/SWE_VG_Dalsjofors.025361_TMYx.2007-2021.zip</v>
      </c>
    </row>
    <row r="11228" spans="1:10" x14ac:dyDescent="0.25">
      <c r="A11228" t="s">
        <v>7602</v>
      </c>
      <c r="B11228" t="s">
        <v>2305</v>
      </c>
      <c r="C11228" t="s">
        <v>8194</v>
      </c>
      <c r="D11228" s="1" t="s">
        <v>8195</v>
      </c>
      <c r="E11228" t="s">
        <v>14</v>
      </c>
      <c r="F11228">
        <v>57.716999999999999</v>
      </c>
      <c r="G11228">
        <v>13.083</v>
      </c>
      <c r="H11228">
        <v>1</v>
      </c>
      <c r="I11228">
        <v>259</v>
      </c>
      <c r="J11228" t="str">
        <f>HYPERLINK("https://climate.onebuilding.org/WMO_Region_6_Europe/SWE_Sweden/VG_Vastra_Gotaland/SWE_VG_Dalsjofors.025361_TMYx.2009-2023.zip")</f>
        <v>https://climate.onebuilding.org/WMO_Region_6_Europe/SWE_Sweden/VG_Vastra_Gotaland/SWE_VG_Dalsjofors.025361_TMYx.2009-2023.zip</v>
      </c>
    </row>
    <row r="11229" spans="1:10" x14ac:dyDescent="0.25">
      <c r="A11229" t="s">
        <v>7602</v>
      </c>
      <c r="B11229" t="s">
        <v>2305</v>
      </c>
      <c r="C11229" t="s">
        <v>8194</v>
      </c>
      <c r="D11229" s="1" t="s">
        <v>8195</v>
      </c>
      <c r="E11229" t="s">
        <v>14</v>
      </c>
      <c r="F11229">
        <v>57.716999999999999</v>
      </c>
      <c r="G11229">
        <v>13.083</v>
      </c>
      <c r="H11229">
        <v>1</v>
      </c>
      <c r="I11229">
        <v>259</v>
      </c>
      <c r="J11229" t="str">
        <f>HYPERLINK("https://climate.onebuilding.org/WMO_Region_6_Europe/SWE_Sweden/VG_Vastra_Gotaland/SWE_VG_Dalsjofors.025361_TMYx.zip")</f>
        <v>https://climate.onebuilding.org/WMO_Region_6_Europe/SWE_Sweden/VG_Vastra_Gotaland/SWE_VG_Dalsjofors.025361_TMYx.zip</v>
      </c>
    </row>
    <row r="11230" spans="1:10" x14ac:dyDescent="0.25">
      <c r="A11230" t="s">
        <v>7602</v>
      </c>
      <c r="B11230" t="s">
        <v>2249</v>
      </c>
      <c r="C11230" t="s">
        <v>8196</v>
      </c>
      <c r="D11230" s="1" t="s">
        <v>8197</v>
      </c>
      <c r="E11230" t="s">
        <v>8198</v>
      </c>
      <c r="F11230">
        <v>57.113599999999998</v>
      </c>
      <c r="G11230">
        <v>12.7758</v>
      </c>
      <c r="H11230">
        <v>1</v>
      </c>
      <c r="I11230">
        <v>122.3</v>
      </c>
      <c r="J11230" t="str">
        <f>HYPERLINK("https://climate.onebuilding.org/WMO_Region_6_Europe/SWE_Sweden/HA_Halland/SWE_HA_Ullared.025390_TMYx.2004-2018.zip")</f>
        <v>https://climate.onebuilding.org/WMO_Region_6_Europe/SWE_Sweden/HA_Halland/SWE_HA_Ullared.025390_TMYx.2004-2018.zip</v>
      </c>
    </row>
    <row r="11231" spans="1:10" x14ac:dyDescent="0.25">
      <c r="A11231" t="s">
        <v>7602</v>
      </c>
      <c r="B11231" t="s">
        <v>2249</v>
      </c>
      <c r="C11231" t="s">
        <v>8196</v>
      </c>
      <c r="D11231" s="1" t="s">
        <v>8197</v>
      </c>
      <c r="E11231" t="s">
        <v>14</v>
      </c>
      <c r="F11231">
        <v>57.113599999999998</v>
      </c>
      <c r="G11231">
        <v>12.7758</v>
      </c>
      <c r="H11231">
        <v>1</v>
      </c>
      <c r="I11231">
        <v>122.3</v>
      </c>
      <c r="J11231" t="str">
        <f>HYPERLINK("https://climate.onebuilding.org/WMO_Region_6_Europe/SWE_Sweden/HA_Halland/SWE_HA_Ullared.025390_TMYx.2007-2021.zip")</f>
        <v>https://climate.onebuilding.org/WMO_Region_6_Europe/SWE_Sweden/HA_Halland/SWE_HA_Ullared.025390_TMYx.2007-2021.zip</v>
      </c>
    </row>
    <row r="11232" spans="1:10" x14ac:dyDescent="0.25">
      <c r="A11232" t="s">
        <v>7602</v>
      </c>
      <c r="B11232" t="s">
        <v>2249</v>
      </c>
      <c r="C11232" t="s">
        <v>8196</v>
      </c>
      <c r="D11232" s="1" t="s">
        <v>8197</v>
      </c>
      <c r="E11232" t="s">
        <v>14</v>
      </c>
      <c r="F11232">
        <v>57.113599999999998</v>
      </c>
      <c r="G11232">
        <v>12.7758</v>
      </c>
      <c r="H11232">
        <v>1</v>
      </c>
      <c r="I11232">
        <v>122.3</v>
      </c>
      <c r="J11232" t="str">
        <f>HYPERLINK("https://climate.onebuilding.org/WMO_Region_6_Europe/SWE_Sweden/HA_Halland/SWE_HA_Ullared.025390_TMYx.2009-2023.zip")</f>
        <v>https://climate.onebuilding.org/WMO_Region_6_Europe/SWE_Sweden/HA_Halland/SWE_HA_Ullared.025390_TMYx.2009-2023.zip</v>
      </c>
    </row>
    <row r="11233" spans="1:10" x14ac:dyDescent="0.25">
      <c r="A11233" t="s">
        <v>7602</v>
      </c>
      <c r="B11233" t="s">
        <v>2249</v>
      </c>
      <c r="C11233" t="s">
        <v>8196</v>
      </c>
      <c r="D11233" s="1" t="s">
        <v>8197</v>
      </c>
      <c r="E11233" t="s">
        <v>14</v>
      </c>
      <c r="F11233">
        <v>57.113599999999998</v>
      </c>
      <c r="G11233">
        <v>12.7758</v>
      </c>
      <c r="H11233">
        <v>1</v>
      </c>
      <c r="I11233">
        <v>122.3</v>
      </c>
      <c r="J11233" t="str">
        <f>HYPERLINK("https://climate.onebuilding.org/WMO_Region_6_Europe/SWE_Sweden/HA_Halland/SWE_HA_Ullared.025390_TMYx.zip")</f>
        <v>https://climate.onebuilding.org/WMO_Region_6_Europe/SWE_Sweden/HA_Halland/SWE_HA_Ullared.025390_TMYx.zip</v>
      </c>
    </row>
    <row r="11234" spans="1:10" x14ac:dyDescent="0.25">
      <c r="A11234" t="s">
        <v>7602</v>
      </c>
      <c r="B11234" t="s">
        <v>2305</v>
      </c>
      <c r="C11234" t="s">
        <v>8199</v>
      </c>
      <c r="D11234" s="1" t="s">
        <v>8200</v>
      </c>
      <c r="E11234" t="s">
        <v>8201</v>
      </c>
      <c r="F11234">
        <v>58.606900000000003</v>
      </c>
      <c r="G11234">
        <v>12.1975</v>
      </c>
      <c r="H11234">
        <v>1</v>
      </c>
      <c r="I11234">
        <v>173.7</v>
      </c>
      <c r="J11234" t="str">
        <f>HYPERLINK("https://climate.onebuilding.org/WMO_Region_6_Europe/SWE_Sweden/VG_Vastra_Gotaland/SWE_VG_Kroppefjall-Granan.025400_TMYx.2004-2018.zip")</f>
        <v>https://climate.onebuilding.org/WMO_Region_6_Europe/SWE_Sweden/VG_Vastra_Gotaland/SWE_VG_Kroppefjall-Granan.025400_TMYx.2004-2018.zip</v>
      </c>
    </row>
    <row r="11235" spans="1:10" x14ac:dyDescent="0.25">
      <c r="A11235" t="s">
        <v>7602</v>
      </c>
      <c r="B11235" t="s">
        <v>2305</v>
      </c>
      <c r="C11235" t="s">
        <v>8199</v>
      </c>
      <c r="D11235" s="1" t="s">
        <v>8200</v>
      </c>
      <c r="E11235" t="s">
        <v>14</v>
      </c>
      <c r="F11235">
        <v>58.606900000000003</v>
      </c>
      <c r="G11235">
        <v>12.1975</v>
      </c>
      <c r="H11235">
        <v>1</v>
      </c>
      <c r="I11235">
        <v>173.7</v>
      </c>
      <c r="J11235" t="str">
        <f>HYPERLINK("https://climate.onebuilding.org/WMO_Region_6_Europe/SWE_Sweden/VG_Vastra_Gotaland/SWE_VG_Kroppefjall-Granan.025400_TMYx.2007-2021.zip")</f>
        <v>https://climate.onebuilding.org/WMO_Region_6_Europe/SWE_Sweden/VG_Vastra_Gotaland/SWE_VG_Kroppefjall-Granan.025400_TMYx.2007-2021.zip</v>
      </c>
    </row>
    <row r="11236" spans="1:10" x14ac:dyDescent="0.25">
      <c r="A11236" t="s">
        <v>7602</v>
      </c>
      <c r="B11236" t="s">
        <v>2305</v>
      </c>
      <c r="C11236" t="s">
        <v>8199</v>
      </c>
      <c r="D11236" s="1" t="s">
        <v>8200</v>
      </c>
      <c r="E11236" t="s">
        <v>14</v>
      </c>
      <c r="F11236">
        <v>58.606900000000003</v>
      </c>
      <c r="G11236">
        <v>12.1975</v>
      </c>
      <c r="H11236">
        <v>1</v>
      </c>
      <c r="I11236">
        <v>173.7</v>
      </c>
      <c r="J11236" t="str">
        <f>HYPERLINK("https://climate.onebuilding.org/WMO_Region_6_Europe/SWE_Sweden/VG_Vastra_Gotaland/SWE_VG_Kroppefjall-Granan.025400_TMYx.2009-2023.zip")</f>
        <v>https://climate.onebuilding.org/WMO_Region_6_Europe/SWE_Sweden/VG_Vastra_Gotaland/SWE_VG_Kroppefjall-Granan.025400_TMYx.2009-2023.zip</v>
      </c>
    </row>
    <row r="11237" spans="1:10" x14ac:dyDescent="0.25">
      <c r="A11237" t="s">
        <v>7602</v>
      </c>
      <c r="B11237" t="s">
        <v>2305</v>
      </c>
      <c r="C11237" t="s">
        <v>8199</v>
      </c>
      <c r="D11237" s="1" t="s">
        <v>8200</v>
      </c>
      <c r="E11237" t="s">
        <v>14</v>
      </c>
      <c r="F11237">
        <v>58.606900000000003</v>
      </c>
      <c r="G11237">
        <v>12.1975</v>
      </c>
      <c r="H11237">
        <v>1</v>
      </c>
      <c r="I11237">
        <v>173.7</v>
      </c>
      <c r="J11237" t="str">
        <f>HYPERLINK("https://climate.onebuilding.org/WMO_Region_6_Europe/SWE_Sweden/VG_Vastra_Gotaland/SWE_VG_Kroppefjall-Granan.025400_TMYx.zip")</f>
        <v>https://climate.onebuilding.org/WMO_Region_6_Europe/SWE_Sweden/VG_Vastra_Gotaland/SWE_VG_Kroppefjall-Granan.025400_TMYx.zip</v>
      </c>
    </row>
    <row r="11238" spans="1:10" x14ac:dyDescent="0.25">
      <c r="A11238" t="s">
        <v>7602</v>
      </c>
      <c r="B11238" t="s">
        <v>7655</v>
      </c>
      <c r="C11238" t="s">
        <v>8202</v>
      </c>
      <c r="D11238" s="1" t="s">
        <v>8203</v>
      </c>
      <c r="E11238" t="s">
        <v>14</v>
      </c>
      <c r="F11238">
        <v>58.966999999999999</v>
      </c>
      <c r="G11238">
        <v>14.9</v>
      </c>
      <c r="H11238">
        <v>1</v>
      </c>
      <c r="I11238">
        <v>144</v>
      </c>
      <c r="J11238" t="str">
        <f>HYPERLINK("https://climate.onebuilding.org/WMO_Region_6_Europe/SWE_Sweden/OR_Orebro/SWE_OR_Snavlunda.025410_TMYx.zip")</f>
        <v>https://climate.onebuilding.org/WMO_Region_6_Europe/SWE_Sweden/OR_Orebro/SWE_OR_Snavlunda.025410_TMYx.zip</v>
      </c>
    </row>
    <row r="11239" spans="1:10" x14ac:dyDescent="0.25">
      <c r="A11239" t="s">
        <v>7602</v>
      </c>
      <c r="B11239" t="s">
        <v>2305</v>
      </c>
      <c r="C11239" t="s">
        <v>8204</v>
      </c>
      <c r="D11239" s="1" t="s">
        <v>8205</v>
      </c>
      <c r="E11239" t="s">
        <v>8206</v>
      </c>
      <c r="F11239">
        <v>58.322200000000002</v>
      </c>
      <c r="G11239">
        <v>13.0406</v>
      </c>
      <c r="H11239">
        <v>1</v>
      </c>
      <c r="I11239">
        <v>71.3</v>
      </c>
      <c r="J11239" t="str">
        <f>HYPERLINK("https://climate.onebuilding.org/WMO_Region_6_Europe/SWE_Sweden/VG_Vastra_Gotaland/SWE_VG_Hallum.025420_TMYx.2004-2018.zip")</f>
        <v>https://climate.onebuilding.org/WMO_Region_6_Europe/SWE_Sweden/VG_Vastra_Gotaland/SWE_VG_Hallum.025420_TMYx.2004-2018.zip</v>
      </c>
    </row>
    <row r="11240" spans="1:10" x14ac:dyDescent="0.25">
      <c r="A11240" t="s">
        <v>7602</v>
      </c>
      <c r="B11240" t="s">
        <v>2305</v>
      </c>
      <c r="C11240" t="s">
        <v>8204</v>
      </c>
      <c r="D11240" s="1" t="s">
        <v>8205</v>
      </c>
      <c r="E11240" t="s">
        <v>14</v>
      </c>
      <c r="F11240">
        <v>58.322200000000002</v>
      </c>
      <c r="G11240">
        <v>13.0406</v>
      </c>
      <c r="H11240">
        <v>1</v>
      </c>
      <c r="I11240">
        <v>71.3</v>
      </c>
      <c r="J11240" t="str">
        <f>HYPERLINK("https://climate.onebuilding.org/WMO_Region_6_Europe/SWE_Sweden/VG_Vastra_Gotaland/SWE_VG_Hallum.025420_TMYx.2007-2021.zip")</f>
        <v>https://climate.onebuilding.org/WMO_Region_6_Europe/SWE_Sweden/VG_Vastra_Gotaland/SWE_VG_Hallum.025420_TMYx.2007-2021.zip</v>
      </c>
    </row>
    <row r="11241" spans="1:10" x14ac:dyDescent="0.25">
      <c r="A11241" t="s">
        <v>7602</v>
      </c>
      <c r="B11241" t="s">
        <v>2305</v>
      </c>
      <c r="C11241" t="s">
        <v>8204</v>
      </c>
      <c r="D11241" s="1" t="s">
        <v>8205</v>
      </c>
      <c r="E11241" t="s">
        <v>14</v>
      </c>
      <c r="F11241">
        <v>58.322200000000002</v>
      </c>
      <c r="G11241">
        <v>13.0406</v>
      </c>
      <c r="H11241">
        <v>1</v>
      </c>
      <c r="I11241">
        <v>71.3</v>
      </c>
      <c r="J11241" t="str">
        <f>HYPERLINK("https://climate.onebuilding.org/WMO_Region_6_Europe/SWE_Sweden/VG_Vastra_Gotaland/SWE_VG_Hallum.025420_TMYx.2009-2023.zip")</f>
        <v>https://climate.onebuilding.org/WMO_Region_6_Europe/SWE_Sweden/VG_Vastra_Gotaland/SWE_VG_Hallum.025420_TMYx.2009-2023.zip</v>
      </c>
    </row>
    <row r="11242" spans="1:10" x14ac:dyDescent="0.25">
      <c r="A11242" t="s">
        <v>7602</v>
      </c>
      <c r="B11242" t="s">
        <v>2305</v>
      </c>
      <c r="C11242" t="s">
        <v>8204</v>
      </c>
      <c r="D11242" s="1" t="s">
        <v>8205</v>
      </c>
      <c r="E11242" t="s">
        <v>14</v>
      </c>
      <c r="F11242">
        <v>58.322200000000002</v>
      </c>
      <c r="G11242">
        <v>13.0406</v>
      </c>
      <c r="H11242">
        <v>1</v>
      </c>
      <c r="I11242">
        <v>71.3</v>
      </c>
      <c r="J11242" t="str">
        <f>HYPERLINK("https://climate.onebuilding.org/WMO_Region_6_Europe/SWE_Sweden/VG_Vastra_Gotaland/SWE_VG_Hallum.025420_TMYx.zip")</f>
        <v>https://climate.onebuilding.org/WMO_Region_6_Europe/SWE_Sweden/VG_Vastra_Gotaland/SWE_VG_Hallum.025420_TMYx.zip</v>
      </c>
    </row>
    <row r="11243" spans="1:10" x14ac:dyDescent="0.25">
      <c r="A11243" t="s">
        <v>7602</v>
      </c>
      <c r="B11243" t="s">
        <v>2305</v>
      </c>
      <c r="C11243" t="s">
        <v>8207</v>
      </c>
      <c r="D11243" s="1" t="s">
        <v>8208</v>
      </c>
      <c r="E11243" t="s">
        <v>8209</v>
      </c>
      <c r="F11243">
        <v>58.513599999999997</v>
      </c>
      <c r="G11243">
        <v>14.507199999999999</v>
      </c>
      <c r="H11243">
        <v>1</v>
      </c>
      <c r="I11243">
        <v>93.5</v>
      </c>
      <c r="J11243" t="str">
        <f>HYPERLINK("https://climate.onebuilding.org/WMO_Region_6_Europe/SWE_Sweden/VG_Vastra_Gotaland/SWE_VG_Karlsborg.AP.025440_TMYx.2004-2018.zip")</f>
        <v>https://climate.onebuilding.org/WMO_Region_6_Europe/SWE_Sweden/VG_Vastra_Gotaland/SWE_VG_Karlsborg.AP.025440_TMYx.2004-2018.zip</v>
      </c>
    </row>
    <row r="11244" spans="1:10" x14ac:dyDescent="0.25">
      <c r="A11244" t="s">
        <v>7602</v>
      </c>
      <c r="B11244" t="s">
        <v>2305</v>
      </c>
      <c r="C11244" t="s">
        <v>8207</v>
      </c>
      <c r="D11244" s="1" t="s">
        <v>8208</v>
      </c>
      <c r="E11244" t="s">
        <v>14</v>
      </c>
      <c r="F11244">
        <v>58.517000000000003</v>
      </c>
      <c r="G11244">
        <v>14.516999999999999</v>
      </c>
      <c r="H11244">
        <v>1</v>
      </c>
      <c r="I11244">
        <v>93.5</v>
      </c>
      <c r="J11244" t="str">
        <f>HYPERLINK("https://climate.onebuilding.org/WMO_Region_6_Europe/SWE_Sweden/VG_Vastra_Gotaland/SWE_VG_Karlsborg.AP.025440_TMYx.2007-2021.zip")</f>
        <v>https://climate.onebuilding.org/WMO_Region_6_Europe/SWE_Sweden/VG_Vastra_Gotaland/SWE_VG_Karlsborg.AP.025440_TMYx.2007-2021.zip</v>
      </c>
    </row>
    <row r="11245" spans="1:10" x14ac:dyDescent="0.25">
      <c r="A11245" t="s">
        <v>7602</v>
      </c>
      <c r="B11245" t="s">
        <v>2305</v>
      </c>
      <c r="C11245" t="s">
        <v>8207</v>
      </c>
      <c r="D11245" s="1" t="s">
        <v>8208</v>
      </c>
      <c r="E11245" t="s">
        <v>14</v>
      </c>
      <c r="F11245">
        <v>58.517000000000003</v>
      </c>
      <c r="G11245">
        <v>14.516999999999999</v>
      </c>
      <c r="H11245">
        <v>1</v>
      </c>
      <c r="I11245">
        <v>93.5</v>
      </c>
      <c r="J11245" t="str">
        <f>HYPERLINK("https://climate.onebuilding.org/WMO_Region_6_Europe/SWE_Sweden/VG_Vastra_Gotaland/SWE_VG_Karlsborg.AP.025440_TMYx.2009-2023.zip")</f>
        <v>https://climate.onebuilding.org/WMO_Region_6_Europe/SWE_Sweden/VG_Vastra_Gotaland/SWE_VG_Karlsborg.AP.025440_TMYx.2009-2023.zip</v>
      </c>
    </row>
    <row r="11246" spans="1:10" x14ac:dyDescent="0.25">
      <c r="A11246" t="s">
        <v>7602</v>
      </c>
      <c r="B11246" t="s">
        <v>2305</v>
      </c>
      <c r="C11246" t="s">
        <v>8207</v>
      </c>
      <c r="D11246" s="1" t="s">
        <v>8208</v>
      </c>
      <c r="E11246" t="s">
        <v>14</v>
      </c>
      <c r="F11246">
        <v>58.517000000000003</v>
      </c>
      <c r="G11246">
        <v>14.516999999999999</v>
      </c>
      <c r="H11246">
        <v>1</v>
      </c>
      <c r="I11246">
        <v>93.5</v>
      </c>
      <c r="J11246" t="str">
        <f>HYPERLINK("https://climate.onebuilding.org/WMO_Region_6_Europe/SWE_Sweden/VG_Vastra_Gotaland/SWE_VG_Karlsborg.AP.025440_TMYx.zip")</f>
        <v>https://climate.onebuilding.org/WMO_Region_6_Europe/SWE_Sweden/VG_Vastra_Gotaland/SWE_VG_Karlsborg.AP.025440_TMYx.zip</v>
      </c>
    </row>
    <row r="11247" spans="1:10" x14ac:dyDescent="0.25">
      <c r="A11247" t="s">
        <v>7602</v>
      </c>
      <c r="B11247" t="s">
        <v>2305</v>
      </c>
      <c r="C11247" t="s">
        <v>8210</v>
      </c>
      <c r="D11247" s="1" t="s">
        <v>8211</v>
      </c>
      <c r="E11247" t="s">
        <v>8212</v>
      </c>
      <c r="F11247">
        <v>58.571199999999997</v>
      </c>
      <c r="G11247">
        <v>14.5572</v>
      </c>
      <c r="H11247">
        <v>1</v>
      </c>
      <c r="I11247">
        <v>93</v>
      </c>
      <c r="J11247" t="str">
        <f>HYPERLINK("https://climate.onebuilding.org/WMO_Region_6_Europe/SWE_Sweden/VG_Vastra_Gotaland/SWE_VG_Axstal.025450_TMYx.2004-2018.zip")</f>
        <v>https://climate.onebuilding.org/WMO_Region_6_Europe/SWE_Sweden/VG_Vastra_Gotaland/SWE_VG_Axstal.025450_TMYx.2004-2018.zip</v>
      </c>
    </row>
    <row r="11248" spans="1:10" x14ac:dyDescent="0.25">
      <c r="A11248" t="s">
        <v>7602</v>
      </c>
      <c r="B11248" t="s">
        <v>2305</v>
      </c>
      <c r="C11248" t="s">
        <v>8210</v>
      </c>
      <c r="D11248" s="1" t="s">
        <v>8211</v>
      </c>
      <c r="E11248" t="s">
        <v>14</v>
      </c>
      <c r="F11248">
        <v>58.571199999999997</v>
      </c>
      <c r="G11248">
        <v>14.5572</v>
      </c>
      <c r="H11248">
        <v>1</v>
      </c>
      <c r="I11248">
        <v>93</v>
      </c>
      <c r="J11248" t="str">
        <f>HYPERLINK("https://climate.onebuilding.org/WMO_Region_6_Europe/SWE_Sweden/VG_Vastra_Gotaland/SWE_VG_Axstal.025450_TMYx.2007-2021.zip")</f>
        <v>https://climate.onebuilding.org/WMO_Region_6_Europe/SWE_Sweden/VG_Vastra_Gotaland/SWE_VG_Axstal.025450_TMYx.2007-2021.zip</v>
      </c>
    </row>
    <row r="11249" spans="1:10" x14ac:dyDescent="0.25">
      <c r="A11249" t="s">
        <v>7602</v>
      </c>
      <c r="B11249" t="s">
        <v>2305</v>
      </c>
      <c r="C11249" t="s">
        <v>8210</v>
      </c>
      <c r="D11249" s="1" t="s">
        <v>8211</v>
      </c>
      <c r="E11249" t="s">
        <v>14</v>
      </c>
      <c r="F11249">
        <v>58.571199999999997</v>
      </c>
      <c r="G11249">
        <v>14.5572</v>
      </c>
      <c r="H11249">
        <v>1</v>
      </c>
      <c r="I11249">
        <v>93</v>
      </c>
      <c r="J11249" t="str">
        <f>HYPERLINK("https://climate.onebuilding.org/WMO_Region_6_Europe/SWE_Sweden/VG_Vastra_Gotaland/SWE_VG_Axstal.025450_TMYx.2009-2023.zip")</f>
        <v>https://climate.onebuilding.org/WMO_Region_6_Europe/SWE_Sweden/VG_Vastra_Gotaland/SWE_VG_Axstal.025450_TMYx.2009-2023.zip</v>
      </c>
    </row>
    <row r="11250" spans="1:10" x14ac:dyDescent="0.25">
      <c r="A11250" t="s">
        <v>7602</v>
      </c>
      <c r="B11250" t="s">
        <v>2305</v>
      </c>
      <c r="C11250" t="s">
        <v>8210</v>
      </c>
      <c r="D11250" s="1" t="s">
        <v>8211</v>
      </c>
      <c r="E11250" t="s">
        <v>14</v>
      </c>
      <c r="F11250">
        <v>58.571199999999997</v>
      </c>
      <c r="G11250">
        <v>14.5572</v>
      </c>
      <c r="H11250">
        <v>1</v>
      </c>
      <c r="I11250">
        <v>93</v>
      </c>
      <c r="J11250" t="str">
        <f>HYPERLINK("https://climate.onebuilding.org/WMO_Region_6_Europe/SWE_Sweden/VG_Vastra_Gotaland/SWE_VG_Axstal.025450_TMYx.zip")</f>
        <v>https://climate.onebuilding.org/WMO_Region_6_Europe/SWE_Sweden/VG_Vastra_Gotaland/SWE_VG_Axstal.025450_TMYx.zip</v>
      </c>
    </row>
    <row r="11251" spans="1:10" x14ac:dyDescent="0.25">
      <c r="A11251" t="s">
        <v>7602</v>
      </c>
      <c r="B11251" t="s">
        <v>7655</v>
      </c>
      <c r="C11251" t="s">
        <v>8213</v>
      </c>
      <c r="D11251" s="1" t="s">
        <v>8214</v>
      </c>
      <c r="E11251" t="s">
        <v>8215</v>
      </c>
      <c r="F11251">
        <v>58.877200000000002</v>
      </c>
      <c r="G11251">
        <v>14.390599999999999</v>
      </c>
      <c r="H11251">
        <v>1</v>
      </c>
      <c r="I11251">
        <v>212.1</v>
      </c>
      <c r="J11251" t="str">
        <f>HYPERLINK("https://climate.onebuilding.org/WMO_Region_6_Europe/SWE_Sweden/OR_Orebro/SWE_OR_Gardsjo.025460_TMYx.2004-2018.zip")</f>
        <v>https://climate.onebuilding.org/WMO_Region_6_Europe/SWE_Sweden/OR_Orebro/SWE_OR_Gardsjo.025460_TMYx.2004-2018.zip</v>
      </c>
    </row>
    <row r="11252" spans="1:10" x14ac:dyDescent="0.25">
      <c r="A11252" t="s">
        <v>7602</v>
      </c>
      <c r="B11252" t="s">
        <v>7655</v>
      </c>
      <c r="C11252" t="s">
        <v>8213</v>
      </c>
      <c r="D11252" s="1" t="s">
        <v>8214</v>
      </c>
      <c r="E11252" t="s">
        <v>14</v>
      </c>
      <c r="F11252">
        <v>58.877200000000002</v>
      </c>
      <c r="G11252">
        <v>14.390599999999999</v>
      </c>
      <c r="H11252">
        <v>1</v>
      </c>
      <c r="I11252">
        <v>212.1</v>
      </c>
      <c r="J11252" t="str">
        <f>HYPERLINK("https://climate.onebuilding.org/WMO_Region_6_Europe/SWE_Sweden/OR_Orebro/SWE_OR_Gardsjo.025460_TMYx.2007-2021.zip")</f>
        <v>https://climate.onebuilding.org/WMO_Region_6_Europe/SWE_Sweden/OR_Orebro/SWE_OR_Gardsjo.025460_TMYx.2007-2021.zip</v>
      </c>
    </row>
    <row r="11253" spans="1:10" x14ac:dyDescent="0.25">
      <c r="A11253" t="s">
        <v>7602</v>
      </c>
      <c r="B11253" t="s">
        <v>7655</v>
      </c>
      <c r="C11253" t="s">
        <v>8213</v>
      </c>
      <c r="D11253" s="1" t="s">
        <v>8214</v>
      </c>
      <c r="E11253" t="s">
        <v>14</v>
      </c>
      <c r="F11253">
        <v>58.877200000000002</v>
      </c>
      <c r="G11253">
        <v>14.390599999999999</v>
      </c>
      <c r="H11253">
        <v>1</v>
      </c>
      <c r="I11253">
        <v>212.1</v>
      </c>
      <c r="J11253" t="str">
        <f>HYPERLINK("https://climate.onebuilding.org/WMO_Region_6_Europe/SWE_Sweden/OR_Orebro/SWE_OR_Gardsjo.025460_TMYx.2009-2023.zip")</f>
        <v>https://climate.onebuilding.org/WMO_Region_6_Europe/SWE_Sweden/OR_Orebro/SWE_OR_Gardsjo.025460_TMYx.2009-2023.zip</v>
      </c>
    </row>
    <row r="11254" spans="1:10" x14ac:dyDescent="0.25">
      <c r="A11254" t="s">
        <v>7602</v>
      </c>
      <c r="B11254" t="s">
        <v>7655</v>
      </c>
      <c r="C11254" t="s">
        <v>8213</v>
      </c>
      <c r="D11254" s="1" t="s">
        <v>8214</v>
      </c>
      <c r="E11254" t="s">
        <v>14</v>
      </c>
      <c r="F11254">
        <v>58.877200000000002</v>
      </c>
      <c r="G11254">
        <v>14.390599999999999</v>
      </c>
      <c r="H11254">
        <v>1</v>
      </c>
      <c r="I11254">
        <v>212.1</v>
      </c>
      <c r="J11254" t="str">
        <f>HYPERLINK("https://climate.onebuilding.org/WMO_Region_6_Europe/SWE_Sweden/OR_Orebro/SWE_OR_Gardsjo.025460_TMYx.zip")</f>
        <v>https://climate.onebuilding.org/WMO_Region_6_Europe/SWE_Sweden/OR_Orebro/SWE_OR_Gardsjo.025460_TMYx.zip</v>
      </c>
    </row>
    <row r="11255" spans="1:10" x14ac:dyDescent="0.25">
      <c r="A11255" t="s">
        <v>7602</v>
      </c>
      <c r="B11255" t="s">
        <v>8216</v>
      </c>
      <c r="C11255" t="s">
        <v>8217</v>
      </c>
      <c r="D11255" s="1" t="s">
        <v>8218</v>
      </c>
      <c r="E11255" t="s">
        <v>8219</v>
      </c>
      <c r="F11255">
        <v>58.095300000000002</v>
      </c>
      <c r="G11255">
        <v>14.4086</v>
      </c>
      <c r="H11255">
        <v>1</v>
      </c>
      <c r="I11255">
        <v>94.8</v>
      </c>
      <c r="J11255" t="str">
        <f>HYPERLINK("https://climate.onebuilding.org/WMO_Region_6_Europe/SWE_Sweden/JO_Jonkoping/SWE_JO_Visingso.025480_TMYx.2004-2018.zip")</f>
        <v>https://climate.onebuilding.org/WMO_Region_6_Europe/SWE_Sweden/JO_Jonkoping/SWE_JO_Visingso.025480_TMYx.2004-2018.zip</v>
      </c>
    </row>
    <row r="11256" spans="1:10" x14ac:dyDescent="0.25">
      <c r="A11256" t="s">
        <v>7602</v>
      </c>
      <c r="B11256" t="s">
        <v>8216</v>
      </c>
      <c r="C11256" t="s">
        <v>8217</v>
      </c>
      <c r="D11256" s="1" t="s">
        <v>8218</v>
      </c>
      <c r="E11256" t="s">
        <v>14</v>
      </c>
      <c r="F11256">
        <v>58.095300000000002</v>
      </c>
      <c r="G11256">
        <v>14.4086</v>
      </c>
      <c r="H11256">
        <v>1</v>
      </c>
      <c r="I11256">
        <v>94.8</v>
      </c>
      <c r="J11256" t="str">
        <f>HYPERLINK("https://climate.onebuilding.org/WMO_Region_6_Europe/SWE_Sweden/JO_Jonkoping/SWE_JO_Visingso.025480_TMYx.2007-2021.zip")</f>
        <v>https://climate.onebuilding.org/WMO_Region_6_Europe/SWE_Sweden/JO_Jonkoping/SWE_JO_Visingso.025480_TMYx.2007-2021.zip</v>
      </c>
    </row>
    <row r="11257" spans="1:10" x14ac:dyDescent="0.25">
      <c r="A11257" t="s">
        <v>7602</v>
      </c>
      <c r="B11257" t="s">
        <v>8216</v>
      </c>
      <c r="C11257" t="s">
        <v>8217</v>
      </c>
      <c r="D11257" s="1" t="s">
        <v>8218</v>
      </c>
      <c r="E11257" t="s">
        <v>14</v>
      </c>
      <c r="F11257">
        <v>58.095300000000002</v>
      </c>
      <c r="G11257">
        <v>14.4086</v>
      </c>
      <c r="H11257">
        <v>1</v>
      </c>
      <c r="I11257">
        <v>94.8</v>
      </c>
      <c r="J11257" t="str">
        <f>HYPERLINK("https://climate.onebuilding.org/WMO_Region_6_Europe/SWE_Sweden/JO_Jonkoping/SWE_JO_Visingso.025480_TMYx.2009-2023.zip")</f>
        <v>https://climate.onebuilding.org/WMO_Region_6_Europe/SWE_Sweden/JO_Jonkoping/SWE_JO_Visingso.025480_TMYx.2009-2023.zip</v>
      </c>
    </row>
    <row r="11258" spans="1:10" x14ac:dyDescent="0.25">
      <c r="A11258" t="s">
        <v>7602</v>
      </c>
      <c r="B11258" t="s">
        <v>8216</v>
      </c>
      <c r="C11258" t="s">
        <v>8217</v>
      </c>
      <c r="D11258" s="1" t="s">
        <v>8218</v>
      </c>
      <c r="E11258" t="s">
        <v>14</v>
      </c>
      <c r="F11258">
        <v>58.095300000000002</v>
      </c>
      <c r="G11258">
        <v>14.4086</v>
      </c>
      <c r="H11258">
        <v>1</v>
      </c>
      <c r="I11258">
        <v>94.8</v>
      </c>
      <c r="J11258" t="str">
        <f>HYPERLINK("https://climate.onebuilding.org/WMO_Region_6_Europe/SWE_Sweden/JO_Jonkoping/SWE_JO_Visingso.025480_TMYx.zip")</f>
        <v>https://climate.onebuilding.org/WMO_Region_6_Europe/SWE_Sweden/JO_Jonkoping/SWE_JO_Visingso.025480_TMYx.zip</v>
      </c>
    </row>
    <row r="11259" spans="1:10" x14ac:dyDescent="0.25">
      <c r="A11259" t="s">
        <v>7602</v>
      </c>
      <c r="B11259" t="s">
        <v>8216</v>
      </c>
      <c r="C11259" t="s">
        <v>8220</v>
      </c>
      <c r="D11259" s="1" t="s">
        <v>8221</v>
      </c>
      <c r="E11259" t="s">
        <v>8222</v>
      </c>
      <c r="F11259">
        <v>57.4983</v>
      </c>
      <c r="G11259">
        <v>14.467499999999999</v>
      </c>
      <c r="H11259">
        <v>1</v>
      </c>
      <c r="I11259">
        <v>356.1</v>
      </c>
      <c r="J11259" t="str">
        <f>HYPERLINK("https://climate.onebuilding.org/WMO_Region_6_Europe/SWE_Sweden/JO_Jonkoping/SWE_JO_Tomtabacken.025490_TMYx.2004-2018.zip")</f>
        <v>https://climate.onebuilding.org/WMO_Region_6_Europe/SWE_Sweden/JO_Jonkoping/SWE_JO_Tomtabacken.025490_TMYx.2004-2018.zip</v>
      </c>
    </row>
    <row r="11260" spans="1:10" x14ac:dyDescent="0.25">
      <c r="A11260" t="s">
        <v>7602</v>
      </c>
      <c r="B11260" t="s">
        <v>8216</v>
      </c>
      <c r="C11260" t="s">
        <v>8220</v>
      </c>
      <c r="D11260" s="1" t="s">
        <v>8221</v>
      </c>
      <c r="E11260" t="s">
        <v>14</v>
      </c>
      <c r="F11260">
        <v>57.4983</v>
      </c>
      <c r="G11260">
        <v>14.467499999999999</v>
      </c>
      <c r="H11260">
        <v>1</v>
      </c>
      <c r="I11260">
        <v>356.1</v>
      </c>
      <c r="J11260" t="str">
        <f>HYPERLINK("https://climate.onebuilding.org/WMO_Region_6_Europe/SWE_Sweden/JO_Jonkoping/SWE_JO_Tomtabacken.025490_TMYx.2007-2021.zip")</f>
        <v>https://climate.onebuilding.org/WMO_Region_6_Europe/SWE_Sweden/JO_Jonkoping/SWE_JO_Tomtabacken.025490_TMYx.2007-2021.zip</v>
      </c>
    </row>
    <row r="11261" spans="1:10" x14ac:dyDescent="0.25">
      <c r="A11261" t="s">
        <v>7602</v>
      </c>
      <c r="B11261" t="s">
        <v>8216</v>
      </c>
      <c r="C11261" t="s">
        <v>8220</v>
      </c>
      <c r="D11261" s="1" t="s">
        <v>8221</v>
      </c>
      <c r="E11261" t="s">
        <v>14</v>
      </c>
      <c r="F11261">
        <v>57.4983</v>
      </c>
      <c r="G11261">
        <v>14.467499999999999</v>
      </c>
      <c r="H11261">
        <v>1</v>
      </c>
      <c r="I11261">
        <v>356.1</v>
      </c>
      <c r="J11261" t="str">
        <f>HYPERLINK("https://climate.onebuilding.org/WMO_Region_6_Europe/SWE_Sweden/JO_Jonkoping/SWE_JO_Tomtabacken.025490_TMYx.2009-2023.zip")</f>
        <v>https://climate.onebuilding.org/WMO_Region_6_Europe/SWE_Sweden/JO_Jonkoping/SWE_JO_Tomtabacken.025490_TMYx.2009-2023.zip</v>
      </c>
    </row>
    <row r="11262" spans="1:10" x14ac:dyDescent="0.25">
      <c r="A11262" t="s">
        <v>7602</v>
      </c>
      <c r="B11262" t="s">
        <v>8216</v>
      </c>
      <c r="C11262" t="s">
        <v>8220</v>
      </c>
      <c r="D11262" s="1" t="s">
        <v>8221</v>
      </c>
      <c r="E11262" t="s">
        <v>14</v>
      </c>
      <c r="F11262">
        <v>57.4983</v>
      </c>
      <c r="G11262">
        <v>14.467499999999999</v>
      </c>
      <c r="H11262">
        <v>1</v>
      </c>
      <c r="I11262">
        <v>356.1</v>
      </c>
      <c r="J11262" t="str">
        <f>HYPERLINK("https://climate.onebuilding.org/WMO_Region_6_Europe/SWE_Sweden/JO_Jonkoping/SWE_JO_Tomtabacken.025490_TMYx.zip")</f>
        <v>https://climate.onebuilding.org/WMO_Region_6_Europe/SWE_Sweden/JO_Jonkoping/SWE_JO_Tomtabacken.025490_TMYx.zip</v>
      </c>
    </row>
    <row r="11263" spans="1:10" x14ac:dyDescent="0.25">
      <c r="A11263" t="s">
        <v>7602</v>
      </c>
      <c r="B11263" t="s">
        <v>8216</v>
      </c>
      <c r="C11263" t="s">
        <v>8223</v>
      </c>
      <c r="D11263" s="1" t="s">
        <v>8224</v>
      </c>
      <c r="E11263" t="s">
        <v>8225</v>
      </c>
      <c r="F11263">
        <v>57.751399999999997</v>
      </c>
      <c r="G11263">
        <v>14.0692</v>
      </c>
      <c r="H11263">
        <v>1</v>
      </c>
      <c r="I11263">
        <v>223.5</v>
      </c>
      <c r="J11263" t="str">
        <f>HYPERLINK("https://climate.onebuilding.org/WMO_Region_6_Europe/SWE_Sweden/JO_Jonkoping/SWE_JO_Jonkoping.AP.025500_TMYx.2004-2018.zip")</f>
        <v>https://climate.onebuilding.org/WMO_Region_6_Europe/SWE_Sweden/JO_Jonkoping/SWE_JO_Jonkoping.AP.025500_TMYx.2004-2018.zip</v>
      </c>
    </row>
    <row r="11264" spans="1:10" x14ac:dyDescent="0.25">
      <c r="A11264" t="s">
        <v>7602</v>
      </c>
      <c r="B11264" t="s">
        <v>8216</v>
      </c>
      <c r="C11264" t="s">
        <v>8223</v>
      </c>
      <c r="D11264" s="1" t="s">
        <v>8224</v>
      </c>
      <c r="E11264" t="s">
        <v>14</v>
      </c>
      <c r="F11264">
        <v>57.758000000000003</v>
      </c>
      <c r="G11264">
        <v>14.069000000000001</v>
      </c>
      <c r="H11264">
        <v>1</v>
      </c>
      <c r="I11264">
        <v>223.5</v>
      </c>
      <c r="J11264" t="str">
        <f>HYPERLINK("https://climate.onebuilding.org/WMO_Region_6_Europe/SWE_Sweden/JO_Jonkoping/SWE_JO_Jonkoping.AP.025500_TMYx.2007-2021.zip")</f>
        <v>https://climate.onebuilding.org/WMO_Region_6_Europe/SWE_Sweden/JO_Jonkoping/SWE_JO_Jonkoping.AP.025500_TMYx.2007-2021.zip</v>
      </c>
    </row>
    <row r="11265" spans="1:10" x14ac:dyDescent="0.25">
      <c r="A11265" t="s">
        <v>7602</v>
      </c>
      <c r="B11265" t="s">
        <v>8216</v>
      </c>
      <c r="C11265" t="s">
        <v>8223</v>
      </c>
      <c r="D11265" s="1" t="s">
        <v>8224</v>
      </c>
      <c r="E11265" t="s">
        <v>14</v>
      </c>
      <c r="F11265">
        <v>57.758000000000003</v>
      </c>
      <c r="G11265">
        <v>14.069000000000001</v>
      </c>
      <c r="H11265">
        <v>1</v>
      </c>
      <c r="I11265">
        <v>223.5</v>
      </c>
      <c r="J11265" t="str">
        <f>HYPERLINK("https://climate.onebuilding.org/WMO_Region_6_Europe/SWE_Sweden/JO_Jonkoping/SWE_JO_Jonkoping.AP.025500_TMYx.2009-2023.zip")</f>
        <v>https://climate.onebuilding.org/WMO_Region_6_Europe/SWE_Sweden/JO_Jonkoping/SWE_JO_Jonkoping.AP.025500_TMYx.2009-2023.zip</v>
      </c>
    </row>
    <row r="11266" spans="1:10" x14ac:dyDescent="0.25">
      <c r="A11266" t="s">
        <v>7602</v>
      </c>
      <c r="B11266" t="s">
        <v>8216</v>
      </c>
      <c r="C11266" t="s">
        <v>8223</v>
      </c>
      <c r="D11266" s="1" t="s">
        <v>8224</v>
      </c>
      <c r="E11266" t="s">
        <v>14</v>
      </c>
      <c r="F11266">
        <v>57.758000000000003</v>
      </c>
      <c r="G11266">
        <v>14.069000000000001</v>
      </c>
      <c r="H11266">
        <v>1</v>
      </c>
      <c r="I11266">
        <v>223.5</v>
      </c>
      <c r="J11266" t="str">
        <f>HYPERLINK("https://climate.onebuilding.org/WMO_Region_6_Europe/SWE_Sweden/JO_Jonkoping/SWE_JO_Jonkoping.AP.025500_TMYx.zip")</f>
        <v>https://climate.onebuilding.org/WMO_Region_6_Europe/SWE_Sweden/JO_Jonkoping/SWE_JO_Jonkoping.AP.025500_TMYx.zip</v>
      </c>
    </row>
    <row r="11267" spans="1:10" x14ac:dyDescent="0.25">
      <c r="A11267" t="s">
        <v>7602</v>
      </c>
      <c r="B11267" t="s">
        <v>8226</v>
      </c>
      <c r="C11267" t="s">
        <v>8227</v>
      </c>
      <c r="D11267" s="1" t="s">
        <v>8228</v>
      </c>
      <c r="E11267" t="s">
        <v>8229</v>
      </c>
      <c r="F11267">
        <v>58.071899999999999</v>
      </c>
      <c r="G11267">
        <v>15.2361</v>
      </c>
      <c r="H11267">
        <v>1</v>
      </c>
      <c r="I11267">
        <v>197.2</v>
      </c>
      <c r="J11267" t="str">
        <f>HYPERLINK("https://climate.onebuilding.org/WMO_Region_6_Europe/SWE_Sweden/OG_Ostergotland/SWE_OG_Malexander.025520_TMYx.2004-2018.zip")</f>
        <v>https://climate.onebuilding.org/WMO_Region_6_Europe/SWE_Sweden/OG_Ostergotland/SWE_OG_Malexander.025520_TMYx.2004-2018.zip</v>
      </c>
    </row>
    <row r="11268" spans="1:10" x14ac:dyDescent="0.25">
      <c r="A11268" t="s">
        <v>7602</v>
      </c>
      <c r="B11268" t="s">
        <v>8226</v>
      </c>
      <c r="C11268" t="s">
        <v>8227</v>
      </c>
      <c r="D11268" s="1" t="s">
        <v>8228</v>
      </c>
      <c r="E11268" t="s">
        <v>14</v>
      </c>
      <c r="F11268">
        <v>58.071899999999999</v>
      </c>
      <c r="G11268">
        <v>15.2361</v>
      </c>
      <c r="H11268">
        <v>1</v>
      </c>
      <c r="I11268">
        <v>197.2</v>
      </c>
      <c r="J11268" t="str">
        <f>HYPERLINK("https://climate.onebuilding.org/WMO_Region_6_Europe/SWE_Sweden/OG_Ostergotland/SWE_OG_Malexander.025520_TMYx.2007-2021.zip")</f>
        <v>https://climate.onebuilding.org/WMO_Region_6_Europe/SWE_Sweden/OG_Ostergotland/SWE_OG_Malexander.025520_TMYx.2007-2021.zip</v>
      </c>
    </row>
    <row r="11269" spans="1:10" x14ac:dyDescent="0.25">
      <c r="A11269" t="s">
        <v>7602</v>
      </c>
      <c r="B11269" t="s">
        <v>8226</v>
      </c>
      <c r="C11269" t="s">
        <v>8227</v>
      </c>
      <c r="D11269" s="1" t="s">
        <v>8228</v>
      </c>
      <c r="E11269" t="s">
        <v>14</v>
      </c>
      <c r="F11269">
        <v>58.071899999999999</v>
      </c>
      <c r="G11269">
        <v>15.2361</v>
      </c>
      <c r="H11269">
        <v>1</v>
      </c>
      <c r="I11269">
        <v>197.2</v>
      </c>
      <c r="J11269" t="str">
        <f>HYPERLINK("https://climate.onebuilding.org/WMO_Region_6_Europe/SWE_Sweden/OG_Ostergotland/SWE_OG_Malexander.025520_TMYx.2009-2023.zip")</f>
        <v>https://climate.onebuilding.org/WMO_Region_6_Europe/SWE_Sweden/OG_Ostergotland/SWE_OG_Malexander.025520_TMYx.2009-2023.zip</v>
      </c>
    </row>
    <row r="11270" spans="1:10" x14ac:dyDescent="0.25">
      <c r="A11270" t="s">
        <v>7602</v>
      </c>
      <c r="B11270" t="s">
        <v>8226</v>
      </c>
      <c r="C11270" t="s">
        <v>8227</v>
      </c>
      <c r="D11270" s="1" t="s">
        <v>8228</v>
      </c>
      <c r="E11270" t="s">
        <v>14</v>
      </c>
      <c r="F11270">
        <v>58.071899999999999</v>
      </c>
      <c r="G11270">
        <v>15.2361</v>
      </c>
      <c r="H11270">
        <v>1</v>
      </c>
      <c r="I11270">
        <v>197.2</v>
      </c>
      <c r="J11270" t="str">
        <f>HYPERLINK("https://climate.onebuilding.org/WMO_Region_6_Europe/SWE_Sweden/OG_Ostergotland/SWE_OG_Malexander.025520_TMYx.zip")</f>
        <v>https://climate.onebuilding.org/WMO_Region_6_Europe/SWE_Sweden/OG_Ostergotland/SWE_OG_Malexander.025520_TMYx.zip</v>
      </c>
    </row>
    <row r="11271" spans="1:10" x14ac:dyDescent="0.25">
      <c r="A11271" t="s">
        <v>7602</v>
      </c>
      <c r="B11271" t="s">
        <v>2305</v>
      </c>
      <c r="C11271" t="s">
        <v>8230</v>
      </c>
      <c r="D11271" s="1" t="s">
        <v>8231</v>
      </c>
      <c r="E11271" t="s">
        <v>8232</v>
      </c>
      <c r="F11271">
        <v>58.0794</v>
      </c>
      <c r="G11271">
        <v>13.785</v>
      </c>
      <c r="H11271">
        <v>1</v>
      </c>
      <c r="I11271">
        <v>220</v>
      </c>
      <c r="J11271" t="str">
        <f>HYPERLINK("https://climate.onebuilding.org/WMO_Region_6_Europe/SWE_Sweden/VG_Vastra_Gotaland/SWE_VG_Kymbo.025530_TMYx.2004-2018.zip")</f>
        <v>https://climate.onebuilding.org/WMO_Region_6_Europe/SWE_Sweden/VG_Vastra_Gotaland/SWE_VG_Kymbo.025530_TMYx.2004-2018.zip</v>
      </c>
    </row>
    <row r="11272" spans="1:10" x14ac:dyDescent="0.25">
      <c r="A11272" t="s">
        <v>7602</v>
      </c>
      <c r="B11272" t="s">
        <v>2305</v>
      </c>
      <c r="C11272" t="s">
        <v>8230</v>
      </c>
      <c r="D11272" s="1" t="s">
        <v>8231</v>
      </c>
      <c r="E11272" t="s">
        <v>14</v>
      </c>
      <c r="F11272">
        <v>58.0794</v>
      </c>
      <c r="G11272">
        <v>13.785</v>
      </c>
      <c r="H11272">
        <v>1</v>
      </c>
      <c r="I11272">
        <v>220</v>
      </c>
      <c r="J11272" t="str">
        <f>HYPERLINK("https://climate.onebuilding.org/WMO_Region_6_Europe/SWE_Sweden/VG_Vastra_Gotaland/SWE_VG_Kymbo.025530_TMYx.2007-2021.zip")</f>
        <v>https://climate.onebuilding.org/WMO_Region_6_Europe/SWE_Sweden/VG_Vastra_Gotaland/SWE_VG_Kymbo.025530_TMYx.2007-2021.zip</v>
      </c>
    </row>
    <row r="11273" spans="1:10" x14ac:dyDescent="0.25">
      <c r="A11273" t="s">
        <v>7602</v>
      </c>
      <c r="B11273" t="s">
        <v>2305</v>
      </c>
      <c r="C11273" t="s">
        <v>8230</v>
      </c>
      <c r="D11273" s="1" t="s">
        <v>8231</v>
      </c>
      <c r="E11273" t="s">
        <v>14</v>
      </c>
      <c r="F11273">
        <v>58.0794</v>
      </c>
      <c r="G11273">
        <v>13.785</v>
      </c>
      <c r="H11273">
        <v>1</v>
      </c>
      <c r="I11273">
        <v>220</v>
      </c>
      <c r="J11273" t="str">
        <f>HYPERLINK("https://climate.onebuilding.org/WMO_Region_6_Europe/SWE_Sweden/VG_Vastra_Gotaland/SWE_VG_Kymbo.025530_TMYx.2009-2023.zip")</f>
        <v>https://climate.onebuilding.org/WMO_Region_6_Europe/SWE_Sweden/VG_Vastra_Gotaland/SWE_VG_Kymbo.025530_TMYx.2009-2023.zip</v>
      </c>
    </row>
    <row r="11274" spans="1:10" x14ac:dyDescent="0.25">
      <c r="A11274" t="s">
        <v>7602</v>
      </c>
      <c r="B11274" t="s">
        <v>2305</v>
      </c>
      <c r="C11274" t="s">
        <v>8230</v>
      </c>
      <c r="D11274" s="1" t="s">
        <v>8231</v>
      </c>
      <c r="E11274" t="s">
        <v>14</v>
      </c>
      <c r="F11274">
        <v>58.0794</v>
      </c>
      <c r="G11274">
        <v>13.785</v>
      </c>
      <c r="H11274">
        <v>1</v>
      </c>
      <c r="I11274">
        <v>220</v>
      </c>
      <c r="J11274" t="str">
        <f>HYPERLINK("https://climate.onebuilding.org/WMO_Region_6_Europe/SWE_Sweden/VG_Vastra_Gotaland/SWE_VG_Kymbo.025530_TMYx.zip")</f>
        <v>https://climate.onebuilding.org/WMO_Region_6_Europe/SWE_Sweden/VG_Vastra_Gotaland/SWE_VG_Kymbo.025530_TMYx.zip</v>
      </c>
    </row>
    <row r="11275" spans="1:10" x14ac:dyDescent="0.25">
      <c r="A11275" t="s">
        <v>7602</v>
      </c>
      <c r="B11275" t="s">
        <v>7655</v>
      </c>
      <c r="C11275" t="s">
        <v>8233</v>
      </c>
      <c r="D11275" s="1" t="s">
        <v>8234</v>
      </c>
      <c r="E11275" t="s">
        <v>8235</v>
      </c>
      <c r="F11275">
        <v>58.716099999999997</v>
      </c>
      <c r="G11275">
        <v>15.0303</v>
      </c>
      <c r="H11275">
        <v>1</v>
      </c>
      <c r="I11275">
        <v>225.1</v>
      </c>
      <c r="J11275" t="str">
        <f>HYPERLINK("https://climate.onebuilding.org/WMO_Region_6_Europe/SWE_Sweden/OR_Orebro/SWE_OR_Kettstaka.025540_TMYx.2004-2018.zip")</f>
        <v>https://climate.onebuilding.org/WMO_Region_6_Europe/SWE_Sweden/OR_Orebro/SWE_OR_Kettstaka.025540_TMYx.2004-2018.zip</v>
      </c>
    </row>
    <row r="11276" spans="1:10" x14ac:dyDescent="0.25">
      <c r="A11276" t="s">
        <v>7602</v>
      </c>
      <c r="B11276" t="s">
        <v>7655</v>
      </c>
      <c r="C11276" t="s">
        <v>8233</v>
      </c>
      <c r="D11276" s="1" t="s">
        <v>8234</v>
      </c>
      <c r="E11276" t="s">
        <v>14</v>
      </c>
      <c r="F11276">
        <v>58.716099999999997</v>
      </c>
      <c r="G11276">
        <v>15.0303</v>
      </c>
      <c r="H11276">
        <v>1</v>
      </c>
      <c r="I11276">
        <v>225.1</v>
      </c>
      <c r="J11276" t="str">
        <f>HYPERLINK("https://climate.onebuilding.org/WMO_Region_6_Europe/SWE_Sweden/OR_Orebro/SWE_OR_Kettstaka.025540_TMYx.2007-2021.zip")</f>
        <v>https://climate.onebuilding.org/WMO_Region_6_Europe/SWE_Sweden/OR_Orebro/SWE_OR_Kettstaka.025540_TMYx.2007-2021.zip</v>
      </c>
    </row>
    <row r="11277" spans="1:10" x14ac:dyDescent="0.25">
      <c r="A11277" t="s">
        <v>7602</v>
      </c>
      <c r="B11277" t="s">
        <v>7655</v>
      </c>
      <c r="C11277" t="s">
        <v>8233</v>
      </c>
      <c r="D11277" s="1" t="s">
        <v>8234</v>
      </c>
      <c r="E11277" t="s">
        <v>14</v>
      </c>
      <c r="F11277">
        <v>58.716099999999997</v>
      </c>
      <c r="G11277">
        <v>15.0303</v>
      </c>
      <c r="H11277">
        <v>1</v>
      </c>
      <c r="I11277">
        <v>225.1</v>
      </c>
      <c r="J11277" t="str">
        <f>HYPERLINK("https://climate.onebuilding.org/WMO_Region_6_Europe/SWE_Sweden/OR_Orebro/SWE_OR_Kettstaka.025540_TMYx.2009-2023.zip")</f>
        <v>https://climate.onebuilding.org/WMO_Region_6_Europe/SWE_Sweden/OR_Orebro/SWE_OR_Kettstaka.025540_TMYx.2009-2023.zip</v>
      </c>
    </row>
    <row r="11278" spans="1:10" x14ac:dyDescent="0.25">
      <c r="A11278" t="s">
        <v>7602</v>
      </c>
      <c r="B11278" t="s">
        <v>7655</v>
      </c>
      <c r="C11278" t="s">
        <v>8233</v>
      </c>
      <c r="D11278" s="1" t="s">
        <v>8234</v>
      </c>
      <c r="E11278" t="s">
        <v>14</v>
      </c>
      <c r="F11278">
        <v>58.716099999999997</v>
      </c>
      <c r="G11278">
        <v>15.0303</v>
      </c>
      <c r="H11278">
        <v>1</v>
      </c>
      <c r="I11278">
        <v>225.1</v>
      </c>
      <c r="J11278" t="str">
        <f>HYPERLINK("https://climate.onebuilding.org/WMO_Region_6_Europe/SWE_Sweden/OR_Orebro/SWE_OR_Kettstaka.025540_TMYx.zip")</f>
        <v>https://climate.onebuilding.org/WMO_Region_6_Europe/SWE_Sweden/OR_Orebro/SWE_OR_Kettstaka.025540_TMYx.zip</v>
      </c>
    </row>
    <row r="11279" spans="1:10" x14ac:dyDescent="0.25">
      <c r="A11279" t="s">
        <v>7602</v>
      </c>
      <c r="B11279" t="s">
        <v>8216</v>
      </c>
      <c r="C11279" t="s">
        <v>8236</v>
      </c>
      <c r="D11279" s="1" t="s">
        <v>8237</v>
      </c>
      <c r="E11279" t="s">
        <v>14</v>
      </c>
      <c r="F11279">
        <v>57.65</v>
      </c>
      <c r="G11279">
        <v>14.7</v>
      </c>
      <c r="H11279">
        <v>1</v>
      </c>
      <c r="I11279">
        <v>305</v>
      </c>
      <c r="J11279" t="str">
        <f>HYPERLINK("https://climate.onebuilding.org/WMO_Region_6_Europe/SWE_Sweden/JO_Jonkoping/SWE_JO_Nassjo.025550_TMYx.zip")</f>
        <v>https://climate.onebuilding.org/WMO_Region_6_Europe/SWE_Sweden/JO_Jonkoping/SWE_JO_Nassjo.025550_TMYx.zip</v>
      </c>
    </row>
    <row r="11280" spans="1:10" x14ac:dyDescent="0.25">
      <c r="A11280" t="s">
        <v>7602</v>
      </c>
      <c r="B11280" t="s">
        <v>8216</v>
      </c>
      <c r="C11280" t="s">
        <v>8238</v>
      </c>
      <c r="D11280" s="1" t="s">
        <v>8239</v>
      </c>
      <c r="E11280" t="s">
        <v>8240</v>
      </c>
      <c r="F11280">
        <v>57.292499999999997</v>
      </c>
      <c r="G11280">
        <v>14.14</v>
      </c>
      <c r="H11280">
        <v>1</v>
      </c>
      <c r="I11280">
        <v>169</v>
      </c>
      <c r="J11280" t="str">
        <f>HYPERLINK("https://climate.onebuilding.org/WMO_Region_6_Europe/SWE_Sweden/JO_Jonkoping/SWE_JO_Hagshult.AP.025560_TMYx.2004-2018.zip")</f>
        <v>https://climate.onebuilding.org/WMO_Region_6_Europe/SWE_Sweden/JO_Jonkoping/SWE_JO_Hagshult.AP.025560_TMYx.2004-2018.zip</v>
      </c>
    </row>
    <row r="11281" spans="1:10" x14ac:dyDescent="0.25">
      <c r="A11281" t="s">
        <v>7602</v>
      </c>
      <c r="B11281" t="s">
        <v>8216</v>
      </c>
      <c r="C11281" t="s">
        <v>8238</v>
      </c>
      <c r="D11281" s="1" t="s">
        <v>8239</v>
      </c>
      <c r="E11281" t="s">
        <v>14</v>
      </c>
      <c r="F11281">
        <v>57.292499999999997</v>
      </c>
      <c r="G11281">
        <v>14.14</v>
      </c>
      <c r="H11281">
        <v>1</v>
      </c>
      <c r="I11281">
        <v>169</v>
      </c>
      <c r="J11281" t="str">
        <f>HYPERLINK("https://climate.onebuilding.org/WMO_Region_6_Europe/SWE_Sweden/JO_Jonkoping/SWE_JO_Hagshult.AP.025560_TMYx.2007-2021.zip")</f>
        <v>https://climate.onebuilding.org/WMO_Region_6_Europe/SWE_Sweden/JO_Jonkoping/SWE_JO_Hagshult.AP.025560_TMYx.2007-2021.zip</v>
      </c>
    </row>
    <row r="11282" spans="1:10" x14ac:dyDescent="0.25">
      <c r="A11282" t="s">
        <v>7602</v>
      </c>
      <c r="B11282" t="s">
        <v>8216</v>
      </c>
      <c r="C11282" t="s">
        <v>8238</v>
      </c>
      <c r="D11282" s="1" t="s">
        <v>8239</v>
      </c>
      <c r="E11282" t="s">
        <v>14</v>
      </c>
      <c r="F11282">
        <v>57.292499999999997</v>
      </c>
      <c r="G11282">
        <v>14.14</v>
      </c>
      <c r="H11282">
        <v>1</v>
      </c>
      <c r="I11282">
        <v>169</v>
      </c>
      <c r="J11282" t="str">
        <f>HYPERLINK("https://climate.onebuilding.org/WMO_Region_6_Europe/SWE_Sweden/JO_Jonkoping/SWE_JO_Hagshult.AP.025560_TMYx.2009-2023.zip")</f>
        <v>https://climate.onebuilding.org/WMO_Region_6_Europe/SWE_Sweden/JO_Jonkoping/SWE_JO_Hagshult.AP.025560_TMYx.2009-2023.zip</v>
      </c>
    </row>
    <row r="11283" spans="1:10" x14ac:dyDescent="0.25">
      <c r="A11283" t="s">
        <v>7602</v>
      </c>
      <c r="B11283" t="s">
        <v>8216</v>
      </c>
      <c r="C11283" t="s">
        <v>8238</v>
      </c>
      <c r="D11283" s="1" t="s">
        <v>8239</v>
      </c>
      <c r="E11283" t="s">
        <v>14</v>
      </c>
      <c r="F11283">
        <v>57.292499999999997</v>
      </c>
      <c r="G11283">
        <v>14.14</v>
      </c>
      <c r="H11283">
        <v>1</v>
      </c>
      <c r="I11283">
        <v>169</v>
      </c>
      <c r="J11283" t="str">
        <f>HYPERLINK("https://climate.onebuilding.org/WMO_Region_6_Europe/SWE_Sweden/JO_Jonkoping/SWE_JO_Hagshult.AP.025560_TMYx.zip")</f>
        <v>https://climate.onebuilding.org/WMO_Region_6_Europe/SWE_Sweden/JO_Jonkoping/SWE_JO_Hagshult.AP.025560_TMYx.zip</v>
      </c>
    </row>
    <row r="11284" spans="1:10" x14ac:dyDescent="0.25">
      <c r="A11284" t="s">
        <v>7602</v>
      </c>
      <c r="B11284" t="s">
        <v>8226</v>
      </c>
      <c r="C11284" t="s">
        <v>8241</v>
      </c>
      <c r="D11284" s="1" t="s">
        <v>8242</v>
      </c>
      <c r="E11284" t="s">
        <v>8243</v>
      </c>
      <c r="F11284">
        <v>57.886400000000002</v>
      </c>
      <c r="G11284">
        <v>15.865600000000001</v>
      </c>
      <c r="H11284">
        <v>1</v>
      </c>
      <c r="I11284">
        <v>91.3</v>
      </c>
      <c r="J11284" t="str">
        <f>HYPERLINK("https://climate.onebuilding.org/WMO_Region_6_Europe/SWE_Sweden/OG_Ostergotland/SWE_OG_Horn.025570_TMYx.2004-2018.zip")</f>
        <v>https://climate.onebuilding.org/WMO_Region_6_Europe/SWE_Sweden/OG_Ostergotland/SWE_OG_Horn.025570_TMYx.2004-2018.zip</v>
      </c>
    </row>
    <row r="11285" spans="1:10" x14ac:dyDescent="0.25">
      <c r="A11285" t="s">
        <v>7602</v>
      </c>
      <c r="B11285" t="s">
        <v>8226</v>
      </c>
      <c r="C11285" t="s">
        <v>8241</v>
      </c>
      <c r="D11285" s="1" t="s">
        <v>8242</v>
      </c>
      <c r="E11285" t="s">
        <v>14</v>
      </c>
      <c r="F11285">
        <v>57.886400000000002</v>
      </c>
      <c r="G11285">
        <v>15.865600000000001</v>
      </c>
      <c r="H11285">
        <v>1</v>
      </c>
      <c r="I11285">
        <v>91.3</v>
      </c>
      <c r="J11285" t="str">
        <f>HYPERLINK("https://climate.onebuilding.org/WMO_Region_6_Europe/SWE_Sweden/OG_Ostergotland/SWE_OG_Horn.025570_TMYx.2007-2021.zip")</f>
        <v>https://climate.onebuilding.org/WMO_Region_6_Europe/SWE_Sweden/OG_Ostergotland/SWE_OG_Horn.025570_TMYx.2007-2021.zip</v>
      </c>
    </row>
    <row r="11286" spans="1:10" x14ac:dyDescent="0.25">
      <c r="A11286" t="s">
        <v>7602</v>
      </c>
      <c r="B11286" t="s">
        <v>8226</v>
      </c>
      <c r="C11286" t="s">
        <v>8241</v>
      </c>
      <c r="D11286" s="1" t="s">
        <v>8242</v>
      </c>
      <c r="E11286" t="s">
        <v>14</v>
      </c>
      <c r="F11286">
        <v>57.886400000000002</v>
      </c>
      <c r="G11286">
        <v>15.865600000000001</v>
      </c>
      <c r="H11286">
        <v>1</v>
      </c>
      <c r="I11286">
        <v>91.3</v>
      </c>
      <c r="J11286" t="str">
        <f>HYPERLINK("https://climate.onebuilding.org/WMO_Region_6_Europe/SWE_Sweden/OG_Ostergotland/SWE_OG_Horn.025570_TMYx.2009-2023.zip")</f>
        <v>https://climate.onebuilding.org/WMO_Region_6_Europe/SWE_Sweden/OG_Ostergotland/SWE_OG_Horn.025570_TMYx.2009-2023.zip</v>
      </c>
    </row>
    <row r="11287" spans="1:10" x14ac:dyDescent="0.25">
      <c r="A11287" t="s">
        <v>7602</v>
      </c>
      <c r="B11287" t="s">
        <v>8226</v>
      </c>
      <c r="C11287" t="s">
        <v>8241</v>
      </c>
      <c r="D11287" s="1" t="s">
        <v>8242</v>
      </c>
      <c r="E11287" t="s">
        <v>14</v>
      </c>
      <c r="F11287">
        <v>57.886400000000002</v>
      </c>
      <c r="G11287">
        <v>15.865600000000001</v>
      </c>
      <c r="H11287">
        <v>1</v>
      </c>
      <c r="I11287">
        <v>91.3</v>
      </c>
      <c r="J11287" t="str">
        <f>HYPERLINK("https://climate.onebuilding.org/WMO_Region_6_Europe/SWE_Sweden/OG_Ostergotland/SWE_OG_Horn.025570_TMYx.zip")</f>
        <v>https://climate.onebuilding.org/WMO_Region_6_Europe/SWE_Sweden/OG_Ostergotland/SWE_OG_Horn.025570_TMYx.zip</v>
      </c>
    </row>
    <row r="11288" spans="1:10" x14ac:dyDescent="0.25">
      <c r="A11288" t="s">
        <v>7602</v>
      </c>
      <c r="B11288" t="s">
        <v>8226</v>
      </c>
      <c r="C11288" t="s">
        <v>8244</v>
      </c>
      <c r="D11288" s="1" t="s">
        <v>8245</v>
      </c>
      <c r="E11288" t="s">
        <v>8246</v>
      </c>
      <c r="F11288">
        <v>58.689399999999999</v>
      </c>
      <c r="G11288">
        <v>16.310600000000001</v>
      </c>
      <c r="H11288">
        <v>1</v>
      </c>
      <c r="I11288">
        <v>154.80000000000001</v>
      </c>
      <c r="J11288" t="str">
        <f>HYPERLINK("https://climate.onebuilding.org/WMO_Region_6_Europe/SWE_Sweden/OG_Ostergotland/SWE_OG_Kolmarden-Stromsfors.025580_TMYx.2004-2018.zip")</f>
        <v>https://climate.onebuilding.org/WMO_Region_6_Europe/SWE_Sweden/OG_Ostergotland/SWE_OG_Kolmarden-Stromsfors.025580_TMYx.2004-2018.zip</v>
      </c>
    </row>
    <row r="11289" spans="1:10" x14ac:dyDescent="0.25">
      <c r="A11289" t="s">
        <v>7602</v>
      </c>
      <c r="B11289" t="s">
        <v>8226</v>
      </c>
      <c r="C11289" t="s">
        <v>8244</v>
      </c>
      <c r="D11289" s="1" t="s">
        <v>8245</v>
      </c>
      <c r="E11289" t="s">
        <v>14</v>
      </c>
      <c r="F11289">
        <v>58.689399999999999</v>
      </c>
      <c r="G11289">
        <v>16.310600000000001</v>
      </c>
      <c r="H11289">
        <v>1</v>
      </c>
      <c r="I11289">
        <v>154.80000000000001</v>
      </c>
      <c r="J11289" t="str">
        <f>HYPERLINK("https://climate.onebuilding.org/WMO_Region_6_Europe/SWE_Sweden/OG_Ostergotland/SWE_OG_Kolmarden-Stromsfors.025580_TMYx.2007-2021.zip")</f>
        <v>https://climate.onebuilding.org/WMO_Region_6_Europe/SWE_Sweden/OG_Ostergotland/SWE_OG_Kolmarden-Stromsfors.025580_TMYx.2007-2021.zip</v>
      </c>
    </row>
    <row r="11290" spans="1:10" x14ac:dyDescent="0.25">
      <c r="A11290" t="s">
        <v>7602</v>
      </c>
      <c r="B11290" t="s">
        <v>8226</v>
      </c>
      <c r="C11290" t="s">
        <v>8244</v>
      </c>
      <c r="D11290" s="1" t="s">
        <v>8245</v>
      </c>
      <c r="E11290" t="s">
        <v>14</v>
      </c>
      <c r="F11290">
        <v>58.689399999999999</v>
      </c>
      <c r="G11290">
        <v>16.310600000000001</v>
      </c>
      <c r="H11290">
        <v>1</v>
      </c>
      <c r="I11290">
        <v>154.80000000000001</v>
      </c>
      <c r="J11290" t="str">
        <f>HYPERLINK("https://climate.onebuilding.org/WMO_Region_6_Europe/SWE_Sweden/OG_Ostergotland/SWE_OG_Kolmarden-Stromsfors.025580_TMYx.2009-2023.zip")</f>
        <v>https://climate.onebuilding.org/WMO_Region_6_Europe/SWE_Sweden/OG_Ostergotland/SWE_OG_Kolmarden-Stromsfors.025580_TMYx.2009-2023.zip</v>
      </c>
    </row>
    <row r="11291" spans="1:10" x14ac:dyDescent="0.25">
      <c r="A11291" t="s">
        <v>7602</v>
      </c>
      <c r="B11291" t="s">
        <v>8226</v>
      </c>
      <c r="C11291" t="s">
        <v>8244</v>
      </c>
      <c r="D11291" s="1" t="s">
        <v>8245</v>
      </c>
      <c r="E11291" t="s">
        <v>14</v>
      </c>
      <c r="F11291">
        <v>58.689399999999999</v>
      </c>
      <c r="G11291">
        <v>16.310600000000001</v>
      </c>
      <c r="H11291">
        <v>1</v>
      </c>
      <c r="I11291">
        <v>154.80000000000001</v>
      </c>
      <c r="J11291" t="str">
        <f>HYPERLINK("https://climate.onebuilding.org/WMO_Region_6_Europe/SWE_Sweden/OG_Ostergotland/SWE_OG_Kolmarden-Stromsfors.025580_TMYx.zip")</f>
        <v>https://climate.onebuilding.org/WMO_Region_6_Europe/SWE_Sweden/OG_Ostergotland/SWE_OG_Kolmarden-Stromsfors.025580_TMYx.zip</v>
      </c>
    </row>
    <row r="11292" spans="1:10" x14ac:dyDescent="0.25">
      <c r="A11292" t="s">
        <v>7602</v>
      </c>
      <c r="B11292" t="s">
        <v>246</v>
      </c>
      <c r="C11292" t="s">
        <v>8247</v>
      </c>
      <c r="D11292" s="1" t="s">
        <v>8248</v>
      </c>
      <c r="E11292" t="s">
        <v>8249</v>
      </c>
      <c r="F11292">
        <v>57.7072</v>
      </c>
      <c r="G11292">
        <v>16.458600000000001</v>
      </c>
      <c r="H11292">
        <v>1</v>
      </c>
      <c r="I11292">
        <v>30.5</v>
      </c>
      <c r="J11292" t="str">
        <f>HYPERLINK("https://climate.onebuilding.org/WMO_Region_6_Europe/SWE_Sweden/KA_Kalmar/SWE_KA_Gladhammar.025590_TMYx.2004-2018.zip")</f>
        <v>https://climate.onebuilding.org/WMO_Region_6_Europe/SWE_Sweden/KA_Kalmar/SWE_KA_Gladhammar.025590_TMYx.2004-2018.zip</v>
      </c>
    </row>
    <row r="11293" spans="1:10" x14ac:dyDescent="0.25">
      <c r="A11293" t="s">
        <v>7602</v>
      </c>
      <c r="B11293" t="s">
        <v>246</v>
      </c>
      <c r="C11293" t="s">
        <v>8247</v>
      </c>
      <c r="D11293" s="1" t="s">
        <v>8248</v>
      </c>
      <c r="E11293" t="s">
        <v>14</v>
      </c>
      <c r="F11293">
        <v>57.7072</v>
      </c>
      <c r="G11293">
        <v>16.458600000000001</v>
      </c>
      <c r="H11293">
        <v>1</v>
      </c>
      <c r="I11293">
        <v>30.5</v>
      </c>
      <c r="J11293" t="str">
        <f>HYPERLINK("https://climate.onebuilding.org/WMO_Region_6_Europe/SWE_Sweden/KA_Kalmar/SWE_KA_Gladhammar.025590_TMYx.2007-2021.zip")</f>
        <v>https://climate.onebuilding.org/WMO_Region_6_Europe/SWE_Sweden/KA_Kalmar/SWE_KA_Gladhammar.025590_TMYx.2007-2021.zip</v>
      </c>
    </row>
    <row r="11294" spans="1:10" x14ac:dyDescent="0.25">
      <c r="A11294" t="s">
        <v>7602</v>
      </c>
      <c r="B11294" t="s">
        <v>246</v>
      </c>
      <c r="C11294" t="s">
        <v>8247</v>
      </c>
      <c r="D11294" s="1" t="s">
        <v>8248</v>
      </c>
      <c r="E11294" t="s">
        <v>14</v>
      </c>
      <c r="F11294">
        <v>57.7072</v>
      </c>
      <c r="G11294">
        <v>16.458600000000001</v>
      </c>
      <c r="H11294">
        <v>1</v>
      </c>
      <c r="I11294">
        <v>30.5</v>
      </c>
      <c r="J11294" t="str">
        <f>HYPERLINK("https://climate.onebuilding.org/WMO_Region_6_Europe/SWE_Sweden/KA_Kalmar/SWE_KA_Gladhammar.025590_TMYx.2009-2023.zip")</f>
        <v>https://climate.onebuilding.org/WMO_Region_6_Europe/SWE_Sweden/KA_Kalmar/SWE_KA_Gladhammar.025590_TMYx.2009-2023.zip</v>
      </c>
    </row>
    <row r="11295" spans="1:10" x14ac:dyDescent="0.25">
      <c r="A11295" t="s">
        <v>7602</v>
      </c>
      <c r="B11295" t="s">
        <v>246</v>
      </c>
      <c r="C11295" t="s">
        <v>8247</v>
      </c>
      <c r="D11295" s="1" t="s">
        <v>8248</v>
      </c>
      <c r="E11295" t="s">
        <v>14</v>
      </c>
      <c r="F11295">
        <v>57.7072</v>
      </c>
      <c r="G11295">
        <v>16.458600000000001</v>
      </c>
      <c r="H11295">
        <v>1</v>
      </c>
      <c r="I11295">
        <v>30.5</v>
      </c>
      <c r="J11295" t="str">
        <f>HYPERLINK("https://climate.onebuilding.org/WMO_Region_6_Europe/SWE_Sweden/KA_Kalmar/SWE_KA_Gladhammar.025590_TMYx.zip")</f>
        <v>https://climate.onebuilding.org/WMO_Region_6_Europe/SWE_Sweden/KA_Kalmar/SWE_KA_Gladhammar.025590_TMYx.zip</v>
      </c>
    </row>
    <row r="11296" spans="1:10" x14ac:dyDescent="0.25">
      <c r="A11296" t="s">
        <v>7602</v>
      </c>
      <c r="B11296" t="s">
        <v>8226</v>
      </c>
      <c r="C11296" t="s">
        <v>8250</v>
      </c>
      <c r="D11296" s="1" t="s">
        <v>8251</v>
      </c>
      <c r="E11296" t="s">
        <v>8252</v>
      </c>
      <c r="F11296">
        <v>58.640300000000003</v>
      </c>
      <c r="G11296">
        <v>15.4336</v>
      </c>
      <c r="H11296">
        <v>1</v>
      </c>
      <c r="I11296">
        <v>73.7</v>
      </c>
      <c r="J11296" t="str">
        <f>HYPERLINK("https://climate.onebuilding.org/WMO_Region_6_Europe/SWE_Sweden/OG_Ostergotland/SWE_OG_Kvarn.025610_TMYx.2004-2018.zip")</f>
        <v>https://climate.onebuilding.org/WMO_Region_6_Europe/SWE_Sweden/OG_Ostergotland/SWE_OG_Kvarn.025610_TMYx.2004-2018.zip</v>
      </c>
    </row>
    <row r="11297" spans="1:10" x14ac:dyDescent="0.25">
      <c r="A11297" t="s">
        <v>7602</v>
      </c>
      <c r="B11297" t="s">
        <v>8226</v>
      </c>
      <c r="C11297" t="s">
        <v>8250</v>
      </c>
      <c r="D11297" s="1" t="s">
        <v>8251</v>
      </c>
      <c r="E11297" t="s">
        <v>14</v>
      </c>
      <c r="F11297">
        <v>58.640300000000003</v>
      </c>
      <c r="G11297">
        <v>15.4336</v>
      </c>
      <c r="H11297">
        <v>1</v>
      </c>
      <c r="I11297">
        <v>73.7</v>
      </c>
      <c r="J11297" t="str">
        <f>HYPERLINK("https://climate.onebuilding.org/WMO_Region_6_Europe/SWE_Sweden/OG_Ostergotland/SWE_OG_Kvarn.025610_TMYx.2007-2021.zip")</f>
        <v>https://climate.onebuilding.org/WMO_Region_6_Europe/SWE_Sweden/OG_Ostergotland/SWE_OG_Kvarn.025610_TMYx.2007-2021.zip</v>
      </c>
    </row>
    <row r="11298" spans="1:10" x14ac:dyDescent="0.25">
      <c r="A11298" t="s">
        <v>7602</v>
      </c>
      <c r="B11298" t="s">
        <v>8226</v>
      </c>
      <c r="C11298" t="s">
        <v>8250</v>
      </c>
      <c r="D11298" s="1" t="s">
        <v>8251</v>
      </c>
      <c r="E11298" t="s">
        <v>14</v>
      </c>
      <c r="F11298">
        <v>58.640300000000003</v>
      </c>
      <c r="G11298">
        <v>15.4336</v>
      </c>
      <c r="H11298">
        <v>1</v>
      </c>
      <c r="I11298">
        <v>73.7</v>
      </c>
      <c r="J11298" t="str">
        <f>HYPERLINK("https://climate.onebuilding.org/WMO_Region_6_Europe/SWE_Sweden/OG_Ostergotland/SWE_OG_Kvarn.025610_TMYx.2009-2023.zip")</f>
        <v>https://climate.onebuilding.org/WMO_Region_6_Europe/SWE_Sweden/OG_Ostergotland/SWE_OG_Kvarn.025610_TMYx.2009-2023.zip</v>
      </c>
    </row>
    <row r="11299" spans="1:10" x14ac:dyDescent="0.25">
      <c r="A11299" t="s">
        <v>7602</v>
      </c>
      <c r="B11299" t="s">
        <v>8226</v>
      </c>
      <c r="C11299" t="s">
        <v>8250</v>
      </c>
      <c r="D11299" s="1" t="s">
        <v>8251</v>
      </c>
      <c r="E11299" t="s">
        <v>14</v>
      </c>
      <c r="F11299">
        <v>58.640300000000003</v>
      </c>
      <c r="G11299">
        <v>15.4336</v>
      </c>
      <c r="H11299">
        <v>1</v>
      </c>
      <c r="I11299">
        <v>73.7</v>
      </c>
      <c r="J11299" t="str">
        <f>HYPERLINK("https://climate.onebuilding.org/WMO_Region_6_Europe/SWE_Sweden/OG_Ostergotland/SWE_OG_Kvarn.025610_TMYx.zip")</f>
        <v>https://climate.onebuilding.org/WMO_Region_6_Europe/SWE_Sweden/OG_Ostergotland/SWE_OG_Kvarn.025610_TMYx.zip</v>
      </c>
    </row>
    <row r="11300" spans="1:10" x14ac:dyDescent="0.25">
      <c r="A11300" t="s">
        <v>7602</v>
      </c>
      <c r="B11300" t="s">
        <v>8226</v>
      </c>
      <c r="C11300" t="s">
        <v>8253</v>
      </c>
      <c r="D11300" s="1" t="s">
        <v>8254</v>
      </c>
      <c r="E11300" t="s">
        <v>8255</v>
      </c>
      <c r="F11300">
        <v>58.398099999999999</v>
      </c>
      <c r="G11300">
        <v>15.5258</v>
      </c>
      <c r="H11300">
        <v>1</v>
      </c>
      <c r="I11300">
        <v>93</v>
      </c>
      <c r="J11300" t="str">
        <f>HYPERLINK("https://climate.onebuilding.org/WMO_Region_6_Europe/SWE_Sweden/OG_Ostergotland/SWE_OG_Malmen.AP.025620_TMYx.2004-2018.zip")</f>
        <v>https://climate.onebuilding.org/WMO_Region_6_Europe/SWE_Sweden/OG_Ostergotland/SWE_OG_Malmen.AP.025620_TMYx.2004-2018.zip</v>
      </c>
    </row>
    <row r="11301" spans="1:10" x14ac:dyDescent="0.25">
      <c r="A11301" t="s">
        <v>7602</v>
      </c>
      <c r="B11301" t="s">
        <v>8226</v>
      </c>
      <c r="C11301" t="s">
        <v>8253</v>
      </c>
      <c r="D11301" s="1" t="s">
        <v>8254</v>
      </c>
      <c r="E11301" t="s">
        <v>14</v>
      </c>
      <c r="F11301">
        <v>58.398099999999999</v>
      </c>
      <c r="G11301">
        <v>15.5258</v>
      </c>
      <c r="H11301">
        <v>1</v>
      </c>
      <c r="I11301">
        <v>93</v>
      </c>
      <c r="J11301" t="str">
        <f>HYPERLINK("https://climate.onebuilding.org/WMO_Region_6_Europe/SWE_Sweden/OG_Ostergotland/SWE_OG_Malmen.AP.025620_TMYx.2007-2021.zip")</f>
        <v>https://climate.onebuilding.org/WMO_Region_6_Europe/SWE_Sweden/OG_Ostergotland/SWE_OG_Malmen.AP.025620_TMYx.2007-2021.zip</v>
      </c>
    </row>
    <row r="11302" spans="1:10" x14ac:dyDescent="0.25">
      <c r="A11302" t="s">
        <v>7602</v>
      </c>
      <c r="B11302" t="s">
        <v>8226</v>
      </c>
      <c r="C11302" t="s">
        <v>8253</v>
      </c>
      <c r="D11302" s="1" t="s">
        <v>8254</v>
      </c>
      <c r="E11302" t="s">
        <v>14</v>
      </c>
      <c r="F11302">
        <v>58.398099999999999</v>
      </c>
      <c r="G11302">
        <v>15.5258</v>
      </c>
      <c r="H11302">
        <v>1</v>
      </c>
      <c r="I11302">
        <v>93</v>
      </c>
      <c r="J11302" t="str">
        <f>HYPERLINK("https://climate.onebuilding.org/WMO_Region_6_Europe/SWE_Sweden/OG_Ostergotland/SWE_OG_Malmen.AP.025620_TMYx.2009-2023.zip")</f>
        <v>https://climate.onebuilding.org/WMO_Region_6_Europe/SWE_Sweden/OG_Ostergotland/SWE_OG_Malmen.AP.025620_TMYx.2009-2023.zip</v>
      </c>
    </row>
    <row r="11303" spans="1:10" x14ac:dyDescent="0.25">
      <c r="A11303" t="s">
        <v>7602</v>
      </c>
      <c r="B11303" t="s">
        <v>8226</v>
      </c>
      <c r="C11303" t="s">
        <v>8253</v>
      </c>
      <c r="D11303" s="1" t="s">
        <v>8254</v>
      </c>
      <c r="E11303" t="s">
        <v>14</v>
      </c>
      <c r="F11303">
        <v>58.398099999999999</v>
      </c>
      <c r="G11303">
        <v>15.5258</v>
      </c>
      <c r="H11303">
        <v>1</v>
      </c>
      <c r="I11303">
        <v>93</v>
      </c>
      <c r="J11303" t="str">
        <f>HYPERLINK("https://climate.onebuilding.org/WMO_Region_6_Europe/SWE_Sweden/OG_Ostergotland/SWE_OG_Malmen.AP.025620_TMYx.zip")</f>
        <v>https://climate.onebuilding.org/WMO_Region_6_Europe/SWE_Sweden/OG_Ostergotland/SWE_OG_Malmen.AP.025620_TMYx.zip</v>
      </c>
    </row>
    <row r="11304" spans="1:10" x14ac:dyDescent="0.25">
      <c r="A11304" t="s">
        <v>7602</v>
      </c>
      <c r="B11304" t="s">
        <v>8226</v>
      </c>
      <c r="C11304" t="s">
        <v>8256</v>
      </c>
      <c r="D11304" s="1" t="s">
        <v>8257</v>
      </c>
      <c r="E11304" t="s">
        <v>8258</v>
      </c>
      <c r="F11304">
        <v>58.405999999999999</v>
      </c>
      <c r="G11304">
        <v>15.680999999999999</v>
      </c>
      <c r="H11304">
        <v>1</v>
      </c>
      <c r="I11304">
        <v>52.4</v>
      </c>
      <c r="J11304" t="str">
        <f>HYPERLINK("https://climate.onebuilding.org/WMO_Region_6_Europe/SWE_Sweden/OG_Ostergotland/SWE_OG_Linkoping.AP.025625_TMYx.2004-2018.zip")</f>
        <v>https://climate.onebuilding.org/WMO_Region_6_Europe/SWE_Sweden/OG_Ostergotland/SWE_OG_Linkoping.AP.025625_TMYx.2004-2018.zip</v>
      </c>
    </row>
    <row r="11305" spans="1:10" x14ac:dyDescent="0.25">
      <c r="A11305" t="s">
        <v>7602</v>
      </c>
      <c r="B11305" t="s">
        <v>8226</v>
      </c>
      <c r="C11305" t="s">
        <v>8256</v>
      </c>
      <c r="D11305" s="1" t="s">
        <v>8257</v>
      </c>
      <c r="E11305" t="s">
        <v>14</v>
      </c>
      <c r="F11305">
        <v>58.405999999999999</v>
      </c>
      <c r="G11305">
        <v>15.680999999999999</v>
      </c>
      <c r="H11305">
        <v>1</v>
      </c>
      <c r="I11305">
        <v>52.4</v>
      </c>
      <c r="J11305" t="str">
        <f>HYPERLINK("https://climate.onebuilding.org/WMO_Region_6_Europe/SWE_Sweden/OG_Ostergotland/SWE_OG_Linkoping.AP.025625_TMYx.2007-2021.zip")</f>
        <v>https://climate.onebuilding.org/WMO_Region_6_Europe/SWE_Sweden/OG_Ostergotland/SWE_OG_Linkoping.AP.025625_TMYx.2007-2021.zip</v>
      </c>
    </row>
    <row r="11306" spans="1:10" x14ac:dyDescent="0.25">
      <c r="A11306" t="s">
        <v>7602</v>
      </c>
      <c r="B11306" t="s">
        <v>8226</v>
      </c>
      <c r="C11306" t="s">
        <v>8256</v>
      </c>
      <c r="D11306" s="1" t="s">
        <v>8257</v>
      </c>
      <c r="E11306" t="s">
        <v>14</v>
      </c>
      <c r="F11306">
        <v>58.405999999999999</v>
      </c>
      <c r="G11306">
        <v>15.680999999999999</v>
      </c>
      <c r="H11306">
        <v>1</v>
      </c>
      <c r="I11306">
        <v>52.4</v>
      </c>
      <c r="J11306" t="str">
        <f>HYPERLINK("https://climate.onebuilding.org/WMO_Region_6_Europe/SWE_Sweden/OG_Ostergotland/SWE_OG_Linkoping.AP.025625_TMYx.2009-2023.zip")</f>
        <v>https://climate.onebuilding.org/WMO_Region_6_Europe/SWE_Sweden/OG_Ostergotland/SWE_OG_Linkoping.AP.025625_TMYx.2009-2023.zip</v>
      </c>
    </row>
    <row r="11307" spans="1:10" x14ac:dyDescent="0.25">
      <c r="A11307" t="s">
        <v>7602</v>
      </c>
      <c r="B11307" t="s">
        <v>8226</v>
      </c>
      <c r="C11307" t="s">
        <v>8256</v>
      </c>
      <c r="D11307" s="1" t="s">
        <v>8257</v>
      </c>
      <c r="E11307" t="s">
        <v>14</v>
      </c>
      <c r="F11307">
        <v>58.405999999999999</v>
      </c>
      <c r="G11307">
        <v>15.680999999999999</v>
      </c>
      <c r="H11307">
        <v>1</v>
      </c>
      <c r="I11307">
        <v>52.4</v>
      </c>
      <c r="J11307" t="str">
        <f>HYPERLINK("https://climate.onebuilding.org/WMO_Region_6_Europe/SWE_Sweden/OG_Ostergotland/SWE_OG_Linkoping.AP.025625_TMYx.zip")</f>
        <v>https://climate.onebuilding.org/WMO_Region_6_Europe/SWE_Sweden/OG_Ostergotland/SWE_OG_Linkoping.AP.025625_TMYx.zip</v>
      </c>
    </row>
    <row r="11308" spans="1:10" x14ac:dyDescent="0.25">
      <c r="A11308" t="s">
        <v>7602</v>
      </c>
      <c r="B11308" t="s">
        <v>8226</v>
      </c>
      <c r="C11308" t="s">
        <v>8259</v>
      </c>
      <c r="D11308" s="1" t="s">
        <v>8260</v>
      </c>
      <c r="E11308" t="s">
        <v>8261</v>
      </c>
      <c r="F11308">
        <v>58.250799999999998</v>
      </c>
      <c r="G11308">
        <v>17.0093</v>
      </c>
      <c r="H11308">
        <v>1</v>
      </c>
      <c r="I11308">
        <v>17.899999999999999</v>
      </c>
      <c r="J11308" t="str">
        <f>HYPERLINK("https://climate.onebuilding.org/WMO_Region_6_Europe/SWE_Sweden/OG_Ostergotland/SWE_OG_Harstena.025630_TMYx.2004-2018.zip")</f>
        <v>https://climate.onebuilding.org/WMO_Region_6_Europe/SWE_Sweden/OG_Ostergotland/SWE_OG_Harstena.025630_TMYx.2004-2018.zip</v>
      </c>
    </row>
    <row r="11309" spans="1:10" x14ac:dyDescent="0.25">
      <c r="A11309" t="s">
        <v>7602</v>
      </c>
      <c r="B11309" t="s">
        <v>8226</v>
      </c>
      <c r="C11309" t="s">
        <v>8259</v>
      </c>
      <c r="D11309" s="1" t="s">
        <v>8260</v>
      </c>
      <c r="E11309" t="s">
        <v>14</v>
      </c>
      <c r="F11309">
        <v>58.250799999999998</v>
      </c>
      <c r="G11309">
        <v>17.0093</v>
      </c>
      <c r="H11309">
        <v>1</v>
      </c>
      <c r="I11309">
        <v>17.899999999999999</v>
      </c>
      <c r="J11309" t="str">
        <f>HYPERLINK("https://climate.onebuilding.org/WMO_Region_6_Europe/SWE_Sweden/OG_Ostergotland/SWE_OG_Harstena.025630_TMYx.2007-2021.zip")</f>
        <v>https://climate.onebuilding.org/WMO_Region_6_Europe/SWE_Sweden/OG_Ostergotland/SWE_OG_Harstena.025630_TMYx.2007-2021.zip</v>
      </c>
    </row>
    <row r="11310" spans="1:10" x14ac:dyDescent="0.25">
      <c r="A11310" t="s">
        <v>7602</v>
      </c>
      <c r="B11310" t="s">
        <v>8226</v>
      </c>
      <c r="C11310" t="s">
        <v>8259</v>
      </c>
      <c r="D11310" s="1" t="s">
        <v>8260</v>
      </c>
      <c r="E11310" t="s">
        <v>14</v>
      </c>
      <c r="F11310">
        <v>58.250799999999998</v>
      </c>
      <c r="G11310">
        <v>17.0093</v>
      </c>
      <c r="H11310">
        <v>1</v>
      </c>
      <c r="I11310">
        <v>17.899999999999999</v>
      </c>
      <c r="J11310" t="str">
        <f>HYPERLINK("https://climate.onebuilding.org/WMO_Region_6_Europe/SWE_Sweden/OG_Ostergotland/SWE_OG_Harstena.025630_TMYx.2009-2023.zip")</f>
        <v>https://climate.onebuilding.org/WMO_Region_6_Europe/SWE_Sweden/OG_Ostergotland/SWE_OG_Harstena.025630_TMYx.2009-2023.zip</v>
      </c>
    </row>
    <row r="11311" spans="1:10" x14ac:dyDescent="0.25">
      <c r="A11311" t="s">
        <v>7602</v>
      </c>
      <c r="B11311" t="s">
        <v>8226</v>
      </c>
      <c r="C11311" t="s">
        <v>8259</v>
      </c>
      <c r="D11311" s="1" t="s">
        <v>8260</v>
      </c>
      <c r="E11311" t="s">
        <v>14</v>
      </c>
      <c r="F11311">
        <v>58.250799999999998</v>
      </c>
      <c r="G11311">
        <v>17.0093</v>
      </c>
      <c r="H11311">
        <v>1</v>
      </c>
      <c r="I11311">
        <v>17.899999999999999</v>
      </c>
      <c r="J11311" t="str">
        <f>HYPERLINK("https://climate.onebuilding.org/WMO_Region_6_Europe/SWE_Sweden/OG_Ostergotland/SWE_OG_Harstena.025630_TMYx.zip")</f>
        <v>https://climate.onebuilding.org/WMO_Region_6_Europe/SWE_Sweden/OG_Ostergotland/SWE_OG_Harstena.025630_TMYx.zip</v>
      </c>
    </row>
    <row r="11312" spans="1:10" x14ac:dyDescent="0.25">
      <c r="A11312" t="s">
        <v>7602</v>
      </c>
      <c r="B11312" t="s">
        <v>246</v>
      </c>
      <c r="C11312" t="s">
        <v>8262</v>
      </c>
      <c r="D11312" s="1" t="s">
        <v>8263</v>
      </c>
      <c r="E11312" t="s">
        <v>8264</v>
      </c>
      <c r="F11312">
        <v>57.526000000000003</v>
      </c>
      <c r="G11312">
        <v>15.823</v>
      </c>
      <c r="H11312">
        <v>1</v>
      </c>
      <c r="I11312">
        <v>111.6</v>
      </c>
      <c r="J11312" t="str">
        <f>HYPERLINK("https://climate.onebuilding.org/WMO_Region_6_Europe/SWE_Sweden/KA_Kalmar/SWE_KA_Hultsfred.AP.025650_TMYx.2004-2018.zip")</f>
        <v>https://climate.onebuilding.org/WMO_Region_6_Europe/SWE_Sweden/KA_Kalmar/SWE_KA_Hultsfred.AP.025650_TMYx.2004-2018.zip</v>
      </c>
    </row>
    <row r="11313" spans="1:10" x14ac:dyDescent="0.25">
      <c r="A11313" t="s">
        <v>7602</v>
      </c>
      <c r="B11313" t="s">
        <v>246</v>
      </c>
      <c r="C11313" t="s">
        <v>8262</v>
      </c>
      <c r="D11313" s="1" t="s">
        <v>8263</v>
      </c>
      <c r="E11313" t="s">
        <v>14</v>
      </c>
      <c r="F11313">
        <v>57.526000000000003</v>
      </c>
      <c r="G11313">
        <v>15.823</v>
      </c>
      <c r="H11313">
        <v>1</v>
      </c>
      <c r="I11313">
        <v>111.6</v>
      </c>
      <c r="J11313" t="str">
        <f>HYPERLINK("https://climate.onebuilding.org/WMO_Region_6_Europe/SWE_Sweden/KA_Kalmar/SWE_KA_Hultsfred.AP.025650_TMYx.2007-2021.zip")</f>
        <v>https://climate.onebuilding.org/WMO_Region_6_Europe/SWE_Sweden/KA_Kalmar/SWE_KA_Hultsfred.AP.025650_TMYx.2007-2021.zip</v>
      </c>
    </row>
    <row r="11314" spans="1:10" x14ac:dyDescent="0.25">
      <c r="A11314" t="s">
        <v>7602</v>
      </c>
      <c r="B11314" t="s">
        <v>246</v>
      </c>
      <c r="C11314" t="s">
        <v>8262</v>
      </c>
      <c r="D11314" s="1" t="s">
        <v>8263</v>
      </c>
      <c r="E11314" t="s">
        <v>14</v>
      </c>
      <c r="F11314">
        <v>57.526000000000003</v>
      </c>
      <c r="G11314">
        <v>15.823</v>
      </c>
      <c r="H11314">
        <v>1</v>
      </c>
      <c r="I11314">
        <v>111.6</v>
      </c>
      <c r="J11314" t="str">
        <f>HYPERLINK("https://climate.onebuilding.org/WMO_Region_6_Europe/SWE_Sweden/KA_Kalmar/SWE_KA_Hultsfred.AP.025650_TMYx.2009-2023.zip")</f>
        <v>https://climate.onebuilding.org/WMO_Region_6_Europe/SWE_Sweden/KA_Kalmar/SWE_KA_Hultsfred.AP.025650_TMYx.2009-2023.zip</v>
      </c>
    </row>
    <row r="11315" spans="1:10" x14ac:dyDescent="0.25">
      <c r="A11315" t="s">
        <v>7602</v>
      </c>
      <c r="B11315" t="s">
        <v>246</v>
      </c>
      <c r="C11315" t="s">
        <v>8262</v>
      </c>
      <c r="D11315" s="1" t="s">
        <v>8263</v>
      </c>
      <c r="E11315" t="s">
        <v>14</v>
      </c>
      <c r="F11315">
        <v>57.526000000000003</v>
      </c>
      <c r="G11315">
        <v>15.823</v>
      </c>
      <c r="H11315">
        <v>1</v>
      </c>
      <c r="I11315">
        <v>111.6</v>
      </c>
      <c r="J11315" t="str">
        <f>HYPERLINK("https://climate.onebuilding.org/WMO_Region_6_Europe/SWE_Sweden/KA_Kalmar/SWE_KA_Hultsfred.AP.025650_TMYx.zip")</f>
        <v>https://climate.onebuilding.org/WMO_Region_6_Europe/SWE_Sweden/KA_Kalmar/SWE_KA_Hultsfred.AP.025650_TMYx.zip</v>
      </c>
    </row>
    <row r="11316" spans="1:10" x14ac:dyDescent="0.25">
      <c r="A11316" t="s">
        <v>7602</v>
      </c>
      <c r="B11316" t="s">
        <v>246</v>
      </c>
      <c r="C11316" t="s">
        <v>8265</v>
      </c>
      <c r="D11316" s="1" t="s">
        <v>8266</v>
      </c>
      <c r="E11316" t="s">
        <v>14</v>
      </c>
      <c r="F11316">
        <v>57.384399999999999</v>
      </c>
      <c r="G11316">
        <v>15.8011</v>
      </c>
      <c r="H11316">
        <v>1</v>
      </c>
      <c r="I11316">
        <v>98</v>
      </c>
      <c r="J11316" t="str">
        <f>HYPERLINK("https://climate.onebuilding.org/WMO_Region_6_Europe/SWE_Sweden/KA_Kalmar/SWE_KA_Malilla.025660_TMYx.zip")</f>
        <v>https://climate.onebuilding.org/WMO_Region_6_Europe/SWE_Sweden/KA_Kalmar/SWE_KA_Malilla.025660_TMYx.zip</v>
      </c>
    </row>
    <row r="11317" spans="1:10" x14ac:dyDescent="0.25">
      <c r="A11317" t="s">
        <v>7602</v>
      </c>
      <c r="B11317" t="s">
        <v>44</v>
      </c>
      <c r="C11317" t="s">
        <v>8267</v>
      </c>
      <c r="D11317" s="1" t="s">
        <v>8268</v>
      </c>
      <c r="E11317" t="s">
        <v>8269</v>
      </c>
      <c r="F11317">
        <v>58.739600000000003</v>
      </c>
      <c r="G11317">
        <v>17.8658</v>
      </c>
      <c r="H11317">
        <v>1</v>
      </c>
      <c r="I11317">
        <v>19.899999999999999</v>
      </c>
      <c r="J11317" t="str">
        <f>HYPERLINK("https://climate.onebuilding.org/WMO_Region_6_Europe/SWE_Sweden/SD_Sodermanland/SWE_SD_Landsort.Lighthouse.025670_TMYx.2004-2018.zip")</f>
        <v>https://climate.onebuilding.org/WMO_Region_6_Europe/SWE_Sweden/SD_Sodermanland/SWE_SD_Landsort.Lighthouse.025670_TMYx.2004-2018.zip</v>
      </c>
    </row>
    <row r="11318" spans="1:10" x14ac:dyDescent="0.25">
      <c r="A11318" t="s">
        <v>7602</v>
      </c>
      <c r="B11318" t="s">
        <v>44</v>
      </c>
      <c r="C11318" t="s">
        <v>8267</v>
      </c>
      <c r="D11318" s="1" t="s">
        <v>8268</v>
      </c>
      <c r="E11318" t="s">
        <v>14</v>
      </c>
      <c r="F11318">
        <v>58.739600000000003</v>
      </c>
      <c r="G11318">
        <v>17.8658</v>
      </c>
      <c r="H11318">
        <v>1</v>
      </c>
      <c r="I11318">
        <v>19.899999999999999</v>
      </c>
      <c r="J11318" t="str">
        <f>HYPERLINK("https://climate.onebuilding.org/WMO_Region_6_Europe/SWE_Sweden/SD_Sodermanland/SWE_SD_Landsort.Lighthouse.025670_TMYx.2007-2021.zip")</f>
        <v>https://climate.onebuilding.org/WMO_Region_6_Europe/SWE_Sweden/SD_Sodermanland/SWE_SD_Landsort.Lighthouse.025670_TMYx.2007-2021.zip</v>
      </c>
    </row>
    <row r="11319" spans="1:10" x14ac:dyDescent="0.25">
      <c r="A11319" t="s">
        <v>7602</v>
      </c>
      <c r="B11319" t="s">
        <v>44</v>
      </c>
      <c r="C11319" t="s">
        <v>8267</v>
      </c>
      <c r="D11319" s="1" t="s">
        <v>8268</v>
      </c>
      <c r="E11319" t="s">
        <v>14</v>
      </c>
      <c r="F11319">
        <v>58.739600000000003</v>
      </c>
      <c r="G11319">
        <v>17.8658</v>
      </c>
      <c r="H11319">
        <v>1</v>
      </c>
      <c r="I11319">
        <v>19.899999999999999</v>
      </c>
      <c r="J11319" t="str">
        <f>HYPERLINK("https://climate.onebuilding.org/WMO_Region_6_Europe/SWE_Sweden/SD_Sodermanland/SWE_SD_Landsort.Lighthouse.025670_TMYx.2009-2023.zip")</f>
        <v>https://climate.onebuilding.org/WMO_Region_6_Europe/SWE_Sweden/SD_Sodermanland/SWE_SD_Landsort.Lighthouse.025670_TMYx.2009-2023.zip</v>
      </c>
    </row>
    <row r="11320" spans="1:10" x14ac:dyDescent="0.25">
      <c r="A11320" t="s">
        <v>7602</v>
      </c>
      <c r="B11320" t="s">
        <v>44</v>
      </c>
      <c r="C11320" t="s">
        <v>8267</v>
      </c>
      <c r="D11320" s="1" t="s">
        <v>8268</v>
      </c>
      <c r="E11320" t="s">
        <v>14</v>
      </c>
      <c r="F11320">
        <v>58.739600000000003</v>
      </c>
      <c r="G11320">
        <v>17.8658</v>
      </c>
      <c r="H11320">
        <v>1</v>
      </c>
      <c r="I11320">
        <v>19.899999999999999</v>
      </c>
      <c r="J11320" t="str">
        <f>HYPERLINK("https://climate.onebuilding.org/WMO_Region_6_Europe/SWE_Sweden/SD_Sodermanland/SWE_SD_Landsort.Lighthouse.025670_TMYx.zip")</f>
        <v>https://climate.onebuilding.org/WMO_Region_6_Europe/SWE_Sweden/SD_Sodermanland/SWE_SD_Landsort.Lighthouse.025670_TMYx.zip</v>
      </c>
    </row>
    <row r="11321" spans="1:10" x14ac:dyDescent="0.25">
      <c r="A11321" t="s">
        <v>7602</v>
      </c>
      <c r="B11321" t="s">
        <v>246</v>
      </c>
      <c r="C11321" t="s">
        <v>8270</v>
      </c>
      <c r="D11321" s="1" t="s">
        <v>8271</v>
      </c>
      <c r="E11321" t="s">
        <v>14</v>
      </c>
      <c r="F11321">
        <v>57.067</v>
      </c>
      <c r="G11321">
        <v>15.967000000000001</v>
      </c>
      <c r="H11321">
        <v>1</v>
      </c>
      <c r="I11321">
        <v>115</v>
      </c>
      <c r="J11321" t="str">
        <f>HYPERLINK("https://climate.onebuilding.org/WMO_Region_6_Europe/SWE_Sweden/KA_Kalmar/SWE_KA_Aboda.025680_TMYx.zip")</f>
        <v>https://climate.onebuilding.org/WMO_Region_6_Europe/SWE_Sweden/KA_Kalmar/SWE_KA_Aboda.025680_TMYx.zip</v>
      </c>
    </row>
    <row r="11322" spans="1:10" x14ac:dyDescent="0.25">
      <c r="A11322" t="s">
        <v>7602</v>
      </c>
      <c r="B11322" t="s">
        <v>8226</v>
      </c>
      <c r="C11322" t="s">
        <v>8272</v>
      </c>
      <c r="D11322" s="1" t="s">
        <v>8273</v>
      </c>
      <c r="E11322" t="s">
        <v>14</v>
      </c>
      <c r="F11322">
        <v>58.616999999999997</v>
      </c>
      <c r="G11322">
        <v>16.117000000000001</v>
      </c>
      <c r="H11322">
        <v>1</v>
      </c>
      <c r="I11322">
        <v>33</v>
      </c>
      <c r="J11322" t="str">
        <f>HYPERLINK("https://climate.onebuilding.org/WMO_Region_6_Europe/SWE_Sweden/OG_Ostergotland/SWE_OG_Norrkoping-Bravalla.025700_TMYx.zip")</f>
        <v>https://climate.onebuilding.org/WMO_Region_6_Europe/SWE_Sweden/OG_Ostergotland/SWE_OG_Norrkoping-Bravalla.025700_TMYx.zip</v>
      </c>
    </row>
    <row r="11323" spans="1:10" x14ac:dyDescent="0.25">
      <c r="A11323" t="s">
        <v>7602</v>
      </c>
      <c r="B11323" t="s">
        <v>8226</v>
      </c>
      <c r="C11323" t="s">
        <v>8274</v>
      </c>
      <c r="D11323" s="1" t="s">
        <v>8275</v>
      </c>
      <c r="E11323" t="s">
        <v>8276</v>
      </c>
      <c r="F11323">
        <v>58.585999999999999</v>
      </c>
      <c r="G11323">
        <v>16.251000000000001</v>
      </c>
      <c r="H11323">
        <v>1</v>
      </c>
      <c r="I11323">
        <v>9.8000000000000007</v>
      </c>
      <c r="J11323" t="str">
        <f>HYPERLINK("https://climate.onebuilding.org/WMO_Region_6_Europe/SWE_Sweden/OG_Ostergotland/SWE_OG_Norrkoping.AP.025710_TMYx.2004-2018.zip")</f>
        <v>https://climate.onebuilding.org/WMO_Region_6_Europe/SWE_Sweden/OG_Ostergotland/SWE_OG_Norrkoping.AP.025710_TMYx.2004-2018.zip</v>
      </c>
    </row>
    <row r="11324" spans="1:10" x14ac:dyDescent="0.25">
      <c r="A11324" t="s">
        <v>7602</v>
      </c>
      <c r="B11324" t="s">
        <v>8226</v>
      </c>
      <c r="C11324" t="s">
        <v>8274</v>
      </c>
      <c r="D11324" s="1" t="s">
        <v>8275</v>
      </c>
      <c r="E11324" t="s">
        <v>14</v>
      </c>
      <c r="F11324">
        <v>58.585999999999999</v>
      </c>
      <c r="G11324">
        <v>16.251000000000001</v>
      </c>
      <c r="H11324">
        <v>1</v>
      </c>
      <c r="I11324">
        <v>9.8000000000000007</v>
      </c>
      <c r="J11324" t="str">
        <f>HYPERLINK("https://climate.onebuilding.org/WMO_Region_6_Europe/SWE_Sweden/OG_Ostergotland/SWE_OG_Norrkoping.AP.025710_TMYx.2007-2021.zip")</f>
        <v>https://climate.onebuilding.org/WMO_Region_6_Europe/SWE_Sweden/OG_Ostergotland/SWE_OG_Norrkoping.AP.025710_TMYx.2007-2021.zip</v>
      </c>
    </row>
    <row r="11325" spans="1:10" x14ac:dyDescent="0.25">
      <c r="A11325" t="s">
        <v>7602</v>
      </c>
      <c r="B11325" t="s">
        <v>8226</v>
      </c>
      <c r="C11325" t="s">
        <v>8274</v>
      </c>
      <c r="D11325" s="1" t="s">
        <v>8275</v>
      </c>
      <c r="E11325" t="s">
        <v>14</v>
      </c>
      <c r="F11325">
        <v>58.585999999999999</v>
      </c>
      <c r="G11325">
        <v>16.251000000000001</v>
      </c>
      <c r="H11325">
        <v>1</v>
      </c>
      <c r="I11325">
        <v>9.8000000000000007</v>
      </c>
      <c r="J11325" t="str">
        <f>HYPERLINK("https://climate.onebuilding.org/WMO_Region_6_Europe/SWE_Sweden/OG_Ostergotland/SWE_OG_Norrkoping.AP.025710_TMYx.2009-2023.zip")</f>
        <v>https://climate.onebuilding.org/WMO_Region_6_Europe/SWE_Sweden/OG_Ostergotland/SWE_OG_Norrkoping.AP.025710_TMYx.2009-2023.zip</v>
      </c>
    </row>
    <row r="11326" spans="1:10" x14ac:dyDescent="0.25">
      <c r="A11326" t="s">
        <v>7602</v>
      </c>
      <c r="B11326" t="s">
        <v>8226</v>
      </c>
      <c r="C11326" t="s">
        <v>8274</v>
      </c>
      <c r="D11326" s="1" t="s">
        <v>8275</v>
      </c>
      <c r="E11326" t="s">
        <v>14</v>
      </c>
      <c r="F11326">
        <v>58.585999999999999</v>
      </c>
      <c r="G11326">
        <v>16.251000000000001</v>
      </c>
      <c r="H11326">
        <v>1</v>
      </c>
      <c r="I11326">
        <v>9.8000000000000007</v>
      </c>
      <c r="J11326" t="str">
        <f>HYPERLINK("https://climate.onebuilding.org/WMO_Region_6_Europe/SWE_Sweden/OG_Ostergotland/SWE_OG_Norrkoping.AP.025710_TMYx.zip")</f>
        <v>https://climate.onebuilding.org/WMO_Region_6_Europe/SWE_Sweden/OG_Ostergotland/SWE_OG_Norrkoping.AP.025710_TMYx.zip</v>
      </c>
    </row>
    <row r="11327" spans="1:10" x14ac:dyDescent="0.25">
      <c r="A11327" t="s">
        <v>7602</v>
      </c>
      <c r="B11327" t="s">
        <v>44</v>
      </c>
      <c r="C11327" t="s">
        <v>8277</v>
      </c>
      <c r="D11327" s="1" t="s">
        <v>8278</v>
      </c>
      <c r="E11327" t="s">
        <v>8279</v>
      </c>
      <c r="F11327">
        <v>58.783000000000001</v>
      </c>
      <c r="G11327">
        <v>16.917000000000002</v>
      </c>
      <c r="H11327">
        <v>1</v>
      </c>
      <c r="I11327">
        <v>42</v>
      </c>
      <c r="J11327" t="str">
        <f>HYPERLINK("https://climate.onebuilding.org/WMO_Region_6_Europe/SWE_Sweden/SD_Sodermanland/SWE_SD_Stockholm.Skavsta.AP-Nykoping.025720_TMYx.2004-2018.zip")</f>
        <v>https://climate.onebuilding.org/WMO_Region_6_Europe/SWE_Sweden/SD_Sodermanland/SWE_SD_Stockholm.Skavsta.AP-Nykoping.025720_TMYx.2004-2018.zip</v>
      </c>
    </row>
    <row r="11328" spans="1:10" x14ac:dyDescent="0.25">
      <c r="A11328" t="s">
        <v>7602</v>
      </c>
      <c r="B11328" t="s">
        <v>44</v>
      </c>
      <c r="C11328" t="s">
        <v>8277</v>
      </c>
      <c r="D11328" s="1" t="s">
        <v>8278</v>
      </c>
      <c r="E11328" t="s">
        <v>14</v>
      </c>
      <c r="F11328">
        <v>58.783000000000001</v>
      </c>
      <c r="G11328">
        <v>16.917000000000002</v>
      </c>
      <c r="H11328">
        <v>1</v>
      </c>
      <c r="I11328">
        <v>42</v>
      </c>
      <c r="J11328" t="str">
        <f>HYPERLINK("https://climate.onebuilding.org/WMO_Region_6_Europe/SWE_Sweden/SD_Sodermanland/SWE_SD_Stockholm.Skavsta.AP-Nykoping.025720_TMYx.2007-2021.zip")</f>
        <v>https://climate.onebuilding.org/WMO_Region_6_Europe/SWE_Sweden/SD_Sodermanland/SWE_SD_Stockholm.Skavsta.AP-Nykoping.025720_TMYx.2007-2021.zip</v>
      </c>
    </row>
    <row r="11329" spans="1:10" x14ac:dyDescent="0.25">
      <c r="A11329" t="s">
        <v>7602</v>
      </c>
      <c r="B11329" t="s">
        <v>44</v>
      </c>
      <c r="C11329" t="s">
        <v>8277</v>
      </c>
      <c r="D11329" s="1" t="s">
        <v>8278</v>
      </c>
      <c r="E11329" t="s">
        <v>14</v>
      </c>
      <c r="F11329">
        <v>58.783000000000001</v>
      </c>
      <c r="G11329">
        <v>16.917000000000002</v>
      </c>
      <c r="H11329">
        <v>1</v>
      </c>
      <c r="I11329">
        <v>42</v>
      </c>
      <c r="J11329" t="str">
        <f>HYPERLINK("https://climate.onebuilding.org/WMO_Region_6_Europe/SWE_Sweden/SD_Sodermanland/SWE_SD_Stockholm.Skavsta.AP-Nykoping.025720_TMYx.2009-2023.zip")</f>
        <v>https://climate.onebuilding.org/WMO_Region_6_Europe/SWE_Sweden/SD_Sodermanland/SWE_SD_Stockholm.Skavsta.AP-Nykoping.025720_TMYx.2009-2023.zip</v>
      </c>
    </row>
    <row r="11330" spans="1:10" x14ac:dyDescent="0.25">
      <c r="A11330" t="s">
        <v>7602</v>
      </c>
      <c r="B11330" t="s">
        <v>44</v>
      </c>
      <c r="C11330" t="s">
        <v>8277</v>
      </c>
      <c r="D11330" s="1" t="s">
        <v>8278</v>
      </c>
      <c r="E11330" t="s">
        <v>14</v>
      </c>
      <c r="F11330">
        <v>58.783000000000001</v>
      </c>
      <c r="G11330">
        <v>16.917000000000002</v>
      </c>
      <c r="H11330">
        <v>1</v>
      </c>
      <c r="I11330">
        <v>42</v>
      </c>
      <c r="J11330" t="str">
        <f>HYPERLINK("https://climate.onebuilding.org/WMO_Region_6_Europe/SWE_Sweden/SD_Sodermanland/SWE_SD_Stockholm.Skavsta.AP-Nykoping.025720_TMYx.zip")</f>
        <v>https://climate.onebuilding.org/WMO_Region_6_Europe/SWE_Sweden/SD_Sodermanland/SWE_SD_Stockholm.Skavsta.AP-Nykoping.025720_TMYx.zip</v>
      </c>
    </row>
    <row r="11331" spans="1:10" x14ac:dyDescent="0.25">
      <c r="A11331" t="s">
        <v>7602</v>
      </c>
      <c r="B11331" t="s">
        <v>8226</v>
      </c>
      <c r="C11331" t="s">
        <v>8280</v>
      </c>
      <c r="D11331" s="1" t="s">
        <v>8281</v>
      </c>
      <c r="E11331" t="s">
        <v>8282</v>
      </c>
      <c r="F11331">
        <v>58.582799999999999</v>
      </c>
      <c r="G11331">
        <v>16.146899999999999</v>
      </c>
      <c r="H11331">
        <v>1</v>
      </c>
      <c r="I11331">
        <v>41.7</v>
      </c>
      <c r="J11331" t="str">
        <f>HYPERLINK("https://climate.onebuilding.org/WMO_Region_6_Europe/SWE_Sweden/OG_Ostergotland/SWE_OG_Norrkoping.025740_TMYx.2004-2018.zip")</f>
        <v>https://climate.onebuilding.org/WMO_Region_6_Europe/SWE_Sweden/OG_Ostergotland/SWE_OG_Norrkoping.025740_TMYx.2004-2018.zip</v>
      </c>
    </row>
    <row r="11332" spans="1:10" x14ac:dyDescent="0.25">
      <c r="A11332" t="s">
        <v>7602</v>
      </c>
      <c r="B11332" t="s">
        <v>8226</v>
      </c>
      <c r="C11332" t="s">
        <v>8280</v>
      </c>
      <c r="D11332" s="1" t="s">
        <v>8281</v>
      </c>
      <c r="E11332" t="s">
        <v>14</v>
      </c>
      <c r="F11332">
        <v>58.582799999999999</v>
      </c>
      <c r="G11332">
        <v>16.146899999999999</v>
      </c>
      <c r="H11332">
        <v>1</v>
      </c>
      <c r="I11332">
        <v>41.7</v>
      </c>
      <c r="J11332" t="str">
        <f>HYPERLINK("https://climate.onebuilding.org/WMO_Region_6_Europe/SWE_Sweden/OG_Ostergotland/SWE_OG_Norrkoping.025740_TMYx.2007-2021.zip")</f>
        <v>https://climate.onebuilding.org/WMO_Region_6_Europe/SWE_Sweden/OG_Ostergotland/SWE_OG_Norrkoping.025740_TMYx.2007-2021.zip</v>
      </c>
    </row>
    <row r="11333" spans="1:10" x14ac:dyDescent="0.25">
      <c r="A11333" t="s">
        <v>7602</v>
      </c>
      <c r="B11333" t="s">
        <v>8226</v>
      </c>
      <c r="C11333" t="s">
        <v>8280</v>
      </c>
      <c r="D11333" s="1" t="s">
        <v>8281</v>
      </c>
      <c r="E11333" t="s">
        <v>14</v>
      </c>
      <c r="F11333">
        <v>58.582799999999999</v>
      </c>
      <c r="G11333">
        <v>16.146899999999999</v>
      </c>
      <c r="H11333">
        <v>1</v>
      </c>
      <c r="I11333">
        <v>41.7</v>
      </c>
      <c r="J11333" t="str">
        <f>HYPERLINK("https://climate.onebuilding.org/WMO_Region_6_Europe/SWE_Sweden/OG_Ostergotland/SWE_OG_Norrkoping.025740_TMYx.2009-2023.zip")</f>
        <v>https://climate.onebuilding.org/WMO_Region_6_Europe/SWE_Sweden/OG_Ostergotland/SWE_OG_Norrkoping.025740_TMYx.2009-2023.zip</v>
      </c>
    </row>
    <row r="11334" spans="1:10" x14ac:dyDescent="0.25">
      <c r="A11334" t="s">
        <v>7602</v>
      </c>
      <c r="B11334" t="s">
        <v>8226</v>
      </c>
      <c r="C11334" t="s">
        <v>8280</v>
      </c>
      <c r="D11334" s="1" t="s">
        <v>8281</v>
      </c>
      <c r="E11334" t="s">
        <v>14</v>
      </c>
      <c r="F11334">
        <v>58.582799999999999</v>
      </c>
      <c r="G11334">
        <v>16.146899999999999</v>
      </c>
      <c r="H11334">
        <v>1</v>
      </c>
      <c r="I11334">
        <v>41.7</v>
      </c>
      <c r="J11334" t="str">
        <f>HYPERLINK("https://climate.onebuilding.org/WMO_Region_6_Europe/SWE_Sweden/OG_Ostergotland/SWE_OG_Norrkoping.025740_TMYx.zip")</f>
        <v>https://climate.onebuilding.org/WMO_Region_6_Europe/SWE_Sweden/OG_Ostergotland/SWE_OG_Norrkoping.025740_TMYx.zip</v>
      </c>
    </row>
    <row r="11335" spans="1:10" x14ac:dyDescent="0.25">
      <c r="A11335" t="s">
        <v>7602</v>
      </c>
      <c r="B11335" t="s">
        <v>246</v>
      </c>
      <c r="C11335" t="s">
        <v>8283</v>
      </c>
      <c r="D11335" s="1" t="s">
        <v>8284</v>
      </c>
      <c r="E11335" t="s">
        <v>8285</v>
      </c>
      <c r="F11335">
        <v>57.366799999999998</v>
      </c>
      <c r="G11335">
        <v>17.0976</v>
      </c>
      <c r="H11335">
        <v>1</v>
      </c>
      <c r="I11335">
        <v>3.6</v>
      </c>
      <c r="J11335" t="str">
        <f>HYPERLINK("https://climate.onebuilding.org/WMO_Region_6_Europe/SWE_Sweden/KA_Kalmar/SWE_KA_Olands.Norra.Udde.025750_TMYx.2004-2018.zip")</f>
        <v>https://climate.onebuilding.org/WMO_Region_6_Europe/SWE_Sweden/KA_Kalmar/SWE_KA_Olands.Norra.Udde.025750_TMYx.2004-2018.zip</v>
      </c>
    </row>
    <row r="11336" spans="1:10" x14ac:dyDescent="0.25">
      <c r="A11336" t="s">
        <v>7602</v>
      </c>
      <c r="B11336" t="s">
        <v>246</v>
      </c>
      <c r="C11336" t="s">
        <v>8283</v>
      </c>
      <c r="D11336" s="1" t="s">
        <v>8284</v>
      </c>
      <c r="E11336" t="s">
        <v>14</v>
      </c>
      <c r="F11336">
        <v>57.366799999999998</v>
      </c>
      <c r="G11336">
        <v>17.0976</v>
      </c>
      <c r="H11336">
        <v>1</v>
      </c>
      <c r="I11336">
        <v>3.6</v>
      </c>
      <c r="J11336" t="str">
        <f>HYPERLINK("https://climate.onebuilding.org/WMO_Region_6_Europe/SWE_Sweden/KA_Kalmar/SWE_KA_Olands.Norra.Udde.025750_TMYx.2007-2021.zip")</f>
        <v>https://climate.onebuilding.org/WMO_Region_6_Europe/SWE_Sweden/KA_Kalmar/SWE_KA_Olands.Norra.Udde.025750_TMYx.2007-2021.zip</v>
      </c>
    </row>
    <row r="11337" spans="1:10" x14ac:dyDescent="0.25">
      <c r="A11337" t="s">
        <v>7602</v>
      </c>
      <c r="B11337" t="s">
        <v>246</v>
      </c>
      <c r="C11337" t="s">
        <v>8283</v>
      </c>
      <c r="D11337" s="1" t="s">
        <v>8284</v>
      </c>
      <c r="E11337" t="s">
        <v>14</v>
      </c>
      <c r="F11337">
        <v>57.366799999999998</v>
      </c>
      <c r="G11337">
        <v>17.0976</v>
      </c>
      <c r="H11337">
        <v>1</v>
      </c>
      <c r="I11337">
        <v>3.6</v>
      </c>
      <c r="J11337" t="str">
        <f>HYPERLINK("https://climate.onebuilding.org/WMO_Region_6_Europe/SWE_Sweden/KA_Kalmar/SWE_KA_Olands.Norra.Udde.025750_TMYx.2009-2023.zip")</f>
        <v>https://climate.onebuilding.org/WMO_Region_6_Europe/SWE_Sweden/KA_Kalmar/SWE_KA_Olands.Norra.Udde.025750_TMYx.2009-2023.zip</v>
      </c>
    </row>
    <row r="11338" spans="1:10" x14ac:dyDescent="0.25">
      <c r="A11338" t="s">
        <v>7602</v>
      </c>
      <c r="B11338" t="s">
        <v>246</v>
      </c>
      <c r="C11338" t="s">
        <v>8283</v>
      </c>
      <c r="D11338" s="1" t="s">
        <v>8284</v>
      </c>
      <c r="E11338" t="s">
        <v>14</v>
      </c>
      <c r="F11338">
        <v>57.366799999999998</v>
      </c>
      <c r="G11338">
        <v>17.0976</v>
      </c>
      <c r="H11338">
        <v>1</v>
      </c>
      <c r="I11338">
        <v>3.6</v>
      </c>
      <c r="J11338" t="str">
        <f>HYPERLINK("https://climate.onebuilding.org/WMO_Region_6_Europe/SWE_Sweden/KA_Kalmar/SWE_KA_Olands.Norra.Udde.025750_TMYx.zip")</f>
        <v>https://climate.onebuilding.org/WMO_Region_6_Europe/SWE_Sweden/KA_Kalmar/SWE_KA_Olands.Norra.Udde.025750_TMYx.zip</v>
      </c>
    </row>
    <row r="11339" spans="1:10" x14ac:dyDescent="0.25">
      <c r="A11339" t="s">
        <v>7602</v>
      </c>
      <c r="B11339" t="s">
        <v>210</v>
      </c>
      <c r="C11339" t="s">
        <v>8286</v>
      </c>
      <c r="D11339" s="1" t="s">
        <v>8287</v>
      </c>
      <c r="E11339" t="s">
        <v>14</v>
      </c>
      <c r="F11339">
        <v>58.966999999999999</v>
      </c>
      <c r="G11339">
        <v>18.45</v>
      </c>
      <c r="H11339">
        <v>1</v>
      </c>
      <c r="I11339">
        <v>10</v>
      </c>
      <c r="J11339" t="str">
        <f>HYPERLINK("https://climate.onebuilding.org/WMO_Region_6_Europe/SWE_Sweden/ST_Stockholm/SWE_ST_Stabbo.025800_TMYx.zip")</f>
        <v>https://climate.onebuilding.org/WMO_Region_6_Europe/SWE_Sweden/ST_Stockholm/SWE_ST_Stabbo.025800_TMYx.zip</v>
      </c>
    </row>
    <row r="11340" spans="1:10" x14ac:dyDescent="0.25">
      <c r="A11340" t="s">
        <v>7602</v>
      </c>
      <c r="B11340" t="s">
        <v>44</v>
      </c>
      <c r="C11340" t="s">
        <v>8288</v>
      </c>
      <c r="D11340" s="1" t="s">
        <v>8289</v>
      </c>
      <c r="E11340" t="s">
        <v>8290</v>
      </c>
      <c r="F11340">
        <v>58.6</v>
      </c>
      <c r="G11340">
        <v>17.466999999999999</v>
      </c>
      <c r="H11340">
        <v>1</v>
      </c>
      <c r="I11340">
        <v>3</v>
      </c>
      <c r="J11340" t="str">
        <f>HYPERLINK("https://climate.onebuilding.org/WMO_Region_6_Europe/SWE_Sweden/SD_Sodermanland/SWE_SD_Gustaf.Dalen.025830_TMYx.2004-2018.zip")</f>
        <v>https://climate.onebuilding.org/WMO_Region_6_Europe/SWE_Sweden/SD_Sodermanland/SWE_SD_Gustaf.Dalen.025830_TMYx.2004-2018.zip</v>
      </c>
    </row>
    <row r="11341" spans="1:10" x14ac:dyDescent="0.25">
      <c r="A11341" t="s">
        <v>7602</v>
      </c>
      <c r="B11341" t="s">
        <v>44</v>
      </c>
      <c r="C11341" t="s">
        <v>8288</v>
      </c>
      <c r="D11341" s="1" t="s">
        <v>8289</v>
      </c>
      <c r="E11341" t="s">
        <v>14</v>
      </c>
      <c r="F11341">
        <v>58.6</v>
      </c>
      <c r="G11341">
        <v>17.466999999999999</v>
      </c>
      <c r="H11341">
        <v>1</v>
      </c>
      <c r="I11341">
        <v>3</v>
      </c>
      <c r="J11341" t="str">
        <f>HYPERLINK("https://climate.onebuilding.org/WMO_Region_6_Europe/SWE_Sweden/SD_Sodermanland/SWE_SD_Gustaf.Dalen.025830_TMYx.zip")</f>
        <v>https://climate.onebuilding.org/WMO_Region_6_Europe/SWE_Sweden/SD_Sodermanland/SWE_SD_Gustaf.Dalen.025830_TMYx.zip</v>
      </c>
    </row>
    <row r="11342" spans="1:10" x14ac:dyDescent="0.25">
      <c r="A11342" t="s">
        <v>7602</v>
      </c>
      <c r="B11342" t="s">
        <v>8291</v>
      </c>
      <c r="C11342" t="s">
        <v>8292</v>
      </c>
      <c r="D11342" s="1" t="s">
        <v>8293</v>
      </c>
      <c r="E11342" t="s">
        <v>8294</v>
      </c>
      <c r="F11342">
        <v>57.917999999999999</v>
      </c>
      <c r="G11342">
        <v>18.933800000000002</v>
      </c>
      <c r="H11342">
        <v>1</v>
      </c>
      <c r="I11342">
        <v>12.9</v>
      </c>
      <c r="J11342" t="str">
        <f>HYPERLINK("https://climate.onebuilding.org/WMO_Region_6_Europe/SWE_Sweden/GT_Gotland/SWE_GT_Farosund.Ar.025870_TMYx.2004-2018.zip")</f>
        <v>https://climate.onebuilding.org/WMO_Region_6_Europe/SWE_Sweden/GT_Gotland/SWE_GT_Farosund.Ar.025870_TMYx.2004-2018.zip</v>
      </c>
    </row>
    <row r="11343" spans="1:10" x14ac:dyDescent="0.25">
      <c r="A11343" t="s">
        <v>7602</v>
      </c>
      <c r="B11343" t="s">
        <v>8291</v>
      </c>
      <c r="C11343" t="s">
        <v>8292</v>
      </c>
      <c r="D11343" s="1" t="s">
        <v>8293</v>
      </c>
      <c r="E11343" t="s">
        <v>14</v>
      </c>
      <c r="F11343">
        <v>57.917999999999999</v>
      </c>
      <c r="G11343">
        <v>18.933800000000002</v>
      </c>
      <c r="H11343">
        <v>1</v>
      </c>
      <c r="I11343">
        <v>12.9</v>
      </c>
      <c r="J11343" t="str">
        <f>HYPERLINK("https://climate.onebuilding.org/WMO_Region_6_Europe/SWE_Sweden/GT_Gotland/SWE_GT_Farosund.Ar.025870_TMYx.2007-2021.zip")</f>
        <v>https://climate.onebuilding.org/WMO_Region_6_Europe/SWE_Sweden/GT_Gotland/SWE_GT_Farosund.Ar.025870_TMYx.2007-2021.zip</v>
      </c>
    </row>
    <row r="11344" spans="1:10" x14ac:dyDescent="0.25">
      <c r="A11344" t="s">
        <v>7602</v>
      </c>
      <c r="B11344" t="s">
        <v>8291</v>
      </c>
      <c r="C11344" t="s">
        <v>8292</v>
      </c>
      <c r="D11344" s="1" t="s">
        <v>8293</v>
      </c>
      <c r="E11344" t="s">
        <v>14</v>
      </c>
      <c r="F11344">
        <v>57.917999999999999</v>
      </c>
      <c r="G11344">
        <v>18.933800000000002</v>
      </c>
      <c r="H11344">
        <v>1</v>
      </c>
      <c r="I11344">
        <v>12.9</v>
      </c>
      <c r="J11344" t="str">
        <f>HYPERLINK("https://climate.onebuilding.org/WMO_Region_6_Europe/SWE_Sweden/GT_Gotland/SWE_GT_Farosund.Ar.025870_TMYx.2009-2023.zip")</f>
        <v>https://climate.onebuilding.org/WMO_Region_6_Europe/SWE_Sweden/GT_Gotland/SWE_GT_Farosund.Ar.025870_TMYx.2009-2023.zip</v>
      </c>
    </row>
    <row r="11345" spans="1:10" x14ac:dyDescent="0.25">
      <c r="A11345" t="s">
        <v>7602</v>
      </c>
      <c r="B11345" t="s">
        <v>8291</v>
      </c>
      <c r="C11345" t="s">
        <v>8292</v>
      </c>
      <c r="D11345" s="1" t="s">
        <v>8293</v>
      </c>
      <c r="E11345" t="s">
        <v>14</v>
      </c>
      <c r="F11345">
        <v>57.917999999999999</v>
      </c>
      <c r="G11345">
        <v>18.933800000000002</v>
      </c>
      <c r="H11345">
        <v>1</v>
      </c>
      <c r="I11345">
        <v>12.9</v>
      </c>
      <c r="J11345" t="str">
        <f>HYPERLINK("https://climate.onebuilding.org/WMO_Region_6_Europe/SWE_Sweden/GT_Gotland/SWE_GT_Farosund.Ar.025870_TMYx.zip")</f>
        <v>https://climate.onebuilding.org/WMO_Region_6_Europe/SWE_Sweden/GT_Gotland/SWE_GT_Farosund.Ar.025870_TMYx.zip</v>
      </c>
    </row>
    <row r="11346" spans="1:10" x14ac:dyDescent="0.25">
      <c r="A11346" t="s">
        <v>7602</v>
      </c>
      <c r="B11346" t="s">
        <v>8291</v>
      </c>
      <c r="C11346" t="s">
        <v>8295</v>
      </c>
      <c r="D11346" s="1" t="s">
        <v>8296</v>
      </c>
      <c r="E11346" t="s">
        <v>14</v>
      </c>
      <c r="F11346">
        <v>57.96</v>
      </c>
      <c r="G11346">
        <v>19.347999999999999</v>
      </c>
      <c r="H11346">
        <v>1</v>
      </c>
      <c r="I11346">
        <v>8</v>
      </c>
      <c r="J11346" t="str">
        <f>HYPERLINK("https://climate.onebuilding.org/WMO_Region_6_Europe/SWE_Sweden/GT_Gotland/SWE_GT_Faro.Island.Lighthouse.025880_TMYx.zip")</f>
        <v>https://climate.onebuilding.org/WMO_Region_6_Europe/SWE_Sweden/GT_Gotland/SWE_GT_Faro.Island.Lighthouse.025880_TMYx.zip</v>
      </c>
    </row>
    <row r="11347" spans="1:10" x14ac:dyDescent="0.25">
      <c r="A11347" t="s">
        <v>7602</v>
      </c>
      <c r="B11347" t="s">
        <v>8291</v>
      </c>
      <c r="C11347" t="s">
        <v>8297</v>
      </c>
      <c r="D11347" s="1" t="s">
        <v>8298</v>
      </c>
      <c r="E11347" t="s">
        <v>8299</v>
      </c>
      <c r="F11347">
        <v>58.394500000000001</v>
      </c>
      <c r="G11347">
        <v>19.197800000000001</v>
      </c>
      <c r="H11347">
        <v>1</v>
      </c>
      <c r="I11347">
        <v>17.2</v>
      </c>
      <c r="J11347" t="str">
        <f>HYPERLINK("https://climate.onebuilding.org/WMO_Region_6_Europe/SWE_Sweden/GT_Gotland/SWE_GT_Gotska.Sandon.Island.025890_TMYx.2004-2018.zip")</f>
        <v>https://climate.onebuilding.org/WMO_Region_6_Europe/SWE_Sweden/GT_Gotland/SWE_GT_Gotska.Sandon.Island.025890_TMYx.2004-2018.zip</v>
      </c>
    </row>
    <row r="11348" spans="1:10" x14ac:dyDescent="0.25">
      <c r="A11348" t="s">
        <v>7602</v>
      </c>
      <c r="B11348" t="s">
        <v>8291</v>
      </c>
      <c r="C11348" t="s">
        <v>8297</v>
      </c>
      <c r="D11348" s="1" t="s">
        <v>8298</v>
      </c>
      <c r="E11348" t="s">
        <v>14</v>
      </c>
      <c r="F11348">
        <v>58.394500000000001</v>
      </c>
      <c r="G11348">
        <v>19.197800000000001</v>
      </c>
      <c r="H11348">
        <v>1</v>
      </c>
      <c r="I11348">
        <v>17.2</v>
      </c>
      <c r="J11348" t="str">
        <f>HYPERLINK("https://climate.onebuilding.org/WMO_Region_6_Europe/SWE_Sweden/GT_Gotland/SWE_GT_Gotska.Sandon.Island.025890_TMYx.2007-2021.zip")</f>
        <v>https://climate.onebuilding.org/WMO_Region_6_Europe/SWE_Sweden/GT_Gotland/SWE_GT_Gotska.Sandon.Island.025890_TMYx.2007-2021.zip</v>
      </c>
    </row>
    <row r="11349" spans="1:10" x14ac:dyDescent="0.25">
      <c r="A11349" t="s">
        <v>7602</v>
      </c>
      <c r="B11349" t="s">
        <v>8291</v>
      </c>
      <c r="C11349" t="s">
        <v>8297</v>
      </c>
      <c r="D11349" s="1" t="s">
        <v>8298</v>
      </c>
      <c r="E11349" t="s">
        <v>14</v>
      </c>
      <c r="F11349">
        <v>58.394500000000001</v>
      </c>
      <c r="G11349">
        <v>19.197800000000001</v>
      </c>
      <c r="H11349">
        <v>1</v>
      </c>
      <c r="I11349">
        <v>17.2</v>
      </c>
      <c r="J11349" t="str">
        <f>HYPERLINK("https://climate.onebuilding.org/WMO_Region_6_Europe/SWE_Sweden/GT_Gotland/SWE_GT_Gotska.Sandon.Island.025890_TMYx.2009-2023.zip")</f>
        <v>https://climate.onebuilding.org/WMO_Region_6_Europe/SWE_Sweden/GT_Gotland/SWE_GT_Gotska.Sandon.Island.025890_TMYx.2009-2023.zip</v>
      </c>
    </row>
    <row r="11350" spans="1:10" x14ac:dyDescent="0.25">
      <c r="A11350" t="s">
        <v>7602</v>
      </c>
      <c r="B11350" t="s">
        <v>8291</v>
      </c>
      <c r="C11350" t="s">
        <v>8297</v>
      </c>
      <c r="D11350" s="1" t="s">
        <v>8298</v>
      </c>
      <c r="E11350" t="s">
        <v>14</v>
      </c>
      <c r="F11350">
        <v>58.394500000000001</v>
      </c>
      <c r="G11350">
        <v>19.197800000000001</v>
      </c>
      <c r="H11350">
        <v>1</v>
      </c>
      <c r="I11350">
        <v>17.2</v>
      </c>
      <c r="J11350" t="str">
        <f>HYPERLINK("https://climate.onebuilding.org/WMO_Region_6_Europe/SWE_Sweden/GT_Gotland/SWE_GT_Gotska.Sandon.Island.025890_TMYx.zip")</f>
        <v>https://climate.onebuilding.org/WMO_Region_6_Europe/SWE_Sweden/GT_Gotland/SWE_GT_Gotska.Sandon.Island.025890_TMYx.zip</v>
      </c>
    </row>
    <row r="11351" spans="1:10" x14ac:dyDescent="0.25">
      <c r="A11351" t="s">
        <v>7602</v>
      </c>
      <c r="B11351" t="s">
        <v>8291</v>
      </c>
      <c r="C11351" t="s">
        <v>8300</v>
      </c>
      <c r="D11351" s="1" t="s">
        <v>8301</v>
      </c>
      <c r="E11351" t="s">
        <v>8302</v>
      </c>
      <c r="F11351">
        <v>57.666699999999999</v>
      </c>
      <c r="G11351">
        <v>18.350000000000001</v>
      </c>
      <c r="H11351">
        <v>1</v>
      </c>
      <c r="I11351">
        <v>47</v>
      </c>
      <c r="J11351" t="str">
        <f>HYPERLINK("https://climate.onebuilding.org/WMO_Region_6_Europe/SWE_Sweden/GT_Gotland/SWE_GT_Visby.AP.025900_TMYx.2004-2018.zip")</f>
        <v>https://climate.onebuilding.org/WMO_Region_6_Europe/SWE_Sweden/GT_Gotland/SWE_GT_Visby.AP.025900_TMYx.2004-2018.zip</v>
      </c>
    </row>
    <row r="11352" spans="1:10" x14ac:dyDescent="0.25">
      <c r="A11352" t="s">
        <v>7602</v>
      </c>
      <c r="B11352" t="s">
        <v>8291</v>
      </c>
      <c r="C11352" t="s">
        <v>8300</v>
      </c>
      <c r="D11352" s="1" t="s">
        <v>8301</v>
      </c>
      <c r="E11352" t="s">
        <v>14</v>
      </c>
      <c r="F11352">
        <v>57.666699999999999</v>
      </c>
      <c r="G11352">
        <v>18.350000000000001</v>
      </c>
      <c r="H11352">
        <v>1</v>
      </c>
      <c r="I11352">
        <v>47</v>
      </c>
      <c r="J11352" t="str">
        <f>HYPERLINK("https://climate.onebuilding.org/WMO_Region_6_Europe/SWE_Sweden/GT_Gotland/SWE_GT_Visby.AP.025900_TMYx.2007-2021.zip")</f>
        <v>https://climate.onebuilding.org/WMO_Region_6_Europe/SWE_Sweden/GT_Gotland/SWE_GT_Visby.AP.025900_TMYx.2007-2021.zip</v>
      </c>
    </row>
    <row r="11353" spans="1:10" x14ac:dyDescent="0.25">
      <c r="A11353" t="s">
        <v>7602</v>
      </c>
      <c r="B11353" t="s">
        <v>8291</v>
      </c>
      <c r="C11353" t="s">
        <v>8300</v>
      </c>
      <c r="D11353" s="1" t="s">
        <v>8301</v>
      </c>
      <c r="E11353" t="s">
        <v>14</v>
      </c>
      <c r="F11353">
        <v>57.666699999999999</v>
      </c>
      <c r="G11353">
        <v>18.350000000000001</v>
      </c>
      <c r="H11353">
        <v>1</v>
      </c>
      <c r="I11353">
        <v>47</v>
      </c>
      <c r="J11353" t="str">
        <f>HYPERLINK("https://climate.onebuilding.org/WMO_Region_6_Europe/SWE_Sweden/GT_Gotland/SWE_GT_Visby.AP.025900_TMYx.2009-2023.zip")</f>
        <v>https://climate.onebuilding.org/WMO_Region_6_Europe/SWE_Sweden/GT_Gotland/SWE_GT_Visby.AP.025900_TMYx.2009-2023.zip</v>
      </c>
    </row>
    <row r="11354" spans="1:10" x14ac:dyDescent="0.25">
      <c r="A11354" t="s">
        <v>7602</v>
      </c>
      <c r="B11354" t="s">
        <v>8291</v>
      </c>
      <c r="C11354" t="s">
        <v>8300</v>
      </c>
      <c r="D11354" s="1" t="s">
        <v>8301</v>
      </c>
      <c r="E11354" t="s">
        <v>14</v>
      </c>
      <c r="F11354">
        <v>57.666699999999999</v>
      </c>
      <c r="G11354">
        <v>18.350000000000001</v>
      </c>
      <c r="H11354">
        <v>1</v>
      </c>
      <c r="I11354">
        <v>47</v>
      </c>
      <c r="J11354" t="str">
        <f>HYPERLINK("https://climate.onebuilding.org/WMO_Region_6_Europe/SWE_Sweden/GT_Gotland/SWE_GT_Visby.AP.025900_TMYx.zip")</f>
        <v>https://climate.onebuilding.org/WMO_Region_6_Europe/SWE_Sweden/GT_Gotland/SWE_GT_Visby.AP.025900_TMYx.zip</v>
      </c>
    </row>
    <row r="11355" spans="1:10" x14ac:dyDescent="0.25">
      <c r="A11355" t="s">
        <v>7602</v>
      </c>
      <c r="B11355" t="s">
        <v>8291</v>
      </c>
      <c r="C11355" t="s">
        <v>8303</v>
      </c>
      <c r="D11355" s="1" t="s">
        <v>8304</v>
      </c>
      <c r="E11355" t="s">
        <v>8305</v>
      </c>
      <c r="F11355">
        <v>57.543599999999998</v>
      </c>
      <c r="G11355">
        <v>18.4253</v>
      </c>
      <c r="H11355">
        <v>1</v>
      </c>
      <c r="I11355">
        <v>35</v>
      </c>
      <c r="J11355" t="str">
        <f>HYPERLINK("https://climate.onebuilding.org/WMO_Region_6_Europe/SWE_Sweden/GT_Gotland/SWE_GT_Roma.025950_TMYx.2004-2018.zip")</f>
        <v>https://climate.onebuilding.org/WMO_Region_6_Europe/SWE_Sweden/GT_Gotland/SWE_GT_Roma.025950_TMYx.2004-2018.zip</v>
      </c>
    </row>
    <row r="11356" spans="1:10" x14ac:dyDescent="0.25">
      <c r="A11356" t="s">
        <v>7602</v>
      </c>
      <c r="B11356" t="s">
        <v>8291</v>
      </c>
      <c r="C11356" t="s">
        <v>8303</v>
      </c>
      <c r="D11356" s="1" t="s">
        <v>8304</v>
      </c>
      <c r="E11356" t="s">
        <v>14</v>
      </c>
      <c r="F11356">
        <v>57.543599999999998</v>
      </c>
      <c r="G11356">
        <v>18.4253</v>
      </c>
      <c r="H11356">
        <v>1</v>
      </c>
      <c r="I11356">
        <v>35</v>
      </c>
      <c r="J11356" t="str">
        <f>HYPERLINK("https://climate.onebuilding.org/WMO_Region_6_Europe/SWE_Sweden/GT_Gotland/SWE_GT_Roma.025950_TMYx.2007-2021.zip")</f>
        <v>https://climate.onebuilding.org/WMO_Region_6_Europe/SWE_Sweden/GT_Gotland/SWE_GT_Roma.025950_TMYx.2007-2021.zip</v>
      </c>
    </row>
    <row r="11357" spans="1:10" x14ac:dyDescent="0.25">
      <c r="A11357" t="s">
        <v>7602</v>
      </c>
      <c r="B11357" t="s">
        <v>8291</v>
      </c>
      <c r="C11357" t="s">
        <v>8303</v>
      </c>
      <c r="D11357" s="1" t="s">
        <v>8304</v>
      </c>
      <c r="E11357" t="s">
        <v>14</v>
      </c>
      <c r="F11357">
        <v>57.543599999999998</v>
      </c>
      <c r="G11357">
        <v>18.4253</v>
      </c>
      <c r="H11357">
        <v>1</v>
      </c>
      <c r="I11357">
        <v>35</v>
      </c>
      <c r="J11357" t="str">
        <f>HYPERLINK("https://climate.onebuilding.org/WMO_Region_6_Europe/SWE_Sweden/GT_Gotland/SWE_GT_Roma.025950_TMYx.2009-2023.zip")</f>
        <v>https://climate.onebuilding.org/WMO_Region_6_Europe/SWE_Sweden/GT_Gotland/SWE_GT_Roma.025950_TMYx.2009-2023.zip</v>
      </c>
    </row>
    <row r="11358" spans="1:10" x14ac:dyDescent="0.25">
      <c r="A11358" t="s">
        <v>7602</v>
      </c>
      <c r="B11358" t="s">
        <v>8291</v>
      </c>
      <c r="C11358" t="s">
        <v>8303</v>
      </c>
      <c r="D11358" s="1" t="s">
        <v>8304</v>
      </c>
      <c r="E11358" t="s">
        <v>14</v>
      </c>
      <c r="F11358">
        <v>57.543599999999998</v>
      </c>
      <c r="G11358">
        <v>18.4253</v>
      </c>
      <c r="H11358">
        <v>1</v>
      </c>
      <c r="I11358">
        <v>35</v>
      </c>
      <c r="J11358" t="str">
        <f>HYPERLINK("https://climate.onebuilding.org/WMO_Region_6_Europe/SWE_Sweden/GT_Gotland/SWE_GT_Roma.025950_TMYx.zip")</f>
        <v>https://climate.onebuilding.org/WMO_Region_6_Europe/SWE_Sweden/GT_Gotland/SWE_GT_Roma.025950_TMYx.zip</v>
      </c>
    </row>
    <row r="11359" spans="1:10" x14ac:dyDescent="0.25">
      <c r="A11359" t="s">
        <v>7602</v>
      </c>
      <c r="B11359" t="s">
        <v>8291</v>
      </c>
      <c r="C11359" t="s">
        <v>8306</v>
      </c>
      <c r="D11359" s="1" t="s">
        <v>8307</v>
      </c>
      <c r="E11359" t="s">
        <v>8308</v>
      </c>
      <c r="F11359">
        <v>57.441400000000002</v>
      </c>
      <c r="G11359">
        <v>18.984400000000001</v>
      </c>
      <c r="H11359">
        <v>1</v>
      </c>
      <c r="I11359">
        <v>5</v>
      </c>
      <c r="J11359" t="str">
        <f>HYPERLINK("https://climate.onebuilding.org/WMO_Region_6_Europe/SWE_Sweden/GT_Gotland/SWE_GT_Ostergarnsholm.025980_TMYx.2004-2018.zip")</f>
        <v>https://climate.onebuilding.org/WMO_Region_6_Europe/SWE_Sweden/GT_Gotland/SWE_GT_Ostergarnsholm.025980_TMYx.2004-2018.zip</v>
      </c>
    </row>
    <row r="11360" spans="1:10" x14ac:dyDescent="0.25">
      <c r="A11360" t="s">
        <v>7602</v>
      </c>
      <c r="B11360" t="s">
        <v>8291</v>
      </c>
      <c r="C11360" t="s">
        <v>8306</v>
      </c>
      <c r="D11360" s="1" t="s">
        <v>8307</v>
      </c>
      <c r="E11360" t="s">
        <v>14</v>
      </c>
      <c r="F11360">
        <v>57.441400000000002</v>
      </c>
      <c r="G11360">
        <v>18.984400000000001</v>
      </c>
      <c r="H11360">
        <v>1</v>
      </c>
      <c r="I11360">
        <v>5</v>
      </c>
      <c r="J11360" t="str">
        <f>HYPERLINK("https://climate.onebuilding.org/WMO_Region_6_Europe/SWE_Sweden/GT_Gotland/SWE_GT_Ostergarnsholm.025980_TMYx.2007-2021.zip")</f>
        <v>https://climate.onebuilding.org/WMO_Region_6_Europe/SWE_Sweden/GT_Gotland/SWE_GT_Ostergarnsholm.025980_TMYx.2007-2021.zip</v>
      </c>
    </row>
    <row r="11361" spans="1:10" x14ac:dyDescent="0.25">
      <c r="A11361" t="s">
        <v>7602</v>
      </c>
      <c r="B11361" t="s">
        <v>8291</v>
      </c>
      <c r="C11361" t="s">
        <v>8306</v>
      </c>
      <c r="D11361" s="1" t="s">
        <v>8307</v>
      </c>
      <c r="E11361" t="s">
        <v>14</v>
      </c>
      <c r="F11361">
        <v>57.441400000000002</v>
      </c>
      <c r="G11361">
        <v>18.984400000000001</v>
      </c>
      <c r="H11361">
        <v>1</v>
      </c>
      <c r="I11361">
        <v>5</v>
      </c>
      <c r="J11361" t="str">
        <f>HYPERLINK("https://climate.onebuilding.org/WMO_Region_6_Europe/SWE_Sweden/GT_Gotland/SWE_GT_Ostergarnsholm.025980_TMYx.2009-2023.zip")</f>
        <v>https://climate.onebuilding.org/WMO_Region_6_Europe/SWE_Sweden/GT_Gotland/SWE_GT_Ostergarnsholm.025980_TMYx.2009-2023.zip</v>
      </c>
    </row>
    <row r="11362" spans="1:10" x14ac:dyDescent="0.25">
      <c r="A11362" t="s">
        <v>7602</v>
      </c>
      <c r="B11362" t="s">
        <v>8291</v>
      </c>
      <c r="C11362" t="s">
        <v>8306</v>
      </c>
      <c r="D11362" s="1" t="s">
        <v>8307</v>
      </c>
      <c r="E11362" t="s">
        <v>14</v>
      </c>
      <c r="F11362">
        <v>57.441400000000002</v>
      </c>
      <c r="G11362">
        <v>18.984400000000001</v>
      </c>
      <c r="H11362">
        <v>1</v>
      </c>
      <c r="I11362">
        <v>5</v>
      </c>
      <c r="J11362" t="str">
        <f>HYPERLINK("https://climate.onebuilding.org/WMO_Region_6_Europe/SWE_Sweden/GT_Gotland/SWE_GT_Ostergarnsholm.025980_TMYx.zip")</f>
        <v>https://climate.onebuilding.org/WMO_Region_6_Europe/SWE_Sweden/GT_Gotland/SWE_GT_Ostergarnsholm.025980_TMYx.zip</v>
      </c>
    </row>
    <row r="11363" spans="1:10" x14ac:dyDescent="0.25">
      <c r="A11363" t="s">
        <v>7602</v>
      </c>
      <c r="B11363" t="s">
        <v>1491</v>
      </c>
      <c r="C11363" t="s">
        <v>8309</v>
      </c>
      <c r="D11363" s="1" t="s">
        <v>8310</v>
      </c>
      <c r="E11363" t="s">
        <v>8311</v>
      </c>
      <c r="F11363">
        <v>56.404200000000003</v>
      </c>
      <c r="G11363">
        <v>12.9436</v>
      </c>
      <c r="H11363">
        <v>1</v>
      </c>
      <c r="I11363">
        <v>140</v>
      </c>
      <c r="J11363" t="str">
        <f>HYPERLINK("https://climate.onebuilding.org/WMO_Region_6_Europe/SWE_Sweden/SN_Skane/SWE_SN_Hallandsasen.026020_TMYx.2004-2018.zip")</f>
        <v>https://climate.onebuilding.org/WMO_Region_6_Europe/SWE_Sweden/SN_Skane/SWE_SN_Hallandsasen.026020_TMYx.2004-2018.zip</v>
      </c>
    </row>
    <row r="11364" spans="1:10" x14ac:dyDescent="0.25">
      <c r="A11364" t="s">
        <v>7602</v>
      </c>
      <c r="B11364" t="s">
        <v>1491</v>
      </c>
      <c r="C11364" t="s">
        <v>8309</v>
      </c>
      <c r="D11364" s="1" t="s">
        <v>8310</v>
      </c>
      <c r="E11364" t="s">
        <v>14</v>
      </c>
      <c r="F11364">
        <v>56.404200000000003</v>
      </c>
      <c r="G11364">
        <v>12.9436</v>
      </c>
      <c r="H11364">
        <v>1</v>
      </c>
      <c r="I11364">
        <v>140</v>
      </c>
      <c r="J11364" t="str">
        <f>HYPERLINK("https://climate.onebuilding.org/WMO_Region_6_Europe/SWE_Sweden/SN_Skane/SWE_SN_Hallandsasen.026020_TMYx.2007-2021.zip")</f>
        <v>https://climate.onebuilding.org/WMO_Region_6_Europe/SWE_Sweden/SN_Skane/SWE_SN_Hallandsasen.026020_TMYx.2007-2021.zip</v>
      </c>
    </row>
    <row r="11365" spans="1:10" x14ac:dyDescent="0.25">
      <c r="A11365" t="s">
        <v>7602</v>
      </c>
      <c r="B11365" t="s">
        <v>1491</v>
      </c>
      <c r="C11365" t="s">
        <v>8309</v>
      </c>
      <c r="D11365" s="1" t="s">
        <v>8310</v>
      </c>
      <c r="E11365" t="s">
        <v>14</v>
      </c>
      <c r="F11365">
        <v>56.404200000000003</v>
      </c>
      <c r="G11365">
        <v>12.9436</v>
      </c>
      <c r="H11365">
        <v>1</v>
      </c>
      <c r="I11365">
        <v>140</v>
      </c>
      <c r="J11365" t="str">
        <f>HYPERLINK("https://climate.onebuilding.org/WMO_Region_6_Europe/SWE_Sweden/SN_Skane/SWE_SN_Hallandsasen.026020_TMYx.2009-2023.zip")</f>
        <v>https://climate.onebuilding.org/WMO_Region_6_Europe/SWE_Sweden/SN_Skane/SWE_SN_Hallandsasen.026020_TMYx.2009-2023.zip</v>
      </c>
    </row>
    <row r="11366" spans="1:10" x14ac:dyDescent="0.25">
      <c r="A11366" t="s">
        <v>7602</v>
      </c>
      <c r="B11366" t="s">
        <v>1491</v>
      </c>
      <c r="C11366" t="s">
        <v>8309</v>
      </c>
      <c r="D11366" s="1" t="s">
        <v>8310</v>
      </c>
      <c r="E11366" t="s">
        <v>14</v>
      </c>
      <c r="F11366">
        <v>56.404200000000003</v>
      </c>
      <c r="G11366">
        <v>12.9436</v>
      </c>
      <c r="H11366">
        <v>1</v>
      </c>
      <c r="I11366">
        <v>140</v>
      </c>
      <c r="J11366" t="str">
        <f>HYPERLINK("https://climate.onebuilding.org/WMO_Region_6_Europe/SWE_Sweden/SN_Skane/SWE_SN_Hallandsasen.026020_TMYx.zip")</f>
        <v>https://climate.onebuilding.org/WMO_Region_6_Europe/SWE_Sweden/SN_Skane/SWE_SN_Hallandsasen.026020_TMYx.zip</v>
      </c>
    </row>
    <row r="11367" spans="1:10" x14ac:dyDescent="0.25">
      <c r="A11367" t="s">
        <v>7602</v>
      </c>
      <c r="B11367" t="s">
        <v>2249</v>
      </c>
      <c r="C11367" t="s">
        <v>8312</v>
      </c>
      <c r="D11367" s="1" t="s">
        <v>8313</v>
      </c>
      <c r="E11367" t="s">
        <v>8314</v>
      </c>
      <c r="F11367">
        <v>56.862499999999997</v>
      </c>
      <c r="G11367">
        <v>12.662800000000001</v>
      </c>
      <c r="H11367">
        <v>1</v>
      </c>
      <c r="I11367">
        <v>47</v>
      </c>
      <c r="J11367" t="str">
        <f>HYPERLINK("https://climate.onebuilding.org/WMO_Region_6_Europe/SWE_Sweden/HA_Halland/SWE_HA_Broen.026030_TMYx.2004-2018.zip")</f>
        <v>https://climate.onebuilding.org/WMO_Region_6_Europe/SWE_Sweden/HA_Halland/SWE_HA_Broen.026030_TMYx.2004-2018.zip</v>
      </c>
    </row>
    <row r="11368" spans="1:10" x14ac:dyDescent="0.25">
      <c r="A11368" t="s">
        <v>7602</v>
      </c>
      <c r="B11368" t="s">
        <v>2249</v>
      </c>
      <c r="C11368" t="s">
        <v>8312</v>
      </c>
      <c r="D11368" s="1" t="s">
        <v>8313</v>
      </c>
      <c r="E11368" t="s">
        <v>14</v>
      </c>
      <c r="F11368">
        <v>56.862499999999997</v>
      </c>
      <c r="G11368">
        <v>12.662800000000001</v>
      </c>
      <c r="H11368">
        <v>1</v>
      </c>
      <c r="I11368">
        <v>47</v>
      </c>
      <c r="J11368" t="str">
        <f>HYPERLINK("https://climate.onebuilding.org/WMO_Region_6_Europe/SWE_Sweden/HA_Halland/SWE_HA_Broen.026030_TMYx.2007-2021.zip")</f>
        <v>https://climate.onebuilding.org/WMO_Region_6_Europe/SWE_Sweden/HA_Halland/SWE_HA_Broen.026030_TMYx.2007-2021.zip</v>
      </c>
    </row>
    <row r="11369" spans="1:10" x14ac:dyDescent="0.25">
      <c r="A11369" t="s">
        <v>7602</v>
      </c>
      <c r="B11369" t="s">
        <v>2249</v>
      </c>
      <c r="C11369" t="s">
        <v>8312</v>
      </c>
      <c r="D11369" s="1" t="s">
        <v>8313</v>
      </c>
      <c r="E11369" t="s">
        <v>14</v>
      </c>
      <c r="F11369">
        <v>56.862499999999997</v>
      </c>
      <c r="G11369">
        <v>12.662800000000001</v>
      </c>
      <c r="H11369">
        <v>1</v>
      </c>
      <c r="I11369">
        <v>47</v>
      </c>
      <c r="J11369" t="str">
        <f>HYPERLINK("https://climate.onebuilding.org/WMO_Region_6_Europe/SWE_Sweden/HA_Halland/SWE_HA_Broen.026030_TMYx.2009-2023.zip")</f>
        <v>https://climate.onebuilding.org/WMO_Region_6_Europe/SWE_Sweden/HA_Halland/SWE_HA_Broen.026030_TMYx.2009-2023.zip</v>
      </c>
    </row>
    <row r="11370" spans="1:10" x14ac:dyDescent="0.25">
      <c r="A11370" t="s">
        <v>7602</v>
      </c>
      <c r="B11370" t="s">
        <v>2249</v>
      </c>
      <c r="C11370" t="s">
        <v>8312</v>
      </c>
      <c r="D11370" s="1" t="s">
        <v>8313</v>
      </c>
      <c r="E11370" t="s">
        <v>14</v>
      </c>
      <c r="F11370">
        <v>56.862499999999997</v>
      </c>
      <c r="G11370">
        <v>12.662800000000001</v>
      </c>
      <c r="H11370">
        <v>1</v>
      </c>
      <c r="I11370">
        <v>47</v>
      </c>
      <c r="J11370" t="str">
        <f>HYPERLINK("https://climate.onebuilding.org/WMO_Region_6_Europe/SWE_Sweden/HA_Halland/SWE_HA_Broen.026030_TMYx.zip")</f>
        <v>https://climate.onebuilding.org/WMO_Region_6_Europe/SWE_Sweden/HA_Halland/SWE_HA_Broen.026030_TMYx.zip</v>
      </c>
    </row>
    <row r="11371" spans="1:10" x14ac:dyDescent="0.25">
      <c r="A11371" t="s">
        <v>7602</v>
      </c>
      <c r="B11371" t="s">
        <v>2249</v>
      </c>
      <c r="C11371" t="s">
        <v>8315</v>
      </c>
      <c r="D11371" s="1" t="s">
        <v>8316</v>
      </c>
      <c r="E11371" t="s">
        <v>8317</v>
      </c>
      <c r="F11371">
        <v>56.691000000000003</v>
      </c>
      <c r="G11371">
        <v>12.82</v>
      </c>
      <c r="H11371">
        <v>1</v>
      </c>
      <c r="I11371">
        <v>30.8</v>
      </c>
      <c r="J11371" t="str">
        <f>HYPERLINK("https://climate.onebuilding.org/WMO_Region_6_Europe/SWE_Sweden/HA_Halland/SWE_HA_Halmstad.026040_TMYx.2004-2018.zip")</f>
        <v>https://climate.onebuilding.org/WMO_Region_6_Europe/SWE_Sweden/HA_Halland/SWE_HA_Halmstad.026040_TMYx.2004-2018.zip</v>
      </c>
    </row>
    <row r="11372" spans="1:10" x14ac:dyDescent="0.25">
      <c r="A11372" t="s">
        <v>7602</v>
      </c>
      <c r="B11372" t="s">
        <v>2249</v>
      </c>
      <c r="C11372" t="s">
        <v>8315</v>
      </c>
      <c r="D11372" s="1" t="s">
        <v>8316</v>
      </c>
      <c r="E11372" t="s">
        <v>14</v>
      </c>
      <c r="F11372">
        <v>56.691000000000003</v>
      </c>
      <c r="G11372">
        <v>12.923999999999999</v>
      </c>
      <c r="H11372">
        <v>1</v>
      </c>
      <c r="I11372">
        <v>30.8</v>
      </c>
      <c r="J11372" t="str">
        <f>HYPERLINK("https://climate.onebuilding.org/WMO_Region_6_Europe/SWE_Sweden/HA_Halland/SWE_HA_Halmstad.026040_TMYx.2007-2021.zip")</f>
        <v>https://climate.onebuilding.org/WMO_Region_6_Europe/SWE_Sweden/HA_Halland/SWE_HA_Halmstad.026040_TMYx.2007-2021.zip</v>
      </c>
    </row>
    <row r="11373" spans="1:10" x14ac:dyDescent="0.25">
      <c r="A11373" t="s">
        <v>7602</v>
      </c>
      <c r="B11373" t="s">
        <v>2249</v>
      </c>
      <c r="C11373" t="s">
        <v>8315</v>
      </c>
      <c r="D11373" s="1" t="s">
        <v>8316</v>
      </c>
      <c r="E11373" t="s">
        <v>14</v>
      </c>
      <c r="F11373">
        <v>56.691000000000003</v>
      </c>
      <c r="G11373">
        <v>12.923999999999999</v>
      </c>
      <c r="H11373">
        <v>1</v>
      </c>
      <c r="I11373">
        <v>30.8</v>
      </c>
      <c r="J11373" t="str">
        <f>HYPERLINK("https://climate.onebuilding.org/WMO_Region_6_Europe/SWE_Sweden/HA_Halland/SWE_HA_Halmstad.026040_TMYx.2009-2023.zip")</f>
        <v>https://climate.onebuilding.org/WMO_Region_6_Europe/SWE_Sweden/HA_Halland/SWE_HA_Halmstad.026040_TMYx.2009-2023.zip</v>
      </c>
    </row>
    <row r="11374" spans="1:10" x14ac:dyDescent="0.25">
      <c r="A11374" t="s">
        <v>7602</v>
      </c>
      <c r="B11374" t="s">
        <v>2249</v>
      </c>
      <c r="C11374" t="s">
        <v>8315</v>
      </c>
      <c r="D11374" s="1" t="s">
        <v>8316</v>
      </c>
      <c r="E11374" t="s">
        <v>14</v>
      </c>
      <c r="F11374">
        <v>56.691000000000003</v>
      </c>
      <c r="G11374">
        <v>12.923999999999999</v>
      </c>
      <c r="H11374">
        <v>1</v>
      </c>
      <c r="I11374">
        <v>30.8</v>
      </c>
      <c r="J11374" t="str">
        <f>HYPERLINK("https://climate.onebuilding.org/WMO_Region_6_Europe/SWE_Sweden/HA_Halland/SWE_HA_Halmstad.026040_TMYx.zip")</f>
        <v>https://climate.onebuilding.org/WMO_Region_6_Europe/SWE_Sweden/HA_Halland/SWE_HA_Halmstad.026040_TMYx.zip</v>
      </c>
    </row>
    <row r="11375" spans="1:10" x14ac:dyDescent="0.25">
      <c r="A11375" t="s">
        <v>7602</v>
      </c>
      <c r="B11375" t="s">
        <v>2249</v>
      </c>
      <c r="C11375" t="s">
        <v>8318</v>
      </c>
      <c r="D11375" s="1" t="s">
        <v>8319</v>
      </c>
      <c r="E11375" t="s">
        <v>8320</v>
      </c>
      <c r="F11375">
        <v>56.4497</v>
      </c>
      <c r="G11375">
        <v>12.5472</v>
      </c>
      <c r="H11375">
        <v>1</v>
      </c>
      <c r="I11375">
        <v>10.1</v>
      </c>
      <c r="J11375" t="str">
        <f>HYPERLINK("https://climate.onebuilding.org/WMO_Region_6_Europe/SWE_Sweden/HA_Halland/SWE_HA_Hallands.Vadero.026050_TMYx.2004-2018.zip")</f>
        <v>https://climate.onebuilding.org/WMO_Region_6_Europe/SWE_Sweden/HA_Halland/SWE_HA_Hallands.Vadero.026050_TMYx.2004-2018.zip</v>
      </c>
    </row>
    <row r="11376" spans="1:10" x14ac:dyDescent="0.25">
      <c r="A11376" t="s">
        <v>7602</v>
      </c>
      <c r="B11376" t="s">
        <v>2249</v>
      </c>
      <c r="C11376" t="s">
        <v>8318</v>
      </c>
      <c r="D11376" s="1" t="s">
        <v>8319</v>
      </c>
      <c r="E11376" t="s">
        <v>14</v>
      </c>
      <c r="F11376">
        <v>56.4497</v>
      </c>
      <c r="G11376">
        <v>12.5472</v>
      </c>
      <c r="H11376">
        <v>1</v>
      </c>
      <c r="I11376">
        <v>10.1</v>
      </c>
      <c r="J11376" t="str">
        <f>HYPERLINK("https://climate.onebuilding.org/WMO_Region_6_Europe/SWE_Sweden/HA_Halland/SWE_HA_Hallands.Vadero.026050_TMYx.2007-2021.zip")</f>
        <v>https://climate.onebuilding.org/WMO_Region_6_Europe/SWE_Sweden/HA_Halland/SWE_HA_Hallands.Vadero.026050_TMYx.2007-2021.zip</v>
      </c>
    </row>
    <row r="11377" spans="1:10" x14ac:dyDescent="0.25">
      <c r="A11377" t="s">
        <v>7602</v>
      </c>
      <c r="B11377" t="s">
        <v>2249</v>
      </c>
      <c r="C11377" t="s">
        <v>8318</v>
      </c>
      <c r="D11377" s="1" t="s">
        <v>8319</v>
      </c>
      <c r="E11377" t="s">
        <v>14</v>
      </c>
      <c r="F11377">
        <v>56.4497</v>
      </c>
      <c r="G11377">
        <v>12.5472</v>
      </c>
      <c r="H11377">
        <v>1</v>
      </c>
      <c r="I11377">
        <v>10.1</v>
      </c>
      <c r="J11377" t="str">
        <f>HYPERLINK("https://climate.onebuilding.org/WMO_Region_6_Europe/SWE_Sweden/HA_Halland/SWE_HA_Hallands.Vadero.026050_TMYx.2009-2023.zip")</f>
        <v>https://climate.onebuilding.org/WMO_Region_6_Europe/SWE_Sweden/HA_Halland/SWE_HA_Hallands.Vadero.026050_TMYx.2009-2023.zip</v>
      </c>
    </row>
    <row r="11378" spans="1:10" x14ac:dyDescent="0.25">
      <c r="A11378" t="s">
        <v>7602</v>
      </c>
      <c r="B11378" t="s">
        <v>2249</v>
      </c>
      <c r="C11378" t="s">
        <v>8318</v>
      </c>
      <c r="D11378" s="1" t="s">
        <v>8319</v>
      </c>
      <c r="E11378" t="s">
        <v>14</v>
      </c>
      <c r="F11378">
        <v>56.4497</v>
      </c>
      <c r="G11378">
        <v>12.5472</v>
      </c>
      <c r="H11378">
        <v>1</v>
      </c>
      <c r="I11378">
        <v>10.1</v>
      </c>
      <c r="J11378" t="str">
        <f>HYPERLINK("https://climate.onebuilding.org/WMO_Region_6_Europe/SWE_Sweden/HA_Halland/SWE_HA_Hallands.Vadero.026050_TMYx.zip")</f>
        <v>https://climate.onebuilding.org/WMO_Region_6_Europe/SWE_Sweden/HA_Halland/SWE_HA_Hallands.Vadero.026050_TMYx.zip</v>
      </c>
    </row>
    <row r="11379" spans="1:10" x14ac:dyDescent="0.25">
      <c r="A11379" t="s">
        <v>7602</v>
      </c>
      <c r="B11379" t="s">
        <v>1491</v>
      </c>
      <c r="C11379" t="s">
        <v>8321</v>
      </c>
      <c r="D11379" s="1" t="s">
        <v>8322</v>
      </c>
      <c r="E11379" t="s">
        <v>14</v>
      </c>
      <c r="F11379">
        <v>56.301000000000002</v>
      </c>
      <c r="G11379">
        <v>12.453799999999999</v>
      </c>
      <c r="H11379">
        <v>1</v>
      </c>
      <c r="I11379">
        <v>72</v>
      </c>
      <c r="J11379" t="str">
        <f>HYPERLINK("https://climate.onebuilding.org/WMO_Region_6_Europe/SWE_Sweden/SN_Skane/SWE_SN_Kullen.Lighthouse.026060_TMYx.zip")</f>
        <v>https://climate.onebuilding.org/WMO_Region_6_Europe/SWE_Sweden/SN_Skane/SWE_SN_Kullen.Lighthouse.026060_TMYx.zip</v>
      </c>
    </row>
    <row r="11380" spans="1:10" x14ac:dyDescent="0.25">
      <c r="A11380" t="s">
        <v>7602</v>
      </c>
      <c r="B11380" t="s">
        <v>1491</v>
      </c>
      <c r="C11380" t="s">
        <v>8323</v>
      </c>
      <c r="D11380" s="1" t="s">
        <v>8324</v>
      </c>
      <c r="E11380" t="s">
        <v>8325</v>
      </c>
      <c r="F11380">
        <v>56.297800000000002</v>
      </c>
      <c r="G11380">
        <v>12.844200000000001</v>
      </c>
      <c r="H11380">
        <v>1</v>
      </c>
      <c r="I11380">
        <v>36.5</v>
      </c>
      <c r="J11380" t="str">
        <f>HYPERLINK("https://climate.onebuilding.org/WMO_Region_6_Europe/SWE_Sweden/SN_Skane/SWE_SN_Angelholm-Helsingborg.AP.026070_TMYx.2004-2018.zip")</f>
        <v>https://climate.onebuilding.org/WMO_Region_6_Europe/SWE_Sweden/SN_Skane/SWE_SN_Angelholm-Helsingborg.AP.026070_TMYx.2004-2018.zip</v>
      </c>
    </row>
    <row r="11381" spans="1:10" x14ac:dyDescent="0.25">
      <c r="A11381" t="s">
        <v>7602</v>
      </c>
      <c r="B11381" t="s">
        <v>1491</v>
      </c>
      <c r="C11381" t="s">
        <v>8323</v>
      </c>
      <c r="D11381" s="1" t="s">
        <v>8324</v>
      </c>
      <c r="E11381" t="s">
        <v>14</v>
      </c>
      <c r="F11381">
        <v>56.297780000000003</v>
      </c>
      <c r="G11381">
        <v>12.84417</v>
      </c>
      <c r="H11381">
        <v>1</v>
      </c>
      <c r="I11381">
        <v>36.5</v>
      </c>
      <c r="J11381" t="str">
        <f>HYPERLINK("https://climate.onebuilding.org/WMO_Region_6_Europe/SWE_Sweden/SN_Skane/SWE_SN_Angelholm-Helsingborg.AP.026070_TMYx.2007-2021.zip")</f>
        <v>https://climate.onebuilding.org/WMO_Region_6_Europe/SWE_Sweden/SN_Skane/SWE_SN_Angelholm-Helsingborg.AP.026070_TMYx.2007-2021.zip</v>
      </c>
    </row>
    <row r="11382" spans="1:10" x14ac:dyDescent="0.25">
      <c r="A11382" t="s">
        <v>7602</v>
      </c>
      <c r="B11382" t="s">
        <v>1491</v>
      </c>
      <c r="C11382" t="s">
        <v>8323</v>
      </c>
      <c r="D11382" s="1" t="s">
        <v>8324</v>
      </c>
      <c r="E11382" t="s">
        <v>14</v>
      </c>
      <c r="F11382">
        <v>56.297780000000003</v>
      </c>
      <c r="G11382">
        <v>12.84417</v>
      </c>
      <c r="H11382">
        <v>1</v>
      </c>
      <c r="I11382">
        <v>36.5</v>
      </c>
      <c r="J11382" t="str">
        <f>HYPERLINK("https://climate.onebuilding.org/WMO_Region_6_Europe/SWE_Sweden/SN_Skane/SWE_SN_Angelholm-Helsingborg.AP.026070_TMYx.2009-2023.zip")</f>
        <v>https://climate.onebuilding.org/WMO_Region_6_Europe/SWE_Sweden/SN_Skane/SWE_SN_Angelholm-Helsingborg.AP.026070_TMYx.2009-2023.zip</v>
      </c>
    </row>
    <row r="11383" spans="1:10" x14ac:dyDescent="0.25">
      <c r="A11383" t="s">
        <v>7602</v>
      </c>
      <c r="B11383" t="s">
        <v>1491</v>
      </c>
      <c r="C11383" t="s">
        <v>8323</v>
      </c>
      <c r="D11383" s="1" t="s">
        <v>8324</v>
      </c>
      <c r="E11383" t="s">
        <v>14</v>
      </c>
      <c r="F11383">
        <v>56.297780000000003</v>
      </c>
      <c r="G11383">
        <v>12.84417</v>
      </c>
      <c r="H11383">
        <v>1</v>
      </c>
      <c r="I11383">
        <v>36.5</v>
      </c>
      <c r="J11383" t="str">
        <f>HYPERLINK("https://climate.onebuilding.org/WMO_Region_6_Europe/SWE_Sweden/SN_Skane/SWE_SN_Angelholm-Helsingborg.AP.026070_TMYx.zip")</f>
        <v>https://climate.onebuilding.org/WMO_Region_6_Europe/SWE_Sweden/SN_Skane/SWE_SN_Angelholm-Helsingborg.AP.026070_TMYx.zip</v>
      </c>
    </row>
    <row r="11384" spans="1:10" x14ac:dyDescent="0.25">
      <c r="A11384" t="s">
        <v>7602</v>
      </c>
      <c r="B11384" t="s">
        <v>1491</v>
      </c>
      <c r="C11384" t="s">
        <v>8326</v>
      </c>
      <c r="D11384" s="1" t="s">
        <v>8327</v>
      </c>
      <c r="E11384" t="s">
        <v>8328</v>
      </c>
      <c r="F11384">
        <v>55.474200000000003</v>
      </c>
      <c r="G11384">
        <v>13.6683</v>
      </c>
      <c r="H11384">
        <v>1</v>
      </c>
      <c r="I11384">
        <v>50</v>
      </c>
      <c r="J11384" t="str">
        <f>HYPERLINK("https://climate.onebuilding.org/WMO_Region_6_Europe/SWE_Sweden/SN_Skane/SWE_SN_Rynge.026090_TMYx.2004-2018.zip")</f>
        <v>https://climate.onebuilding.org/WMO_Region_6_Europe/SWE_Sweden/SN_Skane/SWE_SN_Rynge.026090_TMYx.2004-2018.zip</v>
      </c>
    </row>
    <row r="11385" spans="1:10" x14ac:dyDescent="0.25">
      <c r="A11385" t="s">
        <v>7602</v>
      </c>
      <c r="B11385" t="s">
        <v>1491</v>
      </c>
      <c r="C11385" t="s">
        <v>8326</v>
      </c>
      <c r="D11385" s="1" t="s">
        <v>8327</v>
      </c>
      <c r="E11385" t="s">
        <v>14</v>
      </c>
      <c r="F11385">
        <v>55.474200000000003</v>
      </c>
      <c r="G11385">
        <v>13.6683</v>
      </c>
      <c r="H11385">
        <v>1</v>
      </c>
      <c r="I11385">
        <v>50</v>
      </c>
      <c r="J11385" t="str">
        <f>HYPERLINK("https://climate.onebuilding.org/WMO_Region_6_Europe/SWE_Sweden/SN_Skane/SWE_SN_Rynge.026090_TMYx.2007-2021.zip")</f>
        <v>https://climate.onebuilding.org/WMO_Region_6_Europe/SWE_Sweden/SN_Skane/SWE_SN_Rynge.026090_TMYx.2007-2021.zip</v>
      </c>
    </row>
    <row r="11386" spans="1:10" x14ac:dyDescent="0.25">
      <c r="A11386" t="s">
        <v>7602</v>
      </c>
      <c r="B11386" t="s">
        <v>1491</v>
      </c>
      <c r="C11386" t="s">
        <v>8326</v>
      </c>
      <c r="D11386" s="1" t="s">
        <v>8327</v>
      </c>
      <c r="E11386" t="s">
        <v>14</v>
      </c>
      <c r="F11386">
        <v>55.474200000000003</v>
      </c>
      <c r="G11386">
        <v>13.6683</v>
      </c>
      <c r="H11386">
        <v>1</v>
      </c>
      <c r="I11386">
        <v>50</v>
      </c>
      <c r="J11386" t="str">
        <f>HYPERLINK("https://climate.onebuilding.org/WMO_Region_6_Europe/SWE_Sweden/SN_Skane/SWE_SN_Rynge.026090_TMYx.2009-2023.zip")</f>
        <v>https://climate.onebuilding.org/WMO_Region_6_Europe/SWE_Sweden/SN_Skane/SWE_SN_Rynge.026090_TMYx.2009-2023.zip</v>
      </c>
    </row>
    <row r="11387" spans="1:10" x14ac:dyDescent="0.25">
      <c r="A11387" t="s">
        <v>7602</v>
      </c>
      <c r="B11387" t="s">
        <v>1491</v>
      </c>
      <c r="C11387" t="s">
        <v>8326</v>
      </c>
      <c r="D11387" s="1" t="s">
        <v>8327</v>
      </c>
      <c r="E11387" t="s">
        <v>14</v>
      </c>
      <c r="F11387">
        <v>55.474200000000003</v>
      </c>
      <c r="G11387">
        <v>13.6683</v>
      </c>
      <c r="H11387">
        <v>1</v>
      </c>
      <c r="I11387">
        <v>50</v>
      </c>
      <c r="J11387" t="str">
        <f>HYPERLINK("https://climate.onebuilding.org/WMO_Region_6_Europe/SWE_Sweden/SN_Skane/SWE_SN_Rynge.026090_TMYx.zip")</f>
        <v>https://climate.onebuilding.org/WMO_Region_6_Europe/SWE_Sweden/SN_Skane/SWE_SN_Rynge.026090_TMYx.zip</v>
      </c>
    </row>
    <row r="11388" spans="1:10" x14ac:dyDescent="0.25">
      <c r="A11388" t="s">
        <v>7602</v>
      </c>
      <c r="B11388" t="s">
        <v>1491</v>
      </c>
      <c r="C11388" t="s">
        <v>8329</v>
      </c>
      <c r="D11388" s="1" t="s">
        <v>8330</v>
      </c>
      <c r="E11388" t="s">
        <v>14</v>
      </c>
      <c r="F11388">
        <v>55.866999999999997</v>
      </c>
      <c r="G11388">
        <v>12.867000000000001</v>
      </c>
      <c r="H11388">
        <v>1</v>
      </c>
      <c r="I11388">
        <v>11</v>
      </c>
      <c r="J11388" t="str">
        <f>HYPERLINK("https://climate.onebuilding.org/WMO_Region_6_Europe/SWE_Sweden/SN_Skane/SWE_SN_Orja.026100_TMYx.zip")</f>
        <v>https://climate.onebuilding.org/WMO_Region_6_Europe/SWE_Sweden/SN_Skane/SWE_SN_Orja.026100_TMYx.zip</v>
      </c>
    </row>
    <row r="11389" spans="1:10" x14ac:dyDescent="0.25">
      <c r="A11389" t="s">
        <v>7602</v>
      </c>
      <c r="B11389" t="s">
        <v>1491</v>
      </c>
      <c r="C11389" t="s">
        <v>8331</v>
      </c>
      <c r="D11389" s="1" t="s">
        <v>8332</v>
      </c>
      <c r="E11389" t="s">
        <v>8333</v>
      </c>
      <c r="F11389">
        <v>56.0306</v>
      </c>
      <c r="G11389">
        <v>12.7653</v>
      </c>
      <c r="H11389">
        <v>1</v>
      </c>
      <c r="I11389">
        <v>44.3</v>
      </c>
      <c r="J11389" t="str">
        <f>HYPERLINK("https://climate.onebuilding.org/WMO_Region_6_Europe/SWE_Sweden/SN_Skane/SWE_SN_Helsingborg.026110_TMYx.2004-2018.zip")</f>
        <v>https://climate.onebuilding.org/WMO_Region_6_Europe/SWE_Sweden/SN_Skane/SWE_SN_Helsingborg.026110_TMYx.2004-2018.zip</v>
      </c>
    </row>
    <row r="11390" spans="1:10" x14ac:dyDescent="0.25">
      <c r="A11390" t="s">
        <v>7602</v>
      </c>
      <c r="B11390" t="s">
        <v>1491</v>
      </c>
      <c r="C11390" t="s">
        <v>8331</v>
      </c>
      <c r="D11390" s="1" t="s">
        <v>8332</v>
      </c>
      <c r="E11390" t="s">
        <v>14</v>
      </c>
      <c r="F11390">
        <v>56.0306</v>
      </c>
      <c r="G11390">
        <v>12.7653</v>
      </c>
      <c r="H11390">
        <v>1</v>
      </c>
      <c r="I11390">
        <v>44.3</v>
      </c>
      <c r="J11390" t="str">
        <f>HYPERLINK("https://climate.onebuilding.org/WMO_Region_6_Europe/SWE_Sweden/SN_Skane/SWE_SN_Helsingborg.026110_TMYx.2007-2021.zip")</f>
        <v>https://climate.onebuilding.org/WMO_Region_6_Europe/SWE_Sweden/SN_Skane/SWE_SN_Helsingborg.026110_TMYx.2007-2021.zip</v>
      </c>
    </row>
    <row r="11391" spans="1:10" x14ac:dyDescent="0.25">
      <c r="A11391" t="s">
        <v>7602</v>
      </c>
      <c r="B11391" t="s">
        <v>1491</v>
      </c>
      <c r="C11391" t="s">
        <v>8331</v>
      </c>
      <c r="D11391" s="1" t="s">
        <v>8332</v>
      </c>
      <c r="E11391" t="s">
        <v>14</v>
      </c>
      <c r="F11391">
        <v>56.0306</v>
      </c>
      <c r="G11391">
        <v>12.7653</v>
      </c>
      <c r="H11391">
        <v>1</v>
      </c>
      <c r="I11391">
        <v>44.3</v>
      </c>
      <c r="J11391" t="str">
        <f>HYPERLINK("https://climate.onebuilding.org/WMO_Region_6_Europe/SWE_Sweden/SN_Skane/SWE_SN_Helsingborg.026110_TMYx.2009-2023.zip")</f>
        <v>https://climate.onebuilding.org/WMO_Region_6_Europe/SWE_Sweden/SN_Skane/SWE_SN_Helsingborg.026110_TMYx.2009-2023.zip</v>
      </c>
    </row>
    <row r="11392" spans="1:10" x14ac:dyDescent="0.25">
      <c r="A11392" t="s">
        <v>7602</v>
      </c>
      <c r="B11392" t="s">
        <v>1491</v>
      </c>
      <c r="C11392" t="s">
        <v>8331</v>
      </c>
      <c r="D11392" s="1" t="s">
        <v>8332</v>
      </c>
      <c r="E11392" t="s">
        <v>14</v>
      </c>
      <c r="F11392">
        <v>56.0306</v>
      </c>
      <c r="G11392">
        <v>12.7653</v>
      </c>
      <c r="H11392">
        <v>1</v>
      </c>
      <c r="I11392">
        <v>44.3</v>
      </c>
      <c r="J11392" t="str">
        <f>HYPERLINK("https://climate.onebuilding.org/WMO_Region_6_Europe/SWE_Sweden/SN_Skane/SWE_SN_Helsingborg.026110_TMYx.zip")</f>
        <v>https://climate.onebuilding.org/WMO_Region_6_Europe/SWE_Sweden/SN_Skane/SWE_SN_Helsingborg.026110_TMYx.zip</v>
      </c>
    </row>
    <row r="11393" spans="1:10" x14ac:dyDescent="0.25">
      <c r="A11393" t="s">
        <v>7602</v>
      </c>
      <c r="B11393" t="s">
        <v>1491</v>
      </c>
      <c r="C11393" t="s">
        <v>8334</v>
      </c>
      <c r="D11393" s="1" t="s">
        <v>8335</v>
      </c>
      <c r="E11393" t="s">
        <v>14</v>
      </c>
      <c r="F11393">
        <v>55.6</v>
      </c>
      <c r="G11393">
        <v>12.85</v>
      </c>
      <c r="H11393">
        <v>1</v>
      </c>
      <c r="I11393">
        <v>10</v>
      </c>
      <c r="J11393" t="str">
        <f>HYPERLINK("https://climate.onebuilding.org/WMO_Region_6_Europe/SWE_Sweden/SN_Skane/SWE_SN_Oskarsgrundet.026140_TMYx.zip")</f>
        <v>https://climate.onebuilding.org/WMO_Region_6_Europe/SWE_Sweden/SN_Skane/SWE_SN_Oskarsgrundet.026140_TMYx.zip</v>
      </c>
    </row>
    <row r="11394" spans="1:10" x14ac:dyDescent="0.25">
      <c r="A11394" t="s">
        <v>7602</v>
      </c>
      <c r="B11394" t="s">
        <v>1491</v>
      </c>
      <c r="C11394" t="s">
        <v>8336</v>
      </c>
      <c r="D11394" s="1" t="s">
        <v>8337</v>
      </c>
      <c r="E11394" t="s">
        <v>8338</v>
      </c>
      <c r="F11394">
        <v>55.383600000000001</v>
      </c>
      <c r="G11394">
        <v>12.816700000000001</v>
      </c>
      <c r="H11394">
        <v>1</v>
      </c>
      <c r="I11394">
        <v>5</v>
      </c>
      <c r="J11394" t="str">
        <f>HYPERLINK("https://climate.onebuilding.org/WMO_Region_6_Europe/SWE_Sweden/SN_Skane/SWE_SN_Falsterbo.Lighthouse.026160_TMYx.2004-2018.zip")</f>
        <v>https://climate.onebuilding.org/WMO_Region_6_Europe/SWE_Sweden/SN_Skane/SWE_SN_Falsterbo.Lighthouse.026160_TMYx.2004-2018.zip</v>
      </c>
    </row>
    <row r="11395" spans="1:10" x14ac:dyDescent="0.25">
      <c r="A11395" t="s">
        <v>7602</v>
      </c>
      <c r="B11395" t="s">
        <v>1491</v>
      </c>
      <c r="C11395" t="s">
        <v>8336</v>
      </c>
      <c r="D11395" s="1" t="s">
        <v>8337</v>
      </c>
      <c r="E11395" t="s">
        <v>14</v>
      </c>
      <c r="F11395">
        <v>55.383600000000001</v>
      </c>
      <c r="G11395">
        <v>12.816700000000001</v>
      </c>
      <c r="H11395">
        <v>1</v>
      </c>
      <c r="I11395">
        <v>5</v>
      </c>
      <c r="J11395" t="str">
        <f>HYPERLINK("https://climate.onebuilding.org/WMO_Region_6_Europe/SWE_Sweden/SN_Skane/SWE_SN_Falsterbo.Lighthouse.026160_TMYx.2007-2021.zip")</f>
        <v>https://climate.onebuilding.org/WMO_Region_6_Europe/SWE_Sweden/SN_Skane/SWE_SN_Falsterbo.Lighthouse.026160_TMYx.2007-2021.zip</v>
      </c>
    </row>
    <row r="11396" spans="1:10" x14ac:dyDescent="0.25">
      <c r="A11396" t="s">
        <v>7602</v>
      </c>
      <c r="B11396" t="s">
        <v>1491</v>
      </c>
      <c r="C11396" t="s">
        <v>8336</v>
      </c>
      <c r="D11396" s="1" t="s">
        <v>8337</v>
      </c>
      <c r="E11396" t="s">
        <v>14</v>
      </c>
      <c r="F11396">
        <v>55.383600000000001</v>
      </c>
      <c r="G11396">
        <v>12.816700000000001</v>
      </c>
      <c r="H11396">
        <v>1</v>
      </c>
      <c r="I11396">
        <v>5</v>
      </c>
      <c r="J11396" t="str">
        <f>HYPERLINK("https://climate.onebuilding.org/WMO_Region_6_Europe/SWE_Sweden/SN_Skane/SWE_SN_Falsterbo.Lighthouse.026160_TMYx.2009-2023.zip")</f>
        <v>https://climate.onebuilding.org/WMO_Region_6_Europe/SWE_Sweden/SN_Skane/SWE_SN_Falsterbo.Lighthouse.026160_TMYx.2009-2023.zip</v>
      </c>
    </row>
    <row r="11397" spans="1:10" x14ac:dyDescent="0.25">
      <c r="A11397" t="s">
        <v>7602</v>
      </c>
      <c r="B11397" t="s">
        <v>1491</v>
      </c>
      <c r="C11397" t="s">
        <v>8336</v>
      </c>
      <c r="D11397" s="1" t="s">
        <v>8337</v>
      </c>
      <c r="E11397" t="s">
        <v>14</v>
      </c>
      <c r="F11397">
        <v>55.383600000000001</v>
      </c>
      <c r="G11397">
        <v>12.816700000000001</v>
      </c>
      <c r="H11397">
        <v>1</v>
      </c>
      <c r="I11397">
        <v>5</v>
      </c>
      <c r="J11397" t="str">
        <f>HYPERLINK("https://climate.onebuilding.org/WMO_Region_6_Europe/SWE_Sweden/SN_Skane/SWE_SN_Falsterbo.Lighthouse.026160_TMYx.zip")</f>
        <v>https://climate.onebuilding.org/WMO_Region_6_Europe/SWE_Sweden/SN_Skane/SWE_SN_Falsterbo.Lighthouse.026160_TMYx.zip</v>
      </c>
    </row>
    <row r="11398" spans="1:10" x14ac:dyDescent="0.25">
      <c r="A11398" t="s">
        <v>7602</v>
      </c>
      <c r="B11398" t="s">
        <v>2249</v>
      </c>
      <c r="C11398" t="s">
        <v>8339</v>
      </c>
      <c r="D11398" s="1" t="s">
        <v>8340</v>
      </c>
      <c r="E11398" t="s">
        <v>8341</v>
      </c>
      <c r="F11398">
        <v>56.949399999999997</v>
      </c>
      <c r="G11398">
        <v>13.0603</v>
      </c>
      <c r="H11398">
        <v>1</v>
      </c>
      <c r="I11398">
        <v>134.6</v>
      </c>
      <c r="J11398" t="str">
        <f>HYPERLINK("https://climate.onebuilding.org/WMO_Region_6_Europe/SWE_Sweden/HA_Halland/SWE_HA_Torup.026180_TMYx.2004-2018.zip")</f>
        <v>https://climate.onebuilding.org/WMO_Region_6_Europe/SWE_Sweden/HA_Halland/SWE_HA_Torup.026180_TMYx.2004-2018.zip</v>
      </c>
    </row>
    <row r="11399" spans="1:10" x14ac:dyDescent="0.25">
      <c r="A11399" t="s">
        <v>7602</v>
      </c>
      <c r="B11399" t="s">
        <v>2249</v>
      </c>
      <c r="C11399" t="s">
        <v>8339</v>
      </c>
      <c r="D11399" s="1" t="s">
        <v>8340</v>
      </c>
      <c r="E11399" t="s">
        <v>14</v>
      </c>
      <c r="F11399">
        <v>56.949399999999997</v>
      </c>
      <c r="G11399">
        <v>13.0603</v>
      </c>
      <c r="H11399">
        <v>1</v>
      </c>
      <c r="I11399">
        <v>134.6</v>
      </c>
      <c r="J11399" t="str">
        <f>HYPERLINK("https://climate.onebuilding.org/WMO_Region_6_Europe/SWE_Sweden/HA_Halland/SWE_HA_Torup.026180_TMYx.2007-2021.zip")</f>
        <v>https://climate.onebuilding.org/WMO_Region_6_Europe/SWE_Sweden/HA_Halland/SWE_HA_Torup.026180_TMYx.2007-2021.zip</v>
      </c>
    </row>
    <row r="11400" spans="1:10" x14ac:dyDescent="0.25">
      <c r="A11400" t="s">
        <v>7602</v>
      </c>
      <c r="B11400" t="s">
        <v>2249</v>
      </c>
      <c r="C11400" t="s">
        <v>8339</v>
      </c>
      <c r="D11400" s="1" t="s">
        <v>8340</v>
      </c>
      <c r="E11400" t="s">
        <v>14</v>
      </c>
      <c r="F11400">
        <v>56.949399999999997</v>
      </c>
      <c r="G11400">
        <v>13.0603</v>
      </c>
      <c r="H11400">
        <v>1</v>
      </c>
      <c r="I11400">
        <v>134.6</v>
      </c>
      <c r="J11400" t="str">
        <f>HYPERLINK("https://climate.onebuilding.org/WMO_Region_6_Europe/SWE_Sweden/HA_Halland/SWE_HA_Torup.026180_TMYx.2009-2023.zip")</f>
        <v>https://climate.onebuilding.org/WMO_Region_6_Europe/SWE_Sweden/HA_Halland/SWE_HA_Torup.026180_TMYx.2009-2023.zip</v>
      </c>
    </row>
    <row r="11401" spans="1:10" x14ac:dyDescent="0.25">
      <c r="A11401" t="s">
        <v>7602</v>
      </c>
      <c r="B11401" t="s">
        <v>2249</v>
      </c>
      <c r="C11401" t="s">
        <v>8339</v>
      </c>
      <c r="D11401" s="1" t="s">
        <v>8340</v>
      </c>
      <c r="E11401" t="s">
        <v>14</v>
      </c>
      <c r="F11401">
        <v>56.949399999999997</v>
      </c>
      <c r="G11401">
        <v>13.0603</v>
      </c>
      <c r="H11401">
        <v>1</v>
      </c>
      <c r="I11401">
        <v>134.6</v>
      </c>
      <c r="J11401" t="str">
        <f>HYPERLINK("https://climate.onebuilding.org/WMO_Region_6_Europe/SWE_Sweden/HA_Halland/SWE_HA_Torup.026180_TMYx.zip")</f>
        <v>https://climate.onebuilding.org/WMO_Region_6_Europe/SWE_Sweden/HA_Halland/SWE_HA_Torup.026180_TMYx.zip</v>
      </c>
    </row>
    <row r="11402" spans="1:10" x14ac:dyDescent="0.25">
      <c r="A11402" t="s">
        <v>7602</v>
      </c>
      <c r="B11402" t="s">
        <v>5651</v>
      </c>
      <c r="C11402" t="s">
        <v>8342</v>
      </c>
      <c r="D11402" s="1" t="s">
        <v>8343</v>
      </c>
      <c r="E11402" t="s">
        <v>8344</v>
      </c>
      <c r="F11402">
        <v>56.852800000000002</v>
      </c>
      <c r="G11402">
        <v>13.882199999999999</v>
      </c>
      <c r="H11402">
        <v>1</v>
      </c>
      <c r="I11402">
        <v>148.5</v>
      </c>
      <c r="J11402" t="str">
        <f>HYPERLINK("https://climate.onebuilding.org/WMO_Region_6_Europe/SWE_Sweden/KR_Kronoberg/SWE_KR_Ljungby.026220_TMYx.2004-2018.zip")</f>
        <v>https://climate.onebuilding.org/WMO_Region_6_Europe/SWE_Sweden/KR_Kronoberg/SWE_KR_Ljungby.026220_TMYx.2004-2018.zip</v>
      </c>
    </row>
    <row r="11403" spans="1:10" x14ac:dyDescent="0.25">
      <c r="A11403" t="s">
        <v>7602</v>
      </c>
      <c r="B11403" t="s">
        <v>5651</v>
      </c>
      <c r="C11403" t="s">
        <v>8342</v>
      </c>
      <c r="D11403" s="1" t="s">
        <v>8343</v>
      </c>
      <c r="E11403" t="s">
        <v>14</v>
      </c>
      <c r="F11403">
        <v>56.852800000000002</v>
      </c>
      <c r="G11403">
        <v>13.882199999999999</v>
      </c>
      <c r="H11403">
        <v>1</v>
      </c>
      <c r="I11403">
        <v>148.5</v>
      </c>
      <c r="J11403" t="str">
        <f>HYPERLINK("https://climate.onebuilding.org/WMO_Region_6_Europe/SWE_Sweden/KR_Kronoberg/SWE_KR_Ljungby.026220_TMYx.2007-2021.zip")</f>
        <v>https://climate.onebuilding.org/WMO_Region_6_Europe/SWE_Sweden/KR_Kronoberg/SWE_KR_Ljungby.026220_TMYx.2007-2021.zip</v>
      </c>
    </row>
    <row r="11404" spans="1:10" x14ac:dyDescent="0.25">
      <c r="A11404" t="s">
        <v>7602</v>
      </c>
      <c r="B11404" t="s">
        <v>5651</v>
      </c>
      <c r="C11404" t="s">
        <v>8342</v>
      </c>
      <c r="D11404" s="1" t="s">
        <v>8343</v>
      </c>
      <c r="E11404" t="s">
        <v>14</v>
      </c>
      <c r="F11404">
        <v>56.852800000000002</v>
      </c>
      <c r="G11404">
        <v>13.882199999999999</v>
      </c>
      <c r="H11404">
        <v>1</v>
      </c>
      <c r="I11404">
        <v>148.5</v>
      </c>
      <c r="J11404" t="str">
        <f>HYPERLINK("https://climate.onebuilding.org/WMO_Region_6_Europe/SWE_Sweden/KR_Kronoberg/SWE_KR_Ljungby.026220_TMYx.2009-2023.zip")</f>
        <v>https://climate.onebuilding.org/WMO_Region_6_Europe/SWE_Sweden/KR_Kronoberg/SWE_KR_Ljungby.026220_TMYx.2009-2023.zip</v>
      </c>
    </row>
    <row r="11405" spans="1:10" x14ac:dyDescent="0.25">
      <c r="A11405" t="s">
        <v>7602</v>
      </c>
      <c r="B11405" t="s">
        <v>5651</v>
      </c>
      <c r="C11405" t="s">
        <v>8342</v>
      </c>
      <c r="D11405" s="1" t="s">
        <v>8343</v>
      </c>
      <c r="E11405" t="s">
        <v>14</v>
      </c>
      <c r="F11405">
        <v>56.852800000000002</v>
      </c>
      <c r="G11405">
        <v>13.882199999999999</v>
      </c>
      <c r="H11405">
        <v>1</v>
      </c>
      <c r="I11405">
        <v>148.5</v>
      </c>
      <c r="J11405" t="str">
        <f>HYPERLINK("https://climate.onebuilding.org/WMO_Region_6_Europe/SWE_Sweden/KR_Kronoberg/SWE_KR_Ljungby.026220_TMYx.zip")</f>
        <v>https://climate.onebuilding.org/WMO_Region_6_Europe/SWE_Sweden/KR_Kronoberg/SWE_KR_Ljungby.026220_TMYx.zip</v>
      </c>
    </row>
    <row r="11406" spans="1:10" x14ac:dyDescent="0.25">
      <c r="A11406" t="s">
        <v>7602</v>
      </c>
      <c r="B11406" t="s">
        <v>1491</v>
      </c>
      <c r="C11406" t="s">
        <v>8345</v>
      </c>
      <c r="D11406" s="1" t="s">
        <v>8346</v>
      </c>
      <c r="E11406" t="s">
        <v>8347</v>
      </c>
      <c r="F11406">
        <v>55.863300000000002</v>
      </c>
      <c r="G11406">
        <v>13.668900000000001</v>
      </c>
      <c r="H11406">
        <v>1</v>
      </c>
      <c r="I11406">
        <v>113.6</v>
      </c>
      <c r="J11406" t="str">
        <f>HYPERLINK("https://climate.onebuilding.org/WMO_Region_6_Europe/SWE_Sweden/SN_Skane/SWE_SN_Horby.026230_TMYx.2004-2018.zip")</f>
        <v>https://climate.onebuilding.org/WMO_Region_6_Europe/SWE_Sweden/SN_Skane/SWE_SN_Horby.026230_TMYx.2004-2018.zip</v>
      </c>
    </row>
    <row r="11407" spans="1:10" x14ac:dyDescent="0.25">
      <c r="A11407" t="s">
        <v>7602</v>
      </c>
      <c r="B11407" t="s">
        <v>1491</v>
      </c>
      <c r="C11407" t="s">
        <v>8345</v>
      </c>
      <c r="D11407" s="1" t="s">
        <v>8346</v>
      </c>
      <c r="E11407" t="s">
        <v>14</v>
      </c>
      <c r="F11407">
        <v>55.863300000000002</v>
      </c>
      <c r="G11407">
        <v>13.668900000000001</v>
      </c>
      <c r="H11407">
        <v>1</v>
      </c>
      <c r="I11407">
        <v>113.6</v>
      </c>
      <c r="J11407" t="str">
        <f>HYPERLINK("https://climate.onebuilding.org/WMO_Region_6_Europe/SWE_Sweden/SN_Skane/SWE_SN_Horby.026230_TMYx.2007-2021.zip")</f>
        <v>https://climate.onebuilding.org/WMO_Region_6_Europe/SWE_Sweden/SN_Skane/SWE_SN_Horby.026230_TMYx.2007-2021.zip</v>
      </c>
    </row>
    <row r="11408" spans="1:10" x14ac:dyDescent="0.25">
      <c r="A11408" t="s">
        <v>7602</v>
      </c>
      <c r="B11408" t="s">
        <v>1491</v>
      </c>
      <c r="C11408" t="s">
        <v>8345</v>
      </c>
      <c r="D11408" s="1" t="s">
        <v>8346</v>
      </c>
      <c r="E11408" t="s">
        <v>14</v>
      </c>
      <c r="F11408">
        <v>55.863300000000002</v>
      </c>
      <c r="G11408">
        <v>13.668900000000001</v>
      </c>
      <c r="H11408">
        <v>1</v>
      </c>
      <c r="I11408">
        <v>113.6</v>
      </c>
      <c r="J11408" t="str">
        <f>HYPERLINK("https://climate.onebuilding.org/WMO_Region_6_Europe/SWE_Sweden/SN_Skane/SWE_SN_Horby.026230_TMYx.2009-2023.zip")</f>
        <v>https://climate.onebuilding.org/WMO_Region_6_Europe/SWE_Sweden/SN_Skane/SWE_SN_Horby.026230_TMYx.2009-2023.zip</v>
      </c>
    </row>
    <row r="11409" spans="1:10" x14ac:dyDescent="0.25">
      <c r="A11409" t="s">
        <v>7602</v>
      </c>
      <c r="B11409" t="s">
        <v>1491</v>
      </c>
      <c r="C11409" t="s">
        <v>8345</v>
      </c>
      <c r="D11409" s="1" t="s">
        <v>8346</v>
      </c>
      <c r="E11409" t="s">
        <v>14</v>
      </c>
      <c r="F11409">
        <v>55.863300000000002</v>
      </c>
      <c r="G11409">
        <v>13.668900000000001</v>
      </c>
      <c r="H11409">
        <v>1</v>
      </c>
      <c r="I11409">
        <v>113.6</v>
      </c>
      <c r="J11409" t="str">
        <f>HYPERLINK("https://climate.onebuilding.org/WMO_Region_6_Europe/SWE_Sweden/SN_Skane/SWE_SN_Horby.026230_TMYx.zip")</f>
        <v>https://climate.onebuilding.org/WMO_Region_6_Europe/SWE_Sweden/SN_Skane/SWE_SN_Horby.026230_TMYx.zip</v>
      </c>
    </row>
    <row r="11410" spans="1:10" x14ac:dyDescent="0.25">
      <c r="A11410" t="s">
        <v>7602</v>
      </c>
      <c r="B11410" t="s">
        <v>1491</v>
      </c>
      <c r="C11410" t="s">
        <v>8348</v>
      </c>
      <c r="D11410" s="1" t="s">
        <v>8349</v>
      </c>
      <c r="E11410" t="s">
        <v>8350</v>
      </c>
      <c r="F11410">
        <v>55.488300000000002</v>
      </c>
      <c r="G11410">
        <v>14.3146</v>
      </c>
      <c r="H11410">
        <v>1</v>
      </c>
      <c r="I11410">
        <v>5.3</v>
      </c>
      <c r="J11410" t="str">
        <f>HYPERLINK("https://climate.onebuilding.org/WMO_Region_6_Europe/SWE_Sweden/SN_Skane/SWE_SN_Skillinge.026250_TMYx.2004-2018.zip")</f>
        <v>https://climate.onebuilding.org/WMO_Region_6_Europe/SWE_Sweden/SN_Skane/SWE_SN_Skillinge.026250_TMYx.2004-2018.zip</v>
      </c>
    </row>
    <row r="11411" spans="1:10" x14ac:dyDescent="0.25">
      <c r="A11411" t="s">
        <v>7602</v>
      </c>
      <c r="B11411" t="s">
        <v>1491</v>
      </c>
      <c r="C11411" t="s">
        <v>8348</v>
      </c>
      <c r="D11411" s="1" t="s">
        <v>8349</v>
      </c>
      <c r="E11411" t="s">
        <v>14</v>
      </c>
      <c r="F11411">
        <v>55.488300000000002</v>
      </c>
      <c r="G11411">
        <v>14.3146</v>
      </c>
      <c r="H11411">
        <v>1</v>
      </c>
      <c r="I11411">
        <v>5.3</v>
      </c>
      <c r="J11411" t="str">
        <f>HYPERLINK("https://climate.onebuilding.org/WMO_Region_6_Europe/SWE_Sweden/SN_Skane/SWE_SN_Skillinge.026250_TMYx.2007-2021.zip")</f>
        <v>https://climate.onebuilding.org/WMO_Region_6_Europe/SWE_Sweden/SN_Skane/SWE_SN_Skillinge.026250_TMYx.2007-2021.zip</v>
      </c>
    </row>
    <row r="11412" spans="1:10" x14ac:dyDescent="0.25">
      <c r="A11412" t="s">
        <v>7602</v>
      </c>
      <c r="B11412" t="s">
        <v>1491</v>
      </c>
      <c r="C11412" t="s">
        <v>8348</v>
      </c>
      <c r="D11412" s="1" t="s">
        <v>8349</v>
      </c>
      <c r="E11412" t="s">
        <v>14</v>
      </c>
      <c r="F11412">
        <v>55.488300000000002</v>
      </c>
      <c r="G11412">
        <v>14.3146</v>
      </c>
      <c r="H11412">
        <v>1</v>
      </c>
      <c r="I11412">
        <v>5.3</v>
      </c>
      <c r="J11412" t="str">
        <f>HYPERLINK("https://climate.onebuilding.org/WMO_Region_6_Europe/SWE_Sweden/SN_Skane/SWE_SN_Skillinge.026250_TMYx.2009-2023.zip")</f>
        <v>https://climate.onebuilding.org/WMO_Region_6_Europe/SWE_Sweden/SN_Skane/SWE_SN_Skillinge.026250_TMYx.2009-2023.zip</v>
      </c>
    </row>
    <row r="11413" spans="1:10" x14ac:dyDescent="0.25">
      <c r="A11413" t="s">
        <v>7602</v>
      </c>
      <c r="B11413" t="s">
        <v>1491</v>
      </c>
      <c r="C11413" t="s">
        <v>8348</v>
      </c>
      <c r="D11413" s="1" t="s">
        <v>8349</v>
      </c>
      <c r="E11413" t="s">
        <v>14</v>
      </c>
      <c r="F11413">
        <v>55.488300000000002</v>
      </c>
      <c r="G11413">
        <v>14.3146</v>
      </c>
      <c r="H11413">
        <v>1</v>
      </c>
      <c r="I11413">
        <v>5.3</v>
      </c>
      <c r="J11413" t="str">
        <f>HYPERLINK("https://climate.onebuilding.org/WMO_Region_6_Europe/SWE_Sweden/SN_Skane/SWE_SN_Skillinge.026250_TMYx.zip")</f>
        <v>https://climate.onebuilding.org/WMO_Region_6_Europe/SWE_Sweden/SN_Skane/SWE_SN_Skillinge.026250_TMYx.zip</v>
      </c>
    </row>
    <row r="11414" spans="1:10" x14ac:dyDescent="0.25">
      <c r="A11414" t="s">
        <v>7602</v>
      </c>
      <c r="B11414" t="s">
        <v>1491</v>
      </c>
      <c r="C11414" t="s">
        <v>8351</v>
      </c>
      <c r="D11414" s="1" t="s">
        <v>8352</v>
      </c>
      <c r="E11414" t="s">
        <v>14</v>
      </c>
      <c r="F11414">
        <v>56.374000000000002</v>
      </c>
      <c r="G11414">
        <v>13.938000000000001</v>
      </c>
      <c r="H11414">
        <v>1</v>
      </c>
      <c r="I11414">
        <v>85</v>
      </c>
      <c r="J11414" t="str">
        <f>HYPERLINK("https://climate.onebuilding.org/WMO_Region_6_Europe/SWE_Sweden/SN_Skane/SWE_SN_Osby.026260_TMYx.2007-2021.zip")</f>
        <v>https://climate.onebuilding.org/WMO_Region_6_Europe/SWE_Sweden/SN_Skane/SWE_SN_Osby.026260_TMYx.2007-2021.zip</v>
      </c>
    </row>
    <row r="11415" spans="1:10" x14ac:dyDescent="0.25">
      <c r="A11415" t="s">
        <v>7602</v>
      </c>
      <c r="B11415" t="s">
        <v>1491</v>
      </c>
      <c r="C11415" t="s">
        <v>8351</v>
      </c>
      <c r="D11415" s="1" t="s">
        <v>8352</v>
      </c>
      <c r="E11415" t="s">
        <v>14</v>
      </c>
      <c r="F11415">
        <v>56.374000000000002</v>
      </c>
      <c r="G11415">
        <v>13.938000000000001</v>
      </c>
      <c r="H11415">
        <v>1</v>
      </c>
      <c r="I11415">
        <v>85</v>
      </c>
      <c r="J11415" t="str">
        <f>HYPERLINK("https://climate.onebuilding.org/WMO_Region_6_Europe/SWE_Sweden/SN_Skane/SWE_SN_Osby.026260_TMYx.2009-2023.zip")</f>
        <v>https://climate.onebuilding.org/WMO_Region_6_Europe/SWE_Sweden/SN_Skane/SWE_SN_Osby.026260_TMYx.2009-2023.zip</v>
      </c>
    </row>
    <row r="11416" spans="1:10" x14ac:dyDescent="0.25">
      <c r="A11416" t="s">
        <v>7602</v>
      </c>
      <c r="B11416" t="s">
        <v>1491</v>
      </c>
      <c r="C11416" t="s">
        <v>8351</v>
      </c>
      <c r="D11416" s="1" t="s">
        <v>8352</v>
      </c>
      <c r="E11416" t="s">
        <v>14</v>
      </c>
      <c r="F11416">
        <v>56.374000000000002</v>
      </c>
      <c r="G11416">
        <v>13.938000000000001</v>
      </c>
      <c r="H11416">
        <v>1</v>
      </c>
      <c r="I11416">
        <v>85</v>
      </c>
      <c r="J11416" t="str">
        <f>HYPERLINK("https://climate.onebuilding.org/WMO_Region_6_Europe/SWE_Sweden/SN_Skane/SWE_SN_Osby.026260_TMYx.zip")</f>
        <v>https://climate.onebuilding.org/WMO_Region_6_Europe/SWE_Sweden/SN_Skane/SWE_SN_Osby.026260_TMYx.zip</v>
      </c>
    </row>
    <row r="11417" spans="1:10" x14ac:dyDescent="0.25">
      <c r="A11417" t="s">
        <v>7602</v>
      </c>
      <c r="B11417" t="s">
        <v>564</v>
      </c>
      <c r="C11417" t="s">
        <v>8353</v>
      </c>
      <c r="D11417" s="1" t="s">
        <v>8354</v>
      </c>
      <c r="E11417" t="s">
        <v>8355</v>
      </c>
      <c r="F11417">
        <v>56.0139</v>
      </c>
      <c r="G11417">
        <v>14.849399999999999</v>
      </c>
      <c r="H11417">
        <v>1</v>
      </c>
      <c r="I11417">
        <v>60.4</v>
      </c>
      <c r="J11417" t="str">
        <f>HYPERLINK("https://climate.onebuilding.org/WMO_Region_6_Europe/SWE_Sweden/BL_Blekinge/SWE_BL_Hano.Island.026280_TMYx.2004-2018.zip")</f>
        <v>https://climate.onebuilding.org/WMO_Region_6_Europe/SWE_Sweden/BL_Blekinge/SWE_BL_Hano.Island.026280_TMYx.2004-2018.zip</v>
      </c>
    </row>
    <row r="11418" spans="1:10" x14ac:dyDescent="0.25">
      <c r="A11418" t="s">
        <v>7602</v>
      </c>
      <c r="B11418" t="s">
        <v>564</v>
      </c>
      <c r="C11418" t="s">
        <v>8353</v>
      </c>
      <c r="D11418" s="1" t="s">
        <v>8354</v>
      </c>
      <c r="E11418" t="s">
        <v>14</v>
      </c>
      <c r="F11418">
        <v>56.0139</v>
      </c>
      <c r="G11418">
        <v>14.849399999999999</v>
      </c>
      <c r="H11418">
        <v>1</v>
      </c>
      <c r="I11418">
        <v>60.4</v>
      </c>
      <c r="J11418" t="str">
        <f>HYPERLINK("https://climate.onebuilding.org/WMO_Region_6_Europe/SWE_Sweden/BL_Blekinge/SWE_BL_Hano.Island.026280_TMYx.2007-2021.zip")</f>
        <v>https://climate.onebuilding.org/WMO_Region_6_Europe/SWE_Sweden/BL_Blekinge/SWE_BL_Hano.Island.026280_TMYx.2007-2021.zip</v>
      </c>
    </row>
    <row r="11419" spans="1:10" x14ac:dyDescent="0.25">
      <c r="A11419" t="s">
        <v>7602</v>
      </c>
      <c r="B11419" t="s">
        <v>564</v>
      </c>
      <c r="C11419" t="s">
        <v>8353</v>
      </c>
      <c r="D11419" s="1" t="s">
        <v>8354</v>
      </c>
      <c r="E11419" t="s">
        <v>14</v>
      </c>
      <c r="F11419">
        <v>56.0139</v>
      </c>
      <c r="G11419">
        <v>14.849399999999999</v>
      </c>
      <c r="H11419">
        <v>1</v>
      </c>
      <c r="I11419">
        <v>60.4</v>
      </c>
      <c r="J11419" t="str">
        <f>HYPERLINK("https://climate.onebuilding.org/WMO_Region_6_Europe/SWE_Sweden/BL_Blekinge/SWE_BL_Hano.Island.026280_TMYx.2009-2023.zip")</f>
        <v>https://climate.onebuilding.org/WMO_Region_6_Europe/SWE_Sweden/BL_Blekinge/SWE_BL_Hano.Island.026280_TMYx.2009-2023.zip</v>
      </c>
    </row>
    <row r="11420" spans="1:10" x14ac:dyDescent="0.25">
      <c r="A11420" t="s">
        <v>7602</v>
      </c>
      <c r="B11420" t="s">
        <v>564</v>
      </c>
      <c r="C11420" t="s">
        <v>8353</v>
      </c>
      <c r="D11420" s="1" t="s">
        <v>8354</v>
      </c>
      <c r="E11420" t="s">
        <v>14</v>
      </c>
      <c r="F11420">
        <v>56.0139</v>
      </c>
      <c r="G11420">
        <v>14.849399999999999</v>
      </c>
      <c r="H11420">
        <v>1</v>
      </c>
      <c r="I11420">
        <v>60.4</v>
      </c>
      <c r="J11420" t="str">
        <f>HYPERLINK("https://climate.onebuilding.org/WMO_Region_6_Europe/SWE_Sweden/BL_Blekinge/SWE_BL_Hano.Island.026280_TMYx.zip")</f>
        <v>https://climate.onebuilding.org/WMO_Region_6_Europe/SWE_Sweden/BL_Blekinge/SWE_BL_Hano.Island.026280_TMYx.zip</v>
      </c>
    </row>
    <row r="11421" spans="1:10" x14ac:dyDescent="0.25">
      <c r="A11421" t="s">
        <v>7602</v>
      </c>
      <c r="B11421" t="s">
        <v>1491</v>
      </c>
      <c r="C11421" t="s">
        <v>8356</v>
      </c>
      <c r="D11421" s="1" t="s">
        <v>8357</v>
      </c>
      <c r="E11421" t="s">
        <v>8358</v>
      </c>
      <c r="F11421">
        <v>56.2744</v>
      </c>
      <c r="G11421">
        <v>13.937799999999999</v>
      </c>
      <c r="H11421">
        <v>1</v>
      </c>
      <c r="I11421">
        <v>104</v>
      </c>
      <c r="J11421" t="str">
        <f>HYPERLINK("https://climate.onebuilding.org/WMO_Region_6_Europe/SWE_Sweden/SN_Skane/SWE_SN_Hastveda.026290_TMYx.2004-2018.zip")</f>
        <v>https://climate.onebuilding.org/WMO_Region_6_Europe/SWE_Sweden/SN_Skane/SWE_SN_Hastveda.026290_TMYx.2004-2018.zip</v>
      </c>
    </row>
    <row r="11422" spans="1:10" x14ac:dyDescent="0.25">
      <c r="A11422" t="s">
        <v>7602</v>
      </c>
      <c r="B11422" t="s">
        <v>1491</v>
      </c>
      <c r="C11422" t="s">
        <v>8356</v>
      </c>
      <c r="D11422" s="1" t="s">
        <v>8357</v>
      </c>
      <c r="E11422" t="s">
        <v>14</v>
      </c>
      <c r="F11422">
        <v>56.2744</v>
      </c>
      <c r="G11422">
        <v>13.937799999999999</v>
      </c>
      <c r="H11422">
        <v>1</v>
      </c>
      <c r="I11422">
        <v>104</v>
      </c>
      <c r="J11422" t="str">
        <f>HYPERLINK("https://climate.onebuilding.org/WMO_Region_6_Europe/SWE_Sweden/SN_Skane/SWE_SN_Hastveda.026290_TMYx.2007-2021.zip")</f>
        <v>https://climate.onebuilding.org/WMO_Region_6_Europe/SWE_Sweden/SN_Skane/SWE_SN_Hastveda.026290_TMYx.2007-2021.zip</v>
      </c>
    </row>
    <row r="11423" spans="1:10" x14ac:dyDescent="0.25">
      <c r="A11423" t="s">
        <v>7602</v>
      </c>
      <c r="B11423" t="s">
        <v>1491</v>
      </c>
      <c r="C11423" t="s">
        <v>8356</v>
      </c>
      <c r="D11423" s="1" t="s">
        <v>8357</v>
      </c>
      <c r="E11423" t="s">
        <v>14</v>
      </c>
      <c r="F11423">
        <v>56.2744</v>
      </c>
      <c r="G11423">
        <v>13.937799999999999</v>
      </c>
      <c r="H11423">
        <v>1</v>
      </c>
      <c r="I11423">
        <v>104</v>
      </c>
      <c r="J11423" t="str">
        <f>HYPERLINK("https://climate.onebuilding.org/WMO_Region_6_Europe/SWE_Sweden/SN_Skane/SWE_SN_Hastveda.026290_TMYx.2009-2023.zip")</f>
        <v>https://climate.onebuilding.org/WMO_Region_6_Europe/SWE_Sweden/SN_Skane/SWE_SN_Hastveda.026290_TMYx.2009-2023.zip</v>
      </c>
    </row>
    <row r="11424" spans="1:10" x14ac:dyDescent="0.25">
      <c r="A11424" t="s">
        <v>7602</v>
      </c>
      <c r="B11424" t="s">
        <v>1491</v>
      </c>
      <c r="C11424" t="s">
        <v>8356</v>
      </c>
      <c r="D11424" s="1" t="s">
        <v>8357</v>
      </c>
      <c r="E11424" t="s">
        <v>14</v>
      </c>
      <c r="F11424">
        <v>56.2744</v>
      </c>
      <c r="G11424">
        <v>13.937799999999999</v>
      </c>
      <c r="H11424">
        <v>1</v>
      </c>
      <c r="I11424">
        <v>104</v>
      </c>
      <c r="J11424" t="str">
        <f>HYPERLINK("https://climate.onebuilding.org/WMO_Region_6_Europe/SWE_Sweden/SN_Skane/SWE_SN_Hastveda.026290_TMYx.zip")</f>
        <v>https://climate.onebuilding.org/WMO_Region_6_Europe/SWE_Sweden/SN_Skane/SWE_SN_Hastveda.026290_TMYx.zip</v>
      </c>
    </row>
    <row r="11425" spans="1:10" x14ac:dyDescent="0.25">
      <c r="A11425" t="s">
        <v>7602</v>
      </c>
      <c r="B11425" t="s">
        <v>564</v>
      </c>
      <c r="C11425" t="s">
        <v>8359</v>
      </c>
      <c r="D11425" s="1" t="s">
        <v>8360</v>
      </c>
      <c r="E11425" t="s">
        <v>8361</v>
      </c>
      <c r="F11425">
        <v>55.9527</v>
      </c>
      <c r="G11425">
        <v>15.7014</v>
      </c>
      <c r="H11425">
        <v>1</v>
      </c>
      <c r="I11425">
        <v>2.5</v>
      </c>
      <c r="J11425" t="str">
        <f>HYPERLINK("https://climate.onebuilding.org/WMO_Region_6_Europe/SWE_Sweden/BL_Blekinge/SWE_BL_Utklippan.Lighthouse.026320_TMYx.2004-2018.zip")</f>
        <v>https://climate.onebuilding.org/WMO_Region_6_Europe/SWE_Sweden/BL_Blekinge/SWE_BL_Utklippan.Lighthouse.026320_TMYx.2004-2018.zip</v>
      </c>
    </row>
    <row r="11426" spans="1:10" x14ac:dyDescent="0.25">
      <c r="A11426" t="s">
        <v>7602</v>
      </c>
      <c r="B11426" t="s">
        <v>564</v>
      </c>
      <c r="C11426" t="s">
        <v>8359</v>
      </c>
      <c r="D11426" s="1" t="s">
        <v>8360</v>
      </c>
      <c r="E11426" t="s">
        <v>14</v>
      </c>
      <c r="F11426">
        <v>55.9527</v>
      </c>
      <c r="G11426">
        <v>15.7014</v>
      </c>
      <c r="H11426">
        <v>1</v>
      </c>
      <c r="I11426">
        <v>2.5</v>
      </c>
      <c r="J11426" t="str">
        <f>HYPERLINK("https://climate.onebuilding.org/WMO_Region_6_Europe/SWE_Sweden/BL_Blekinge/SWE_BL_Utklippan.Lighthouse.026320_TMYx.2007-2021.zip")</f>
        <v>https://climate.onebuilding.org/WMO_Region_6_Europe/SWE_Sweden/BL_Blekinge/SWE_BL_Utklippan.Lighthouse.026320_TMYx.2007-2021.zip</v>
      </c>
    </row>
    <row r="11427" spans="1:10" x14ac:dyDescent="0.25">
      <c r="A11427" t="s">
        <v>7602</v>
      </c>
      <c r="B11427" t="s">
        <v>564</v>
      </c>
      <c r="C11427" t="s">
        <v>8359</v>
      </c>
      <c r="D11427" s="1" t="s">
        <v>8360</v>
      </c>
      <c r="E11427" t="s">
        <v>14</v>
      </c>
      <c r="F11427">
        <v>55.9527</v>
      </c>
      <c r="G11427">
        <v>15.7014</v>
      </c>
      <c r="H11427">
        <v>1</v>
      </c>
      <c r="I11427">
        <v>2.5</v>
      </c>
      <c r="J11427" t="str">
        <f>HYPERLINK("https://climate.onebuilding.org/WMO_Region_6_Europe/SWE_Sweden/BL_Blekinge/SWE_BL_Utklippan.Lighthouse.026320_TMYx.2009-2023.zip")</f>
        <v>https://climate.onebuilding.org/WMO_Region_6_Europe/SWE_Sweden/BL_Blekinge/SWE_BL_Utklippan.Lighthouse.026320_TMYx.2009-2023.zip</v>
      </c>
    </row>
    <row r="11428" spans="1:10" x14ac:dyDescent="0.25">
      <c r="A11428" t="s">
        <v>7602</v>
      </c>
      <c r="B11428" t="s">
        <v>564</v>
      </c>
      <c r="C11428" t="s">
        <v>8359</v>
      </c>
      <c r="D11428" s="1" t="s">
        <v>8360</v>
      </c>
      <c r="E11428" t="s">
        <v>14</v>
      </c>
      <c r="F11428">
        <v>55.9527</v>
      </c>
      <c r="G11428">
        <v>15.7014</v>
      </c>
      <c r="H11428">
        <v>1</v>
      </c>
      <c r="I11428">
        <v>2.5</v>
      </c>
      <c r="J11428" t="str">
        <f>HYPERLINK("https://climate.onebuilding.org/WMO_Region_6_Europe/SWE_Sweden/BL_Blekinge/SWE_BL_Utklippan.Lighthouse.026320_TMYx.zip")</f>
        <v>https://climate.onebuilding.org/WMO_Region_6_Europe/SWE_Sweden/BL_Blekinge/SWE_BL_Utklippan.Lighthouse.026320_TMYx.zip</v>
      </c>
    </row>
    <row r="11429" spans="1:10" x14ac:dyDescent="0.25">
      <c r="A11429" t="s">
        <v>7602</v>
      </c>
      <c r="B11429" t="s">
        <v>1491</v>
      </c>
      <c r="C11429" t="s">
        <v>8362</v>
      </c>
      <c r="D11429" s="1" t="s">
        <v>8363</v>
      </c>
      <c r="E11429" t="s">
        <v>14</v>
      </c>
      <c r="F11429">
        <v>55.713900000000002</v>
      </c>
      <c r="G11429">
        <v>13.212199999999999</v>
      </c>
      <c r="H11429">
        <v>1</v>
      </c>
      <c r="I11429">
        <v>86</v>
      </c>
      <c r="J11429" t="str">
        <f>HYPERLINK("https://climate.onebuilding.org/WMO_Region_6_Europe/SWE_Sweden/SN_Skane/SWE_SN_Lund.Sol.026330_TMYx.2007-2021.zip")</f>
        <v>https://climate.onebuilding.org/WMO_Region_6_Europe/SWE_Sweden/SN_Skane/SWE_SN_Lund.Sol.026330_TMYx.2007-2021.zip</v>
      </c>
    </row>
    <row r="11430" spans="1:10" x14ac:dyDescent="0.25">
      <c r="A11430" t="s">
        <v>7602</v>
      </c>
      <c r="B11430" t="s">
        <v>1491</v>
      </c>
      <c r="C11430" t="s">
        <v>8362</v>
      </c>
      <c r="D11430" s="1" t="s">
        <v>8363</v>
      </c>
      <c r="E11430" t="s">
        <v>14</v>
      </c>
      <c r="F11430">
        <v>55.713900000000002</v>
      </c>
      <c r="G11430">
        <v>13.212199999999999</v>
      </c>
      <c r="H11430">
        <v>1</v>
      </c>
      <c r="I11430">
        <v>86</v>
      </c>
      <c r="J11430" t="str">
        <f>HYPERLINK("https://climate.onebuilding.org/WMO_Region_6_Europe/SWE_Sweden/SN_Skane/SWE_SN_Lund.Sol.026330_TMYx.2009-2023.zip")</f>
        <v>https://climate.onebuilding.org/WMO_Region_6_Europe/SWE_Sweden/SN_Skane/SWE_SN_Lund.Sol.026330_TMYx.2009-2023.zip</v>
      </c>
    </row>
    <row r="11431" spans="1:10" x14ac:dyDescent="0.25">
      <c r="A11431" t="s">
        <v>7602</v>
      </c>
      <c r="B11431" t="s">
        <v>1491</v>
      </c>
      <c r="C11431" t="s">
        <v>8362</v>
      </c>
      <c r="D11431" s="1" t="s">
        <v>8363</v>
      </c>
      <c r="E11431" t="s">
        <v>14</v>
      </c>
      <c r="F11431">
        <v>55.713900000000002</v>
      </c>
      <c r="G11431">
        <v>13.212199999999999</v>
      </c>
      <c r="H11431">
        <v>1</v>
      </c>
      <c r="I11431">
        <v>86</v>
      </c>
      <c r="J11431" t="str">
        <f>HYPERLINK("https://climate.onebuilding.org/WMO_Region_6_Europe/SWE_Sweden/SN_Skane/SWE_SN_Lund.Sol.026330_TMYx.zip")</f>
        <v>https://climate.onebuilding.org/WMO_Region_6_Europe/SWE_Sweden/SN_Skane/SWE_SN_Lund.Sol.026330_TMYx.zip</v>
      </c>
    </row>
    <row r="11432" spans="1:10" x14ac:dyDescent="0.25">
      <c r="A11432" t="s">
        <v>7602</v>
      </c>
      <c r="B11432" t="s">
        <v>1491</v>
      </c>
      <c r="C11432" t="s">
        <v>8364</v>
      </c>
      <c r="D11432" s="1" t="s">
        <v>8365</v>
      </c>
      <c r="E11432" t="s">
        <v>8366</v>
      </c>
      <c r="F11432">
        <v>55.571399999999997</v>
      </c>
      <c r="G11432">
        <v>13.073600000000001</v>
      </c>
      <c r="H11432">
        <v>1</v>
      </c>
      <c r="I11432">
        <v>20.8</v>
      </c>
      <c r="J11432" t="str">
        <f>HYPERLINK("https://climate.onebuilding.org/WMO_Region_6_Europe/SWE_Sweden/SN_Skane/SWE_SN_Malmo.026350_TMYx.2004-2018.zip")</f>
        <v>https://climate.onebuilding.org/WMO_Region_6_Europe/SWE_Sweden/SN_Skane/SWE_SN_Malmo.026350_TMYx.2004-2018.zip</v>
      </c>
    </row>
    <row r="11433" spans="1:10" x14ac:dyDescent="0.25">
      <c r="A11433" t="s">
        <v>7602</v>
      </c>
      <c r="B11433" t="s">
        <v>1491</v>
      </c>
      <c r="C11433" t="s">
        <v>8364</v>
      </c>
      <c r="D11433" s="1" t="s">
        <v>8365</v>
      </c>
      <c r="E11433" t="s">
        <v>14</v>
      </c>
      <c r="F11433">
        <v>55.571399999999997</v>
      </c>
      <c r="G11433">
        <v>13.073600000000001</v>
      </c>
      <c r="H11433">
        <v>1</v>
      </c>
      <c r="I11433">
        <v>20.8</v>
      </c>
      <c r="J11433" t="str">
        <f>HYPERLINK("https://climate.onebuilding.org/WMO_Region_6_Europe/SWE_Sweden/SN_Skane/SWE_SN_Malmo.026350_TMYx.2007-2021.zip")</f>
        <v>https://climate.onebuilding.org/WMO_Region_6_Europe/SWE_Sweden/SN_Skane/SWE_SN_Malmo.026350_TMYx.2007-2021.zip</v>
      </c>
    </row>
    <row r="11434" spans="1:10" x14ac:dyDescent="0.25">
      <c r="A11434" t="s">
        <v>7602</v>
      </c>
      <c r="B11434" t="s">
        <v>1491</v>
      </c>
      <c r="C11434" t="s">
        <v>8364</v>
      </c>
      <c r="D11434" s="1" t="s">
        <v>8365</v>
      </c>
      <c r="E11434" t="s">
        <v>14</v>
      </c>
      <c r="F11434">
        <v>55.571399999999997</v>
      </c>
      <c r="G11434">
        <v>13.073600000000001</v>
      </c>
      <c r="H11434">
        <v>1</v>
      </c>
      <c r="I11434">
        <v>20.8</v>
      </c>
      <c r="J11434" t="str">
        <f>HYPERLINK("https://climate.onebuilding.org/WMO_Region_6_Europe/SWE_Sweden/SN_Skane/SWE_SN_Malmo.026350_TMYx.2009-2023.zip")</f>
        <v>https://climate.onebuilding.org/WMO_Region_6_Europe/SWE_Sweden/SN_Skane/SWE_SN_Malmo.026350_TMYx.2009-2023.zip</v>
      </c>
    </row>
    <row r="11435" spans="1:10" x14ac:dyDescent="0.25">
      <c r="A11435" t="s">
        <v>7602</v>
      </c>
      <c r="B11435" t="s">
        <v>1491</v>
      </c>
      <c r="C11435" t="s">
        <v>8364</v>
      </c>
      <c r="D11435" s="1" t="s">
        <v>8365</v>
      </c>
      <c r="E11435" t="s">
        <v>14</v>
      </c>
      <c r="F11435">
        <v>55.571399999999997</v>
      </c>
      <c r="G11435">
        <v>13.073600000000001</v>
      </c>
      <c r="H11435">
        <v>1</v>
      </c>
      <c r="I11435">
        <v>20.8</v>
      </c>
      <c r="J11435" t="str">
        <f>HYPERLINK("https://climate.onebuilding.org/WMO_Region_6_Europe/SWE_Sweden/SN_Skane/SWE_SN_Malmo.026350_TMYx.zip")</f>
        <v>https://climate.onebuilding.org/WMO_Region_6_Europe/SWE_Sweden/SN_Skane/SWE_SN_Malmo.026350_TMYx.zip</v>
      </c>
    </row>
    <row r="11436" spans="1:10" x14ac:dyDescent="0.25">
      <c r="A11436" t="s">
        <v>7602</v>
      </c>
      <c r="B11436" t="s">
        <v>1491</v>
      </c>
      <c r="C11436" t="s">
        <v>8367</v>
      </c>
      <c r="D11436" s="1" t="s">
        <v>8368</v>
      </c>
      <c r="E11436" t="s">
        <v>8369</v>
      </c>
      <c r="F11436">
        <v>55.523099999999999</v>
      </c>
      <c r="G11436">
        <v>13.3789</v>
      </c>
      <c r="H11436">
        <v>1</v>
      </c>
      <c r="I11436">
        <v>73</v>
      </c>
      <c r="J11436" t="str">
        <f>HYPERLINK("https://climate.onebuilding.org/WMO_Region_6_Europe/SWE_Sweden/SN_Skane/SWE_SN_Malmo.AP-Sturup.026360_TMYx.2004-2018.zip")</f>
        <v>https://climate.onebuilding.org/WMO_Region_6_Europe/SWE_Sweden/SN_Skane/SWE_SN_Malmo.AP-Sturup.026360_TMYx.2004-2018.zip</v>
      </c>
    </row>
    <row r="11437" spans="1:10" x14ac:dyDescent="0.25">
      <c r="A11437" t="s">
        <v>7602</v>
      </c>
      <c r="B11437" t="s">
        <v>1491</v>
      </c>
      <c r="C11437" t="s">
        <v>8367</v>
      </c>
      <c r="D11437" s="1" t="s">
        <v>8368</v>
      </c>
      <c r="E11437" t="s">
        <v>14</v>
      </c>
      <c r="F11437">
        <v>55.523099999999999</v>
      </c>
      <c r="G11437">
        <v>13.3789</v>
      </c>
      <c r="H11437">
        <v>1</v>
      </c>
      <c r="I11437">
        <v>73</v>
      </c>
      <c r="J11437" t="str">
        <f>HYPERLINK("https://climate.onebuilding.org/WMO_Region_6_Europe/SWE_Sweden/SN_Skane/SWE_SN_Malmo.AP-Sturup.026360_TMYx.2007-2021.zip")</f>
        <v>https://climate.onebuilding.org/WMO_Region_6_Europe/SWE_Sweden/SN_Skane/SWE_SN_Malmo.AP-Sturup.026360_TMYx.2007-2021.zip</v>
      </c>
    </row>
    <row r="11438" spans="1:10" x14ac:dyDescent="0.25">
      <c r="A11438" t="s">
        <v>7602</v>
      </c>
      <c r="B11438" t="s">
        <v>1491</v>
      </c>
      <c r="C11438" t="s">
        <v>8367</v>
      </c>
      <c r="D11438" s="1" t="s">
        <v>8368</v>
      </c>
      <c r="E11438" t="s">
        <v>14</v>
      </c>
      <c r="F11438">
        <v>55.523099999999999</v>
      </c>
      <c r="G11438">
        <v>13.3789</v>
      </c>
      <c r="H11438">
        <v>1</v>
      </c>
      <c r="I11438">
        <v>73</v>
      </c>
      <c r="J11438" t="str">
        <f>HYPERLINK("https://climate.onebuilding.org/WMO_Region_6_Europe/SWE_Sweden/SN_Skane/SWE_SN_Malmo.AP-Sturup.026360_TMYx.2009-2023.zip")</f>
        <v>https://climate.onebuilding.org/WMO_Region_6_Europe/SWE_Sweden/SN_Skane/SWE_SN_Malmo.AP-Sturup.026360_TMYx.2009-2023.zip</v>
      </c>
    </row>
    <row r="11439" spans="1:10" x14ac:dyDescent="0.25">
      <c r="A11439" t="s">
        <v>7602</v>
      </c>
      <c r="B11439" t="s">
        <v>1491</v>
      </c>
      <c r="C11439" t="s">
        <v>8367</v>
      </c>
      <c r="D11439" s="1" t="s">
        <v>8368</v>
      </c>
      <c r="E11439" t="s">
        <v>14</v>
      </c>
      <c r="F11439">
        <v>55.523099999999999</v>
      </c>
      <c r="G11439">
        <v>13.3789</v>
      </c>
      <c r="H11439">
        <v>1</v>
      </c>
      <c r="I11439">
        <v>73</v>
      </c>
      <c r="J11439" t="str">
        <f>HYPERLINK("https://climate.onebuilding.org/WMO_Region_6_Europe/SWE_Sweden/SN_Skane/SWE_SN_Malmo.AP-Sturup.026360_TMYx.zip")</f>
        <v>https://climate.onebuilding.org/WMO_Region_6_Europe/SWE_Sweden/SN_Skane/SWE_SN_Malmo.AP-Sturup.026360_TMYx.zip</v>
      </c>
    </row>
    <row r="11440" spans="1:10" x14ac:dyDescent="0.25">
      <c r="A11440" t="s">
        <v>7602</v>
      </c>
      <c r="B11440" t="s">
        <v>1491</v>
      </c>
      <c r="C11440" t="s">
        <v>8370</v>
      </c>
      <c r="D11440" s="1" t="s">
        <v>8371</v>
      </c>
      <c r="E11440" t="s">
        <v>14</v>
      </c>
      <c r="F11440">
        <v>55.338500000000003</v>
      </c>
      <c r="G11440">
        <v>13.3528</v>
      </c>
      <c r="H11440">
        <v>1</v>
      </c>
      <c r="I11440">
        <v>5</v>
      </c>
      <c r="J11440" t="str">
        <f>HYPERLINK("https://climate.onebuilding.org/WMO_Region_6_Europe/SWE_Sweden/SN_Skane/SWE_SN_Smygehuk.Lighthouse.026380_TMYx.zip")</f>
        <v>https://climate.onebuilding.org/WMO_Region_6_Europe/SWE_Sweden/SN_Skane/SWE_SN_Smygehuk.Lighthouse.026380_TMYx.zip</v>
      </c>
    </row>
    <row r="11441" spans="1:10" x14ac:dyDescent="0.25">
      <c r="A11441" t="s">
        <v>7602</v>
      </c>
      <c r="B11441" t="s">
        <v>5651</v>
      </c>
      <c r="C11441" t="s">
        <v>8372</v>
      </c>
      <c r="D11441" s="1" t="s">
        <v>8373</v>
      </c>
      <c r="E11441" t="s">
        <v>8374</v>
      </c>
      <c r="F11441">
        <v>56.929000000000002</v>
      </c>
      <c r="G11441">
        <v>14.728</v>
      </c>
      <c r="H11441">
        <v>1</v>
      </c>
      <c r="I11441">
        <v>185.9</v>
      </c>
      <c r="J11441" t="str">
        <f>HYPERLINK("https://climate.onebuilding.org/WMO_Region_6_Europe/SWE_Sweden/KR_Kronoberg/SWE_KR_Vaxjo.Smaland.AP.026410_TMYx.2004-2018.zip")</f>
        <v>https://climate.onebuilding.org/WMO_Region_6_Europe/SWE_Sweden/KR_Kronoberg/SWE_KR_Vaxjo.Smaland.AP.026410_TMYx.2004-2018.zip</v>
      </c>
    </row>
    <row r="11442" spans="1:10" x14ac:dyDescent="0.25">
      <c r="A11442" t="s">
        <v>7602</v>
      </c>
      <c r="B11442" t="s">
        <v>5651</v>
      </c>
      <c r="C11442" t="s">
        <v>8372</v>
      </c>
      <c r="D11442" s="1" t="s">
        <v>8373</v>
      </c>
      <c r="E11442" t="s">
        <v>14</v>
      </c>
      <c r="F11442">
        <v>56.929000000000002</v>
      </c>
      <c r="G11442">
        <v>14.728</v>
      </c>
      <c r="H11442">
        <v>1</v>
      </c>
      <c r="I11442">
        <v>185.9</v>
      </c>
      <c r="J11442" t="str">
        <f>HYPERLINK("https://climate.onebuilding.org/WMO_Region_6_Europe/SWE_Sweden/KR_Kronoberg/SWE_KR_Vaxjo.Smaland.AP.026410_TMYx.2007-2021.zip")</f>
        <v>https://climate.onebuilding.org/WMO_Region_6_Europe/SWE_Sweden/KR_Kronoberg/SWE_KR_Vaxjo.Smaland.AP.026410_TMYx.2007-2021.zip</v>
      </c>
    </row>
    <row r="11443" spans="1:10" x14ac:dyDescent="0.25">
      <c r="A11443" t="s">
        <v>7602</v>
      </c>
      <c r="B11443" t="s">
        <v>5651</v>
      </c>
      <c r="C11443" t="s">
        <v>8372</v>
      </c>
      <c r="D11443" s="1" t="s">
        <v>8373</v>
      </c>
      <c r="E11443" t="s">
        <v>14</v>
      </c>
      <c r="F11443">
        <v>56.929000000000002</v>
      </c>
      <c r="G11443">
        <v>14.728</v>
      </c>
      <c r="H11443">
        <v>1</v>
      </c>
      <c r="I11443">
        <v>185.9</v>
      </c>
      <c r="J11443" t="str">
        <f>HYPERLINK("https://climate.onebuilding.org/WMO_Region_6_Europe/SWE_Sweden/KR_Kronoberg/SWE_KR_Vaxjo.Smaland.AP.026410_TMYx.2009-2023.zip")</f>
        <v>https://climate.onebuilding.org/WMO_Region_6_Europe/SWE_Sweden/KR_Kronoberg/SWE_KR_Vaxjo.Smaland.AP.026410_TMYx.2009-2023.zip</v>
      </c>
    </row>
    <row r="11444" spans="1:10" x14ac:dyDescent="0.25">
      <c r="A11444" t="s">
        <v>7602</v>
      </c>
      <c r="B11444" t="s">
        <v>5651</v>
      </c>
      <c r="C11444" t="s">
        <v>8372</v>
      </c>
      <c r="D11444" s="1" t="s">
        <v>8373</v>
      </c>
      <c r="E11444" t="s">
        <v>14</v>
      </c>
      <c r="F11444">
        <v>56.929000000000002</v>
      </c>
      <c r="G11444">
        <v>14.728</v>
      </c>
      <c r="H11444">
        <v>1</v>
      </c>
      <c r="I11444">
        <v>185.9</v>
      </c>
      <c r="J11444" t="str">
        <f>HYPERLINK("https://climate.onebuilding.org/WMO_Region_6_Europe/SWE_Sweden/KR_Kronoberg/SWE_KR_Vaxjo.Smaland.AP.026410_TMYx.zip")</f>
        <v>https://climate.onebuilding.org/WMO_Region_6_Europe/SWE_Sweden/KR_Kronoberg/SWE_KR_Vaxjo.Smaland.AP.026410_TMYx.zip</v>
      </c>
    </row>
    <row r="11445" spans="1:10" x14ac:dyDescent="0.25">
      <c r="A11445" t="s">
        <v>7602</v>
      </c>
      <c r="B11445" t="s">
        <v>246</v>
      </c>
      <c r="C11445" t="s">
        <v>8375</v>
      </c>
      <c r="D11445" s="1" t="s">
        <v>8376</v>
      </c>
      <c r="E11445" t="s">
        <v>8377</v>
      </c>
      <c r="F11445">
        <v>56.197200000000002</v>
      </c>
      <c r="G11445">
        <v>16.3993</v>
      </c>
      <c r="H11445">
        <v>1</v>
      </c>
      <c r="I11445">
        <v>3.1</v>
      </c>
      <c r="J11445" t="str">
        <f>HYPERLINK("https://climate.onebuilding.org/WMO_Region_6_Europe/SWE_Sweden/KA_Kalmar/SWE_KA_Olands.Sodra.Udde.Lighthouse.026440_TMYx.2004-2018.zip")</f>
        <v>https://climate.onebuilding.org/WMO_Region_6_Europe/SWE_Sweden/KA_Kalmar/SWE_KA_Olands.Sodra.Udde.Lighthouse.026440_TMYx.2004-2018.zip</v>
      </c>
    </row>
    <row r="11446" spans="1:10" x14ac:dyDescent="0.25">
      <c r="A11446" t="s">
        <v>7602</v>
      </c>
      <c r="B11446" t="s">
        <v>246</v>
      </c>
      <c r="C11446" t="s">
        <v>8375</v>
      </c>
      <c r="D11446" s="1" t="s">
        <v>8376</v>
      </c>
      <c r="E11446" t="s">
        <v>14</v>
      </c>
      <c r="F11446">
        <v>56.197200000000002</v>
      </c>
      <c r="G11446">
        <v>16.3993</v>
      </c>
      <c r="H11446">
        <v>1</v>
      </c>
      <c r="I11446">
        <v>3.1</v>
      </c>
      <c r="J11446" t="str">
        <f>HYPERLINK("https://climate.onebuilding.org/WMO_Region_6_Europe/SWE_Sweden/KA_Kalmar/SWE_KA_Olands.Sodra.Udde.Lighthouse.026440_TMYx.2007-2021.zip")</f>
        <v>https://climate.onebuilding.org/WMO_Region_6_Europe/SWE_Sweden/KA_Kalmar/SWE_KA_Olands.Sodra.Udde.Lighthouse.026440_TMYx.2007-2021.zip</v>
      </c>
    </row>
    <row r="11447" spans="1:10" x14ac:dyDescent="0.25">
      <c r="A11447" t="s">
        <v>7602</v>
      </c>
      <c r="B11447" t="s">
        <v>246</v>
      </c>
      <c r="C11447" t="s">
        <v>8375</v>
      </c>
      <c r="D11447" s="1" t="s">
        <v>8376</v>
      </c>
      <c r="E11447" t="s">
        <v>14</v>
      </c>
      <c r="F11447">
        <v>56.197200000000002</v>
      </c>
      <c r="G11447">
        <v>16.3993</v>
      </c>
      <c r="H11447">
        <v>1</v>
      </c>
      <c r="I11447">
        <v>3.1</v>
      </c>
      <c r="J11447" t="str">
        <f>HYPERLINK("https://climate.onebuilding.org/WMO_Region_6_Europe/SWE_Sweden/KA_Kalmar/SWE_KA_Olands.Sodra.Udde.Lighthouse.026440_TMYx.2009-2023.zip")</f>
        <v>https://climate.onebuilding.org/WMO_Region_6_Europe/SWE_Sweden/KA_Kalmar/SWE_KA_Olands.Sodra.Udde.Lighthouse.026440_TMYx.2009-2023.zip</v>
      </c>
    </row>
    <row r="11448" spans="1:10" x14ac:dyDescent="0.25">
      <c r="A11448" t="s">
        <v>7602</v>
      </c>
      <c r="B11448" t="s">
        <v>246</v>
      </c>
      <c r="C11448" t="s">
        <v>8375</v>
      </c>
      <c r="D11448" s="1" t="s">
        <v>8376</v>
      </c>
      <c r="E11448" t="s">
        <v>14</v>
      </c>
      <c r="F11448">
        <v>56.197200000000002</v>
      </c>
      <c r="G11448">
        <v>16.3993</v>
      </c>
      <c r="H11448">
        <v>1</v>
      </c>
      <c r="I11448">
        <v>3.1</v>
      </c>
      <c r="J11448" t="str">
        <f>HYPERLINK("https://climate.onebuilding.org/WMO_Region_6_Europe/SWE_Sweden/KA_Kalmar/SWE_KA_Olands.Sodra.Udde.Lighthouse.026440_TMYx.zip")</f>
        <v>https://climate.onebuilding.org/WMO_Region_6_Europe/SWE_Sweden/KA_Kalmar/SWE_KA_Olands.Sodra.Udde.Lighthouse.026440_TMYx.zip</v>
      </c>
    </row>
    <row r="11449" spans="1:10" x14ac:dyDescent="0.25">
      <c r="A11449" t="s">
        <v>7602</v>
      </c>
      <c r="B11449" t="s">
        <v>246</v>
      </c>
      <c r="C11449" t="s">
        <v>8378</v>
      </c>
      <c r="D11449" s="1" t="s">
        <v>8379</v>
      </c>
      <c r="E11449" t="s">
        <v>8380</v>
      </c>
      <c r="F11449">
        <v>56.667000000000002</v>
      </c>
      <c r="G11449">
        <v>16.460799999999999</v>
      </c>
      <c r="H11449">
        <v>1</v>
      </c>
      <c r="I11449">
        <v>10</v>
      </c>
      <c r="J11449" t="str">
        <f>HYPERLINK("https://climate.onebuilding.org/WMO_Region_6_Europe/SWE_Sweden/KA_Kalmar/SWE_KA_Olandsbron.Bridge.026460_TMYx.2004-2018.zip")</f>
        <v>https://climate.onebuilding.org/WMO_Region_6_Europe/SWE_Sweden/KA_Kalmar/SWE_KA_Olandsbron.Bridge.026460_TMYx.2004-2018.zip</v>
      </c>
    </row>
    <row r="11450" spans="1:10" x14ac:dyDescent="0.25">
      <c r="A11450" t="s">
        <v>7602</v>
      </c>
      <c r="B11450" t="s">
        <v>246</v>
      </c>
      <c r="C11450" t="s">
        <v>8378</v>
      </c>
      <c r="D11450" s="1" t="s">
        <v>8379</v>
      </c>
      <c r="E11450" t="s">
        <v>14</v>
      </c>
      <c r="F11450">
        <v>56.667000000000002</v>
      </c>
      <c r="G11450">
        <v>16.460799999999999</v>
      </c>
      <c r="H11450">
        <v>1</v>
      </c>
      <c r="I11450">
        <v>10</v>
      </c>
      <c r="J11450" t="str">
        <f>HYPERLINK("https://climate.onebuilding.org/WMO_Region_6_Europe/SWE_Sweden/KA_Kalmar/SWE_KA_Olandsbron.Bridge.026460_TMYx.2007-2021.zip")</f>
        <v>https://climate.onebuilding.org/WMO_Region_6_Europe/SWE_Sweden/KA_Kalmar/SWE_KA_Olandsbron.Bridge.026460_TMYx.2007-2021.zip</v>
      </c>
    </row>
    <row r="11451" spans="1:10" x14ac:dyDescent="0.25">
      <c r="A11451" t="s">
        <v>7602</v>
      </c>
      <c r="B11451" t="s">
        <v>246</v>
      </c>
      <c r="C11451" t="s">
        <v>8378</v>
      </c>
      <c r="D11451" s="1" t="s">
        <v>8379</v>
      </c>
      <c r="E11451" t="s">
        <v>14</v>
      </c>
      <c r="F11451">
        <v>56.667000000000002</v>
      </c>
      <c r="G11451">
        <v>16.460799999999999</v>
      </c>
      <c r="H11451">
        <v>1</v>
      </c>
      <c r="I11451">
        <v>10</v>
      </c>
      <c r="J11451" t="str">
        <f>HYPERLINK("https://climate.onebuilding.org/WMO_Region_6_Europe/SWE_Sweden/KA_Kalmar/SWE_KA_Olandsbron.Bridge.026460_TMYx.2009-2023.zip")</f>
        <v>https://climate.onebuilding.org/WMO_Region_6_Europe/SWE_Sweden/KA_Kalmar/SWE_KA_Olandsbron.Bridge.026460_TMYx.2009-2023.zip</v>
      </c>
    </row>
    <row r="11452" spans="1:10" x14ac:dyDescent="0.25">
      <c r="A11452" t="s">
        <v>7602</v>
      </c>
      <c r="B11452" t="s">
        <v>246</v>
      </c>
      <c r="C11452" t="s">
        <v>8378</v>
      </c>
      <c r="D11452" s="1" t="s">
        <v>8379</v>
      </c>
      <c r="E11452" t="s">
        <v>14</v>
      </c>
      <c r="F11452">
        <v>56.667000000000002</v>
      </c>
      <c r="G11452">
        <v>16.460799999999999</v>
      </c>
      <c r="H11452">
        <v>1</v>
      </c>
      <c r="I11452">
        <v>10</v>
      </c>
      <c r="J11452" t="str">
        <f>HYPERLINK("https://climate.onebuilding.org/WMO_Region_6_Europe/SWE_Sweden/KA_Kalmar/SWE_KA_Olandsbron.Bridge.026460_TMYx.zip")</f>
        <v>https://climate.onebuilding.org/WMO_Region_6_Europe/SWE_Sweden/KA_Kalmar/SWE_KA_Olandsbron.Bridge.026460_TMYx.zip</v>
      </c>
    </row>
    <row r="11453" spans="1:10" x14ac:dyDescent="0.25">
      <c r="A11453" t="s">
        <v>7602</v>
      </c>
      <c r="B11453" t="s">
        <v>5651</v>
      </c>
      <c r="C11453" t="s">
        <v>8381</v>
      </c>
      <c r="D11453" s="1" t="s">
        <v>8382</v>
      </c>
      <c r="E11453" t="s">
        <v>8383</v>
      </c>
      <c r="F11453">
        <v>56.846400000000003</v>
      </c>
      <c r="G11453">
        <v>14.8325</v>
      </c>
      <c r="H11453">
        <v>1</v>
      </c>
      <c r="I11453">
        <v>200</v>
      </c>
      <c r="J11453" t="str">
        <f>HYPERLINK("https://climate.onebuilding.org/WMO_Region_6_Europe/SWE_Sweden/KR_Kronoberg/SWE_KR_Vaxjo.026480_TMYx.2004-2018.zip")</f>
        <v>https://climate.onebuilding.org/WMO_Region_6_Europe/SWE_Sweden/KR_Kronoberg/SWE_KR_Vaxjo.026480_TMYx.2004-2018.zip</v>
      </c>
    </row>
    <row r="11454" spans="1:10" x14ac:dyDescent="0.25">
      <c r="A11454" t="s">
        <v>7602</v>
      </c>
      <c r="B11454" t="s">
        <v>5651</v>
      </c>
      <c r="C11454" t="s">
        <v>8381</v>
      </c>
      <c r="D11454" s="1" t="s">
        <v>8382</v>
      </c>
      <c r="E11454" t="s">
        <v>14</v>
      </c>
      <c r="F11454">
        <v>56.846400000000003</v>
      </c>
      <c r="G11454">
        <v>14.8325</v>
      </c>
      <c r="H11454">
        <v>1</v>
      </c>
      <c r="I11454">
        <v>200</v>
      </c>
      <c r="J11454" t="str">
        <f>HYPERLINK("https://climate.onebuilding.org/WMO_Region_6_Europe/SWE_Sweden/KR_Kronoberg/SWE_KR_Vaxjo.026480_TMYx.2007-2021.zip")</f>
        <v>https://climate.onebuilding.org/WMO_Region_6_Europe/SWE_Sweden/KR_Kronoberg/SWE_KR_Vaxjo.026480_TMYx.2007-2021.zip</v>
      </c>
    </row>
    <row r="11455" spans="1:10" x14ac:dyDescent="0.25">
      <c r="A11455" t="s">
        <v>7602</v>
      </c>
      <c r="B11455" t="s">
        <v>5651</v>
      </c>
      <c r="C11455" t="s">
        <v>8381</v>
      </c>
      <c r="D11455" s="1" t="s">
        <v>8382</v>
      </c>
      <c r="E11455" t="s">
        <v>14</v>
      </c>
      <c r="F11455">
        <v>56.846400000000003</v>
      </c>
      <c r="G11455">
        <v>14.8325</v>
      </c>
      <c r="H11455">
        <v>1</v>
      </c>
      <c r="I11455">
        <v>200</v>
      </c>
      <c r="J11455" t="str">
        <f>HYPERLINK("https://climate.onebuilding.org/WMO_Region_6_Europe/SWE_Sweden/KR_Kronoberg/SWE_KR_Vaxjo.026480_TMYx.2009-2023.zip")</f>
        <v>https://climate.onebuilding.org/WMO_Region_6_Europe/SWE_Sweden/KR_Kronoberg/SWE_KR_Vaxjo.026480_TMYx.2009-2023.zip</v>
      </c>
    </row>
    <row r="11456" spans="1:10" x14ac:dyDescent="0.25">
      <c r="A11456" t="s">
        <v>7602</v>
      </c>
      <c r="B11456" t="s">
        <v>5651</v>
      </c>
      <c r="C11456" t="s">
        <v>8381</v>
      </c>
      <c r="D11456" s="1" t="s">
        <v>8382</v>
      </c>
      <c r="E11456" t="s">
        <v>14</v>
      </c>
      <c r="F11456">
        <v>56.846400000000003</v>
      </c>
      <c r="G11456">
        <v>14.8325</v>
      </c>
      <c r="H11456">
        <v>1</v>
      </c>
      <c r="I11456">
        <v>200</v>
      </c>
      <c r="J11456" t="str">
        <f>HYPERLINK("https://climate.onebuilding.org/WMO_Region_6_Europe/SWE_Sweden/KR_Kronoberg/SWE_KR_Vaxjo.026480_TMYx.zip")</f>
        <v>https://climate.onebuilding.org/WMO_Region_6_Europe/SWE_Sweden/KR_Kronoberg/SWE_KR_Vaxjo.026480_TMYx.zip</v>
      </c>
    </row>
    <row r="11457" spans="1:10" x14ac:dyDescent="0.25">
      <c r="A11457" t="s">
        <v>7602</v>
      </c>
      <c r="B11457" t="s">
        <v>1491</v>
      </c>
      <c r="C11457" t="s">
        <v>8384</v>
      </c>
      <c r="D11457" s="1" t="s">
        <v>8385</v>
      </c>
      <c r="E11457" t="s">
        <v>8386</v>
      </c>
      <c r="F11457">
        <v>55.921999999999997</v>
      </c>
      <c r="G11457">
        <v>14.086</v>
      </c>
      <c r="H11457">
        <v>1</v>
      </c>
      <c r="I11457">
        <v>23.2</v>
      </c>
      <c r="J11457" t="str">
        <f>HYPERLINK("https://climate.onebuilding.org/WMO_Region_6_Europe/SWE_Sweden/SN_Skane/SWE_SN_Kristianstad.AP.026510_TMYx.2004-2018.zip")</f>
        <v>https://climate.onebuilding.org/WMO_Region_6_Europe/SWE_Sweden/SN_Skane/SWE_SN_Kristianstad.AP.026510_TMYx.2004-2018.zip</v>
      </c>
    </row>
    <row r="11458" spans="1:10" x14ac:dyDescent="0.25">
      <c r="A11458" t="s">
        <v>7602</v>
      </c>
      <c r="B11458" t="s">
        <v>1491</v>
      </c>
      <c r="C11458" t="s">
        <v>8384</v>
      </c>
      <c r="D11458" s="1" t="s">
        <v>8385</v>
      </c>
      <c r="E11458" t="s">
        <v>14</v>
      </c>
      <c r="F11458">
        <v>55.921999999999997</v>
      </c>
      <c r="G11458">
        <v>14.086</v>
      </c>
      <c r="H11458">
        <v>1</v>
      </c>
      <c r="I11458">
        <v>23.2</v>
      </c>
      <c r="J11458" t="str">
        <f>HYPERLINK("https://climate.onebuilding.org/WMO_Region_6_Europe/SWE_Sweden/SN_Skane/SWE_SN_Kristianstad.AP.026510_TMYx.2007-2021.zip")</f>
        <v>https://climate.onebuilding.org/WMO_Region_6_Europe/SWE_Sweden/SN_Skane/SWE_SN_Kristianstad.AP.026510_TMYx.2007-2021.zip</v>
      </c>
    </row>
    <row r="11459" spans="1:10" x14ac:dyDescent="0.25">
      <c r="A11459" t="s">
        <v>7602</v>
      </c>
      <c r="B11459" t="s">
        <v>1491</v>
      </c>
      <c r="C11459" t="s">
        <v>8384</v>
      </c>
      <c r="D11459" s="1" t="s">
        <v>8385</v>
      </c>
      <c r="E11459" t="s">
        <v>14</v>
      </c>
      <c r="F11459">
        <v>55.921999999999997</v>
      </c>
      <c r="G11459">
        <v>14.086</v>
      </c>
      <c r="H11459">
        <v>1</v>
      </c>
      <c r="I11459">
        <v>23.2</v>
      </c>
      <c r="J11459" t="str">
        <f>HYPERLINK("https://climate.onebuilding.org/WMO_Region_6_Europe/SWE_Sweden/SN_Skane/SWE_SN_Kristianstad.AP.026510_TMYx.2009-2023.zip")</f>
        <v>https://climate.onebuilding.org/WMO_Region_6_Europe/SWE_Sweden/SN_Skane/SWE_SN_Kristianstad.AP.026510_TMYx.2009-2023.zip</v>
      </c>
    </row>
    <row r="11460" spans="1:10" x14ac:dyDescent="0.25">
      <c r="A11460" t="s">
        <v>7602</v>
      </c>
      <c r="B11460" t="s">
        <v>1491</v>
      </c>
      <c r="C11460" t="s">
        <v>8384</v>
      </c>
      <c r="D11460" s="1" t="s">
        <v>8385</v>
      </c>
      <c r="E11460" t="s">
        <v>14</v>
      </c>
      <c r="F11460">
        <v>55.921999999999997</v>
      </c>
      <c r="G11460">
        <v>14.086</v>
      </c>
      <c r="H11460">
        <v>1</v>
      </c>
      <c r="I11460">
        <v>23.2</v>
      </c>
      <c r="J11460" t="str">
        <f>HYPERLINK("https://climate.onebuilding.org/WMO_Region_6_Europe/SWE_Sweden/SN_Skane/SWE_SN_Kristianstad.AP.026510_TMYx.zip")</f>
        <v>https://climate.onebuilding.org/WMO_Region_6_Europe/SWE_Sweden/SN_Skane/SWE_SN_Kristianstad.AP.026510_TMYx.zip</v>
      </c>
    </row>
    <row r="11461" spans="1:10" x14ac:dyDescent="0.25">
      <c r="A11461" t="s">
        <v>7602</v>
      </c>
      <c r="B11461" t="s">
        <v>1491</v>
      </c>
      <c r="C11461" t="s">
        <v>8387</v>
      </c>
      <c r="D11461" s="1" t="s">
        <v>8388</v>
      </c>
      <c r="E11461" t="s">
        <v>14</v>
      </c>
      <c r="F11461">
        <v>56.023899999999998</v>
      </c>
      <c r="G11461">
        <v>14.1028</v>
      </c>
      <c r="H11461">
        <v>1</v>
      </c>
      <c r="I11461">
        <v>10</v>
      </c>
      <c r="J11461" t="str">
        <f>HYPERLINK("https://climate.onebuilding.org/WMO_Region_6_Europe/SWE_Sweden/SN_Skane/SWE_SN_Kristianstad.026520_TMYx.2007-2021.zip")</f>
        <v>https://climate.onebuilding.org/WMO_Region_6_Europe/SWE_Sweden/SN_Skane/SWE_SN_Kristianstad.026520_TMYx.2007-2021.zip</v>
      </c>
    </row>
    <row r="11462" spans="1:10" x14ac:dyDescent="0.25">
      <c r="A11462" t="s">
        <v>7602</v>
      </c>
      <c r="B11462" t="s">
        <v>1491</v>
      </c>
      <c r="C11462" t="s">
        <v>8387</v>
      </c>
      <c r="D11462" s="1" t="s">
        <v>8388</v>
      </c>
      <c r="E11462" t="s">
        <v>14</v>
      </c>
      <c r="F11462">
        <v>56.023899999999998</v>
      </c>
      <c r="G11462">
        <v>14.1028</v>
      </c>
      <c r="H11462">
        <v>1</v>
      </c>
      <c r="I11462">
        <v>10</v>
      </c>
      <c r="J11462" t="str">
        <f>HYPERLINK("https://climate.onebuilding.org/WMO_Region_6_Europe/SWE_Sweden/SN_Skane/SWE_SN_Kristianstad.026520_TMYx.2009-2023.zip")</f>
        <v>https://climate.onebuilding.org/WMO_Region_6_Europe/SWE_Sweden/SN_Skane/SWE_SN_Kristianstad.026520_TMYx.2009-2023.zip</v>
      </c>
    </row>
    <row r="11463" spans="1:10" x14ac:dyDescent="0.25">
      <c r="A11463" t="s">
        <v>7602</v>
      </c>
      <c r="B11463" t="s">
        <v>1491</v>
      </c>
      <c r="C11463" t="s">
        <v>8387</v>
      </c>
      <c r="D11463" s="1" t="s">
        <v>8388</v>
      </c>
      <c r="E11463" t="s">
        <v>14</v>
      </c>
      <c r="F11463">
        <v>56.023899999999998</v>
      </c>
      <c r="G11463">
        <v>14.1028</v>
      </c>
      <c r="H11463">
        <v>1</v>
      </c>
      <c r="I11463">
        <v>10</v>
      </c>
      <c r="J11463" t="str">
        <f>HYPERLINK("https://climate.onebuilding.org/WMO_Region_6_Europe/SWE_Sweden/SN_Skane/SWE_SN_Kristianstad.026520_TMYx.zip")</f>
        <v>https://climate.onebuilding.org/WMO_Region_6_Europe/SWE_Sweden/SN_Skane/SWE_SN_Kristianstad.026520_TMYx.zip</v>
      </c>
    </row>
    <row r="11464" spans="1:10" x14ac:dyDescent="0.25">
      <c r="A11464" t="s">
        <v>7602</v>
      </c>
      <c r="B11464" t="s">
        <v>1491</v>
      </c>
      <c r="C11464" t="s">
        <v>8389</v>
      </c>
      <c r="D11464" s="1" t="s">
        <v>8390</v>
      </c>
      <c r="E11464" t="s">
        <v>14</v>
      </c>
      <c r="F11464">
        <v>55.982999999999997</v>
      </c>
      <c r="G11464">
        <v>14.3</v>
      </c>
      <c r="H11464">
        <v>1</v>
      </c>
      <c r="I11464">
        <v>12</v>
      </c>
      <c r="J11464" t="str">
        <f>HYPERLINK("https://climate.onebuilding.org/WMO_Region_6_Europe/SWE_Sweden/SN_Skane/SWE_SN_Rinkaby.AF.026531_TMYx.2007-2021.zip")</f>
        <v>https://climate.onebuilding.org/WMO_Region_6_Europe/SWE_Sweden/SN_Skane/SWE_SN_Rinkaby.AF.026531_TMYx.2007-2021.zip</v>
      </c>
    </row>
    <row r="11465" spans="1:10" x14ac:dyDescent="0.25">
      <c r="A11465" t="s">
        <v>7602</v>
      </c>
      <c r="B11465" t="s">
        <v>1491</v>
      </c>
      <c r="C11465" t="s">
        <v>8389</v>
      </c>
      <c r="D11465" s="1" t="s">
        <v>8390</v>
      </c>
      <c r="E11465" t="s">
        <v>14</v>
      </c>
      <c r="F11465">
        <v>55.982999999999997</v>
      </c>
      <c r="G11465">
        <v>14.3</v>
      </c>
      <c r="H11465">
        <v>1</v>
      </c>
      <c r="I11465">
        <v>12</v>
      </c>
      <c r="J11465" t="str">
        <f>HYPERLINK("https://climate.onebuilding.org/WMO_Region_6_Europe/SWE_Sweden/SN_Skane/SWE_SN_Rinkaby.AF.026531_TMYx.2009-2023.zip")</f>
        <v>https://climate.onebuilding.org/WMO_Region_6_Europe/SWE_Sweden/SN_Skane/SWE_SN_Rinkaby.AF.026531_TMYx.2009-2023.zip</v>
      </c>
    </row>
    <row r="11466" spans="1:10" x14ac:dyDescent="0.25">
      <c r="A11466" t="s">
        <v>7602</v>
      </c>
      <c r="B11466" t="s">
        <v>1491</v>
      </c>
      <c r="C11466" t="s">
        <v>8389</v>
      </c>
      <c r="D11466" s="1" t="s">
        <v>8390</v>
      </c>
      <c r="E11466" t="s">
        <v>14</v>
      </c>
      <c r="F11466">
        <v>55.982999999999997</v>
      </c>
      <c r="G11466">
        <v>14.3</v>
      </c>
      <c r="H11466">
        <v>1</v>
      </c>
      <c r="I11466">
        <v>12</v>
      </c>
      <c r="J11466" t="str">
        <f>HYPERLINK("https://climate.onebuilding.org/WMO_Region_6_Europe/SWE_Sweden/SN_Skane/SWE_SN_Rinkaby.AF.026531_TMYx.zip")</f>
        <v>https://climate.onebuilding.org/WMO_Region_6_Europe/SWE_Sweden/SN_Skane/SWE_SN_Rinkaby.AF.026531_TMYx.zip</v>
      </c>
    </row>
    <row r="11467" spans="1:10" x14ac:dyDescent="0.25">
      <c r="A11467" t="s">
        <v>7602</v>
      </c>
      <c r="B11467" t="s">
        <v>1491</v>
      </c>
      <c r="C11467" t="s">
        <v>8391</v>
      </c>
      <c r="D11467" s="1" t="s">
        <v>8392</v>
      </c>
      <c r="E11467" t="s">
        <v>14</v>
      </c>
      <c r="F11467">
        <v>55.667000000000002</v>
      </c>
      <c r="G11467">
        <v>14.266999999999999</v>
      </c>
      <c r="H11467">
        <v>1</v>
      </c>
      <c r="I11467">
        <v>112</v>
      </c>
      <c r="J11467" t="str">
        <f>HYPERLINK("https://climate.onebuilding.org/WMO_Region_6_Europe/SWE_Sweden/SN_Skane/SWE_SN_Stenshuvud.National.Park.026540_TMYx.zip")</f>
        <v>https://climate.onebuilding.org/WMO_Region_6_Europe/SWE_Sweden/SN_Skane/SWE_SN_Stenshuvud.National.Park.026540_TMYx.zip</v>
      </c>
    </row>
    <row r="11468" spans="1:10" x14ac:dyDescent="0.25">
      <c r="A11468" t="s">
        <v>7602</v>
      </c>
      <c r="B11468" t="s">
        <v>5651</v>
      </c>
      <c r="C11468" t="s">
        <v>8393</v>
      </c>
      <c r="D11468" s="1" t="s">
        <v>8394</v>
      </c>
      <c r="E11468" t="s">
        <v>8395</v>
      </c>
      <c r="F11468">
        <v>56.844999999999999</v>
      </c>
      <c r="G11468">
        <v>15.472200000000001</v>
      </c>
      <c r="H11468">
        <v>1</v>
      </c>
      <c r="I11468">
        <v>232</v>
      </c>
      <c r="J11468" t="str">
        <f>HYPERLINK("https://climate.onebuilding.org/WMO_Region_6_Europe/SWE_Sweden/KR_Kronoberg/SWE_KR_Kosta.Orrefors.026610_TMYx.2004-2018.zip")</f>
        <v>https://climate.onebuilding.org/WMO_Region_6_Europe/SWE_Sweden/KR_Kronoberg/SWE_KR_Kosta.Orrefors.026610_TMYx.2004-2018.zip</v>
      </c>
    </row>
    <row r="11469" spans="1:10" x14ac:dyDescent="0.25">
      <c r="A11469" t="s">
        <v>7602</v>
      </c>
      <c r="B11469" t="s">
        <v>5651</v>
      </c>
      <c r="C11469" t="s">
        <v>8393</v>
      </c>
      <c r="D11469" s="1" t="s">
        <v>8394</v>
      </c>
      <c r="E11469" t="s">
        <v>14</v>
      </c>
      <c r="F11469">
        <v>56.844999999999999</v>
      </c>
      <c r="G11469">
        <v>15.472200000000001</v>
      </c>
      <c r="H11469">
        <v>1</v>
      </c>
      <c r="I11469">
        <v>232</v>
      </c>
      <c r="J11469" t="str">
        <f>HYPERLINK("https://climate.onebuilding.org/WMO_Region_6_Europe/SWE_Sweden/KR_Kronoberg/SWE_KR_Kosta.Orrefors.026610_TMYx.2007-2021.zip")</f>
        <v>https://climate.onebuilding.org/WMO_Region_6_Europe/SWE_Sweden/KR_Kronoberg/SWE_KR_Kosta.Orrefors.026610_TMYx.2007-2021.zip</v>
      </c>
    </row>
    <row r="11470" spans="1:10" x14ac:dyDescent="0.25">
      <c r="A11470" t="s">
        <v>7602</v>
      </c>
      <c r="B11470" t="s">
        <v>5651</v>
      </c>
      <c r="C11470" t="s">
        <v>8393</v>
      </c>
      <c r="D11470" s="1" t="s">
        <v>8394</v>
      </c>
      <c r="E11470" t="s">
        <v>14</v>
      </c>
      <c r="F11470">
        <v>56.844999999999999</v>
      </c>
      <c r="G11470">
        <v>15.472200000000001</v>
      </c>
      <c r="H11470">
        <v>1</v>
      </c>
      <c r="I11470">
        <v>232</v>
      </c>
      <c r="J11470" t="str">
        <f>HYPERLINK("https://climate.onebuilding.org/WMO_Region_6_Europe/SWE_Sweden/KR_Kronoberg/SWE_KR_Kosta.Orrefors.026610_TMYx.2009-2023.zip")</f>
        <v>https://climate.onebuilding.org/WMO_Region_6_Europe/SWE_Sweden/KR_Kronoberg/SWE_KR_Kosta.Orrefors.026610_TMYx.2009-2023.zip</v>
      </c>
    </row>
    <row r="11471" spans="1:10" x14ac:dyDescent="0.25">
      <c r="A11471" t="s">
        <v>7602</v>
      </c>
      <c r="B11471" t="s">
        <v>5651</v>
      </c>
      <c r="C11471" t="s">
        <v>8393</v>
      </c>
      <c r="D11471" s="1" t="s">
        <v>8394</v>
      </c>
      <c r="E11471" t="s">
        <v>14</v>
      </c>
      <c r="F11471">
        <v>56.844999999999999</v>
      </c>
      <c r="G11471">
        <v>15.472200000000001</v>
      </c>
      <c r="H11471">
        <v>1</v>
      </c>
      <c r="I11471">
        <v>232</v>
      </c>
      <c r="J11471" t="str">
        <f>HYPERLINK("https://climate.onebuilding.org/WMO_Region_6_Europe/SWE_Sweden/KR_Kronoberg/SWE_KR_Kosta.Orrefors.026610_TMYx.zip")</f>
        <v>https://climate.onebuilding.org/WMO_Region_6_Europe/SWE_Sweden/KR_Kronoberg/SWE_KR_Kosta.Orrefors.026610_TMYx.zip</v>
      </c>
    </row>
    <row r="11472" spans="1:10" x14ac:dyDescent="0.25">
      <c r="A11472" t="s">
        <v>7602</v>
      </c>
      <c r="B11472" t="s">
        <v>564</v>
      </c>
      <c r="C11472" t="s">
        <v>8396</v>
      </c>
      <c r="D11472" s="1" t="s">
        <v>8397</v>
      </c>
      <c r="E11472" t="s">
        <v>8398</v>
      </c>
      <c r="F11472">
        <v>56.2669</v>
      </c>
      <c r="G11472">
        <v>15.2681</v>
      </c>
      <c r="H11472">
        <v>1</v>
      </c>
      <c r="I11472">
        <v>58</v>
      </c>
      <c r="J11472" t="str">
        <f>HYPERLINK("https://climate.onebuilding.org/WMO_Region_6_Europe/SWE_Sweden/BL_Blekinge/SWE_BL_Ronneby.AP.026640_TMYx.2004-2018.zip")</f>
        <v>https://climate.onebuilding.org/WMO_Region_6_Europe/SWE_Sweden/BL_Blekinge/SWE_BL_Ronneby.AP.026640_TMYx.2004-2018.zip</v>
      </c>
    </row>
    <row r="11473" spans="1:10" x14ac:dyDescent="0.25">
      <c r="A11473" t="s">
        <v>7602</v>
      </c>
      <c r="B11473" t="s">
        <v>564</v>
      </c>
      <c r="C11473" t="s">
        <v>8396</v>
      </c>
      <c r="D11473" s="1" t="s">
        <v>8397</v>
      </c>
      <c r="E11473" t="s">
        <v>14</v>
      </c>
      <c r="F11473">
        <v>56.2669</v>
      </c>
      <c r="G11473">
        <v>15.2681</v>
      </c>
      <c r="H11473">
        <v>1</v>
      </c>
      <c r="I11473">
        <v>58</v>
      </c>
      <c r="J11473" t="str">
        <f>HYPERLINK("https://climate.onebuilding.org/WMO_Region_6_Europe/SWE_Sweden/BL_Blekinge/SWE_BL_Ronneby.AP.026640_TMYx.2007-2021.zip")</f>
        <v>https://climate.onebuilding.org/WMO_Region_6_Europe/SWE_Sweden/BL_Blekinge/SWE_BL_Ronneby.AP.026640_TMYx.2007-2021.zip</v>
      </c>
    </row>
    <row r="11474" spans="1:10" x14ac:dyDescent="0.25">
      <c r="A11474" t="s">
        <v>7602</v>
      </c>
      <c r="B11474" t="s">
        <v>564</v>
      </c>
      <c r="C11474" t="s">
        <v>8396</v>
      </c>
      <c r="D11474" s="1" t="s">
        <v>8397</v>
      </c>
      <c r="E11474" t="s">
        <v>14</v>
      </c>
      <c r="F11474">
        <v>56.2669</v>
      </c>
      <c r="G11474">
        <v>15.2681</v>
      </c>
      <c r="H11474">
        <v>1</v>
      </c>
      <c r="I11474">
        <v>58</v>
      </c>
      <c r="J11474" t="str">
        <f>HYPERLINK("https://climate.onebuilding.org/WMO_Region_6_Europe/SWE_Sweden/BL_Blekinge/SWE_BL_Ronneby.AP.026640_TMYx.2009-2023.zip")</f>
        <v>https://climate.onebuilding.org/WMO_Region_6_Europe/SWE_Sweden/BL_Blekinge/SWE_BL_Ronneby.AP.026640_TMYx.2009-2023.zip</v>
      </c>
    </row>
    <row r="11475" spans="1:10" x14ac:dyDescent="0.25">
      <c r="A11475" t="s">
        <v>7602</v>
      </c>
      <c r="B11475" t="s">
        <v>564</v>
      </c>
      <c r="C11475" t="s">
        <v>8396</v>
      </c>
      <c r="D11475" s="1" t="s">
        <v>8397</v>
      </c>
      <c r="E11475" t="s">
        <v>14</v>
      </c>
      <c r="F11475">
        <v>56.2669</v>
      </c>
      <c r="G11475">
        <v>15.2681</v>
      </c>
      <c r="H11475">
        <v>1</v>
      </c>
      <c r="I11475">
        <v>58</v>
      </c>
      <c r="J11475" t="str">
        <f>HYPERLINK("https://climate.onebuilding.org/WMO_Region_6_Europe/SWE_Sweden/BL_Blekinge/SWE_BL_Ronneby.AP.026640_TMYx.zip")</f>
        <v>https://climate.onebuilding.org/WMO_Region_6_Europe/SWE_Sweden/BL_Blekinge/SWE_BL_Ronneby.AP.026640_TMYx.zip</v>
      </c>
    </row>
    <row r="11476" spans="1:10" x14ac:dyDescent="0.25">
      <c r="A11476" t="s">
        <v>7602</v>
      </c>
      <c r="B11476" t="s">
        <v>564</v>
      </c>
      <c r="C11476" t="s">
        <v>8399</v>
      </c>
      <c r="D11476" s="1" t="s">
        <v>8400</v>
      </c>
      <c r="E11476" t="s">
        <v>14</v>
      </c>
      <c r="F11476">
        <v>56.040999999999997</v>
      </c>
      <c r="G11476">
        <v>15.804</v>
      </c>
      <c r="H11476">
        <v>1</v>
      </c>
      <c r="I11476">
        <v>3</v>
      </c>
      <c r="J11476" t="str">
        <f>HYPERLINK("https://climate.onebuilding.org/WMO_Region_6_Europe/SWE_Sweden/BL_Blekinge/SWE_BL_Ungskar.026660_TMYx.zip")</f>
        <v>https://climate.onebuilding.org/WMO_Region_6_Europe/SWE_Sweden/BL_Blekinge/SWE_BL_Ungskar.026660_TMYx.zip</v>
      </c>
    </row>
    <row r="11477" spans="1:10" x14ac:dyDescent="0.25">
      <c r="A11477" t="s">
        <v>7602</v>
      </c>
      <c r="B11477" t="s">
        <v>564</v>
      </c>
      <c r="C11477" t="s">
        <v>8401</v>
      </c>
      <c r="D11477" s="1" t="s">
        <v>8402</v>
      </c>
      <c r="E11477" t="s">
        <v>8403</v>
      </c>
      <c r="F11477">
        <v>56.1571</v>
      </c>
      <c r="G11477">
        <v>15.579700000000001</v>
      </c>
      <c r="H11477">
        <v>1</v>
      </c>
      <c r="I11477">
        <v>4.0999999999999996</v>
      </c>
      <c r="J11477" t="str">
        <f>HYPERLINK("https://climate.onebuilding.org/WMO_Region_6_Europe/SWE_Sweden/BL_Blekinge/SWE_BL_Karlskrona-Soderstjerna.026670_TMYx.2004-2018.zip")</f>
        <v>https://climate.onebuilding.org/WMO_Region_6_Europe/SWE_Sweden/BL_Blekinge/SWE_BL_Karlskrona-Soderstjerna.026670_TMYx.2004-2018.zip</v>
      </c>
    </row>
    <row r="11478" spans="1:10" x14ac:dyDescent="0.25">
      <c r="A11478" t="s">
        <v>7602</v>
      </c>
      <c r="B11478" t="s">
        <v>564</v>
      </c>
      <c r="C11478" t="s">
        <v>8401</v>
      </c>
      <c r="D11478" s="1" t="s">
        <v>8402</v>
      </c>
      <c r="E11478" t="s">
        <v>14</v>
      </c>
      <c r="F11478">
        <v>56.1571</v>
      </c>
      <c r="G11478">
        <v>15.579700000000001</v>
      </c>
      <c r="H11478">
        <v>1</v>
      </c>
      <c r="I11478">
        <v>4.0999999999999996</v>
      </c>
      <c r="J11478" t="str">
        <f>HYPERLINK("https://climate.onebuilding.org/WMO_Region_6_Europe/SWE_Sweden/BL_Blekinge/SWE_BL_Karlskrona-Soderstjerna.026670_TMYx.2007-2021.zip")</f>
        <v>https://climate.onebuilding.org/WMO_Region_6_Europe/SWE_Sweden/BL_Blekinge/SWE_BL_Karlskrona-Soderstjerna.026670_TMYx.2007-2021.zip</v>
      </c>
    </row>
    <row r="11479" spans="1:10" x14ac:dyDescent="0.25">
      <c r="A11479" t="s">
        <v>7602</v>
      </c>
      <c r="B11479" t="s">
        <v>564</v>
      </c>
      <c r="C11479" t="s">
        <v>8401</v>
      </c>
      <c r="D11479" s="1" t="s">
        <v>8402</v>
      </c>
      <c r="E11479" t="s">
        <v>14</v>
      </c>
      <c r="F11479">
        <v>56.1571</v>
      </c>
      <c r="G11479">
        <v>15.579700000000001</v>
      </c>
      <c r="H11479">
        <v>1</v>
      </c>
      <c r="I11479">
        <v>4.0999999999999996</v>
      </c>
      <c r="J11479" t="str">
        <f>HYPERLINK("https://climate.onebuilding.org/WMO_Region_6_Europe/SWE_Sweden/BL_Blekinge/SWE_BL_Karlskrona-Soderstjerna.026670_TMYx.2009-2023.zip")</f>
        <v>https://climate.onebuilding.org/WMO_Region_6_Europe/SWE_Sweden/BL_Blekinge/SWE_BL_Karlskrona-Soderstjerna.026670_TMYx.2009-2023.zip</v>
      </c>
    </row>
    <row r="11480" spans="1:10" x14ac:dyDescent="0.25">
      <c r="A11480" t="s">
        <v>7602</v>
      </c>
      <c r="B11480" t="s">
        <v>564</v>
      </c>
      <c r="C11480" t="s">
        <v>8401</v>
      </c>
      <c r="D11480" s="1" t="s">
        <v>8402</v>
      </c>
      <c r="E11480" t="s">
        <v>14</v>
      </c>
      <c r="F11480">
        <v>56.1571</v>
      </c>
      <c r="G11480">
        <v>15.579700000000001</v>
      </c>
      <c r="H11480">
        <v>1</v>
      </c>
      <c r="I11480">
        <v>4.0999999999999996</v>
      </c>
      <c r="J11480" t="str">
        <f>HYPERLINK("https://climate.onebuilding.org/WMO_Region_6_Europe/SWE_Sweden/BL_Blekinge/SWE_BL_Karlskrona-Soderstjerna.026670_TMYx.zip")</f>
        <v>https://climate.onebuilding.org/WMO_Region_6_Europe/SWE_Sweden/BL_Blekinge/SWE_BL_Karlskrona-Soderstjerna.026670_TMYx.zip</v>
      </c>
    </row>
    <row r="11481" spans="1:10" x14ac:dyDescent="0.25">
      <c r="A11481" t="s">
        <v>7602</v>
      </c>
      <c r="B11481" t="s">
        <v>246</v>
      </c>
      <c r="C11481" t="s">
        <v>8404</v>
      </c>
      <c r="D11481" s="1" t="s">
        <v>8405</v>
      </c>
      <c r="E11481" t="s">
        <v>8406</v>
      </c>
      <c r="F11481">
        <v>56.683300000000003</v>
      </c>
      <c r="G11481">
        <v>16.3</v>
      </c>
      <c r="H11481">
        <v>1</v>
      </c>
      <c r="I11481">
        <v>4.2</v>
      </c>
      <c r="J11481" t="str">
        <f>HYPERLINK("https://climate.onebuilding.org/WMO_Region_6_Europe/SWE_Sweden/KA_Kalmar/SWE_KA_Kalmar.AP.026700_TMYx.2004-2018.zip")</f>
        <v>https://climate.onebuilding.org/WMO_Region_6_Europe/SWE_Sweden/KA_Kalmar/SWE_KA_Kalmar.AP.026700_TMYx.2004-2018.zip</v>
      </c>
    </row>
    <row r="11482" spans="1:10" x14ac:dyDescent="0.25">
      <c r="A11482" t="s">
        <v>7602</v>
      </c>
      <c r="B11482" t="s">
        <v>246</v>
      </c>
      <c r="C11482" t="s">
        <v>8404</v>
      </c>
      <c r="D11482" s="1" t="s">
        <v>8405</v>
      </c>
      <c r="E11482" t="s">
        <v>14</v>
      </c>
      <c r="F11482">
        <v>56.683300000000003</v>
      </c>
      <c r="G11482">
        <v>16.3</v>
      </c>
      <c r="H11482">
        <v>1</v>
      </c>
      <c r="I11482">
        <v>4.2</v>
      </c>
      <c r="J11482" t="str">
        <f>HYPERLINK("https://climate.onebuilding.org/WMO_Region_6_Europe/SWE_Sweden/KA_Kalmar/SWE_KA_Kalmar.AP.026700_TMYx.2007-2021.zip")</f>
        <v>https://climate.onebuilding.org/WMO_Region_6_Europe/SWE_Sweden/KA_Kalmar/SWE_KA_Kalmar.AP.026700_TMYx.2007-2021.zip</v>
      </c>
    </row>
    <row r="11483" spans="1:10" x14ac:dyDescent="0.25">
      <c r="A11483" t="s">
        <v>7602</v>
      </c>
      <c r="B11483" t="s">
        <v>246</v>
      </c>
      <c r="C11483" t="s">
        <v>8404</v>
      </c>
      <c r="D11483" s="1" t="s">
        <v>8405</v>
      </c>
      <c r="E11483" t="s">
        <v>14</v>
      </c>
      <c r="F11483">
        <v>56.683300000000003</v>
      </c>
      <c r="G11483">
        <v>16.3</v>
      </c>
      <c r="H11483">
        <v>1</v>
      </c>
      <c r="I11483">
        <v>4.2</v>
      </c>
      <c r="J11483" t="str">
        <f>HYPERLINK("https://climate.onebuilding.org/WMO_Region_6_Europe/SWE_Sweden/KA_Kalmar/SWE_KA_Kalmar.AP.026700_TMYx.2009-2023.zip")</f>
        <v>https://climate.onebuilding.org/WMO_Region_6_Europe/SWE_Sweden/KA_Kalmar/SWE_KA_Kalmar.AP.026700_TMYx.2009-2023.zip</v>
      </c>
    </row>
    <row r="11484" spans="1:10" x14ac:dyDescent="0.25">
      <c r="A11484" t="s">
        <v>7602</v>
      </c>
      <c r="B11484" t="s">
        <v>246</v>
      </c>
      <c r="C11484" t="s">
        <v>8404</v>
      </c>
      <c r="D11484" s="1" t="s">
        <v>8405</v>
      </c>
      <c r="E11484" t="s">
        <v>14</v>
      </c>
      <c r="F11484">
        <v>56.683300000000003</v>
      </c>
      <c r="G11484">
        <v>16.3</v>
      </c>
      <c r="H11484">
        <v>1</v>
      </c>
      <c r="I11484">
        <v>4.2</v>
      </c>
      <c r="J11484" t="str">
        <f>HYPERLINK("https://climate.onebuilding.org/WMO_Region_6_Europe/SWE_Sweden/KA_Kalmar/SWE_KA_Kalmar.AP.026700_TMYx.zip")</f>
        <v>https://climate.onebuilding.org/WMO_Region_6_Europe/SWE_Sweden/KA_Kalmar/SWE_KA_Kalmar.AP.026700_TMYx.zip</v>
      </c>
    </row>
    <row r="11485" spans="1:10" x14ac:dyDescent="0.25">
      <c r="A11485" t="s">
        <v>7602</v>
      </c>
      <c r="B11485" t="s">
        <v>8291</v>
      </c>
      <c r="C11485" t="s">
        <v>8407</v>
      </c>
      <c r="D11485" s="1" t="s">
        <v>8408</v>
      </c>
      <c r="E11485" t="s">
        <v>8409</v>
      </c>
      <c r="F11485">
        <v>56.921100000000003</v>
      </c>
      <c r="G11485">
        <v>18.150600000000001</v>
      </c>
      <c r="H11485">
        <v>1</v>
      </c>
      <c r="I11485">
        <v>36.299999999999997</v>
      </c>
      <c r="J11485" t="str">
        <f>HYPERLINK("https://climate.onebuilding.org/WMO_Region_6_Europe/SWE_Sweden/GT_Gotland/SWE_GT_Hoburg.Lighthouse.026790_TMYx.2004-2018.zip")</f>
        <v>https://climate.onebuilding.org/WMO_Region_6_Europe/SWE_Sweden/GT_Gotland/SWE_GT_Hoburg.Lighthouse.026790_TMYx.2004-2018.zip</v>
      </c>
    </row>
    <row r="11486" spans="1:10" x14ac:dyDescent="0.25">
      <c r="A11486" t="s">
        <v>7602</v>
      </c>
      <c r="B11486" t="s">
        <v>8291</v>
      </c>
      <c r="C11486" t="s">
        <v>8407</v>
      </c>
      <c r="D11486" s="1" t="s">
        <v>8408</v>
      </c>
      <c r="E11486" t="s">
        <v>14</v>
      </c>
      <c r="F11486">
        <v>56.921100000000003</v>
      </c>
      <c r="G11486">
        <v>18.150600000000001</v>
      </c>
      <c r="H11486">
        <v>1</v>
      </c>
      <c r="I11486">
        <v>36.299999999999997</v>
      </c>
      <c r="J11486" t="str">
        <f>HYPERLINK("https://climate.onebuilding.org/WMO_Region_6_Europe/SWE_Sweden/GT_Gotland/SWE_GT_Hoburg.Lighthouse.026790_TMYx.2007-2021.zip")</f>
        <v>https://climate.onebuilding.org/WMO_Region_6_Europe/SWE_Sweden/GT_Gotland/SWE_GT_Hoburg.Lighthouse.026790_TMYx.2007-2021.zip</v>
      </c>
    </row>
    <row r="11487" spans="1:10" x14ac:dyDescent="0.25">
      <c r="A11487" t="s">
        <v>7602</v>
      </c>
      <c r="B11487" t="s">
        <v>8291</v>
      </c>
      <c r="C11487" t="s">
        <v>8407</v>
      </c>
      <c r="D11487" s="1" t="s">
        <v>8408</v>
      </c>
      <c r="E11487" t="s">
        <v>14</v>
      </c>
      <c r="F11487">
        <v>56.921100000000003</v>
      </c>
      <c r="G11487">
        <v>18.150600000000001</v>
      </c>
      <c r="H11487">
        <v>1</v>
      </c>
      <c r="I11487">
        <v>36.299999999999997</v>
      </c>
      <c r="J11487" t="str">
        <f>HYPERLINK("https://climate.onebuilding.org/WMO_Region_6_Europe/SWE_Sweden/GT_Gotland/SWE_GT_Hoburg.Lighthouse.026790_TMYx.2009-2023.zip")</f>
        <v>https://climate.onebuilding.org/WMO_Region_6_Europe/SWE_Sweden/GT_Gotland/SWE_GT_Hoburg.Lighthouse.026790_TMYx.2009-2023.zip</v>
      </c>
    </row>
    <row r="11488" spans="1:10" x14ac:dyDescent="0.25">
      <c r="A11488" t="s">
        <v>7602</v>
      </c>
      <c r="B11488" t="s">
        <v>8291</v>
      </c>
      <c r="C11488" t="s">
        <v>8407</v>
      </c>
      <c r="D11488" s="1" t="s">
        <v>8408</v>
      </c>
      <c r="E11488" t="s">
        <v>14</v>
      </c>
      <c r="F11488">
        <v>56.921100000000003</v>
      </c>
      <c r="G11488">
        <v>18.150600000000001</v>
      </c>
      <c r="H11488">
        <v>1</v>
      </c>
      <c r="I11488">
        <v>36.299999999999997</v>
      </c>
      <c r="J11488" t="str">
        <f>HYPERLINK("https://climate.onebuilding.org/WMO_Region_6_Europe/SWE_Sweden/GT_Gotland/SWE_GT_Hoburg.Lighthouse.026790_TMYx.zip")</f>
        <v>https://climate.onebuilding.org/WMO_Region_6_Europe/SWE_Sweden/GT_Gotland/SWE_GT_Hoburg.Lighthouse.026790_TMYx.zip</v>
      </c>
    </row>
    <row r="11489" spans="1:10" x14ac:dyDescent="0.25">
      <c r="A11489" t="s">
        <v>7602</v>
      </c>
      <c r="B11489" t="s">
        <v>246</v>
      </c>
      <c r="C11489" t="s">
        <v>8410</v>
      </c>
      <c r="D11489" s="1" t="s">
        <v>8411</v>
      </c>
      <c r="E11489" t="s">
        <v>14</v>
      </c>
      <c r="F11489">
        <v>56.067</v>
      </c>
      <c r="G11489">
        <v>16.683</v>
      </c>
      <c r="H11489">
        <v>1</v>
      </c>
      <c r="I11489">
        <v>30</v>
      </c>
      <c r="J11489" t="str">
        <f>HYPERLINK("https://climate.onebuilding.org/WMO_Region_6_Europe/SWE_Sweden/KA_Kalmar/SWE_KA_Olands.Sodra.Grund.026850_TMYx.zip")</f>
        <v>https://climate.onebuilding.org/WMO_Region_6_Europe/SWE_Sweden/KA_Kalmar/SWE_KA_Olands.Sodra.Grund.026850_TMYx.zip</v>
      </c>
    </row>
    <row r="11490" spans="1:10" x14ac:dyDescent="0.25">
      <c r="A11490" t="s">
        <v>8412</v>
      </c>
      <c r="B11490" t="s">
        <v>2249</v>
      </c>
      <c r="C11490" t="s">
        <v>8413</v>
      </c>
      <c r="D11490">
        <v>400010</v>
      </c>
      <c r="E11490" t="s">
        <v>8414</v>
      </c>
      <c r="F11490">
        <v>37.021000000000001</v>
      </c>
      <c r="G11490">
        <v>41.191000000000003</v>
      </c>
      <c r="H11490">
        <v>2</v>
      </c>
      <c r="I11490">
        <v>451.1</v>
      </c>
      <c r="J11490" t="str">
        <f>HYPERLINK("https://climate.onebuilding.org/WMO_Region_6_Europe/SYR_Syrian_Arab_Republic/SYR_HA_Kamishli.Intl.AP.400010_TMYx.2004-2018.zip")</f>
        <v>https://climate.onebuilding.org/WMO_Region_6_Europe/SYR_Syrian_Arab_Republic/SYR_HA_Kamishli.Intl.AP.400010_TMYx.2004-2018.zip</v>
      </c>
    </row>
    <row r="11491" spans="1:10" x14ac:dyDescent="0.25">
      <c r="A11491" t="s">
        <v>8412</v>
      </c>
      <c r="B11491" t="s">
        <v>2249</v>
      </c>
      <c r="C11491" t="s">
        <v>8413</v>
      </c>
      <c r="D11491">
        <v>400010</v>
      </c>
      <c r="E11491" t="s">
        <v>14</v>
      </c>
      <c r="F11491">
        <v>37.021000000000001</v>
      </c>
      <c r="G11491">
        <v>41.191000000000003</v>
      </c>
      <c r="H11491">
        <v>2</v>
      </c>
      <c r="I11491">
        <v>451.1</v>
      </c>
      <c r="J11491" t="str">
        <f>HYPERLINK("https://climate.onebuilding.org/WMO_Region_6_Europe/SYR_Syrian_Arab_Republic/SYR_HA_Kamishli.Intl.AP.400010_TMYx.2007-2021.zip")</f>
        <v>https://climate.onebuilding.org/WMO_Region_6_Europe/SYR_Syrian_Arab_Republic/SYR_HA_Kamishli.Intl.AP.400010_TMYx.2007-2021.zip</v>
      </c>
    </row>
    <row r="11492" spans="1:10" x14ac:dyDescent="0.25">
      <c r="A11492" t="s">
        <v>8412</v>
      </c>
      <c r="B11492" t="s">
        <v>2249</v>
      </c>
      <c r="C11492" t="s">
        <v>8413</v>
      </c>
      <c r="D11492">
        <v>400010</v>
      </c>
      <c r="E11492" t="s">
        <v>14</v>
      </c>
      <c r="F11492">
        <v>37.021000000000001</v>
      </c>
      <c r="G11492">
        <v>41.191000000000003</v>
      </c>
      <c r="H11492">
        <v>2</v>
      </c>
      <c r="I11492">
        <v>451.1</v>
      </c>
      <c r="J11492" t="str">
        <f>HYPERLINK("https://climate.onebuilding.org/WMO_Region_6_Europe/SYR_Syrian_Arab_Republic/SYR_HA_Kamishli.Intl.AP.400010_TMYx.2009-2023.zip")</f>
        <v>https://climate.onebuilding.org/WMO_Region_6_Europe/SYR_Syrian_Arab_Republic/SYR_HA_Kamishli.Intl.AP.400010_TMYx.2009-2023.zip</v>
      </c>
    </row>
    <row r="11493" spans="1:10" x14ac:dyDescent="0.25">
      <c r="A11493" t="s">
        <v>8412</v>
      </c>
      <c r="B11493" t="s">
        <v>2249</v>
      </c>
      <c r="C11493" t="s">
        <v>8413</v>
      </c>
      <c r="D11493">
        <v>400010</v>
      </c>
      <c r="E11493" t="s">
        <v>14</v>
      </c>
      <c r="F11493">
        <v>37.021000000000001</v>
      </c>
      <c r="G11493">
        <v>41.191000000000003</v>
      </c>
      <c r="H11493">
        <v>2</v>
      </c>
      <c r="I11493">
        <v>451.1</v>
      </c>
      <c r="J11493" t="str">
        <f>HYPERLINK("https://climate.onebuilding.org/WMO_Region_6_Europe/SYR_Syrian_Arab_Republic/SYR_HA_Kamishli.Intl.AP.400010_TMYx.zip")</f>
        <v>https://climate.onebuilding.org/WMO_Region_6_Europe/SYR_Syrian_Arab_Republic/SYR_HA_Kamishli.Intl.AP.400010_TMYx.zip</v>
      </c>
    </row>
    <row r="11494" spans="1:10" x14ac:dyDescent="0.25">
      <c r="A11494" t="s">
        <v>8412</v>
      </c>
      <c r="B11494" t="s">
        <v>8415</v>
      </c>
      <c r="C11494" t="s">
        <v>8416</v>
      </c>
      <c r="D11494">
        <v>400050</v>
      </c>
      <c r="E11494" t="s">
        <v>14</v>
      </c>
      <c r="F11494">
        <v>36.817</v>
      </c>
      <c r="G11494">
        <v>38</v>
      </c>
      <c r="H11494">
        <v>2</v>
      </c>
      <c r="I11494">
        <v>351</v>
      </c>
      <c r="J11494" t="str">
        <f>HYPERLINK("https://climate.onebuilding.org/WMO_Region_6_Europe/SYR_Syrian_Arab_Republic/SYR_HL_Jarabulus.400050_TMYx.zip")</f>
        <v>https://climate.onebuilding.org/WMO_Region_6_Europe/SYR_Syrian_Arab_Republic/SYR_HL_Jarabulus.400050_TMYx.zip</v>
      </c>
    </row>
    <row r="11495" spans="1:10" x14ac:dyDescent="0.25">
      <c r="A11495" t="s">
        <v>8412</v>
      </c>
      <c r="B11495" t="s">
        <v>8415</v>
      </c>
      <c r="C11495" t="s">
        <v>8417</v>
      </c>
      <c r="D11495">
        <v>400070</v>
      </c>
      <c r="E11495" t="s">
        <v>8418</v>
      </c>
      <c r="F11495">
        <v>36.180999999999997</v>
      </c>
      <c r="G11495">
        <v>37.223999999999997</v>
      </c>
      <c r="H11495">
        <v>2</v>
      </c>
      <c r="I11495">
        <v>388.9</v>
      </c>
      <c r="J11495" t="str">
        <f>HYPERLINK("https://climate.onebuilding.org/WMO_Region_6_Europe/SYR_Syrian_Arab_Republic/SYR_HL_Aleppo.Intl.AP.400070_TMYx.2004-2018.zip")</f>
        <v>https://climate.onebuilding.org/WMO_Region_6_Europe/SYR_Syrian_Arab_Republic/SYR_HL_Aleppo.Intl.AP.400070_TMYx.2004-2018.zip</v>
      </c>
    </row>
    <row r="11496" spans="1:10" x14ac:dyDescent="0.25">
      <c r="A11496" t="s">
        <v>8412</v>
      </c>
      <c r="B11496" t="s">
        <v>8415</v>
      </c>
      <c r="C11496" t="s">
        <v>8417</v>
      </c>
      <c r="D11496">
        <v>400070</v>
      </c>
      <c r="E11496" t="s">
        <v>14</v>
      </c>
      <c r="F11496">
        <v>36.180999999999997</v>
      </c>
      <c r="G11496">
        <v>37.223999999999997</v>
      </c>
      <c r="H11496">
        <v>2</v>
      </c>
      <c r="I11496">
        <v>388.9</v>
      </c>
      <c r="J11496" t="str">
        <f>HYPERLINK("https://climate.onebuilding.org/WMO_Region_6_Europe/SYR_Syrian_Arab_Republic/SYR_HL_Aleppo.Intl.AP.400070_TMYx.2007-2021.zip")</f>
        <v>https://climate.onebuilding.org/WMO_Region_6_Europe/SYR_Syrian_Arab_Republic/SYR_HL_Aleppo.Intl.AP.400070_TMYx.2007-2021.zip</v>
      </c>
    </row>
    <row r="11497" spans="1:10" x14ac:dyDescent="0.25">
      <c r="A11497" t="s">
        <v>8412</v>
      </c>
      <c r="B11497" t="s">
        <v>8415</v>
      </c>
      <c r="C11497" t="s">
        <v>8417</v>
      </c>
      <c r="D11497">
        <v>400070</v>
      </c>
      <c r="E11497" t="s">
        <v>14</v>
      </c>
      <c r="F11497">
        <v>36.180999999999997</v>
      </c>
      <c r="G11497">
        <v>37.223999999999997</v>
      </c>
      <c r="H11497">
        <v>2</v>
      </c>
      <c r="I11497">
        <v>388.9</v>
      </c>
      <c r="J11497" t="str">
        <f>HYPERLINK("https://climate.onebuilding.org/WMO_Region_6_Europe/SYR_Syrian_Arab_Republic/SYR_HL_Aleppo.Intl.AP.400070_TMYx.2009-2023.zip")</f>
        <v>https://climate.onebuilding.org/WMO_Region_6_Europe/SYR_Syrian_Arab_Republic/SYR_HL_Aleppo.Intl.AP.400070_TMYx.2009-2023.zip</v>
      </c>
    </row>
    <row r="11498" spans="1:10" x14ac:dyDescent="0.25">
      <c r="A11498" t="s">
        <v>8412</v>
      </c>
      <c r="B11498" t="s">
        <v>8415</v>
      </c>
      <c r="C11498" t="s">
        <v>8417</v>
      </c>
      <c r="D11498">
        <v>400070</v>
      </c>
      <c r="E11498" t="s">
        <v>14</v>
      </c>
      <c r="F11498">
        <v>36.180999999999997</v>
      </c>
      <c r="G11498">
        <v>37.223999999999997</v>
      </c>
      <c r="H11498">
        <v>2</v>
      </c>
      <c r="I11498">
        <v>388.9</v>
      </c>
      <c r="J11498" t="str">
        <f>HYPERLINK("https://climate.onebuilding.org/WMO_Region_6_Europe/SYR_Syrian_Arab_Republic/SYR_HL_Aleppo.Intl.AP.400070_TMYx.zip")</f>
        <v>https://climate.onebuilding.org/WMO_Region_6_Europe/SYR_Syrian_Arab_Republic/SYR_HL_Aleppo.Intl.AP.400070_TMYx.zip</v>
      </c>
    </row>
    <row r="11499" spans="1:10" x14ac:dyDescent="0.25">
      <c r="A11499" t="s">
        <v>8412</v>
      </c>
      <c r="B11499" t="s">
        <v>2249</v>
      </c>
      <c r="C11499" t="s">
        <v>8419</v>
      </c>
      <c r="D11499">
        <v>400090</v>
      </c>
      <c r="E11499" t="s">
        <v>8420</v>
      </c>
      <c r="F11499">
        <v>36.700000000000003</v>
      </c>
      <c r="G11499">
        <v>38.950000000000003</v>
      </c>
      <c r="H11499">
        <v>2</v>
      </c>
      <c r="I11499">
        <v>349</v>
      </c>
      <c r="J11499" t="str">
        <f>HYPERLINK("https://climate.onebuilding.org/WMO_Region_6_Europe/SYR_Syrian_Arab_Republic/SYR_HA_Tell.Abiad.400090_TMYx.2004-2018.zip")</f>
        <v>https://climate.onebuilding.org/WMO_Region_6_Europe/SYR_Syrian_Arab_Republic/SYR_HA_Tell.Abiad.400090_TMYx.2004-2018.zip</v>
      </c>
    </row>
    <row r="11500" spans="1:10" x14ac:dyDescent="0.25">
      <c r="A11500" t="s">
        <v>8412</v>
      </c>
      <c r="B11500" t="s">
        <v>2249</v>
      </c>
      <c r="C11500" t="s">
        <v>8419</v>
      </c>
      <c r="D11500">
        <v>400090</v>
      </c>
      <c r="E11500" t="s">
        <v>14</v>
      </c>
      <c r="F11500">
        <v>36.700000000000003</v>
      </c>
      <c r="G11500">
        <v>38.950000000000003</v>
      </c>
      <c r="H11500">
        <v>2</v>
      </c>
      <c r="I11500">
        <v>349</v>
      </c>
      <c r="J11500" t="str">
        <f>HYPERLINK("https://climate.onebuilding.org/WMO_Region_6_Europe/SYR_Syrian_Arab_Republic/SYR_HA_Tell.Abiad.400090_TMYx.2007-2021.zip")</f>
        <v>https://climate.onebuilding.org/WMO_Region_6_Europe/SYR_Syrian_Arab_Republic/SYR_HA_Tell.Abiad.400090_TMYx.2007-2021.zip</v>
      </c>
    </row>
    <row r="11501" spans="1:10" x14ac:dyDescent="0.25">
      <c r="A11501" t="s">
        <v>8412</v>
      </c>
      <c r="B11501" t="s">
        <v>2249</v>
      </c>
      <c r="C11501" t="s">
        <v>8419</v>
      </c>
      <c r="D11501">
        <v>400090</v>
      </c>
      <c r="E11501" t="s">
        <v>14</v>
      </c>
      <c r="F11501">
        <v>36.700000000000003</v>
      </c>
      <c r="G11501">
        <v>38.950000000000003</v>
      </c>
      <c r="H11501">
        <v>2</v>
      </c>
      <c r="I11501">
        <v>349</v>
      </c>
      <c r="J11501" t="str">
        <f>HYPERLINK("https://climate.onebuilding.org/WMO_Region_6_Europe/SYR_Syrian_Arab_Republic/SYR_HA_Tell.Abiad.400090_TMYx.zip")</f>
        <v>https://climate.onebuilding.org/WMO_Region_6_Europe/SYR_Syrian_Arab_Republic/SYR_HA_Tell.Abiad.400090_TMYx.zip</v>
      </c>
    </row>
    <row r="11502" spans="1:10" x14ac:dyDescent="0.25">
      <c r="A11502" t="s">
        <v>8412</v>
      </c>
      <c r="B11502" t="s">
        <v>2249</v>
      </c>
      <c r="C11502" t="s">
        <v>8421</v>
      </c>
      <c r="D11502">
        <v>400160</v>
      </c>
      <c r="E11502" t="s">
        <v>14</v>
      </c>
      <c r="F11502">
        <v>36.5</v>
      </c>
      <c r="G11502">
        <v>40.75</v>
      </c>
      <c r="H11502">
        <v>2</v>
      </c>
      <c r="I11502">
        <v>308</v>
      </c>
      <c r="J11502" t="str">
        <f>HYPERLINK("https://climate.onebuilding.org/WMO_Region_6_Europe/SYR_Syrian_Arab_Republic/SYR_HA_Hasakah.400160_TMYx.2007-2021.zip")</f>
        <v>https://climate.onebuilding.org/WMO_Region_6_Europe/SYR_Syrian_Arab_Republic/SYR_HA_Hasakah.400160_TMYx.2007-2021.zip</v>
      </c>
    </row>
    <row r="11503" spans="1:10" x14ac:dyDescent="0.25">
      <c r="A11503" t="s">
        <v>8412</v>
      </c>
      <c r="B11503" t="s">
        <v>2249</v>
      </c>
      <c r="C11503" t="s">
        <v>8421</v>
      </c>
      <c r="D11503">
        <v>400160</v>
      </c>
      <c r="E11503" t="s">
        <v>14</v>
      </c>
      <c r="F11503">
        <v>36.5</v>
      </c>
      <c r="G11503">
        <v>40.75</v>
      </c>
      <c r="H11503">
        <v>2</v>
      </c>
      <c r="I11503">
        <v>308</v>
      </c>
      <c r="J11503" t="str">
        <f>HYPERLINK("https://climate.onebuilding.org/WMO_Region_6_Europe/SYR_Syrian_Arab_Republic/SYR_HA_Hasakah.400160_TMYx.2009-2023.zip")</f>
        <v>https://climate.onebuilding.org/WMO_Region_6_Europe/SYR_Syrian_Arab_Republic/SYR_HA_Hasakah.400160_TMYx.2009-2023.zip</v>
      </c>
    </row>
    <row r="11504" spans="1:10" x14ac:dyDescent="0.25">
      <c r="A11504" t="s">
        <v>8412</v>
      </c>
      <c r="B11504" t="s">
        <v>2249</v>
      </c>
      <c r="C11504" t="s">
        <v>8421</v>
      </c>
      <c r="D11504">
        <v>400160</v>
      </c>
      <c r="E11504" t="s">
        <v>14</v>
      </c>
      <c r="F11504">
        <v>36.5</v>
      </c>
      <c r="G11504">
        <v>40.75</v>
      </c>
      <c r="H11504">
        <v>2</v>
      </c>
      <c r="I11504">
        <v>308</v>
      </c>
      <c r="J11504" t="str">
        <f>HYPERLINK("https://climate.onebuilding.org/WMO_Region_6_Europe/SYR_Syrian_Arab_Republic/SYR_HA_Hasakah.400160_TMYx.zip")</f>
        <v>https://climate.onebuilding.org/WMO_Region_6_Europe/SYR_Syrian_Arab_Republic/SYR_HA_Hasakah.400160_TMYx.zip</v>
      </c>
    </row>
    <row r="11505" spans="1:10" x14ac:dyDescent="0.25">
      <c r="A11505" t="s">
        <v>8412</v>
      </c>
      <c r="B11505" t="s">
        <v>8422</v>
      </c>
      <c r="C11505" t="s">
        <v>8423</v>
      </c>
      <c r="D11505">
        <v>400170</v>
      </c>
      <c r="E11505" t="s">
        <v>14</v>
      </c>
      <c r="F11505">
        <v>35.933</v>
      </c>
      <c r="G11505">
        <v>36.616999999999997</v>
      </c>
      <c r="H11505">
        <v>2</v>
      </c>
      <c r="I11505">
        <v>451</v>
      </c>
      <c r="J11505" t="str">
        <f>HYPERLINK("https://climate.onebuilding.org/WMO_Region_6_Europe/SYR_Syrian_Arab_Republic/SYR_ID_Idlib.400170_TMYx.zip")</f>
        <v>https://climate.onebuilding.org/WMO_Region_6_Europe/SYR_Syrian_Arab_Republic/SYR_ID_Idlib.400170_TMYx.zip</v>
      </c>
    </row>
    <row r="11506" spans="1:10" x14ac:dyDescent="0.25">
      <c r="A11506" t="s">
        <v>8412</v>
      </c>
      <c r="B11506" t="s">
        <v>1184</v>
      </c>
      <c r="C11506" t="s">
        <v>8424</v>
      </c>
      <c r="D11506">
        <v>400220</v>
      </c>
      <c r="E11506" t="s">
        <v>8425</v>
      </c>
      <c r="F11506">
        <v>35.533000000000001</v>
      </c>
      <c r="G11506">
        <v>35.767000000000003</v>
      </c>
      <c r="H11506">
        <v>2</v>
      </c>
      <c r="I11506">
        <v>7</v>
      </c>
      <c r="J11506" t="str">
        <f>HYPERLINK("https://climate.onebuilding.org/WMO_Region_6_Europe/SYR_Syrian_Arab_Republic/SYR_LA_Lattakia.400220_TMYx.2004-2018.zip")</f>
        <v>https://climate.onebuilding.org/WMO_Region_6_Europe/SYR_Syrian_Arab_Republic/SYR_LA_Lattakia.400220_TMYx.2004-2018.zip</v>
      </c>
    </row>
    <row r="11507" spans="1:10" x14ac:dyDescent="0.25">
      <c r="A11507" t="s">
        <v>8412</v>
      </c>
      <c r="B11507" t="s">
        <v>1184</v>
      </c>
      <c r="C11507" t="s">
        <v>8424</v>
      </c>
      <c r="D11507">
        <v>400220</v>
      </c>
      <c r="E11507" t="s">
        <v>14</v>
      </c>
      <c r="F11507">
        <v>35.533000000000001</v>
      </c>
      <c r="G11507">
        <v>35.767000000000003</v>
      </c>
      <c r="H11507">
        <v>2</v>
      </c>
      <c r="I11507">
        <v>7</v>
      </c>
      <c r="J11507" t="str">
        <f>HYPERLINK("https://climate.onebuilding.org/WMO_Region_6_Europe/SYR_Syrian_Arab_Republic/SYR_LA_Lattakia.400220_TMYx.2007-2021.zip")</f>
        <v>https://climate.onebuilding.org/WMO_Region_6_Europe/SYR_Syrian_Arab_Republic/SYR_LA_Lattakia.400220_TMYx.2007-2021.zip</v>
      </c>
    </row>
    <row r="11508" spans="1:10" x14ac:dyDescent="0.25">
      <c r="A11508" t="s">
        <v>8412</v>
      </c>
      <c r="B11508" t="s">
        <v>1184</v>
      </c>
      <c r="C11508" t="s">
        <v>8424</v>
      </c>
      <c r="D11508">
        <v>400220</v>
      </c>
      <c r="E11508" t="s">
        <v>14</v>
      </c>
      <c r="F11508">
        <v>35.533000000000001</v>
      </c>
      <c r="G11508">
        <v>35.767000000000003</v>
      </c>
      <c r="H11508">
        <v>2</v>
      </c>
      <c r="I11508">
        <v>7</v>
      </c>
      <c r="J11508" t="str">
        <f>HYPERLINK("https://climate.onebuilding.org/WMO_Region_6_Europe/SYR_Syrian_Arab_Republic/SYR_LA_Lattakia.400220_TMYx.2009-2023.zip")</f>
        <v>https://climate.onebuilding.org/WMO_Region_6_Europe/SYR_Syrian_Arab_Republic/SYR_LA_Lattakia.400220_TMYx.2009-2023.zip</v>
      </c>
    </row>
    <row r="11509" spans="1:10" x14ac:dyDescent="0.25">
      <c r="A11509" t="s">
        <v>8412</v>
      </c>
      <c r="B11509" t="s">
        <v>1184</v>
      </c>
      <c r="C11509" t="s">
        <v>8424</v>
      </c>
      <c r="D11509">
        <v>400220</v>
      </c>
      <c r="E11509" t="s">
        <v>14</v>
      </c>
      <c r="F11509">
        <v>35.533000000000001</v>
      </c>
      <c r="G11509">
        <v>35.767000000000003</v>
      </c>
      <c r="H11509">
        <v>2</v>
      </c>
      <c r="I11509">
        <v>7</v>
      </c>
      <c r="J11509" t="str">
        <f>HYPERLINK("https://climate.onebuilding.org/WMO_Region_6_Europe/SYR_Syrian_Arab_Republic/SYR_LA_Lattakia.400220_TMYx.zip")</f>
        <v>https://climate.onebuilding.org/WMO_Region_6_Europe/SYR_Syrian_Arab_Republic/SYR_LA_Lattakia.400220_TMYx.zip</v>
      </c>
    </row>
    <row r="11510" spans="1:10" x14ac:dyDescent="0.25">
      <c r="A11510" t="s">
        <v>8412</v>
      </c>
      <c r="B11510" t="s">
        <v>1184</v>
      </c>
      <c r="C11510" t="s">
        <v>8426</v>
      </c>
      <c r="D11510">
        <v>400250</v>
      </c>
      <c r="E11510" t="s">
        <v>8427</v>
      </c>
      <c r="F11510">
        <v>35.401000000000003</v>
      </c>
      <c r="G11510">
        <v>35.948999999999998</v>
      </c>
      <c r="H11510">
        <v>2</v>
      </c>
      <c r="I11510">
        <v>47.9</v>
      </c>
      <c r="J11510" t="str">
        <f>HYPERLINK("https://climate.onebuilding.org/WMO_Region_6_Europe/SYR_Syrian_Arab_Republic/SYR_LA_Lattakia-Assad.Intl.AP.400250_TMYx.2004-2018.zip")</f>
        <v>https://climate.onebuilding.org/WMO_Region_6_Europe/SYR_Syrian_Arab_Republic/SYR_LA_Lattakia-Assad.Intl.AP.400250_TMYx.2004-2018.zip</v>
      </c>
    </row>
    <row r="11511" spans="1:10" x14ac:dyDescent="0.25">
      <c r="A11511" t="s">
        <v>8412</v>
      </c>
      <c r="B11511" t="s">
        <v>1184</v>
      </c>
      <c r="C11511" t="s">
        <v>8426</v>
      </c>
      <c r="D11511">
        <v>400250</v>
      </c>
      <c r="E11511" t="s">
        <v>14</v>
      </c>
      <c r="F11511">
        <v>35.401000000000003</v>
      </c>
      <c r="G11511">
        <v>35.948999999999998</v>
      </c>
      <c r="H11511">
        <v>2</v>
      </c>
      <c r="I11511">
        <v>47.9</v>
      </c>
      <c r="J11511" t="str">
        <f>HYPERLINK("https://climate.onebuilding.org/WMO_Region_6_Europe/SYR_Syrian_Arab_Republic/SYR_LA_Lattakia-Assad.Intl.AP.400250_TMYx.2007-2021.zip")</f>
        <v>https://climate.onebuilding.org/WMO_Region_6_Europe/SYR_Syrian_Arab_Republic/SYR_LA_Lattakia-Assad.Intl.AP.400250_TMYx.2007-2021.zip</v>
      </c>
    </row>
    <row r="11512" spans="1:10" x14ac:dyDescent="0.25">
      <c r="A11512" t="s">
        <v>8412</v>
      </c>
      <c r="B11512" t="s">
        <v>1184</v>
      </c>
      <c r="C11512" t="s">
        <v>8426</v>
      </c>
      <c r="D11512">
        <v>400250</v>
      </c>
      <c r="E11512" t="s">
        <v>14</v>
      </c>
      <c r="F11512">
        <v>35.401000000000003</v>
      </c>
      <c r="G11512">
        <v>35.948999999999998</v>
      </c>
      <c r="H11512">
        <v>2</v>
      </c>
      <c r="I11512">
        <v>47.9</v>
      </c>
      <c r="J11512" t="str">
        <f>HYPERLINK("https://climate.onebuilding.org/WMO_Region_6_Europe/SYR_Syrian_Arab_Republic/SYR_LA_Lattakia-Assad.Intl.AP.400250_TMYx.2009-2023.zip")</f>
        <v>https://climate.onebuilding.org/WMO_Region_6_Europe/SYR_Syrian_Arab_Republic/SYR_LA_Lattakia-Assad.Intl.AP.400250_TMYx.2009-2023.zip</v>
      </c>
    </row>
    <row r="11513" spans="1:10" x14ac:dyDescent="0.25">
      <c r="A11513" t="s">
        <v>8412</v>
      </c>
      <c r="B11513" t="s">
        <v>1184</v>
      </c>
      <c r="C11513" t="s">
        <v>8426</v>
      </c>
      <c r="D11513">
        <v>400250</v>
      </c>
      <c r="E11513" t="s">
        <v>14</v>
      </c>
      <c r="F11513">
        <v>35.401000000000003</v>
      </c>
      <c r="G11513">
        <v>35.948999999999998</v>
      </c>
      <c r="H11513">
        <v>2</v>
      </c>
      <c r="I11513">
        <v>47.9</v>
      </c>
      <c r="J11513" t="str">
        <f>HYPERLINK("https://climate.onebuilding.org/WMO_Region_6_Europe/SYR_Syrian_Arab_Republic/SYR_LA_Lattakia-Assad.Intl.AP.400250_TMYx.zip")</f>
        <v>https://climate.onebuilding.org/WMO_Region_6_Europe/SYR_Syrian_Arab_Republic/SYR_LA_Lattakia-Assad.Intl.AP.400250_TMYx.zip</v>
      </c>
    </row>
    <row r="11514" spans="1:10" x14ac:dyDescent="0.25">
      <c r="A11514" t="s">
        <v>8412</v>
      </c>
      <c r="B11514" t="s">
        <v>39</v>
      </c>
      <c r="C11514" t="s">
        <v>8428</v>
      </c>
      <c r="D11514">
        <v>400270</v>
      </c>
      <c r="E11514" t="s">
        <v>14</v>
      </c>
      <c r="F11514">
        <v>35.4</v>
      </c>
      <c r="G11514">
        <v>37.85</v>
      </c>
      <c r="H11514">
        <v>2</v>
      </c>
      <c r="I11514">
        <v>460</v>
      </c>
      <c r="J11514" t="str">
        <f>HYPERLINK("https://climate.onebuilding.org/WMO_Region_6_Europe/SYR_Syrian_Arab_Republic/SYR_HM_Etheria.400270_TMYx.zip")</f>
        <v>https://climate.onebuilding.org/WMO_Region_6_Europe/SYR_Syrian_Arab_Republic/SYR_HM_Etheria.400270_TMYx.zip</v>
      </c>
    </row>
    <row r="11515" spans="1:10" x14ac:dyDescent="0.25">
      <c r="A11515" t="s">
        <v>8412</v>
      </c>
      <c r="B11515" t="s">
        <v>39</v>
      </c>
      <c r="C11515" t="s">
        <v>8429</v>
      </c>
      <c r="D11515">
        <v>400290</v>
      </c>
      <c r="E11515" t="s">
        <v>14</v>
      </c>
      <c r="F11515">
        <v>35</v>
      </c>
      <c r="G11515">
        <v>37.033000000000001</v>
      </c>
      <c r="H11515">
        <v>2</v>
      </c>
      <c r="I11515">
        <v>481</v>
      </c>
      <c r="J11515" t="str">
        <f>HYPERLINK("https://climate.onebuilding.org/WMO_Region_6_Europe/SYR_Syrian_Arab_Republic/SYR_HM_Salamya.400290_TMYx.2007-2021.zip")</f>
        <v>https://climate.onebuilding.org/WMO_Region_6_Europe/SYR_Syrian_Arab_Republic/SYR_HM_Salamya.400290_TMYx.2007-2021.zip</v>
      </c>
    </row>
    <row r="11516" spans="1:10" x14ac:dyDescent="0.25">
      <c r="A11516" t="s">
        <v>8412</v>
      </c>
      <c r="B11516" t="s">
        <v>39</v>
      </c>
      <c r="C11516" t="s">
        <v>8429</v>
      </c>
      <c r="D11516">
        <v>400290</v>
      </c>
      <c r="E11516" t="s">
        <v>14</v>
      </c>
      <c r="F11516">
        <v>35</v>
      </c>
      <c r="G11516">
        <v>37.033000000000001</v>
      </c>
      <c r="H11516">
        <v>2</v>
      </c>
      <c r="I11516">
        <v>481</v>
      </c>
      <c r="J11516" t="str">
        <f>HYPERLINK("https://climate.onebuilding.org/WMO_Region_6_Europe/SYR_Syrian_Arab_Republic/SYR_HM_Salamya.400290_TMYx.zip")</f>
        <v>https://climate.onebuilding.org/WMO_Region_6_Europe/SYR_Syrian_Arab_Republic/SYR_HM_Salamya.400290_TMYx.zip</v>
      </c>
    </row>
    <row r="11517" spans="1:10" x14ac:dyDescent="0.25">
      <c r="A11517" t="s">
        <v>8412</v>
      </c>
      <c r="B11517" t="s">
        <v>39</v>
      </c>
      <c r="C11517" t="s">
        <v>8430</v>
      </c>
      <c r="D11517">
        <v>400300</v>
      </c>
      <c r="E11517" t="s">
        <v>8431</v>
      </c>
      <c r="F11517">
        <v>35.116999999999997</v>
      </c>
      <c r="G11517">
        <v>36.75</v>
      </c>
      <c r="H11517">
        <v>2</v>
      </c>
      <c r="I11517">
        <v>303</v>
      </c>
      <c r="J11517" t="str">
        <f>HYPERLINK("https://climate.onebuilding.org/WMO_Region_6_Europe/SYR_Syrian_Arab_Republic/SYR_HM_Hamah.400300_TMYx.2004-2018.zip")</f>
        <v>https://climate.onebuilding.org/WMO_Region_6_Europe/SYR_Syrian_Arab_Republic/SYR_HM_Hamah.400300_TMYx.2004-2018.zip</v>
      </c>
    </row>
    <row r="11518" spans="1:10" x14ac:dyDescent="0.25">
      <c r="A11518" t="s">
        <v>8412</v>
      </c>
      <c r="B11518" t="s">
        <v>39</v>
      </c>
      <c r="C11518" t="s">
        <v>8430</v>
      </c>
      <c r="D11518">
        <v>400300</v>
      </c>
      <c r="E11518" t="s">
        <v>14</v>
      </c>
      <c r="F11518">
        <v>35.116999999999997</v>
      </c>
      <c r="G11518">
        <v>36.75</v>
      </c>
      <c r="H11518">
        <v>2</v>
      </c>
      <c r="I11518">
        <v>303</v>
      </c>
      <c r="J11518" t="str">
        <f>HYPERLINK("https://climate.onebuilding.org/WMO_Region_6_Europe/SYR_Syrian_Arab_Republic/SYR_HM_Hamah.400300_TMYx.2007-2021.zip")</f>
        <v>https://climate.onebuilding.org/WMO_Region_6_Europe/SYR_Syrian_Arab_Republic/SYR_HM_Hamah.400300_TMYx.2007-2021.zip</v>
      </c>
    </row>
    <row r="11519" spans="1:10" x14ac:dyDescent="0.25">
      <c r="A11519" t="s">
        <v>8412</v>
      </c>
      <c r="B11519" t="s">
        <v>39</v>
      </c>
      <c r="C11519" t="s">
        <v>8430</v>
      </c>
      <c r="D11519">
        <v>400300</v>
      </c>
      <c r="E11519" t="s">
        <v>14</v>
      </c>
      <c r="F11519">
        <v>35.116999999999997</v>
      </c>
      <c r="G11519">
        <v>36.75</v>
      </c>
      <c r="H11519">
        <v>2</v>
      </c>
      <c r="I11519">
        <v>303</v>
      </c>
      <c r="J11519" t="str">
        <f>HYPERLINK("https://climate.onebuilding.org/WMO_Region_6_Europe/SYR_Syrian_Arab_Republic/SYR_HM_Hamah.400300_TMYx.2009-2023.zip")</f>
        <v>https://climate.onebuilding.org/WMO_Region_6_Europe/SYR_Syrian_Arab_Republic/SYR_HM_Hamah.400300_TMYx.2009-2023.zip</v>
      </c>
    </row>
    <row r="11520" spans="1:10" x14ac:dyDescent="0.25">
      <c r="A11520" t="s">
        <v>8412</v>
      </c>
      <c r="B11520" t="s">
        <v>39</v>
      </c>
      <c r="C11520" t="s">
        <v>8430</v>
      </c>
      <c r="D11520">
        <v>400300</v>
      </c>
      <c r="E11520" t="s">
        <v>14</v>
      </c>
      <c r="F11520">
        <v>35.116999999999997</v>
      </c>
      <c r="G11520">
        <v>36.75</v>
      </c>
      <c r="H11520">
        <v>2</v>
      </c>
      <c r="I11520">
        <v>303</v>
      </c>
      <c r="J11520" t="str">
        <f>HYPERLINK("https://climate.onebuilding.org/WMO_Region_6_Europe/SYR_Syrian_Arab_Republic/SYR_HM_Hamah.400300_TMYx.zip")</f>
        <v>https://climate.onebuilding.org/WMO_Region_6_Europe/SYR_Syrian_Arab_Republic/SYR_HM_Hamah.400300_TMYx.zip</v>
      </c>
    </row>
    <row r="11521" spans="1:10" x14ac:dyDescent="0.25">
      <c r="A11521" t="s">
        <v>8412</v>
      </c>
      <c r="B11521" t="s">
        <v>2273</v>
      </c>
      <c r="C11521" t="s">
        <v>8432</v>
      </c>
      <c r="D11521">
        <v>400390</v>
      </c>
      <c r="E11521" t="s">
        <v>8433</v>
      </c>
      <c r="F11521">
        <v>35.933</v>
      </c>
      <c r="G11521">
        <v>39.017000000000003</v>
      </c>
      <c r="H11521">
        <v>2</v>
      </c>
      <c r="I11521">
        <v>246</v>
      </c>
      <c r="J11521" t="str">
        <f>HYPERLINK("https://climate.onebuilding.org/WMO_Region_6_Europe/SYR_Syrian_Arab_Republic/SYR_RA_Raqqah.400390_TMYx.2004-2018.zip")</f>
        <v>https://climate.onebuilding.org/WMO_Region_6_Europe/SYR_Syrian_Arab_Republic/SYR_RA_Raqqah.400390_TMYx.2004-2018.zip</v>
      </c>
    </row>
    <row r="11522" spans="1:10" x14ac:dyDescent="0.25">
      <c r="A11522" t="s">
        <v>8412</v>
      </c>
      <c r="B11522" t="s">
        <v>2273</v>
      </c>
      <c r="C11522" t="s">
        <v>8432</v>
      </c>
      <c r="D11522">
        <v>400390</v>
      </c>
      <c r="E11522" t="s">
        <v>14</v>
      </c>
      <c r="F11522">
        <v>35.933</v>
      </c>
      <c r="G11522">
        <v>39.017000000000003</v>
      </c>
      <c r="H11522">
        <v>2</v>
      </c>
      <c r="I11522">
        <v>246</v>
      </c>
      <c r="J11522" t="str">
        <f>HYPERLINK("https://climate.onebuilding.org/WMO_Region_6_Europe/SYR_Syrian_Arab_Republic/SYR_RA_Raqqah.400390_TMYx.2007-2021.zip")</f>
        <v>https://climate.onebuilding.org/WMO_Region_6_Europe/SYR_Syrian_Arab_Republic/SYR_RA_Raqqah.400390_TMYx.2007-2021.zip</v>
      </c>
    </row>
    <row r="11523" spans="1:10" x14ac:dyDescent="0.25">
      <c r="A11523" t="s">
        <v>8412</v>
      </c>
      <c r="B11523" t="s">
        <v>2273</v>
      </c>
      <c r="C11523" t="s">
        <v>8432</v>
      </c>
      <c r="D11523">
        <v>400390</v>
      </c>
      <c r="E11523" t="s">
        <v>14</v>
      </c>
      <c r="F11523">
        <v>35.933</v>
      </c>
      <c r="G11523">
        <v>39.017000000000003</v>
      </c>
      <c r="H11523">
        <v>2</v>
      </c>
      <c r="I11523">
        <v>246</v>
      </c>
      <c r="J11523" t="str">
        <f>HYPERLINK("https://climate.onebuilding.org/WMO_Region_6_Europe/SYR_Syrian_Arab_Republic/SYR_RA_Raqqah.400390_TMYx.2009-2023.zip")</f>
        <v>https://climate.onebuilding.org/WMO_Region_6_Europe/SYR_Syrian_Arab_Republic/SYR_RA_Raqqah.400390_TMYx.2009-2023.zip</v>
      </c>
    </row>
    <row r="11524" spans="1:10" x14ac:dyDescent="0.25">
      <c r="A11524" t="s">
        <v>8412</v>
      </c>
      <c r="B11524" t="s">
        <v>2273</v>
      </c>
      <c r="C11524" t="s">
        <v>8432</v>
      </c>
      <c r="D11524">
        <v>400390</v>
      </c>
      <c r="E11524" t="s">
        <v>14</v>
      </c>
      <c r="F11524">
        <v>35.933</v>
      </c>
      <c r="G11524">
        <v>39.017000000000003</v>
      </c>
      <c r="H11524">
        <v>2</v>
      </c>
      <c r="I11524">
        <v>246</v>
      </c>
      <c r="J11524" t="str">
        <f>HYPERLINK("https://climate.onebuilding.org/WMO_Region_6_Europe/SYR_Syrian_Arab_Republic/SYR_RA_Raqqah.400390_TMYx.zip")</f>
        <v>https://climate.onebuilding.org/WMO_Region_6_Europe/SYR_Syrian_Arab_Republic/SYR_RA_Raqqah.400390_TMYx.zip</v>
      </c>
    </row>
    <row r="11525" spans="1:10" x14ac:dyDescent="0.25">
      <c r="A11525" t="s">
        <v>8412</v>
      </c>
      <c r="B11525" t="s">
        <v>2263</v>
      </c>
      <c r="C11525" t="s">
        <v>8434</v>
      </c>
      <c r="D11525">
        <v>400410</v>
      </c>
      <c r="E11525" t="s">
        <v>14</v>
      </c>
      <c r="F11525">
        <v>34.933</v>
      </c>
      <c r="G11525">
        <v>36.732999999999997</v>
      </c>
      <c r="H11525">
        <v>2</v>
      </c>
      <c r="I11525">
        <v>450</v>
      </c>
      <c r="J11525" t="str">
        <f>HYPERLINK("https://climate.onebuilding.org/WMO_Region_6_Europe/SYR_Syrian_Arab_Republic/SYR_HI_Al.Rastan.400410_TMYx.zip")</f>
        <v>https://climate.onebuilding.org/WMO_Region_6_Europe/SYR_Syrian_Arab_Republic/SYR_HI_Al.Rastan.400410_TMYx.zip</v>
      </c>
    </row>
    <row r="11526" spans="1:10" x14ac:dyDescent="0.25">
      <c r="A11526" t="s">
        <v>8412</v>
      </c>
      <c r="B11526" t="s">
        <v>8435</v>
      </c>
      <c r="C11526" t="s">
        <v>8436</v>
      </c>
      <c r="D11526">
        <v>400450</v>
      </c>
      <c r="E11526" t="s">
        <v>8437</v>
      </c>
      <c r="F11526">
        <v>35.284999999999997</v>
      </c>
      <c r="G11526">
        <v>40.176000000000002</v>
      </c>
      <c r="H11526">
        <v>2</v>
      </c>
      <c r="I11526">
        <v>213.4</v>
      </c>
      <c r="J11526" t="str">
        <f>HYPERLINK("https://climate.onebuilding.org/WMO_Region_6_Europe/SYR_Syrian_Arab_Republic/SYR_DY_Deir.ez-Zur.AP.400450_TMYx.2004-2018.zip")</f>
        <v>https://climate.onebuilding.org/WMO_Region_6_Europe/SYR_Syrian_Arab_Republic/SYR_DY_Deir.ez-Zur.AP.400450_TMYx.2004-2018.zip</v>
      </c>
    </row>
    <row r="11527" spans="1:10" x14ac:dyDescent="0.25">
      <c r="A11527" t="s">
        <v>8412</v>
      </c>
      <c r="B11527" t="s">
        <v>8435</v>
      </c>
      <c r="C11527" t="s">
        <v>8436</v>
      </c>
      <c r="D11527">
        <v>400450</v>
      </c>
      <c r="E11527" t="s">
        <v>14</v>
      </c>
      <c r="F11527">
        <v>35.284999999999997</v>
      </c>
      <c r="G11527">
        <v>40.176000000000002</v>
      </c>
      <c r="H11527">
        <v>2</v>
      </c>
      <c r="I11527">
        <v>213.4</v>
      </c>
      <c r="J11527" t="str">
        <f>HYPERLINK("https://climate.onebuilding.org/WMO_Region_6_Europe/SYR_Syrian_Arab_Republic/SYR_DY_Deir.ez-Zur.AP.400450_TMYx.2007-2021.zip")</f>
        <v>https://climate.onebuilding.org/WMO_Region_6_Europe/SYR_Syrian_Arab_Republic/SYR_DY_Deir.ez-Zur.AP.400450_TMYx.2007-2021.zip</v>
      </c>
    </row>
    <row r="11528" spans="1:10" x14ac:dyDescent="0.25">
      <c r="A11528" t="s">
        <v>8412</v>
      </c>
      <c r="B11528" t="s">
        <v>8435</v>
      </c>
      <c r="C11528" t="s">
        <v>8436</v>
      </c>
      <c r="D11528">
        <v>400450</v>
      </c>
      <c r="E11528" t="s">
        <v>14</v>
      </c>
      <c r="F11528">
        <v>35.284999999999997</v>
      </c>
      <c r="G11528">
        <v>40.176000000000002</v>
      </c>
      <c r="H11528">
        <v>2</v>
      </c>
      <c r="I11528">
        <v>213.4</v>
      </c>
      <c r="J11528" t="str">
        <f>HYPERLINK("https://climate.onebuilding.org/WMO_Region_6_Europe/SYR_Syrian_Arab_Republic/SYR_DY_Deir.ez-Zur.AP.400450_TMYx.2009-2023.zip")</f>
        <v>https://climate.onebuilding.org/WMO_Region_6_Europe/SYR_Syrian_Arab_Republic/SYR_DY_Deir.ez-Zur.AP.400450_TMYx.2009-2023.zip</v>
      </c>
    </row>
    <row r="11529" spans="1:10" x14ac:dyDescent="0.25">
      <c r="A11529" t="s">
        <v>8412</v>
      </c>
      <c r="B11529" t="s">
        <v>8435</v>
      </c>
      <c r="C11529" t="s">
        <v>8436</v>
      </c>
      <c r="D11529">
        <v>400450</v>
      </c>
      <c r="E11529" t="s">
        <v>14</v>
      </c>
      <c r="F11529">
        <v>35.284999999999997</v>
      </c>
      <c r="G11529">
        <v>40.176000000000002</v>
      </c>
      <c r="H11529">
        <v>2</v>
      </c>
      <c r="I11529">
        <v>213.4</v>
      </c>
      <c r="J11529" t="str">
        <f>HYPERLINK("https://climate.onebuilding.org/WMO_Region_6_Europe/SYR_Syrian_Arab_Republic/SYR_DY_Deir.ez-Zur.AP.400450_TMYx.zip")</f>
        <v>https://climate.onebuilding.org/WMO_Region_6_Europe/SYR_Syrian_Arab_Republic/SYR_DY_Deir.ez-Zur.AP.400450_TMYx.zip</v>
      </c>
    </row>
    <row r="11530" spans="1:10" x14ac:dyDescent="0.25">
      <c r="A11530" t="s">
        <v>8412</v>
      </c>
      <c r="B11530" t="s">
        <v>2302</v>
      </c>
      <c r="C11530" t="s">
        <v>8438</v>
      </c>
      <c r="D11530">
        <v>400500</v>
      </c>
      <c r="E11530" t="s">
        <v>14</v>
      </c>
      <c r="F11530">
        <v>34.883000000000003</v>
      </c>
      <c r="G11530">
        <v>35.883000000000003</v>
      </c>
      <c r="H11530">
        <v>2</v>
      </c>
      <c r="I11530">
        <v>5</v>
      </c>
      <c r="J11530" t="str">
        <f>HYPERLINK("https://climate.onebuilding.org/WMO_Region_6_Europe/SYR_Syrian_Arab_Republic/SYR_TA_Tartus.400500_TMYx.zip")</f>
        <v>https://climate.onebuilding.org/WMO_Region_6_Europe/SYR_Syrian_Arab_Republic/SYR_TA_Tartus.400500_TMYx.zip</v>
      </c>
    </row>
    <row r="11531" spans="1:10" x14ac:dyDescent="0.25">
      <c r="A11531" t="s">
        <v>8412</v>
      </c>
      <c r="B11531" t="s">
        <v>2263</v>
      </c>
      <c r="C11531" t="s">
        <v>8439</v>
      </c>
      <c r="D11531">
        <v>400550</v>
      </c>
      <c r="E11531" t="s">
        <v>14</v>
      </c>
      <c r="F11531">
        <v>34.75</v>
      </c>
      <c r="G11531">
        <v>36.716999999999999</v>
      </c>
      <c r="H11531">
        <v>2</v>
      </c>
      <c r="I11531">
        <v>485</v>
      </c>
      <c r="J11531" t="str">
        <f>HYPERLINK("https://climate.onebuilding.org/WMO_Region_6_Europe/SYR_Syrian_Arab_Republic/SYR_HI_Homs.400550_TMYx.zip")</f>
        <v>https://climate.onebuilding.org/WMO_Region_6_Europe/SYR_Syrian_Arab_Republic/SYR_HI_Homs.400550_TMYx.zip</v>
      </c>
    </row>
    <row r="11532" spans="1:10" x14ac:dyDescent="0.25">
      <c r="A11532" t="s">
        <v>8412</v>
      </c>
      <c r="B11532" t="s">
        <v>2263</v>
      </c>
      <c r="C11532" t="s">
        <v>8440</v>
      </c>
      <c r="D11532">
        <v>400610</v>
      </c>
      <c r="E11532" t="s">
        <v>8441</v>
      </c>
      <c r="F11532">
        <v>34.557000000000002</v>
      </c>
      <c r="G11532">
        <v>38.317</v>
      </c>
      <c r="H11532">
        <v>2</v>
      </c>
      <c r="I11532">
        <v>402.9</v>
      </c>
      <c r="J11532" t="str">
        <f>HYPERLINK("https://climate.onebuilding.org/WMO_Region_6_Europe/SYR_Syrian_Arab_Republic/SYR_HI_Palmyra.AP.400610_TMYx.2004-2018.zip")</f>
        <v>https://climate.onebuilding.org/WMO_Region_6_Europe/SYR_Syrian_Arab_Republic/SYR_HI_Palmyra.AP.400610_TMYx.2004-2018.zip</v>
      </c>
    </row>
    <row r="11533" spans="1:10" x14ac:dyDescent="0.25">
      <c r="A11533" t="s">
        <v>8412</v>
      </c>
      <c r="B11533" t="s">
        <v>2263</v>
      </c>
      <c r="C11533" t="s">
        <v>8440</v>
      </c>
      <c r="D11533">
        <v>400610</v>
      </c>
      <c r="E11533" t="s">
        <v>14</v>
      </c>
      <c r="F11533">
        <v>34.557000000000002</v>
      </c>
      <c r="G11533">
        <v>38.317</v>
      </c>
      <c r="H11533">
        <v>2</v>
      </c>
      <c r="I11533">
        <v>402.9</v>
      </c>
      <c r="J11533" t="str">
        <f>HYPERLINK("https://climate.onebuilding.org/WMO_Region_6_Europe/SYR_Syrian_Arab_Republic/SYR_HI_Palmyra.AP.400610_TMYx.2007-2021.zip")</f>
        <v>https://climate.onebuilding.org/WMO_Region_6_Europe/SYR_Syrian_Arab_Republic/SYR_HI_Palmyra.AP.400610_TMYx.2007-2021.zip</v>
      </c>
    </row>
    <row r="11534" spans="1:10" x14ac:dyDescent="0.25">
      <c r="A11534" t="s">
        <v>8412</v>
      </c>
      <c r="B11534" t="s">
        <v>2263</v>
      </c>
      <c r="C11534" t="s">
        <v>8440</v>
      </c>
      <c r="D11534">
        <v>400610</v>
      </c>
      <c r="E11534" t="s">
        <v>14</v>
      </c>
      <c r="F11534">
        <v>34.557000000000002</v>
      </c>
      <c r="G11534">
        <v>38.317</v>
      </c>
      <c r="H11534">
        <v>2</v>
      </c>
      <c r="I11534">
        <v>402.9</v>
      </c>
      <c r="J11534" t="str">
        <f>HYPERLINK("https://climate.onebuilding.org/WMO_Region_6_Europe/SYR_Syrian_Arab_Republic/SYR_HI_Palmyra.AP.400610_TMYx.2009-2023.zip")</f>
        <v>https://climate.onebuilding.org/WMO_Region_6_Europe/SYR_Syrian_Arab_Republic/SYR_HI_Palmyra.AP.400610_TMYx.2009-2023.zip</v>
      </c>
    </row>
    <row r="11535" spans="1:10" x14ac:dyDescent="0.25">
      <c r="A11535" t="s">
        <v>8412</v>
      </c>
      <c r="B11535" t="s">
        <v>2263</v>
      </c>
      <c r="C11535" t="s">
        <v>8440</v>
      </c>
      <c r="D11535">
        <v>400610</v>
      </c>
      <c r="E11535" t="s">
        <v>14</v>
      </c>
      <c r="F11535">
        <v>34.557000000000002</v>
      </c>
      <c r="G11535">
        <v>38.317</v>
      </c>
      <c r="H11535">
        <v>2</v>
      </c>
      <c r="I11535">
        <v>402.9</v>
      </c>
      <c r="J11535" t="str">
        <f>HYPERLINK("https://climate.onebuilding.org/WMO_Region_6_Europe/SYR_Syrian_Arab_Republic/SYR_HI_Palmyra.AP.400610_TMYx.zip")</f>
        <v>https://climate.onebuilding.org/WMO_Region_6_Europe/SYR_Syrian_Arab_Republic/SYR_HI_Palmyra.AP.400610_TMYx.zip</v>
      </c>
    </row>
    <row r="11536" spans="1:10" x14ac:dyDescent="0.25">
      <c r="A11536" t="s">
        <v>8412</v>
      </c>
      <c r="B11536" t="s">
        <v>2302</v>
      </c>
      <c r="C11536" t="s">
        <v>8442</v>
      </c>
      <c r="D11536">
        <v>400660</v>
      </c>
      <c r="E11536" t="s">
        <v>8443</v>
      </c>
      <c r="F11536">
        <v>34.817</v>
      </c>
      <c r="G11536">
        <v>36.133000000000003</v>
      </c>
      <c r="H11536">
        <v>2</v>
      </c>
      <c r="I11536">
        <v>359</v>
      </c>
      <c r="J11536" t="str">
        <f>HYPERLINK("https://climate.onebuilding.org/WMO_Region_6_Europe/SYR_Syrian_Arab_Republic/SYR_TA_Safita.400660_TMYx.2004-2018.zip")</f>
        <v>https://climate.onebuilding.org/WMO_Region_6_Europe/SYR_Syrian_Arab_Republic/SYR_TA_Safita.400660_TMYx.2004-2018.zip</v>
      </c>
    </row>
    <row r="11537" spans="1:10" x14ac:dyDescent="0.25">
      <c r="A11537" t="s">
        <v>8412</v>
      </c>
      <c r="B11537" t="s">
        <v>2302</v>
      </c>
      <c r="C11537" t="s">
        <v>8442</v>
      </c>
      <c r="D11537">
        <v>400660</v>
      </c>
      <c r="E11537" t="s">
        <v>14</v>
      </c>
      <c r="F11537">
        <v>34.817</v>
      </c>
      <c r="G11537">
        <v>36.133000000000003</v>
      </c>
      <c r="H11537">
        <v>2</v>
      </c>
      <c r="I11537">
        <v>359</v>
      </c>
      <c r="J11537" t="str">
        <f>HYPERLINK("https://climate.onebuilding.org/WMO_Region_6_Europe/SYR_Syrian_Arab_Republic/SYR_TA_Safita.400660_TMYx.2007-2021.zip")</f>
        <v>https://climate.onebuilding.org/WMO_Region_6_Europe/SYR_Syrian_Arab_Republic/SYR_TA_Safita.400660_TMYx.2007-2021.zip</v>
      </c>
    </row>
    <row r="11538" spans="1:10" x14ac:dyDescent="0.25">
      <c r="A11538" t="s">
        <v>8412</v>
      </c>
      <c r="B11538" t="s">
        <v>2302</v>
      </c>
      <c r="C11538" t="s">
        <v>8442</v>
      </c>
      <c r="D11538">
        <v>400660</v>
      </c>
      <c r="E11538" t="s">
        <v>14</v>
      </c>
      <c r="F11538">
        <v>34.817</v>
      </c>
      <c r="G11538">
        <v>36.133000000000003</v>
      </c>
      <c r="H11538">
        <v>2</v>
      </c>
      <c r="I11538">
        <v>359</v>
      </c>
      <c r="J11538" t="str">
        <f>HYPERLINK("https://climate.onebuilding.org/WMO_Region_6_Europe/SYR_Syrian_Arab_Republic/SYR_TA_Safita.400660_TMYx.2009-2023.zip")</f>
        <v>https://climate.onebuilding.org/WMO_Region_6_Europe/SYR_Syrian_Arab_Republic/SYR_TA_Safita.400660_TMYx.2009-2023.zip</v>
      </c>
    </row>
    <row r="11539" spans="1:10" x14ac:dyDescent="0.25">
      <c r="A11539" t="s">
        <v>8412</v>
      </c>
      <c r="B11539" t="s">
        <v>2302</v>
      </c>
      <c r="C11539" t="s">
        <v>8442</v>
      </c>
      <c r="D11539">
        <v>400660</v>
      </c>
      <c r="E11539" t="s">
        <v>14</v>
      </c>
      <c r="F11539">
        <v>34.817</v>
      </c>
      <c r="G11539">
        <v>36.133000000000003</v>
      </c>
      <c r="H11539">
        <v>2</v>
      </c>
      <c r="I11539">
        <v>359</v>
      </c>
      <c r="J11539" t="str">
        <f>HYPERLINK("https://climate.onebuilding.org/WMO_Region_6_Europe/SYR_Syrian_Arab_Republic/SYR_TA_Safita.400660_TMYx.zip")</f>
        <v>https://climate.onebuilding.org/WMO_Region_6_Europe/SYR_Syrian_Arab_Republic/SYR_TA_Safita.400660_TMYx.zip</v>
      </c>
    </row>
    <row r="11540" spans="1:10" x14ac:dyDescent="0.25">
      <c r="A11540" t="s">
        <v>8412</v>
      </c>
      <c r="B11540" t="s">
        <v>8444</v>
      </c>
      <c r="C11540" t="s">
        <v>8445</v>
      </c>
      <c r="D11540">
        <v>400670</v>
      </c>
      <c r="E11540" t="s">
        <v>14</v>
      </c>
      <c r="F11540">
        <v>32.700000000000003</v>
      </c>
      <c r="G11540">
        <v>35.6</v>
      </c>
      <c r="H11540">
        <v>2</v>
      </c>
      <c r="I11540">
        <v>997</v>
      </c>
      <c r="J11540" t="str">
        <f>HYPERLINK("https://climate.onebuilding.org/WMO_Region_6_Europe/SYR_Syrian_Arab_Republic/SYR_QU_Sweida-UNDOF.400670_TMYx.zip")</f>
        <v>https://climate.onebuilding.org/WMO_Region_6_Europe/SYR_Syrian_Arab_Republic/SYR_QU_Sweida-UNDOF.400670_TMYx.zip</v>
      </c>
    </row>
    <row r="11541" spans="1:10" x14ac:dyDescent="0.25">
      <c r="A11541" t="s">
        <v>8412</v>
      </c>
      <c r="B11541" t="s">
        <v>8435</v>
      </c>
      <c r="C11541" t="s">
        <v>8446</v>
      </c>
      <c r="D11541">
        <v>400720</v>
      </c>
      <c r="E11541" t="s">
        <v>8447</v>
      </c>
      <c r="F11541">
        <v>34.417000000000002</v>
      </c>
      <c r="G11541">
        <v>40.917000000000002</v>
      </c>
      <c r="H11541">
        <v>2</v>
      </c>
      <c r="I11541">
        <v>182</v>
      </c>
      <c r="J11541" t="str">
        <f>HYPERLINK("https://climate.onebuilding.org/WMO_Region_6_Europe/SYR_Syrian_Arab_Republic/SYR_DY_Abukmal.400720_TMYx.2004-2018.zip")</f>
        <v>https://climate.onebuilding.org/WMO_Region_6_Europe/SYR_Syrian_Arab_Republic/SYR_DY_Abukmal.400720_TMYx.2004-2018.zip</v>
      </c>
    </row>
    <row r="11542" spans="1:10" x14ac:dyDescent="0.25">
      <c r="A11542" t="s">
        <v>8412</v>
      </c>
      <c r="B11542" t="s">
        <v>8435</v>
      </c>
      <c r="C11542" t="s">
        <v>8446</v>
      </c>
      <c r="D11542">
        <v>400720</v>
      </c>
      <c r="E11542" t="s">
        <v>14</v>
      </c>
      <c r="F11542">
        <v>34.417000000000002</v>
      </c>
      <c r="G11542">
        <v>40.917000000000002</v>
      </c>
      <c r="H11542">
        <v>2</v>
      </c>
      <c r="I11542">
        <v>182</v>
      </c>
      <c r="J11542" t="str">
        <f>HYPERLINK("https://climate.onebuilding.org/WMO_Region_6_Europe/SYR_Syrian_Arab_Republic/SYR_DY_Abukmal.400720_TMYx.2007-2021.zip")</f>
        <v>https://climate.onebuilding.org/WMO_Region_6_Europe/SYR_Syrian_Arab_Republic/SYR_DY_Abukmal.400720_TMYx.2007-2021.zip</v>
      </c>
    </row>
    <row r="11543" spans="1:10" x14ac:dyDescent="0.25">
      <c r="A11543" t="s">
        <v>8412</v>
      </c>
      <c r="B11543" t="s">
        <v>8435</v>
      </c>
      <c r="C11543" t="s">
        <v>8446</v>
      </c>
      <c r="D11543">
        <v>400720</v>
      </c>
      <c r="E11543" t="s">
        <v>14</v>
      </c>
      <c r="F11543">
        <v>34.417000000000002</v>
      </c>
      <c r="G11543">
        <v>40.917000000000002</v>
      </c>
      <c r="H11543">
        <v>2</v>
      </c>
      <c r="I11543">
        <v>182</v>
      </c>
      <c r="J11543" t="str">
        <f>HYPERLINK("https://climate.onebuilding.org/WMO_Region_6_Europe/SYR_Syrian_Arab_Republic/SYR_DY_Abukmal.400720_TMYx.2009-2023.zip")</f>
        <v>https://climate.onebuilding.org/WMO_Region_6_Europe/SYR_Syrian_Arab_Republic/SYR_DY_Abukmal.400720_TMYx.2009-2023.zip</v>
      </c>
    </row>
    <row r="11544" spans="1:10" x14ac:dyDescent="0.25">
      <c r="A11544" t="s">
        <v>8412</v>
      </c>
      <c r="B11544" t="s">
        <v>8435</v>
      </c>
      <c r="C11544" t="s">
        <v>8446</v>
      </c>
      <c r="D11544">
        <v>400720</v>
      </c>
      <c r="E11544" t="s">
        <v>14</v>
      </c>
      <c r="F11544">
        <v>34.417000000000002</v>
      </c>
      <c r="G11544">
        <v>40.917000000000002</v>
      </c>
      <c r="H11544">
        <v>2</v>
      </c>
      <c r="I11544">
        <v>182</v>
      </c>
      <c r="J11544" t="str">
        <f>HYPERLINK("https://climate.onebuilding.org/WMO_Region_6_Europe/SYR_Syrian_Arab_Republic/SYR_DY_Abukmal.400720_TMYx.zip")</f>
        <v>https://climate.onebuilding.org/WMO_Region_6_Europe/SYR_Syrian_Arab_Republic/SYR_DY_Abukmal.400720_TMYx.zip</v>
      </c>
    </row>
    <row r="11545" spans="1:10" x14ac:dyDescent="0.25">
      <c r="A11545" t="s">
        <v>8412</v>
      </c>
      <c r="B11545" t="s">
        <v>5636</v>
      </c>
      <c r="C11545" t="s">
        <v>8448</v>
      </c>
      <c r="D11545">
        <v>400790</v>
      </c>
      <c r="E11545" t="s">
        <v>14</v>
      </c>
      <c r="F11545">
        <v>33.482999999999997</v>
      </c>
      <c r="G11545">
        <v>36.232999999999997</v>
      </c>
      <c r="H11545">
        <v>2</v>
      </c>
      <c r="I11545">
        <v>729.1</v>
      </c>
      <c r="J11545" t="str">
        <f>HYPERLINK("https://climate.onebuilding.org/WMO_Region_6_Europe/SYR_Syrian_Arab_Republic/SYR_DI_Damascus-Dimashq.AP.400790_TMYx.zip")</f>
        <v>https://climate.onebuilding.org/WMO_Region_6_Europe/SYR_Syrian_Arab_Republic/SYR_DI_Damascus-Dimashq.AP.400790_TMYx.zip</v>
      </c>
    </row>
    <row r="11546" spans="1:10" x14ac:dyDescent="0.25">
      <c r="A11546" t="s">
        <v>8412</v>
      </c>
      <c r="B11546" t="s">
        <v>5636</v>
      </c>
      <c r="C11546" t="s">
        <v>8449</v>
      </c>
      <c r="D11546">
        <v>400800</v>
      </c>
      <c r="E11546" t="s">
        <v>8450</v>
      </c>
      <c r="F11546">
        <v>33.411999999999999</v>
      </c>
      <c r="G11546">
        <v>36.515999999999998</v>
      </c>
      <c r="H11546">
        <v>2</v>
      </c>
      <c r="I11546">
        <v>615.70000000000005</v>
      </c>
      <c r="J11546" t="str">
        <f>HYPERLINK("https://climate.onebuilding.org/WMO_Region_6_Europe/SYR_Syrian_Arab_Republic/SYR_DI_Damascus.Intl.AP.400800_TMYx.2004-2018.zip")</f>
        <v>https://climate.onebuilding.org/WMO_Region_6_Europe/SYR_Syrian_Arab_Republic/SYR_DI_Damascus.Intl.AP.400800_TMYx.2004-2018.zip</v>
      </c>
    </row>
    <row r="11547" spans="1:10" x14ac:dyDescent="0.25">
      <c r="A11547" t="s">
        <v>8412</v>
      </c>
      <c r="B11547" t="s">
        <v>5636</v>
      </c>
      <c r="C11547" t="s">
        <v>8449</v>
      </c>
      <c r="D11547">
        <v>400800</v>
      </c>
      <c r="E11547" t="s">
        <v>14</v>
      </c>
      <c r="F11547">
        <v>33.411999999999999</v>
      </c>
      <c r="G11547">
        <v>36.515999999999998</v>
      </c>
      <c r="H11547">
        <v>2</v>
      </c>
      <c r="I11547">
        <v>615.70000000000005</v>
      </c>
      <c r="J11547" t="str">
        <f>HYPERLINK("https://climate.onebuilding.org/WMO_Region_6_Europe/SYR_Syrian_Arab_Republic/SYR_DI_Damascus.Intl.AP.400800_TMYx.2007-2021.zip")</f>
        <v>https://climate.onebuilding.org/WMO_Region_6_Europe/SYR_Syrian_Arab_Republic/SYR_DI_Damascus.Intl.AP.400800_TMYx.2007-2021.zip</v>
      </c>
    </row>
    <row r="11548" spans="1:10" x14ac:dyDescent="0.25">
      <c r="A11548" t="s">
        <v>8412</v>
      </c>
      <c r="B11548" t="s">
        <v>5636</v>
      </c>
      <c r="C11548" t="s">
        <v>8449</v>
      </c>
      <c r="D11548">
        <v>400800</v>
      </c>
      <c r="E11548" t="s">
        <v>14</v>
      </c>
      <c r="F11548">
        <v>33.411999999999999</v>
      </c>
      <c r="G11548">
        <v>36.515999999999998</v>
      </c>
      <c r="H11548">
        <v>2</v>
      </c>
      <c r="I11548">
        <v>615.70000000000005</v>
      </c>
      <c r="J11548" t="str">
        <f>HYPERLINK("https://climate.onebuilding.org/WMO_Region_6_Europe/SYR_Syrian_Arab_Republic/SYR_DI_Damascus.Intl.AP.400800_TMYx.2009-2023.zip")</f>
        <v>https://climate.onebuilding.org/WMO_Region_6_Europe/SYR_Syrian_Arab_Republic/SYR_DI_Damascus.Intl.AP.400800_TMYx.2009-2023.zip</v>
      </c>
    </row>
    <row r="11549" spans="1:10" x14ac:dyDescent="0.25">
      <c r="A11549" t="s">
        <v>8412</v>
      </c>
      <c r="B11549" t="s">
        <v>5636</v>
      </c>
      <c r="C11549" t="s">
        <v>8449</v>
      </c>
      <c r="D11549">
        <v>400800</v>
      </c>
      <c r="E11549" t="s">
        <v>14</v>
      </c>
      <c r="F11549">
        <v>33.411999999999999</v>
      </c>
      <c r="G11549">
        <v>36.515999999999998</v>
      </c>
      <c r="H11549">
        <v>2</v>
      </c>
      <c r="I11549">
        <v>615.70000000000005</v>
      </c>
      <c r="J11549" t="str">
        <f>HYPERLINK("https://climate.onebuilding.org/WMO_Region_6_Europe/SYR_Syrian_Arab_Republic/SYR_DI_Damascus.Intl.AP.400800_TMYx.zip")</f>
        <v>https://climate.onebuilding.org/WMO_Region_6_Europe/SYR_Syrian_Arab_Republic/SYR_DI_Damascus.Intl.AP.400800_TMYx.zip</v>
      </c>
    </row>
    <row r="11550" spans="1:10" x14ac:dyDescent="0.25">
      <c r="A11550" t="s">
        <v>8412</v>
      </c>
      <c r="B11550" t="s">
        <v>8451</v>
      </c>
      <c r="C11550" t="s">
        <v>8452</v>
      </c>
      <c r="D11550">
        <v>400830</v>
      </c>
      <c r="E11550" t="s">
        <v>8453</v>
      </c>
      <c r="F11550">
        <v>34.033000000000001</v>
      </c>
      <c r="G11550">
        <v>36.716999999999999</v>
      </c>
      <c r="H11550">
        <v>2</v>
      </c>
      <c r="I11550">
        <v>1333</v>
      </c>
      <c r="J11550" t="str">
        <f>HYPERLINK("https://climate.onebuilding.org/WMO_Region_6_Europe/SYR_Syrian_Arab_Republic/SYR_RD_Nabk.400830_TMYx.2004-2018.zip")</f>
        <v>https://climate.onebuilding.org/WMO_Region_6_Europe/SYR_Syrian_Arab_Republic/SYR_RD_Nabk.400830_TMYx.2004-2018.zip</v>
      </c>
    </row>
    <row r="11551" spans="1:10" x14ac:dyDescent="0.25">
      <c r="A11551" t="s">
        <v>8412</v>
      </c>
      <c r="B11551" t="s">
        <v>8451</v>
      </c>
      <c r="C11551" t="s">
        <v>8452</v>
      </c>
      <c r="D11551">
        <v>400830</v>
      </c>
      <c r="E11551" t="s">
        <v>14</v>
      </c>
      <c r="F11551">
        <v>34.033000000000001</v>
      </c>
      <c r="G11551">
        <v>36.716999999999999</v>
      </c>
      <c r="H11551">
        <v>2</v>
      </c>
      <c r="I11551">
        <v>1333</v>
      </c>
      <c r="J11551" t="str">
        <f>HYPERLINK("https://climate.onebuilding.org/WMO_Region_6_Europe/SYR_Syrian_Arab_Republic/SYR_RD_Nabk.400830_TMYx.2007-2021.zip")</f>
        <v>https://climate.onebuilding.org/WMO_Region_6_Europe/SYR_Syrian_Arab_Republic/SYR_RD_Nabk.400830_TMYx.2007-2021.zip</v>
      </c>
    </row>
    <row r="11552" spans="1:10" x14ac:dyDescent="0.25">
      <c r="A11552" t="s">
        <v>8412</v>
      </c>
      <c r="B11552" t="s">
        <v>8451</v>
      </c>
      <c r="C11552" t="s">
        <v>8452</v>
      </c>
      <c r="D11552">
        <v>400830</v>
      </c>
      <c r="E11552" t="s">
        <v>14</v>
      </c>
      <c r="F11552">
        <v>34.033000000000001</v>
      </c>
      <c r="G11552">
        <v>36.716999999999999</v>
      </c>
      <c r="H11552">
        <v>2</v>
      </c>
      <c r="I11552">
        <v>1333</v>
      </c>
      <c r="J11552" t="str">
        <f>HYPERLINK("https://climate.onebuilding.org/WMO_Region_6_Europe/SYR_Syrian_Arab_Republic/SYR_RD_Nabk.400830_TMYx.2009-2023.zip")</f>
        <v>https://climate.onebuilding.org/WMO_Region_6_Europe/SYR_Syrian_Arab_Republic/SYR_RD_Nabk.400830_TMYx.2009-2023.zip</v>
      </c>
    </row>
    <row r="11553" spans="1:10" x14ac:dyDescent="0.25">
      <c r="A11553" t="s">
        <v>8412</v>
      </c>
      <c r="B11553" t="s">
        <v>8451</v>
      </c>
      <c r="C11553" t="s">
        <v>8452</v>
      </c>
      <c r="D11553">
        <v>400830</v>
      </c>
      <c r="E11553" t="s">
        <v>14</v>
      </c>
      <c r="F11553">
        <v>34.033000000000001</v>
      </c>
      <c r="G11553">
        <v>36.716999999999999</v>
      </c>
      <c r="H11553">
        <v>2</v>
      </c>
      <c r="I11553">
        <v>1333</v>
      </c>
      <c r="J11553" t="str">
        <f>HYPERLINK("https://climate.onebuilding.org/WMO_Region_6_Europe/SYR_Syrian_Arab_Republic/SYR_RD_Nabk.400830_TMYx.zip")</f>
        <v>https://climate.onebuilding.org/WMO_Region_6_Europe/SYR_Syrian_Arab_Republic/SYR_RD_Nabk.400830_TMYx.zip</v>
      </c>
    </row>
    <row r="11554" spans="1:10" x14ac:dyDescent="0.25">
      <c r="A11554" t="s">
        <v>8412</v>
      </c>
      <c r="B11554" t="s">
        <v>2263</v>
      </c>
      <c r="C11554" t="s">
        <v>8454</v>
      </c>
      <c r="D11554">
        <v>400850</v>
      </c>
      <c r="E11554" t="s">
        <v>14</v>
      </c>
      <c r="F11554">
        <v>33.783000000000001</v>
      </c>
      <c r="G11554">
        <v>37.700000000000003</v>
      </c>
      <c r="H11554">
        <v>2</v>
      </c>
      <c r="I11554">
        <v>825</v>
      </c>
      <c r="J11554" t="str">
        <f>HYPERLINK("https://climate.onebuilding.org/WMO_Region_6_Europe/SYR_Syrian_Arab_Republic/SYR_HI_Sabe.Abar.400850_TMYx.zip")</f>
        <v>https://climate.onebuilding.org/WMO_Region_6_Europe/SYR_Syrian_Arab_Republic/SYR_HI_Sabe.Abar.400850_TMYx.zip</v>
      </c>
    </row>
    <row r="11555" spans="1:10" x14ac:dyDescent="0.25">
      <c r="A11555" t="s">
        <v>8412</v>
      </c>
      <c r="B11555" t="s">
        <v>2263</v>
      </c>
      <c r="C11555" t="s">
        <v>8455</v>
      </c>
      <c r="D11555">
        <v>400870</v>
      </c>
      <c r="E11555" t="s">
        <v>14</v>
      </c>
      <c r="F11555">
        <v>33.482999999999997</v>
      </c>
      <c r="G11555">
        <v>38.667000000000002</v>
      </c>
      <c r="H11555">
        <v>2</v>
      </c>
      <c r="I11555">
        <v>708</v>
      </c>
      <c r="J11555" t="str">
        <f>HYPERLINK("https://climate.onebuilding.org/WMO_Region_6_Europe/SYR_Syrian_Arab_Republic/SYR_HI_Jabal.Ettanf.400870_TMYx.2007-2021.zip")</f>
        <v>https://climate.onebuilding.org/WMO_Region_6_Europe/SYR_Syrian_Arab_Republic/SYR_HI_Jabal.Ettanf.400870_TMYx.2007-2021.zip</v>
      </c>
    </row>
    <row r="11556" spans="1:10" x14ac:dyDescent="0.25">
      <c r="A11556" t="s">
        <v>8412</v>
      </c>
      <c r="B11556" t="s">
        <v>2263</v>
      </c>
      <c r="C11556" t="s">
        <v>8455</v>
      </c>
      <c r="D11556">
        <v>400870</v>
      </c>
      <c r="E11556" t="s">
        <v>14</v>
      </c>
      <c r="F11556">
        <v>33.482999999999997</v>
      </c>
      <c r="G11556">
        <v>38.667000000000002</v>
      </c>
      <c r="H11556">
        <v>2</v>
      </c>
      <c r="I11556">
        <v>708</v>
      </c>
      <c r="J11556" t="str">
        <f>HYPERLINK("https://climate.onebuilding.org/WMO_Region_6_Europe/SYR_Syrian_Arab_Republic/SYR_HI_Jabal.Ettanf.400870_TMYx.zip")</f>
        <v>https://climate.onebuilding.org/WMO_Region_6_Europe/SYR_Syrian_Arab_Republic/SYR_HI_Jabal.Ettanf.400870_TMYx.zip</v>
      </c>
    </row>
    <row r="11557" spans="1:10" x14ac:dyDescent="0.25">
      <c r="A11557" t="s">
        <v>8412</v>
      </c>
      <c r="B11557" t="s">
        <v>8444</v>
      </c>
      <c r="C11557" t="s">
        <v>8456</v>
      </c>
      <c r="D11557">
        <v>400910</v>
      </c>
      <c r="E11557" t="s">
        <v>14</v>
      </c>
      <c r="F11557">
        <v>32.767000000000003</v>
      </c>
      <c r="G11557">
        <v>35.700000000000003</v>
      </c>
      <c r="H11557">
        <v>2</v>
      </c>
      <c r="I11557">
        <v>339</v>
      </c>
      <c r="J11557" t="str">
        <f>HYPERLINK("https://climate.onebuilding.org/WMO_Region_6_Europe/SYR_Syrian_Arab_Republic/SYR_QU_Fiq.400910_TMYx.zip")</f>
        <v>https://climate.onebuilding.org/WMO_Region_6_Europe/SYR_Syrian_Arab_Republic/SYR_QU_Fiq.400910_TMYx.zip</v>
      </c>
    </row>
    <row r="11558" spans="1:10" x14ac:dyDescent="0.25">
      <c r="A11558" t="s">
        <v>8412</v>
      </c>
      <c r="B11558" t="s">
        <v>5879</v>
      </c>
      <c r="C11558" t="s">
        <v>8457</v>
      </c>
      <c r="D11558">
        <v>400950</v>
      </c>
      <c r="E11558" t="s">
        <v>8458</v>
      </c>
      <c r="F11558">
        <v>32.6</v>
      </c>
      <c r="G11558">
        <v>36.1</v>
      </c>
      <c r="H11558">
        <v>2</v>
      </c>
      <c r="I11558">
        <v>543</v>
      </c>
      <c r="J11558" t="str">
        <f>HYPERLINK("https://climate.onebuilding.org/WMO_Region_6_Europe/SYR_Syrian_Arab_Republic/SYR_DR_Daraa.400950_TMYx.2004-2018.zip")</f>
        <v>https://climate.onebuilding.org/WMO_Region_6_Europe/SYR_Syrian_Arab_Republic/SYR_DR_Daraa.400950_TMYx.2004-2018.zip</v>
      </c>
    </row>
    <row r="11559" spans="1:10" x14ac:dyDescent="0.25">
      <c r="A11559" t="s">
        <v>8412</v>
      </c>
      <c r="B11559" t="s">
        <v>5879</v>
      </c>
      <c r="C11559" t="s">
        <v>8457</v>
      </c>
      <c r="D11559">
        <v>400950</v>
      </c>
      <c r="E11559" t="s">
        <v>14</v>
      </c>
      <c r="F11559">
        <v>32.6</v>
      </c>
      <c r="G11559">
        <v>36.1</v>
      </c>
      <c r="H11559">
        <v>2</v>
      </c>
      <c r="I11559">
        <v>543</v>
      </c>
      <c r="J11559" t="str">
        <f>HYPERLINK("https://climate.onebuilding.org/WMO_Region_6_Europe/SYR_Syrian_Arab_Republic/SYR_DR_Daraa.400950_TMYx.2007-2021.zip")</f>
        <v>https://climate.onebuilding.org/WMO_Region_6_Europe/SYR_Syrian_Arab_Republic/SYR_DR_Daraa.400950_TMYx.2007-2021.zip</v>
      </c>
    </row>
    <row r="11560" spans="1:10" x14ac:dyDescent="0.25">
      <c r="A11560" t="s">
        <v>8412</v>
      </c>
      <c r="B11560" t="s">
        <v>5879</v>
      </c>
      <c r="C11560" t="s">
        <v>8457</v>
      </c>
      <c r="D11560">
        <v>400950</v>
      </c>
      <c r="E11560" t="s">
        <v>14</v>
      </c>
      <c r="F11560">
        <v>32.6</v>
      </c>
      <c r="G11560">
        <v>36.1</v>
      </c>
      <c r="H11560">
        <v>2</v>
      </c>
      <c r="I11560">
        <v>543</v>
      </c>
      <c r="J11560" t="str">
        <f>HYPERLINK("https://climate.onebuilding.org/WMO_Region_6_Europe/SYR_Syrian_Arab_Republic/SYR_DR_Daraa.400950_TMYx.zip")</f>
        <v>https://climate.onebuilding.org/WMO_Region_6_Europe/SYR_Syrian_Arab_Republic/SYR_DR_Daraa.400950_TMYx.zip</v>
      </c>
    </row>
    <row r="11561" spans="1:10" x14ac:dyDescent="0.25">
      <c r="A11561" t="s">
        <v>8459</v>
      </c>
      <c r="B11561" t="s">
        <v>536</v>
      </c>
      <c r="C11561" t="s">
        <v>8460</v>
      </c>
      <c r="D11561">
        <v>170200</v>
      </c>
      <c r="E11561" t="s">
        <v>8461</v>
      </c>
      <c r="F11561">
        <v>41.633000000000003</v>
      </c>
      <c r="G11561">
        <v>32.332999999999998</v>
      </c>
      <c r="H11561">
        <v>3</v>
      </c>
      <c r="I11561">
        <v>33</v>
      </c>
      <c r="J11561" t="str">
        <f>HYPERLINK("https://climate.onebuilding.org/WMO_Region_6_Europe/TUR_Turkey/BR_Bartin/TUR_BR_Bartin.170200_TMYx.2004-2018.zip")</f>
        <v>https://climate.onebuilding.org/WMO_Region_6_Europe/TUR_Turkey/BR_Bartin/TUR_BR_Bartin.170200_TMYx.2004-2018.zip</v>
      </c>
    </row>
    <row r="11562" spans="1:10" x14ac:dyDescent="0.25">
      <c r="A11562" t="s">
        <v>8459</v>
      </c>
      <c r="B11562" t="s">
        <v>536</v>
      </c>
      <c r="C11562" t="s">
        <v>8460</v>
      </c>
      <c r="D11562">
        <v>170200</v>
      </c>
      <c r="E11562" t="s">
        <v>14</v>
      </c>
      <c r="F11562">
        <v>41.633000000000003</v>
      </c>
      <c r="G11562">
        <v>32.332999999999998</v>
      </c>
      <c r="H11562">
        <v>3</v>
      </c>
      <c r="I11562">
        <v>33</v>
      </c>
      <c r="J11562" t="str">
        <f>HYPERLINK("https://climate.onebuilding.org/WMO_Region_6_Europe/TUR_Turkey/BR_Bartin/TUR_BR_Bartin.170200_TMYx.2007-2021.zip")</f>
        <v>https://climate.onebuilding.org/WMO_Region_6_Europe/TUR_Turkey/BR_Bartin/TUR_BR_Bartin.170200_TMYx.2007-2021.zip</v>
      </c>
    </row>
    <row r="11563" spans="1:10" x14ac:dyDescent="0.25">
      <c r="A11563" t="s">
        <v>8459</v>
      </c>
      <c r="B11563" t="s">
        <v>536</v>
      </c>
      <c r="C11563" t="s">
        <v>8460</v>
      </c>
      <c r="D11563">
        <v>170200</v>
      </c>
      <c r="E11563" t="s">
        <v>14</v>
      </c>
      <c r="F11563">
        <v>41.633000000000003</v>
      </c>
      <c r="G11563">
        <v>32.332999999999998</v>
      </c>
      <c r="H11563">
        <v>3</v>
      </c>
      <c r="I11563">
        <v>33</v>
      </c>
      <c r="J11563" t="str">
        <f>HYPERLINK("https://climate.onebuilding.org/WMO_Region_6_Europe/TUR_Turkey/BR_Bartin/TUR_BR_Bartin.170200_TMYx.2009-2023.zip")</f>
        <v>https://climate.onebuilding.org/WMO_Region_6_Europe/TUR_Turkey/BR_Bartin/TUR_BR_Bartin.170200_TMYx.2009-2023.zip</v>
      </c>
    </row>
    <row r="11564" spans="1:10" x14ac:dyDescent="0.25">
      <c r="A11564" t="s">
        <v>8459</v>
      </c>
      <c r="B11564" t="s">
        <v>536</v>
      </c>
      <c r="C11564" t="s">
        <v>8460</v>
      </c>
      <c r="D11564">
        <v>170200</v>
      </c>
      <c r="E11564" t="s">
        <v>14</v>
      </c>
      <c r="F11564">
        <v>41.633000000000003</v>
      </c>
      <c r="G11564">
        <v>32.332999999999998</v>
      </c>
      <c r="H11564">
        <v>3</v>
      </c>
      <c r="I11564">
        <v>33</v>
      </c>
      <c r="J11564" t="str">
        <f>HYPERLINK("https://climate.onebuilding.org/WMO_Region_6_Europe/TUR_Turkey/BR_Bartin/TUR_BR_Bartin.170200_TMYx.zip")</f>
        <v>https://climate.onebuilding.org/WMO_Region_6_Europe/TUR_Turkey/BR_Bartin/TUR_BR_Bartin.170200_TMYx.zip</v>
      </c>
    </row>
    <row r="11565" spans="1:10" x14ac:dyDescent="0.25">
      <c r="A11565" t="s">
        <v>8459</v>
      </c>
      <c r="B11565" t="s">
        <v>8462</v>
      </c>
      <c r="C11565" t="s">
        <v>8463</v>
      </c>
      <c r="D11565">
        <v>170220</v>
      </c>
      <c r="E11565" t="s">
        <v>8464</v>
      </c>
      <c r="F11565">
        <v>41.45</v>
      </c>
      <c r="G11565">
        <v>31.8</v>
      </c>
      <c r="H11565">
        <v>3</v>
      </c>
      <c r="I11565">
        <v>137</v>
      </c>
      <c r="J11565" t="str">
        <f>HYPERLINK("https://climate.onebuilding.org/WMO_Region_6_Europe/TUR_Turkey/ZO_Zonguldak/TUR_ZO_Zonguldak.170220_TMYx.2004-2018.zip")</f>
        <v>https://climate.onebuilding.org/WMO_Region_6_Europe/TUR_Turkey/ZO_Zonguldak/TUR_ZO_Zonguldak.170220_TMYx.2004-2018.zip</v>
      </c>
    </row>
    <row r="11566" spans="1:10" x14ac:dyDescent="0.25">
      <c r="A11566" t="s">
        <v>8459</v>
      </c>
      <c r="B11566" t="s">
        <v>8462</v>
      </c>
      <c r="C11566" t="s">
        <v>8463</v>
      </c>
      <c r="D11566">
        <v>170220</v>
      </c>
      <c r="E11566" t="s">
        <v>14</v>
      </c>
      <c r="F11566">
        <v>41.4495</v>
      </c>
      <c r="G11566">
        <v>31.778500000000001</v>
      </c>
      <c r="H11566">
        <v>3</v>
      </c>
      <c r="I11566">
        <v>137</v>
      </c>
      <c r="J11566" t="str">
        <f>HYPERLINK("https://climate.onebuilding.org/WMO_Region_6_Europe/TUR_Turkey/ZO_Zonguldak/TUR_ZO_Zonguldak.170220_TMYx.2007-2021.zip")</f>
        <v>https://climate.onebuilding.org/WMO_Region_6_Europe/TUR_Turkey/ZO_Zonguldak/TUR_ZO_Zonguldak.170220_TMYx.2007-2021.zip</v>
      </c>
    </row>
    <row r="11567" spans="1:10" x14ac:dyDescent="0.25">
      <c r="A11567" t="s">
        <v>8459</v>
      </c>
      <c r="B11567" t="s">
        <v>8462</v>
      </c>
      <c r="C11567" t="s">
        <v>8463</v>
      </c>
      <c r="D11567">
        <v>170220</v>
      </c>
      <c r="E11567" t="s">
        <v>14</v>
      </c>
      <c r="F11567">
        <v>41.4495</v>
      </c>
      <c r="G11567">
        <v>31.778500000000001</v>
      </c>
      <c r="H11567">
        <v>3</v>
      </c>
      <c r="I11567">
        <v>137</v>
      </c>
      <c r="J11567" t="str">
        <f>HYPERLINK("https://climate.onebuilding.org/WMO_Region_6_Europe/TUR_Turkey/ZO_Zonguldak/TUR_ZO_Zonguldak.170220_TMYx.2009-2023.zip")</f>
        <v>https://climate.onebuilding.org/WMO_Region_6_Europe/TUR_Turkey/ZO_Zonguldak/TUR_ZO_Zonguldak.170220_TMYx.2009-2023.zip</v>
      </c>
    </row>
    <row r="11568" spans="1:10" x14ac:dyDescent="0.25">
      <c r="A11568" t="s">
        <v>8459</v>
      </c>
      <c r="B11568" t="s">
        <v>8462</v>
      </c>
      <c r="C11568" t="s">
        <v>8463</v>
      </c>
      <c r="D11568">
        <v>170220</v>
      </c>
      <c r="E11568" t="s">
        <v>14</v>
      </c>
      <c r="F11568">
        <v>41.4495</v>
      </c>
      <c r="G11568">
        <v>31.778500000000001</v>
      </c>
      <c r="H11568">
        <v>3</v>
      </c>
      <c r="I11568">
        <v>137</v>
      </c>
      <c r="J11568" t="str">
        <f>HYPERLINK("https://climate.onebuilding.org/WMO_Region_6_Europe/TUR_Turkey/ZO_Zonguldak/TUR_ZO_Zonguldak.170220_TMYx.zip")</f>
        <v>https://climate.onebuilding.org/WMO_Region_6_Europe/TUR_Turkey/ZO_Zonguldak/TUR_ZO_Zonguldak.170220_TMYx.zip</v>
      </c>
    </row>
    <row r="11569" spans="1:10" x14ac:dyDescent="0.25">
      <c r="A11569" t="s">
        <v>8459</v>
      </c>
      <c r="B11569" t="s">
        <v>2155</v>
      </c>
      <c r="C11569" t="s">
        <v>8465</v>
      </c>
      <c r="D11569">
        <v>170223</v>
      </c>
      <c r="E11569" t="s">
        <v>14</v>
      </c>
      <c r="F11569">
        <v>41</v>
      </c>
      <c r="G11569">
        <v>29.216999999999999</v>
      </c>
      <c r="H11569">
        <v>3</v>
      </c>
      <c r="I11569">
        <v>121.9</v>
      </c>
      <c r="J11569" t="str">
        <f>HYPERLINK("https://climate.onebuilding.org/WMO_Region_6_Europe/TUR_Turkey/IB_Istanbul/TUR_IB_Samandira.Intl.AP.170223_TMYx.2007-2021.zip")</f>
        <v>https://climate.onebuilding.org/WMO_Region_6_Europe/TUR_Turkey/IB_Istanbul/TUR_IB_Samandira.Intl.AP.170223_TMYx.2007-2021.zip</v>
      </c>
    </row>
    <row r="11570" spans="1:10" x14ac:dyDescent="0.25">
      <c r="A11570" t="s">
        <v>8459</v>
      </c>
      <c r="B11570" t="s">
        <v>2155</v>
      </c>
      <c r="C11570" t="s">
        <v>8465</v>
      </c>
      <c r="D11570">
        <v>170223</v>
      </c>
      <c r="E11570" t="s">
        <v>14</v>
      </c>
      <c r="F11570">
        <v>41</v>
      </c>
      <c r="G11570">
        <v>29.216999999999999</v>
      </c>
      <c r="H11570">
        <v>3</v>
      </c>
      <c r="I11570">
        <v>121.9</v>
      </c>
      <c r="J11570" t="str">
        <f>HYPERLINK("https://climate.onebuilding.org/WMO_Region_6_Europe/TUR_Turkey/IB_Istanbul/TUR_IB_Samandira.Intl.AP.170223_TMYx.2009-2023.zip")</f>
        <v>https://climate.onebuilding.org/WMO_Region_6_Europe/TUR_Turkey/IB_Istanbul/TUR_IB_Samandira.Intl.AP.170223_TMYx.2009-2023.zip</v>
      </c>
    </row>
    <row r="11571" spans="1:10" x14ac:dyDescent="0.25">
      <c r="A11571" t="s">
        <v>8459</v>
      </c>
      <c r="B11571" t="s">
        <v>2155</v>
      </c>
      <c r="C11571" t="s">
        <v>8465</v>
      </c>
      <c r="D11571">
        <v>170223</v>
      </c>
      <c r="E11571" t="s">
        <v>14</v>
      </c>
      <c r="F11571">
        <v>41</v>
      </c>
      <c r="G11571">
        <v>29.216999999999999</v>
      </c>
      <c r="H11571">
        <v>3</v>
      </c>
      <c r="I11571">
        <v>121.9</v>
      </c>
      <c r="J11571" t="str">
        <f>HYPERLINK("https://climate.onebuilding.org/WMO_Region_6_Europe/TUR_Turkey/IB_Istanbul/TUR_IB_Samandira.Intl.AP.170223_TMYx.zip")</f>
        <v>https://climate.onebuilding.org/WMO_Region_6_Europe/TUR_Turkey/IB_Istanbul/TUR_IB_Samandira.Intl.AP.170223_TMYx.zip</v>
      </c>
    </row>
    <row r="11572" spans="1:10" x14ac:dyDescent="0.25">
      <c r="A11572" t="s">
        <v>8459</v>
      </c>
      <c r="B11572" t="s">
        <v>8466</v>
      </c>
      <c r="C11572" t="s">
        <v>8467</v>
      </c>
      <c r="D11572">
        <v>170240</v>
      </c>
      <c r="E11572" t="s">
        <v>8468</v>
      </c>
      <c r="F11572">
        <v>41.982999999999997</v>
      </c>
      <c r="G11572">
        <v>33.783000000000001</v>
      </c>
      <c r="H11572">
        <v>3</v>
      </c>
      <c r="I11572">
        <v>64</v>
      </c>
      <c r="J11572" t="str">
        <f>HYPERLINK("https://climate.onebuilding.org/WMO_Region_6_Europe/TUR_Turkey/KS_Kastamonu/TUR_KS_Inebolu.170240_TMYx.2004-2018.zip")</f>
        <v>https://climate.onebuilding.org/WMO_Region_6_Europe/TUR_Turkey/KS_Kastamonu/TUR_KS_Inebolu.170240_TMYx.2004-2018.zip</v>
      </c>
    </row>
    <row r="11573" spans="1:10" x14ac:dyDescent="0.25">
      <c r="A11573" t="s">
        <v>8459</v>
      </c>
      <c r="B11573" t="s">
        <v>8466</v>
      </c>
      <c r="C11573" t="s">
        <v>8467</v>
      </c>
      <c r="D11573">
        <v>170240</v>
      </c>
      <c r="E11573" t="s">
        <v>14</v>
      </c>
      <c r="F11573">
        <v>41.978900000000003</v>
      </c>
      <c r="G11573">
        <v>33.762900000000002</v>
      </c>
      <c r="H11573">
        <v>3</v>
      </c>
      <c r="I11573">
        <v>64</v>
      </c>
      <c r="J11573" t="str">
        <f>HYPERLINK("https://climate.onebuilding.org/WMO_Region_6_Europe/TUR_Turkey/KS_Kastamonu/TUR_KS_Inebolu.170240_TMYx.2007-2021.zip")</f>
        <v>https://climate.onebuilding.org/WMO_Region_6_Europe/TUR_Turkey/KS_Kastamonu/TUR_KS_Inebolu.170240_TMYx.2007-2021.zip</v>
      </c>
    </row>
    <row r="11574" spans="1:10" x14ac:dyDescent="0.25">
      <c r="A11574" t="s">
        <v>8459</v>
      </c>
      <c r="B11574" t="s">
        <v>8466</v>
      </c>
      <c r="C11574" t="s">
        <v>8467</v>
      </c>
      <c r="D11574">
        <v>170240</v>
      </c>
      <c r="E11574" t="s">
        <v>14</v>
      </c>
      <c r="F11574">
        <v>41.978900000000003</v>
      </c>
      <c r="G11574">
        <v>33.762900000000002</v>
      </c>
      <c r="H11574">
        <v>3</v>
      </c>
      <c r="I11574">
        <v>64</v>
      </c>
      <c r="J11574" t="str">
        <f>HYPERLINK("https://climate.onebuilding.org/WMO_Region_6_Europe/TUR_Turkey/KS_Kastamonu/TUR_KS_Inebolu.170240_TMYx.2009-2023.zip")</f>
        <v>https://climate.onebuilding.org/WMO_Region_6_Europe/TUR_Turkey/KS_Kastamonu/TUR_KS_Inebolu.170240_TMYx.2009-2023.zip</v>
      </c>
    </row>
    <row r="11575" spans="1:10" x14ac:dyDescent="0.25">
      <c r="A11575" t="s">
        <v>8459</v>
      </c>
      <c r="B11575" t="s">
        <v>8466</v>
      </c>
      <c r="C11575" t="s">
        <v>8467</v>
      </c>
      <c r="D11575">
        <v>170240</v>
      </c>
      <c r="E11575" t="s">
        <v>14</v>
      </c>
      <c r="F11575">
        <v>41.978900000000003</v>
      </c>
      <c r="G11575">
        <v>33.762900000000002</v>
      </c>
      <c r="H11575">
        <v>3</v>
      </c>
      <c r="I11575">
        <v>64</v>
      </c>
      <c r="J11575" t="str">
        <f>HYPERLINK("https://climate.onebuilding.org/WMO_Region_6_Europe/TUR_Turkey/KS_Kastamonu/TUR_KS_Inebolu.170240_TMYx.zip")</f>
        <v>https://climate.onebuilding.org/WMO_Region_6_Europe/TUR_Turkey/KS_Kastamonu/TUR_KS_Inebolu.170240_TMYx.zip</v>
      </c>
    </row>
    <row r="11576" spans="1:10" x14ac:dyDescent="0.25">
      <c r="A11576" t="s">
        <v>8459</v>
      </c>
      <c r="B11576" t="s">
        <v>4938</v>
      </c>
      <c r="C11576" t="s">
        <v>8469</v>
      </c>
      <c r="D11576">
        <v>170260</v>
      </c>
      <c r="E11576" t="s">
        <v>8470</v>
      </c>
      <c r="F11576">
        <v>42.033000000000001</v>
      </c>
      <c r="G11576">
        <v>35.167000000000002</v>
      </c>
      <c r="H11576">
        <v>3</v>
      </c>
      <c r="I11576">
        <v>32</v>
      </c>
      <c r="J11576" t="str">
        <f>HYPERLINK("https://climate.onebuilding.org/WMO_Region_6_Europe/TUR_Turkey/SP_Sinop/TUR_SP_Sinop.170260_TMYx.2004-2018.zip")</f>
        <v>https://climate.onebuilding.org/WMO_Region_6_Europe/TUR_Turkey/SP_Sinop/TUR_SP_Sinop.170260_TMYx.2004-2018.zip</v>
      </c>
    </row>
    <row r="11577" spans="1:10" x14ac:dyDescent="0.25">
      <c r="A11577" t="s">
        <v>8459</v>
      </c>
      <c r="B11577" t="s">
        <v>4938</v>
      </c>
      <c r="C11577" t="s">
        <v>8469</v>
      </c>
      <c r="D11577">
        <v>170260</v>
      </c>
      <c r="E11577" t="s">
        <v>14</v>
      </c>
      <c r="F11577">
        <v>42.029699999999998</v>
      </c>
      <c r="G11577">
        <v>35.154299999999999</v>
      </c>
      <c r="H11577">
        <v>3</v>
      </c>
      <c r="I11577">
        <v>32</v>
      </c>
      <c r="J11577" t="str">
        <f>HYPERLINK("https://climate.onebuilding.org/WMO_Region_6_Europe/TUR_Turkey/SP_Sinop/TUR_SP_Sinop.170260_TMYx.2007-2021.zip")</f>
        <v>https://climate.onebuilding.org/WMO_Region_6_Europe/TUR_Turkey/SP_Sinop/TUR_SP_Sinop.170260_TMYx.2007-2021.zip</v>
      </c>
    </row>
    <row r="11578" spans="1:10" x14ac:dyDescent="0.25">
      <c r="A11578" t="s">
        <v>8459</v>
      </c>
      <c r="B11578" t="s">
        <v>4938</v>
      </c>
      <c r="C11578" t="s">
        <v>8469</v>
      </c>
      <c r="D11578">
        <v>170260</v>
      </c>
      <c r="E11578" t="s">
        <v>14</v>
      </c>
      <c r="F11578">
        <v>42.029699999999998</v>
      </c>
      <c r="G11578">
        <v>35.154299999999999</v>
      </c>
      <c r="H11578">
        <v>3</v>
      </c>
      <c r="I11578">
        <v>32</v>
      </c>
      <c r="J11578" t="str">
        <f>HYPERLINK("https://climate.onebuilding.org/WMO_Region_6_Europe/TUR_Turkey/SP_Sinop/TUR_SP_Sinop.170260_TMYx.2009-2023.zip")</f>
        <v>https://climate.onebuilding.org/WMO_Region_6_Europe/TUR_Turkey/SP_Sinop/TUR_SP_Sinop.170260_TMYx.2009-2023.zip</v>
      </c>
    </row>
    <row r="11579" spans="1:10" x14ac:dyDescent="0.25">
      <c r="A11579" t="s">
        <v>8459</v>
      </c>
      <c r="B11579" t="s">
        <v>4938</v>
      </c>
      <c r="C11579" t="s">
        <v>8469</v>
      </c>
      <c r="D11579">
        <v>170260</v>
      </c>
      <c r="E11579" t="s">
        <v>14</v>
      </c>
      <c r="F11579">
        <v>42.029699999999998</v>
      </c>
      <c r="G11579">
        <v>35.154299999999999</v>
      </c>
      <c r="H11579">
        <v>3</v>
      </c>
      <c r="I11579">
        <v>32</v>
      </c>
      <c r="J11579" t="str">
        <f>HYPERLINK("https://climate.onebuilding.org/WMO_Region_6_Europe/TUR_Turkey/SP_Sinop/TUR_SP_Sinop.170260_TMYx.zip")</f>
        <v>https://climate.onebuilding.org/WMO_Region_6_Europe/TUR_Turkey/SP_Sinop/TUR_SP_Sinop.170260_TMYx.zip</v>
      </c>
    </row>
    <row r="11580" spans="1:10" x14ac:dyDescent="0.25">
      <c r="A11580" t="s">
        <v>8459</v>
      </c>
      <c r="B11580" t="s">
        <v>2347</v>
      </c>
      <c r="C11580" t="s">
        <v>8471</v>
      </c>
      <c r="D11580">
        <v>170290</v>
      </c>
      <c r="E11580" t="s">
        <v>14</v>
      </c>
      <c r="F11580">
        <v>41.283000000000001</v>
      </c>
      <c r="G11580">
        <v>36.332999999999998</v>
      </c>
      <c r="H11580">
        <v>3</v>
      </c>
      <c r="I11580">
        <v>168</v>
      </c>
      <c r="J11580" t="str">
        <f>HYPERLINK("https://climate.onebuilding.org/WMO_Region_6_Europe/TUR_Turkey/SS_Samsun/TUR_SS_Samsun-Meydan.170290_TMYx.zip")</f>
        <v>https://climate.onebuilding.org/WMO_Region_6_Europe/TUR_Turkey/SS_Samsun/TUR_SS_Samsun-Meydan.170290_TMYx.zip</v>
      </c>
    </row>
    <row r="11581" spans="1:10" x14ac:dyDescent="0.25">
      <c r="A11581" t="s">
        <v>8459</v>
      </c>
      <c r="B11581" t="s">
        <v>2347</v>
      </c>
      <c r="C11581" t="s">
        <v>8472</v>
      </c>
      <c r="D11581">
        <v>170300</v>
      </c>
      <c r="E11581" t="s">
        <v>8473</v>
      </c>
      <c r="F11581">
        <v>41.283000000000001</v>
      </c>
      <c r="G11581">
        <v>36.299999999999997</v>
      </c>
      <c r="H11581">
        <v>3</v>
      </c>
      <c r="I11581">
        <v>4</v>
      </c>
      <c r="J11581" t="str">
        <f>HYPERLINK("https://climate.onebuilding.org/WMO_Region_6_Europe/TUR_Turkey/SS_Samsun/TUR_SS_Samsun.170300_TMYx.2004-2018.zip")</f>
        <v>https://climate.onebuilding.org/WMO_Region_6_Europe/TUR_Turkey/SS_Samsun/TUR_SS_Samsun.170300_TMYx.2004-2018.zip</v>
      </c>
    </row>
    <row r="11582" spans="1:10" x14ac:dyDescent="0.25">
      <c r="A11582" t="s">
        <v>8459</v>
      </c>
      <c r="B11582" t="s">
        <v>2347</v>
      </c>
      <c r="C11582" t="s">
        <v>8472</v>
      </c>
      <c r="D11582">
        <v>170300</v>
      </c>
      <c r="E11582" t="s">
        <v>14</v>
      </c>
      <c r="F11582">
        <v>41.343899999999998</v>
      </c>
      <c r="G11582">
        <v>36.2562</v>
      </c>
      <c r="H11582">
        <v>3</v>
      </c>
      <c r="I11582">
        <v>4</v>
      </c>
      <c r="J11582" t="str">
        <f>HYPERLINK("https://climate.onebuilding.org/WMO_Region_6_Europe/TUR_Turkey/SS_Samsun/TUR_SS_Samsun.170300_TMYx.2007-2021.zip")</f>
        <v>https://climate.onebuilding.org/WMO_Region_6_Europe/TUR_Turkey/SS_Samsun/TUR_SS_Samsun.170300_TMYx.2007-2021.zip</v>
      </c>
    </row>
    <row r="11583" spans="1:10" x14ac:dyDescent="0.25">
      <c r="A11583" t="s">
        <v>8459</v>
      </c>
      <c r="B11583" t="s">
        <v>2347</v>
      </c>
      <c r="C11583" t="s">
        <v>8472</v>
      </c>
      <c r="D11583">
        <v>170300</v>
      </c>
      <c r="E11583" t="s">
        <v>14</v>
      </c>
      <c r="F11583">
        <v>41.343899999999998</v>
      </c>
      <c r="G11583">
        <v>36.2562</v>
      </c>
      <c r="H11583">
        <v>3</v>
      </c>
      <c r="I11583">
        <v>4</v>
      </c>
      <c r="J11583" t="str">
        <f>HYPERLINK("https://climate.onebuilding.org/WMO_Region_6_Europe/TUR_Turkey/SS_Samsun/TUR_SS_Samsun.170300_TMYx.2009-2023.zip")</f>
        <v>https://climate.onebuilding.org/WMO_Region_6_Europe/TUR_Turkey/SS_Samsun/TUR_SS_Samsun.170300_TMYx.2009-2023.zip</v>
      </c>
    </row>
    <row r="11584" spans="1:10" x14ac:dyDescent="0.25">
      <c r="A11584" t="s">
        <v>8459</v>
      </c>
      <c r="B11584" t="s">
        <v>2347</v>
      </c>
      <c r="C11584" t="s">
        <v>8472</v>
      </c>
      <c r="D11584">
        <v>170300</v>
      </c>
      <c r="E11584" t="s">
        <v>14</v>
      </c>
      <c r="F11584">
        <v>41.343899999999998</v>
      </c>
      <c r="G11584">
        <v>36.2562</v>
      </c>
      <c r="H11584">
        <v>3</v>
      </c>
      <c r="I11584">
        <v>4</v>
      </c>
      <c r="J11584" t="str">
        <f>HYPERLINK("https://climate.onebuilding.org/WMO_Region_6_Europe/TUR_Turkey/SS_Samsun/TUR_SS_Samsun.170300_TMYx.zip")</f>
        <v>https://climate.onebuilding.org/WMO_Region_6_Europe/TUR_Turkey/SS_Samsun/TUR_SS_Samsun.170300_TMYx.zip</v>
      </c>
    </row>
    <row r="11585" spans="1:10" x14ac:dyDescent="0.25">
      <c r="A11585" t="s">
        <v>8459</v>
      </c>
      <c r="B11585" t="s">
        <v>2347</v>
      </c>
      <c r="C11585" t="s">
        <v>8474</v>
      </c>
      <c r="D11585">
        <v>170310</v>
      </c>
      <c r="E11585" t="s">
        <v>8475</v>
      </c>
      <c r="F11585">
        <v>41.25</v>
      </c>
      <c r="G11585">
        <v>36.549999999999997</v>
      </c>
      <c r="H11585">
        <v>3</v>
      </c>
      <c r="I11585">
        <v>7</v>
      </c>
      <c r="J11585" t="str">
        <f>HYPERLINK("https://climate.onebuilding.org/WMO_Region_6_Europe/TUR_Turkey/SS_Samsun/TUR_SS_Samsun-Carsamba.AP.170310_TMYx.2004-2018.zip")</f>
        <v>https://climate.onebuilding.org/WMO_Region_6_Europe/TUR_Turkey/SS_Samsun/TUR_SS_Samsun-Carsamba.AP.170310_TMYx.2004-2018.zip</v>
      </c>
    </row>
    <row r="11586" spans="1:10" x14ac:dyDescent="0.25">
      <c r="A11586" t="s">
        <v>8459</v>
      </c>
      <c r="B11586" t="s">
        <v>2347</v>
      </c>
      <c r="C11586" t="s">
        <v>8474</v>
      </c>
      <c r="D11586">
        <v>170310</v>
      </c>
      <c r="E11586" t="s">
        <v>14</v>
      </c>
      <c r="F11586">
        <v>41.258000000000003</v>
      </c>
      <c r="G11586">
        <v>36.555999999999997</v>
      </c>
      <c r="H11586">
        <v>3</v>
      </c>
      <c r="I11586">
        <v>7</v>
      </c>
      <c r="J11586" t="str">
        <f>HYPERLINK("https://climate.onebuilding.org/WMO_Region_6_Europe/TUR_Turkey/SS_Samsun/TUR_SS_Samsun-Carsamba.AP.170310_TMYx.2007-2021.zip")</f>
        <v>https://climate.onebuilding.org/WMO_Region_6_Europe/TUR_Turkey/SS_Samsun/TUR_SS_Samsun-Carsamba.AP.170310_TMYx.2007-2021.zip</v>
      </c>
    </row>
    <row r="11587" spans="1:10" x14ac:dyDescent="0.25">
      <c r="A11587" t="s">
        <v>8459</v>
      </c>
      <c r="B11587" t="s">
        <v>2347</v>
      </c>
      <c r="C11587" t="s">
        <v>8474</v>
      </c>
      <c r="D11587">
        <v>170310</v>
      </c>
      <c r="E11587" t="s">
        <v>14</v>
      </c>
      <c r="F11587">
        <v>41.258000000000003</v>
      </c>
      <c r="G11587">
        <v>36.555999999999997</v>
      </c>
      <c r="H11587">
        <v>3</v>
      </c>
      <c r="I11587">
        <v>7</v>
      </c>
      <c r="J11587" t="str">
        <f>HYPERLINK("https://climate.onebuilding.org/WMO_Region_6_Europe/TUR_Turkey/SS_Samsun/TUR_SS_Samsun-Carsamba.AP.170310_TMYx.2009-2023.zip")</f>
        <v>https://climate.onebuilding.org/WMO_Region_6_Europe/TUR_Turkey/SS_Samsun/TUR_SS_Samsun-Carsamba.AP.170310_TMYx.2009-2023.zip</v>
      </c>
    </row>
    <row r="11588" spans="1:10" x14ac:dyDescent="0.25">
      <c r="A11588" t="s">
        <v>8459</v>
      </c>
      <c r="B11588" t="s">
        <v>2347</v>
      </c>
      <c r="C11588" t="s">
        <v>8474</v>
      </c>
      <c r="D11588">
        <v>170310</v>
      </c>
      <c r="E11588" t="s">
        <v>14</v>
      </c>
      <c r="F11588">
        <v>41.258000000000003</v>
      </c>
      <c r="G11588">
        <v>36.555999999999997</v>
      </c>
      <c r="H11588">
        <v>3</v>
      </c>
      <c r="I11588">
        <v>7</v>
      </c>
      <c r="J11588" t="str">
        <f>HYPERLINK("https://climate.onebuilding.org/WMO_Region_6_Europe/TUR_Turkey/SS_Samsun/TUR_SS_Samsun-Carsamba.AP.170310_TMYx.zip")</f>
        <v>https://climate.onebuilding.org/WMO_Region_6_Europe/TUR_Turkey/SS_Samsun/TUR_SS_Samsun-Carsamba.AP.170310_TMYx.zip</v>
      </c>
    </row>
    <row r="11589" spans="1:10" x14ac:dyDescent="0.25">
      <c r="A11589" t="s">
        <v>8459</v>
      </c>
      <c r="B11589" t="s">
        <v>7655</v>
      </c>
      <c r="C11589" t="s">
        <v>8476</v>
      </c>
      <c r="D11589">
        <v>170330</v>
      </c>
      <c r="E11589" t="s">
        <v>8477</v>
      </c>
      <c r="F11589">
        <v>40.982999999999997</v>
      </c>
      <c r="G11589">
        <v>37.9</v>
      </c>
      <c r="H11589">
        <v>3</v>
      </c>
      <c r="I11589">
        <v>4</v>
      </c>
      <c r="J11589" t="str">
        <f>HYPERLINK("https://climate.onebuilding.org/WMO_Region_6_Europe/TUR_Turkey/OR_Ordu/TUR_OR_Ordu.170330_TMYx.2004-2018.zip")</f>
        <v>https://climate.onebuilding.org/WMO_Region_6_Europe/TUR_Turkey/OR_Ordu/TUR_OR_Ordu.170330_TMYx.2004-2018.zip</v>
      </c>
    </row>
    <row r="11590" spans="1:10" x14ac:dyDescent="0.25">
      <c r="A11590" t="s">
        <v>8459</v>
      </c>
      <c r="B11590" t="s">
        <v>7655</v>
      </c>
      <c r="C11590" t="s">
        <v>8476</v>
      </c>
      <c r="D11590">
        <v>170330</v>
      </c>
      <c r="E11590" t="s">
        <v>14</v>
      </c>
      <c r="F11590">
        <v>40.983890000000002</v>
      </c>
      <c r="G11590">
        <v>37.885829999999999</v>
      </c>
      <c r="H11590">
        <v>3</v>
      </c>
      <c r="I11590">
        <v>4</v>
      </c>
      <c r="J11590" t="str">
        <f>HYPERLINK("https://climate.onebuilding.org/WMO_Region_6_Europe/TUR_Turkey/OR_Ordu/TUR_OR_Ordu.170330_TMYx.2007-2021.zip")</f>
        <v>https://climate.onebuilding.org/WMO_Region_6_Europe/TUR_Turkey/OR_Ordu/TUR_OR_Ordu.170330_TMYx.2007-2021.zip</v>
      </c>
    </row>
    <row r="11591" spans="1:10" x14ac:dyDescent="0.25">
      <c r="A11591" t="s">
        <v>8459</v>
      </c>
      <c r="B11591" t="s">
        <v>7655</v>
      </c>
      <c r="C11591" t="s">
        <v>8476</v>
      </c>
      <c r="D11591">
        <v>170330</v>
      </c>
      <c r="E11591" t="s">
        <v>14</v>
      </c>
      <c r="F11591">
        <v>40.983890000000002</v>
      </c>
      <c r="G11591">
        <v>37.885829999999999</v>
      </c>
      <c r="H11591">
        <v>3</v>
      </c>
      <c r="I11591">
        <v>4</v>
      </c>
      <c r="J11591" t="str">
        <f>HYPERLINK("https://climate.onebuilding.org/WMO_Region_6_Europe/TUR_Turkey/OR_Ordu/TUR_OR_Ordu.170330_TMYx.2009-2023.zip")</f>
        <v>https://climate.onebuilding.org/WMO_Region_6_Europe/TUR_Turkey/OR_Ordu/TUR_OR_Ordu.170330_TMYx.2009-2023.zip</v>
      </c>
    </row>
    <row r="11592" spans="1:10" x14ac:dyDescent="0.25">
      <c r="A11592" t="s">
        <v>8459</v>
      </c>
      <c r="B11592" t="s">
        <v>7655</v>
      </c>
      <c r="C11592" t="s">
        <v>8476</v>
      </c>
      <c r="D11592">
        <v>170330</v>
      </c>
      <c r="E11592" t="s">
        <v>14</v>
      </c>
      <c r="F11592">
        <v>40.983890000000002</v>
      </c>
      <c r="G11592">
        <v>37.885829999999999</v>
      </c>
      <c r="H11592">
        <v>3</v>
      </c>
      <c r="I11592">
        <v>4</v>
      </c>
      <c r="J11592" t="str">
        <f>HYPERLINK("https://climate.onebuilding.org/WMO_Region_6_Europe/TUR_Turkey/OR_Ordu/TUR_OR_Ordu.170330_TMYx.zip")</f>
        <v>https://climate.onebuilding.org/WMO_Region_6_Europe/TUR_Turkey/OR_Ordu/TUR_OR_Ordu.170330_TMYx.zip</v>
      </c>
    </row>
    <row r="11593" spans="1:10" x14ac:dyDescent="0.25">
      <c r="A11593" t="s">
        <v>8459</v>
      </c>
      <c r="B11593" t="s">
        <v>4656</v>
      </c>
      <c r="C11593" t="s">
        <v>8478</v>
      </c>
      <c r="D11593">
        <v>170340</v>
      </c>
      <c r="E11593" t="s">
        <v>8479</v>
      </c>
      <c r="F11593">
        <v>40.917000000000002</v>
      </c>
      <c r="G11593">
        <v>38.383000000000003</v>
      </c>
      <c r="H11593">
        <v>3</v>
      </c>
      <c r="I11593">
        <v>37</v>
      </c>
      <c r="J11593" t="str">
        <f>HYPERLINK("https://climate.onebuilding.org/WMO_Region_6_Europe/TUR_Turkey/GI_Giresun/TUR_GI_Giresun.170340_TMYx.2004-2018.zip")</f>
        <v>https://climate.onebuilding.org/WMO_Region_6_Europe/TUR_Turkey/GI_Giresun/TUR_GI_Giresun.170340_TMYx.2004-2018.zip</v>
      </c>
    </row>
    <row r="11594" spans="1:10" x14ac:dyDescent="0.25">
      <c r="A11594" t="s">
        <v>8459</v>
      </c>
      <c r="B11594" t="s">
        <v>4656</v>
      </c>
      <c r="C11594" t="s">
        <v>8478</v>
      </c>
      <c r="D11594">
        <v>170340</v>
      </c>
      <c r="E11594" t="s">
        <v>14</v>
      </c>
      <c r="F11594">
        <v>40.917000000000002</v>
      </c>
      <c r="G11594">
        <v>38.383000000000003</v>
      </c>
      <c r="H11594">
        <v>3</v>
      </c>
      <c r="I11594">
        <v>37</v>
      </c>
      <c r="J11594" t="str">
        <f>HYPERLINK("https://climate.onebuilding.org/WMO_Region_6_Europe/TUR_Turkey/GI_Giresun/TUR_GI_Giresun.170340_TMYx.2007-2021.zip")</f>
        <v>https://climate.onebuilding.org/WMO_Region_6_Europe/TUR_Turkey/GI_Giresun/TUR_GI_Giresun.170340_TMYx.2007-2021.zip</v>
      </c>
    </row>
    <row r="11595" spans="1:10" x14ac:dyDescent="0.25">
      <c r="A11595" t="s">
        <v>8459</v>
      </c>
      <c r="B11595" t="s">
        <v>4656</v>
      </c>
      <c r="C11595" t="s">
        <v>8478</v>
      </c>
      <c r="D11595">
        <v>170340</v>
      </c>
      <c r="E11595" t="s">
        <v>14</v>
      </c>
      <c r="F11595">
        <v>40.917000000000002</v>
      </c>
      <c r="G11595">
        <v>38.383000000000003</v>
      </c>
      <c r="H11595">
        <v>3</v>
      </c>
      <c r="I11595">
        <v>37</v>
      </c>
      <c r="J11595" t="str">
        <f>HYPERLINK("https://climate.onebuilding.org/WMO_Region_6_Europe/TUR_Turkey/GI_Giresun/TUR_GI_Giresun.170340_TMYx.2009-2023.zip")</f>
        <v>https://climate.onebuilding.org/WMO_Region_6_Europe/TUR_Turkey/GI_Giresun/TUR_GI_Giresun.170340_TMYx.2009-2023.zip</v>
      </c>
    </row>
    <row r="11596" spans="1:10" x14ac:dyDescent="0.25">
      <c r="A11596" t="s">
        <v>8459</v>
      </c>
      <c r="B11596" t="s">
        <v>4656</v>
      </c>
      <c r="C11596" t="s">
        <v>8478</v>
      </c>
      <c r="D11596">
        <v>170340</v>
      </c>
      <c r="E11596" t="s">
        <v>14</v>
      </c>
      <c r="F11596">
        <v>40.917000000000002</v>
      </c>
      <c r="G11596">
        <v>38.383000000000003</v>
      </c>
      <c r="H11596">
        <v>3</v>
      </c>
      <c r="I11596">
        <v>37</v>
      </c>
      <c r="J11596" t="str">
        <f>HYPERLINK("https://climate.onebuilding.org/WMO_Region_6_Europe/TUR_Turkey/GI_Giresun/TUR_GI_Giresun.170340_TMYx.zip")</f>
        <v>https://climate.onebuilding.org/WMO_Region_6_Europe/TUR_Turkey/GI_Giresun/TUR_GI_Giresun.170340_TMYx.zip</v>
      </c>
    </row>
    <row r="11597" spans="1:10" x14ac:dyDescent="0.25">
      <c r="A11597" t="s">
        <v>8459</v>
      </c>
      <c r="B11597" t="s">
        <v>8480</v>
      </c>
      <c r="C11597" t="s">
        <v>8481</v>
      </c>
      <c r="D11597">
        <v>170380</v>
      </c>
      <c r="E11597" t="s">
        <v>8482</v>
      </c>
      <c r="F11597">
        <v>40.994999999999997</v>
      </c>
      <c r="G11597">
        <v>39.79</v>
      </c>
      <c r="H11597">
        <v>3</v>
      </c>
      <c r="I11597">
        <v>31.7</v>
      </c>
      <c r="J11597" t="str">
        <f>HYPERLINK("https://climate.onebuilding.org/WMO_Region_6_Europe/TUR_Turkey/TB_Trabzon/TUR_TB_Trabzon.AP.170380_TMYx.2004-2018.zip")</f>
        <v>https://climate.onebuilding.org/WMO_Region_6_Europe/TUR_Turkey/TB_Trabzon/TUR_TB_Trabzon.AP.170380_TMYx.2004-2018.zip</v>
      </c>
    </row>
    <row r="11598" spans="1:10" x14ac:dyDescent="0.25">
      <c r="A11598" t="s">
        <v>8459</v>
      </c>
      <c r="B11598" t="s">
        <v>8480</v>
      </c>
      <c r="C11598" t="s">
        <v>8481</v>
      </c>
      <c r="D11598">
        <v>170380</v>
      </c>
      <c r="E11598" t="s">
        <v>14</v>
      </c>
      <c r="F11598">
        <v>40.994999999999997</v>
      </c>
      <c r="G11598">
        <v>39.783000000000001</v>
      </c>
      <c r="H11598">
        <v>3</v>
      </c>
      <c r="I11598">
        <v>31.7</v>
      </c>
      <c r="J11598" t="str">
        <f>HYPERLINK("https://climate.onebuilding.org/WMO_Region_6_Europe/TUR_Turkey/TB_Trabzon/TUR_TB_Trabzon.AP.170380_TMYx.2007-2021.zip")</f>
        <v>https://climate.onebuilding.org/WMO_Region_6_Europe/TUR_Turkey/TB_Trabzon/TUR_TB_Trabzon.AP.170380_TMYx.2007-2021.zip</v>
      </c>
    </row>
    <row r="11599" spans="1:10" x14ac:dyDescent="0.25">
      <c r="A11599" t="s">
        <v>8459</v>
      </c>
      <c r="B11599" t="s">
        <v>8480</v>
      </c>
      <c r="C11599" t="s">
        <v>8481</v>
      </c>
      <c r="D11599">
        <v>170380</v>
      </c>
      <c r="E11599" t="s">
        <v>14</v>
      </c>
      <c r="F11599">
        <v>40.994999999999997</v>
      </c>
      <c r="G11599">
        <v>39.783000000000001</v>
      </c>
      <c r="H11599">
        <v>3</v>
      </c>
      <c r="I11599">
        <v>31.7</v>
      </c>
      <c r="J11599" t="str">
        <f>HYPERLINK("https://climate.onebuilding.org/WMO_Region_6_Europe/TUR_Turkey/TB_Trabzon/TUR_TB_Trabzon.AP.170380_TMYx.2009-2023.zip")</f>
        <v>https://climate.onebuilding.org/WMO_Region_6_Europe/TUR_Turkey/TB_Trabzon/TUR_TB_Trabzon.AP.170380_TMYx.2009-2023.zip</v>
      </c>
    </row>
    <row r="11600" spans="1:10" x14ac:dyDescent="0.25">
      <c r="A11600" t="s">
        <v>8459</v>
      </c>
      <c r="B11600" t="s">
        <v>8480</v>
      </c>
      <c r="C11600" t="s">
        <v>8481</v>
      </c>
      <c r="D11600">
        <v>170380</v>
      </c>
      <c r="E11600" t="s">
        <v>14</v>
      </c>
      <c r="F11600">
        <v>40.994999999999997</v>
      </c>
      <c r="G11600">
        <v>39.783000000000001</v>
      </c>
      <c r="H11600">
        <v>3</v>
      </c>
      <c r="I11600">
        <v>31.7</v>
      </c>
      <c r="J11600" t="str">
        <f>HYPERLINK("https://climate.onebuilding.org/WMO_Region_6_Europe/TUR_Turkey/TB_Trabzon/TUR_TB_Trabzon.AP.170380_TMYx.zip")</f>
        <v>https://climate.onebuilding.org/WMO_Region_6_Europe/TUR_Turkey/TB_Trabzon/TUR_TB_Trabzon.AP.170380_TMYx.zip</v>
      </c>
    </row>
    <row r="11601" spans="1:10" x14ac:dyDescent="0.25">
      <c r="A11601" t="s">
        <v>8459</v>
      </c>
      <c r="B11601" t="s">
        <v>2024</v>
      </c>
      <c r="C11601" t="s">
        <v>8483</v>
      </c>
      <c r="D11601">
        <v>170400</v>
      </c>
      <c r="E11601" t="s">
        <v>8484</v>
      </c>
      <c r="F11601">
        <v>41.033000000000001</v>
      </c>
      <c r="G11601">
        <v>40.517000000000003</v>
      </c>
      <c r="H11601">
        <v>3</v>
      </c>
      <c r="I11601">
        <v>9</v>
      </c>
      <c r="J11601" t="str">
        <f>HYPERLINK("https://climate.onebuilding.org/WMO_Region_6_Europe/TUR_Turkey/RI_Rize/TUR_RI_Rize.170400_TMYx.2004-2018.zip")</f>
        <v>https://climate.onebuilding.org/WMO_Region_6_Europe/TUR_Turkey/RI_Rize/TUR_RI_Rize.170400_TMYx.2004-2018.zip</v>
      </c>
    </row>
    <row r="11602" spans="1:10" x14ac:dyDescent="0.25">
      <c r="A11602" t="s">
        <v>8459</v>
      </c>
      <c r="B11602" t="s">
        <v>2024</v>
      </c>
      <c r="C11602" t="s">
        <v>8483</v>
      </c>
      <c r="D11602">
        <v>170400</v>
      </c>
      <c r="E11602" t="s">
        <v>14</v>
      </c>
      <c r="F11602">
        <v>41.033000000000001</v>
      </c>
      <c r="G11602">
        <v>40.517000000000003</v>
      </c>
      <c r="H11602">
        <v>3</v>
      </c>
      <c r="I11602">
        <v>9</v>
      </c>
      <c r="J11602" t="str">
        <f>HYPERLINK("https://climate.onebuilding.org/WMO_Region_6_Europe/TUR_Turkey/RI_Rize/TUR_RI_Rize.170400_TMYx.2007-2021.zip")</f>
        <v>https://climate.onebuilding.org/WMO_Region_6_Europe/TUR_Turkey/RI_Rize/TUR_RI_Rize.170400_TMYx.2007-2021.zip</v>
      </c>
    </row>
    <row r="11603" spans="1:10" x14ac:dyDescent="0.25">
      <c r="A11603" t="s">
        <v>8459</v>
      </c>
      <c r="B11603" t="s">
        <v>2024</v>
      </c>
      <c r="C11603" t="s">
        <v>8483</v>
      </c>
      <c r="D11603">
        <v>170400</v>
      </c>
      <c r="E11603" t="s">
        <v>14</v>
      </c>
      <c r="F11603">
        <v>41.033000000000001</v>
      </c>
      <c r="G11603">
        <v>40.517000000000003</v>
      </c>
      <c r="H11603">
        <v>3</v>
      </c>
      <c r="I11603">
        <v>9</v>
      </c>
      <c r="J11603" t="str">
        <f>HYPERLINK("https://climate.onebuilding.org/WMO_Region_6_Europe/TUR_Turkey/RI_Rize/TUR_RI_Rize.170400_TMYx.2009-2023.zip")</f>
        <v>https://climate.onebuilding.org/WMO_Region_6_Europe/TUR_Turkey/RI_Rize/TUR_RI_Rize.170400_TMYx.2009-2023.zip</v>
      </c>
    </row>
    <row r="11604" spans="1:10" x14ac:dyDescent="0.25">
      <c r="A11604" t="s">
        <v>8459</v>
      </c>
      <c r="B11604" t="s">
        <v>2024</v>
      </c>
      <c r="C11604" t="s">
        <v>8483</v>
      </c>
      <c r="D11604">
        <v>170400</v>
      </c>
      <c r="E11604" t="s">
        <v>14</v>
      </c>
      <c r="F11604">
        <v>41.033000000000001</v>
      </c>
      <c r="G11604">
        <v>40.517000000000003</v>
      </c>
      <c r="H11604">
        <v>3</v>
      </c>
      <c r="I11604">
        <v>9</v>
      </c>
      <c r="J11604" t="str">
        <f>HYPERLINK("https://climate.onebuilding.org/WMO_Region_6_Europe/TUR_Turkey/RI_Rize/TUR_RI_Rize.170400_TMYx.zip")</f>
        <v>https://climate.onebuilding.org/WMO_Region_6_Europe/TUR_Turkey/RI_Rize/TUR_RI_Rize.170400_TMYx.zip</v>
      </c>
    </row>
    <row r="11605" spans="1:10" x14ac:dyDescent="0.25">
      <c r="A11605" t="s">
        <v>8459</v>
      </c>
      <c r="B11605" t="s">
        <v>75</v>
      </c>
      <c r="C11605" t="s">
        <v>8485</v>
      </c>
      <c r="D11605">
        <v>170420</v>
      </c>
      <c r="E11605" t="s">
        <v>8486</v>
      </c>
      <c r="F11605">
        <v>41.4</v>
      </c>
      <c r="G11605">
        <v>41.433</v>
      </c>
      <c r="H11605">
        <v>3</v>
      </c>
      <c r="I11605">
        <v>33</v>
      </c>
      <c r="J11605" t="str">
        <f>HYPERLINK("https://climate.onebuilding.org/WMO_Region_6_Europe/TUR_Turkey/AV_Artvin/TUR_AV_Hopa.170420_TMYx.2004-2018.zip")</f>
        <v>https://climate.onebuilding.org/WMO_Region_6_Europe/TUR_Turkey/AV_Artvin/TUR_AV_Hopa.170420_TMYx.2004-2018.zip</v>
      </c>
    </row>
    <row r="11606" spans="1:10" x14ac:dyDescent="0.25">
      <c r="A11606" t="s">
        <v>8459</v>
      </c>
      <c r="B11606" t="s">
        <v>75</v>
      </c>
      <c r="C11606" t="s">
        <v>8485</v>
      </c>
      <c r="D11606">
        <v>170420</v>
      </c>
      <c r="E11606" t="s">
        <v>14</v>
      </c>
      <c r="F11606">
        <v>41.4</v>
      </c>
      <c r="G11606">
        <v>41.433</v>
      </c>
      <c r="H11606">
        <v>3</v>
      </c>
      <c r="I11606">
        <v>33</v>
      </c>
      <c r="J11606" t="str">
        <f>HYPERLINK("https://climate.onebuilding.org/WMO_Region_6_Europe/TUR_Turkey/AV_Artvin/TUR_AV_Hopa.170420_TMYx.2007-2021.zip")</f>
        <v>https://climate.onebuilding.org/WMO_Region_6_Europe/TUR_Turkey/AV_Artvin/TUR_AV_Hopa.170420_TMYx.2007-2021.zip</v>
      </c>
    </row>
    <row r="11607" spans="1:10" x14ac:dyDescent="0.25">
      <c r="A11607" t="s">
        <v>8459</v>
      </c>
      <c r="B11607" t="s">
        <v>75</v>
      </c>
      <c r="C11607" t="s">
        <v>8485</v>
      </c>
      <c r="D11607">
        <v>170420</v>
      </c>
      <c r="E11607" t="s">
        <v>14</v>
      </c>
      <c r="F11607">
        <v>41.4</v>
      </c>
      <c r="G11607">
        <v>41.433</v>
      </c>
      <c r="H11607">
        <v>3</v>
      </c>
      <c r="I11607">
        <v>33</v>
      </c>
      <c r="J11607" t="str">
        <f>HYPERLINK("https://climate.onebuilding.org/WMO_Region_6_Europe/TUR_Turkey/AV_Artvin/TUR_AV_Hopa.170420_TMYx.2009-2023.zip")</f>
        <v>https://climate.onebuilding.org/WMO_Region_6_Europe/TUR_Turkey/AV_Artvin/TUR_AV_Hopa.170420_TMYx.2009-2023.zip</v>
      </c>
    </row>
    <row r="11608" spans="1:10" x14ac:dyDescent="0.25">
      <c r="A11608" t="s">
        <v>8459</v>
      </c>
      <c r="B11608" t="s">
        <v>75</v>
      </c>
      <c r="C11608" t="s">
        <v>8485</v>
      </c>
      <c r="D11608">
        <v>170420</v>
      </c>
      <c r="E11608" t="s">
        <v>14</v>
      </c>
      <c r="F11608">
        <v>41.4</v>
      </c>
      <c r="G11608">
        <v>41.433</v>
      </c>
      <c r="H11608">
        <v>3</v>
      </c>
      <c r="I11608">
        <v>33</v>
      </c>
      <c r="J11608" t="str">
        <f>HYPERLINK("https://climate.onebuilding.org/WMO_Region_6_Europe/TUR_Turkey/AV_Artvin/TUR_AV_Hopa.170420_TMYx.zip")</f>
        <v>https://climate.onebuilding.org/WMO_Region_6_Europe/TUR_Turkey/AV_Artvin/TUR_AV_Hopa.170420_TMYx.zip</v>
      </c>
    </row>
    <row r="11609" spans="1:10" x14ac:dyDescent="0.25">
      <c r="A11609" t="s">
        <v>8459</v>
      </c>
      <c r="B11609" t="s">
        <v>75</v>
      </c>
      <c r="C11609" t="s">
        <v>8487</v>
      </c>
      <c r="D11609">
        <v>170450</v>
      </c>
      <c r="E11609" t="s">
        <v>8488</v>
      </c>
      <c r="F11609">
        <v>41.183</v>
      </c>
      <c r="G11609">
        <v>41.817</v>
      </c>
      <c r="H11609">
        <v>3</v>
      </c>
      <c r="I11609">
        <v>628</v>
      </c>
      <c r="J11609" t="str">
        <f>HYPERLINK("https://climate.onebuilding.org/WMO_Region_6_Europe/TUR_Turkey/AV_Artvin/TUR_AV_Artvin.170450_TMYx.2004-2018.zip")</f>
        <v>https://climate.onebuilding.org/WMO_Region_6_Europe/TUR_Turkey/AV_Artvin/TUR_AV_Artvin.170450_TMYx.2004-2018.zip</v>
      </c>
    </row>
    <row r="11610" spans="1:10" x14ac:dyDescent="0.25">
      <c r="A11610" t="s">
        <v>8459</v>
      </c>
      <c r="B11610" t="s">
        <v>75</v>
      </c>
      <c r="C11610" t="s">
        <v>8487</v>
      </c>
      <c r="D11610">
        <v>170450</v>
      </c>
      <c r="E11610" t="s">
        <v>14</v>
      </c>
      <c r="F11610">
        <v>41.183</v>
      </c>
      <c r="G11610">
        <v>41.817</v>
      </c>
      <c r="H11610">
        <v>3</v>
      </c>
      <c r="I11610">
        <v>628</v>
      </c>
      <c r="J11610" t="str">
        <f>HYPERLINK("https://climate.onebuilding.org/WMO_Region_6_Europe/TUR_Turkey/AV_Artvin/TUR_AV_Artvin.170450_TMYx.2007-2021.zip")</f>
        <v>https://climate.onebuilding.org/WMO_Region_6_Europe/TUR_Turkey/AV_Artvin/TUR_AV_Artvin.170450_TMYx.2007-2021.zip</v>
      </c>
    </row>
    <row r="11611" spans="1:10" x14ac:dyDescent="0.25">
      <c r="A11611" t="s">
        <v>8459</v>
      </c>
      <c r="B11611" t="s">
        <v>75</v>
      </c>
      <c r="C11611" t="s">
        <v>8487</v>
      </c>
      <c r="D11611">
        <v>170450</v>
      </c>
      <c r="E11611" t="s">
        <v>14</v>
      </c>
      <c r="F11611">
        <v>41.183</v>
      </c>
      <c r="G11611">
        <v>41.817</v>
      </c>
      <c r="H11611">
        <v>3</v>
      </c>
      <c r="I11611">
        <v>628</v>
      </c>
      <c r="J11611" t="str">
        <f>HYPERLINK("https://climate.onebuilding.org/WMO_Region_6_Europe/TUR_Turkey/AV_Artvin/TUR_AV_Artvin.170450_TMYx.2009-2023.zip")</f>
        <v>https://climate.onebuilding.org/WMO_Region_6_Europe/TUR_Turkey/AV_Artvin/TUR_AV_Artvin.170450_TMYx.2009-2023.zip</v>
      </c>
    </row>
    <row r="11612" spans="1:10" x14ac:dyDescent="0.25">
      <c r="A11612" t="s">
        <v>8459</v>
      </c>
      <c r="B11612" t="s">
        <v>75</v>
      </c>
      <c r="C11612" t="s">
        <v>8487</v>
      </c>
      <c r="D11612">
        <v>170450</v>
      </c>
      <c r="E11612" t="s">
        <v>14</v>
      </c>
      <c r="F11612">
        <v>41.183</v>
      </c>
      <c r="G11612">
        <v>41.817</v>
      </c>
      <c r="H11612">
        <v>3</v>
      </c>
      <c r="I11612">
        <v>628</v>
      </c>
      <c r="J11612" t="str">
        <f>HYPERLINK("https://climate.onebuilding.org/WMO_Region_6_Europe/TUR_Turkey/AV_Artvin/TUR_AV_Artvin.170450_TMYx.zip")</f>
        <v>https://climate.onebuilding.org/WMO_Region_6_Europe/TUR_Turkey/AV_Artvin/TUR_AV_Artvin.170450_TMYx.zip</v>
      </c>
    </row>
    <row r="11613" spans="1:10" x14ac:dyDescent="0.25">
      <c r="A11613" t="s">
        <v>8459</v>
      </c>
      <c r="B11613" t="s">
        <v>2038</v>
      </c>
      <c r="C11613" t="s">
        <v>8489</v>
      </c>
      <c r="D11613">
        <v>170460</v>
      </c>
      <c r="E11613" t="s">
        <v>8490</v>
      </c>
      <c r="F11613">
        <v>41.116999999999997</v>
      </c>
      <c r="G11613">
        <v>42.716999999999999</v>
      </c>
      <c r="H11613">
        <v>3</v>
      </c>
      <c r="I11613">
        <v>1829</v>
      </c>
      <c r="J11613" t="str">
        <f>HYPERLINK("https://climate.onebuilding.org/WMO_Region_6_Europe/TUR_Turkey/AR_Ardahan/TUR_AR_Ardahan.170460_TMYx.2004-2018.zip")</f>
        <v>https://climate.onebuilding.org/WMO_Region_6_Europe/TUR_Turkey/AR_Ardahan/TUR_AR_Ardahan.170460_TMYx.2004-2018.zip</v>
      </c>
    </row>
    <row r="11614" spans="1:10" x14ac:dyDescent="0.25">
      <c r="A11614" t="s">
        <v>8459</v>
      </c>
      <c r="B11614" t="s">
        <v>2038</v>
      </c>
      <c r="C11614" t="s">
        <v>8489</v>
      </c>
      <c r="D11614">
        <v>170460</v>
      </c>
      <c r="E11614" t="s">
        <v>14</v>
      </c>
      <c r="F11614">
        <v>41.116999999999997</v>
      </c>
      <c r="G11614">
        <v>42.716999999999999</v>
      </c>
      <c r="H11614">
        <v>3</v>
      </c>
      <c r="I11614">
        <v>1829</v>
      </c>
      <c r="J11614" t="str">
        <f>HYPERLINK("https://climate.onebuilding.org/WMO_Region_6_Europe/TUR_Turkey/AR_Ardahan/TUR_AR_Ardahan.170460_TMYx.2007-2021.zip")</f>
        <v>https://climate.onebuilding.org/WMO_Region_6_Europe/TUR_Turkey/AR_Ardahan/TUR_AR_Ardahan.170460_TMYx.2007-2021.zip</v>
      </c>
    </row>
    <row r="11615" spans="1:10" x14ac:dyDescent="0.25">
      <c r="A11615" t="s">
        <v>8459</v>
      </c>
      <c r="B11615" t="s">
        <v>2038</v>
      </c>
      <c r="C11615" t="s">
        <v>8489</v>
      </c>
      <c r="D11615">
        <v>170460</v>
      </c>
      <c r="E11615" t="s">
        <v>14</v>
      </c>
      <c r="F11615">
        <v>41.116999999999997</v>
      </c>
      <c r="G11615">
        <v>42.716999999999999</v>
      </c>
      <c r="H11615">
        <v>3</v>
      </c>
      <c r="I11615">
        <v>1829</v>
      </c>
      <c r="J11615" t="str">
        <f>HYPERLINK("https://climate.onebuilding.org/WMO_Region_6_Europe/TUR_Turkey/AR_Ardahan/TUR_AR_Ardahan.170460_TMYx.2009-2023.zip")</f>
        <v>https://climate.onebuilding.org/WMO_Region_6_Europe/TUR_Turkey/AR_Ardahan/TUR_AR_Ardahan.170460_TMYx.2009-2023.zip</v>
      </c>
    </row>
    <row r="11616" spans="1:10" x14ac:dyDescent="0.25">
      <c r="A11616" t="s">
        <v>8459</v>
      </c>
      <c r="B11616" t="s">
        <v>2038</v>
      </c>
      <c r="C11616" t="s">
        <v>8489</v>
      </c>
      <c r="D11616">
        <v>170460</v>
      </c>
      <c r="E11616" t="s">
        <v>14</v>
      </c>
      <c r="F11616">
        <v>41.116999999999997</v>
      </c>
      <c r="G11616">
        <v>42.716999999999999</v>
      </c>
      <c r="H11616">
        <v>3</v>
      </c>
      <c r="I11616">
        <v>1829</v>
      </c>
      <c r="J11616" t="str">
        <f>HYPERLINK("https://climate.onebuilding.org/WMO_Region_6_Europe/TUR_Turkey/AR_Ardahan/TUR_AR_Ardahan.170460_TMYx.zip")</f>
        <v>https://climate.onebuilding.org/WMO_Region_6_Europe/TUR_Turkey/AR_Ardahan/TUR_AR_Ardahan.170460_TMYx.zip</v>
      </c>
    </row>
    <row r="11617" spans="1:10" x14ac:dyDescent="0.25">
      <c r="A11617" t="s">
        <v>8459</v>
      </c>
      <c r="B11617" t="s">
        <v>8491</v>
      </c>
      <c r="C11617" t="s">
        <v>8492</v>
      </c>
      <c r="D11617">
        <v>170500</v>
      </c>
      <c r="E11617" t="s">
        <v>8493</v>
      </c>
      <c r="F11617">
        <v>41.667000000000002</v>
      </c>
      <c r="G11617">
        <v>26.567</v>
      </c>
      <c r="H11617">
        <v>3</v>
      </c>
      <c r="I11617">
        <v>51</v>
      </c>
      <c r="J11617" t="str">
        <f>HYPERLINK("https://climate.onebuilding.org/WMO_Region_6_Europe/TUR_Turkey/ED_Edirne/TUR_ED_Edirne.170500_TMYx.2004-2018.zip")</f>
        <v>https://climate.onebuilding.org/WMO_Region_6_Europe/TUR_Turkey/ED_Edirne/TUR_ED_Edirne.170500_TMYx.2004-2018.zip</v>
      </c>
    </row>
    <row r="11618" spans="1:10" x14ac:dyDescent="0.25">
      <c r="A11618" t="s">
        <v>8459</v>
      </c>
      <c r="B11618" t="s">
        <v>8491</v>
      </c>
      <c r="C11618" t="s">
        <v>8492</v>
      </c>
      <c r="D11618">
        <v>170500</v>
      </c>
      <c r="E11618" t="s">
        <v>14</v>
      </c>
      <c r="F11618">
        <v>41.676600000000001</v>
      </c>
      <c r="G11618">
        <v>26.550599999999999</v>
      </c>
      <c r="H11618">
        <v>3</v>
      </c>
      <c r="I11618">
        <v>51</v>
      </c>
      <c r="J11618" t="str">
        <f>HYPERLINK("https://climate.onebuilding.org/WMO_Region_6_Europe/TUR_Turkey/ED_Edirne/TUR_ED_Edirne.170500_TMYx.2007-2021.zip")</f>
        <v>https://climate.onebuilding.org/WMO_Region_6_Europe/TUR_Turkey/ED_Edirne/TUR_ED_Edirne.170500_TMYx.2007-2021.zip</v>
      </c>
    </row>
    <row r="11619" spans="1:10" x14ac:dyDescent="0.25">
      <c r="A11619" t="s">
        <v>8459</v>
      </c>
      <c r="B11619" t="s">
        <v>8491</v>
      </c>
      <c r="C11619" t="s">
        <v>8492</v>
      </c>
      <c r="D11619">
        <v>170500</v>
      </c>
      <c r="E11619" t="s">
        <v>14</v>
      </c>
      <c r="F11619">
        <v>41.676600000000001</v>
      </c>
      <c r="G11619">
        <v>26.550599999999999</v>
      </c>
      <c r="H11619">
        <v>3</v>
      </c>
      <c r="I11619">
        <v>51</v>
      </c>
      <c r="J11619" t="str">
        <f>HYPERLINK("https://climate.onebuilding.org/WMO_Region_6_Europe/TUR_Turkey/ED_Edirne/TUR_ED_Edirne.170500_TMYx.2009-2023.zip")</f>
        <v>https://climate.onebuilding.org/WMO_Region_6_Europe/TUR_Turkey/ED_Edirne/TUR_ED_Edirne.170500_TMYx.2009-2023.zip</v>
      </c>
    </row>
    <row r="11620" spans="1:10" x14ac:dyDescent="0.25">
      <c r="A11620" t="s">
        <v>8459</v>
      </c>
      <c r="B11620" t="s">
        <v>8491</v>
      </c>
      <c r="C11620" t="s">
        <v>8492</v>
      </c>
      <c r="D11620">
        <v>170500</v>
      </c>
      <c r="E11620" t="s">
        <v>14</v>
      </c>
      <c r="F11620">
        <v>41.676600000000001</v>
      </c>
      <c r="G11620">
        <v>26.550599999999999</v>
      </c>
      <c r="H11620">
        <v>3</v>
      </c>
      <c r="I11620">
        <v>51</v>
      </c>
      <c r="J11620" t="str">
        <f>HYPERLINK("https://climate.onebuilding.org/WMO_Region_6_Europe/TUR_Turkey/ED_Edirne/TUR_ED_Edirne.170500_TMYx.zip")</f>
        <v>https://climate.onebuilding.org/WMO_Region_6_Europe/TUR_Turkey/ED_Edirne/TUR_ED_Edirne.170500_TMYx.zip</v>
      </c>
    </row>
    <row r="11621" spans="1:10" x14ac:dyDescent="0.25">
      <c r="A11621" t="s">
        <v>8459</v>
      </c>
      <c r="B11621" t="s">
        <v>5599</v>
      </c>
      <c r="C11621" t="s">
        <v>8494</v>
      </c>
      <c r="D11621">
        <v>170520</v>
      </c>
      <c r="E11621" t="s">
        <v>8495</v>
      </c>
      <c r="F11621">
        <v>41.732999999999997</v>
      </c>
      <c r="G11621">
        <v>27.233000000000001</v>
      </c>
      <c r="H11621">
        <v>3</v>
      </c>
      <c r="I11621">
        <v>232</v>
      </c>
      <c r="J11621" t="str">
        <f>HYPERLINK("https://climate.onebuilding.org/WMO_Region_6_Europe/TUR_Turkey/KL_Kirklareli/TUR_KL_Kirklareli.170520_TMYx.2004-2018.zip")</f>
        <v>https://climate.onebuilding.org/WMO_Region_6_Europe/TUR_Turkey/KL_Kirklareli/TUR_KL_Kirklareli.170520_TMYx.2004-2018.zip</v>
      </c>
    </row>
    <row r="11622" spans="1:10" x14ac:dyDescent="0.25">
      <c r="A11622" t="s">
        <v>8459</v>
      </c>
      <c r="B11622" t="s">
        <v>5599</v>
      </c>
      <c r="C11622" t="s">
        <v>8494</v>
      </c>
      <c r="D11622">
        <v>170520</v>
      </c>
      <c r="E11622" t="s">
        <v>14</v>
      </c>
      <c r="F11622">
        <v>41.732999999999997</v>
      </c>
      <c r="G11622">
        <v>27.233000000000001</v>
      </c>
      <c r="H11622">
        <v>3</v>
      </c>
      <c r="I11622">
        <v>232</v>
      </c>
      <c r="J11622" t="str">
        <f>HYPERLINK("https://climate.onebuilding.org/WMO_Region_6_Europe/TUR_Turkey/KL_Kirklareli/TUR_KL_Kirklareli.170520_TMYx.2007-2021.zip")</f>
        <v>https://climate.onebuilding.org/WMO_Region_6_Europe/TUR_Turkey/KL_Kirklareli/TUR_KL_Kirklareli.170520_TMYx.2007-2021.zip</v>
      </c>
    </row>
    <row r="11623" spans="1:10" x14ac:dyDescent="0.25">
      <c r="A11623" t="s">
        <v>8459</v>
      </c>
      <c r="B11623" t="s">
        <v>5599</v>
      </c>
      <c r="C11623" t="s">
        <v>8494</v>
      </c>
      <c r="D11623">
        <v>170520</v>
      </c>
      <c r="E11623" t="s">
        <v>14</v>
      </c>
      <c r="F11623">
        <v>41.732999999999997</v>
      </c>
      <c r="G11623">
        <v>27.233000000000001</v>
      </c>
      <c r="H11623">
        <v>3</v>
      </c>
      <c r="I11623">
        <v>232</v>
      </c>
      <c r="J11623" t="str">
        <f>HYPERLINK("https://climate.onebuilding.org/WMO_Region_6_Europe/TUR_Turkey/KL_Kirklareli/TUR_KL_Kirklareli.170520_TMYx.2009-2023.zip")</f>
        <v>https://climate.onebuilding.org/WMO_Region_6_Europe/TUR_Turkey/KL_Kirklareli/TUR_KL_Kirklareli.170520_TMYx.2009-2023.zip</v>
      </c>
    </row>
    <row r="11624" spans="1:10" x14ac:dyDescent="0.25">
      <c r="A11624" t="s">
        <v>8459</v>
      </c>
      <c r="B11624" t="s">
        <v>5599</v>
      </c>
      <c r="C11624" t="s">
        <v>8494</v>
      </c>
      <c r="D11624">
        <v>170520</v>
      </c>
      <c r="E11624" t="s">
        <v>14</v>
      </c>
      <c r="F11624">
        <v>41.732999999999997</v>
      </c>
      <c r="G11624">
        <v>27.233000000000001</v>
      </c>
      <c r="H11624">
        <v>3</v>
      </c>
      <c r="I11624">
        <v>232</v>
      </c>
      <c r="J11624" t="str">
        <f>HYPERLINK("https://climate.onebuilding.org/WMO_Region_6_Europe/TUR_Turkey/KL_Kirklareli/TUR_KL_Kirklareli.170520_TMYx.zip")</f>
        <v>https://climate.onebuilding.org/WMO_Region_6_Europe/TUR_Turkey/KL_Kirklareli/TUR_KL_Kirklareli.170520_TMYx.zip</v>
      </c>
    </row>
    <row r="11625" spans="1:10" x14ac:dyDescent="0.25">
      <c r="A11625" t="s">
        <v>8459</v>
      </c>
      <c r="B11625" t="s">
        <v>761</v>
      </c>
      <c r="C11625" t="s">
        <v>8496</v>
      </c>
      <c r="D11625">
        <v>170540</v>
      </c>
      <c r="E11625" t="s">
        <v>8497</v>
      </c>
      <c r="F11625">
        <v>41.133000000000003</v>
      </c>
      <c r="G11625">
        <v>27.917000000000002</v>
      </c>
      <c r="H11625">
        <v>3</v>
      </c>
      <c r="I11625">
        <v>160</v>
      </c>
      <c r="J11625" t="str">
        <f>HYPERLINK("https://climate.onebuilding.org/WMO_Region_6_Europe/TUR_Turkey/TG_Tekirdag/TUR_TG_Corlu.170540_TMYx.2004-2018.zip")</f>
        <v>https://climate.onebuilding.org/WMO_Region_6_Europe/TUR_Turkey/TG_Tekirdag/TUR_TG_Corlu.170540_TMYx.2004-2018.zip</v>
      </c>
    </row>
    <row r="11626" spans="1:10" x14ac:dyDescent="0.25">
      <c r="A11626" t="s">
        <v>8459</v>
      </c>
      <c r="B11626" t="s">
        <v>761</v>
      </c>
      <c r="C11626" t="s">
        <v>8496</v>
      </c>
      <c r="D11626">
        <v>170540</v>
      </c>
      <c r="E11626" t="s">
        <v>14</v>
      </c>
      <c r="F11626">
        <v>41.133000000000003</v>
      </c>
      <c r="G11626">
        <v>27.917000000000002</v>
      </c>
      <c r="H11626">
        <v>3</v>
      </c>
      <c r="I11626">
        <v>160</v>
      </c>
      <c r="J11626" t="str">
        <f>HYPERLINK("https://climate.onebuilding.org/WMO_Region_6_Europe/TUR_Turkey/TG_Tekirdag/TUR_TG_Corlu.170540_TMYx.2007-2021.zip")</f>
        <v>https://climate.onebuilding.org/WMO_Region_6_Europe/TUR_Turkey/TG_Tekirdag/TUR_TG_Corlu.170540_TMYx.2007-2021.zip</v>
      </c>
    </row>
    <row r="11627" spans="1:10" x14ac:dyDescent="0.25">
      <c r="A11627" t="s">
        <v>8459</v>
      </c>
      <c r="B11627" t="s">
        <v>761</v>
      </c>
      <c r="C11627" t="s">
        <v>8496</v>
      </c>
      <c r="D11627">
        <v>170540</v>
      </c>
      <c r="E11627" t="s">
        <v>14</v>
      </c>
      <c r="F11627">
        <v>41.133000000000003</v>
      </c>
      <c r="G11627">
        <v>27.917000000000002</v>
      </c>
      <c r="H11627">
        <v>3</v>
      </c>
      <c r="I11627">
        <v>160</v>
      </c>
      <c r="J11627" t="str">
        <f>HYPERLINK("https://climate.onebuilding.org/WMO_Region_6_Europe/TUR_Turkey/TG_Tekirdag/TUR_TG_Corlu.170540_TMYx.2009-2023.zip")</f>
        <v>https://climate.onebuilding.org/WMO_Region_6_Europe/TUR_Turkey/TG_Tekirdag/TUR_TG_Corlu.170540_TMYx.2009-2023.zip</v>
      </c>
    </row>
    <row r="11628" spans="1:10" x14ac:dyDescent="0.25">
      <c r="A11628" t="s">
        <v>8459</v>
      </c>
      <c r="B11628" t="s">
        <v>761</v>
      </c>
      <c r="C11628" t="s">
        <v>8496</v>
      </c>
      <c r="D11628">
        <v>170540</v>
      </c>
      <c r="E11628" t="s">
        <v>14</v>
      </c>
      <c r="F11628">
        <v>41.133000000000003</v>
      </c>
      <c r="G11628">
        <v>27.917000000000002</v>
      </c>
      <c r="H11628">
        <v>3</v>
      </c>
      <c r="I11628">
        <v>160</v>
      </c>
      <c r="J11628" t="str">
        <f>HYPERLINK("https://climate.onebuilding.org/WMO_Region_6_Europe/TUR_Turkey/TG_Tekirdag/TUR_TG_Corlu.170540_TMYx.zip")</f>
        <v>https://climate.onebuilding.org/WMO_Region_6_Europe/TUR_Turkey/TG_Tekirdag/TUR_TG_Corlu.170540_TMYx.zip</v>
      </c>
    </row>
    <row r="11629" spans="1:10" x14ac:dyDescent="0.25">
      <c r="A11629" t="s">
        <v>8459</v>
      </c>
      <c r="B11629" t="s">
        <v>761</v>
      </c>
      <c r="C11629" t="s">
        <v>8498</v>
      </c>
      <c r="D11629">
        <v>170560</v>
      </c>
      <c r="E11629" t="s">
        <v>8499</v>
      </c>
      <c r="F11629">
        <v>40.982999999999997</v>
      </c>
      <c r="G11629">
        <v>27.55</v>
      </c>
      <c r="H11629">
        <v>3</v>
      </c>
      <c r="I11629">
        <v>3</v>
      </c>
      <c r="J11629" t="str">
        <f>HYPERLINK("https://climate.onebuilding.org/WMO_Region_6_Europe/TUR_Turkey/TG_Tekirdag/TUR_TG_Tekirdag.170560_TMYx.2004-2018.zip")</f>
        <v>https://climate.onebuilding.org/WMO_Region_6_Europe/TUR_Turkey/TG_Tekirdag/TUR_TG_Tekirdag.170560_TMYx.2004-2018.zip</v>
      </c>
    </row>
    <row r="11630" spans="1:10" x14ac:dyDescent="0.25">
      <c r="A11630" t="s">
        <v>8459</v>
      </c>
      <c r="B11630" t="s">
        <v>761</v>
      </c>
      <c r="C11630" t="s">
        <v>8498</v>
      </c>
      <c r="D11630">
        <v>170560</v>
      </c>
      <c r="E11630" t="s">
        <v>14</v>
      </c>
      <c r="F11630">
        <v>40.957999999999998</v>
      </c>
      <c r="G11630">
        <v>27.495999999999999</v>
      </c>
      <c r="H11630">
        <v>3</v>
      </c>
      <c r="I11630">
        <v>3</v>
      </c>
      <c r="J11630" t="str">
        <f>HYPERLINK("https://climate.onebuilding.org/WMO_Region_6_Europe/TUR_Turkey/TG_Tekirdag/TUR_TG_Tekirdag.170560_TMYx.2007-2021.zip")</f>
        <v>https://climate.onebuilding.org/WMO_Region_6_Europe/TUR_Turkey/TG_Tekirdag/TUR_TG_Tekirdag.170560_TMYx.2007-2021.zip</v>
      </c>
    </row>
    <row r="11631" spans="1:10" x14ac:dyDescent="0.25">
      <c r="A11631" t="s">
        <v>8459</v>
      </c>
      <c r="B11631" t="s">
        <v>761</v>
      </c>
      <c r="C11631" t="s">
        <v>8498</v>
      </c>
      <c r="D11631">
        <v>170560</v>
      </c>
      <c r="E11631" t="s">
        <v>14</v>
      </c>
      <c r="F11631">
        <v>40.957999999999998</v>
      </c>
      <c r="G11631">
        <v>27.495999999999999</v>
      </c>
      <c r="H11631">
        <v>3</v>
      </c>
      <c r="I11631">
        <v>3</v>
      </c>
      <c r="J11631" t="str">
        <f>HYPERLINK("https://climate.onebuilding.org/WMO_Region_6_Europe/TUR_Turkey/TG_Tekirdag/TUR_TG_Tekirdag.170560_TMYx.2009-2023.zip")</f>
        <v>https://climate.onebuilding.org/WMO_Region_6_Europe/TUR_Turkey/TG_Tekirdag/TUR_TG_Tekirdag.170560_TMYx.2009-2023.zip</v>
      </c>
    </row>
    <row r="11632" spans="1:10" x14ac:dyDescent="0.25">
      <c r="A11632" t="s">
        <v>8459</v>
      </c>
      <c r="B11632" t="s">
        <v>761</v>
      </c>
      <c r="C11632" t="s">
        <v>8498</v>
      </c>
      <c r="D11632">
        <v>170560</v>
      </c>
      <c r="E11632" t="s">
        <v>14</v>
      </c>
      <c r="F11632">
        <v>40.957999999999998</v>
      </c>
      <c r="G11632">
        <v>27.495999999999999</v>
      </c>
      <c r="H11632">
        <v>3</v>
      </c>
      <c r="I11632">
        <v>3</v>
      </c>
      <c r="J11632" t="str">
        <f>HYPERLINK("https://climate.onebuilding.org/WMO_Region_6_Europe/TUR_Turkey/TG_Tekirdag/TUR_TG_Tekirdag.170560_TMYx.zip")</f>
        <v>https://climate.onebuilding.org/WMO_Region_6_Europe/TUR_Turkey/TG_Tekirdag/TUR_TG_Tekirdag.170560_TMYx.zip</v>
      </c>
    </row>
    <row r="11633" spans="1:10" x14ac:dyDescent="0.25">
      <c r="A11633" t="s">
        <v>8459</v>
      </c>
      <c r="B11633" t="s">
        <v>2155</v>
      </c>
      <c r="C11633" t="s">
        <v>8500</v>
      </c>
      <c r="D11633">
        <v>170590</v>
      </c>
      <c r="E11633" t="s">
        <v>8501</v>
      </c>
      <c r="F11633">
        <v>41.25</v>
      </c>
      <c r="G11633">
        <v>29.033000000000001</v>
      </c>
      <c r="H11633">
        <v>3</v>
      </c>
      <c r="I11633">
        <v>30</v>
      </c>
      <c r="J11633" t="str">
        <f>HYPERLINK("https://climate.onebuilding.org/WMO_Region_6_Europe/TUR_Turkey/IB_Istanbul/TUR_IB_Kumkoy.170590_TMYx.2004-2018.zip")</f>
        <v>https://climate.onebuilding.org/WMO_Region_6_Europe/TUR_Turkey/IB_Istanbul/TUR_IB_Kumkoy.170590_TMYx.2004-2018.zip</v>
      </c>
    </row>
    <row r="11634" spans="1:10" x14ac:dyDescent="0.25">
      <c r="A11634" t="s">
        <v>8459</v>
      </c>
      <c r="B11634" t="s">
        <v>2155</v>
      </c>
      <c r="C11634" t="s">
        <v>8500</v>
      </c>
      <c r="D11634">
        <v>170590</v>
      </c>
      <c r="E11634" t="s">
        <v>14</v>
      </c>
      <c r="F11634">
        <v>41.25</v>
      </c>
      <c r="G11634">
        <v>29.033000000000001</v>
      </c>
      <c r="H11634">
        <v>3</v>
      </c>
      <c r="I11634">
        <v>30</v>
      </c>
      <c r="J11634" t="str">
        <f>HYPERLINK("https://climate.onebuilding.org/WMO_Region_6_Europe/TUR_Turkey/IB_Istanbul/TUR_IB_Kumkoy.170590_TMYx.2007-2021.zip")</f>
        <v>https://climate.onebuilding.org/WMO_Region_6_Europe/TUR_Turkey/IB_Istanbul/TUR_IB_Kumkoy.170590_TMYx.2007-2021.zip</v>
      </c>
    </row>
    <row r="11635" spans="1:10" x14ac:dyDescent="0.25">
      <c r="A11635" t="s">
        <v>8459</v>
      </c>
      <c r="B11635" t="s">
        <v>2155</v>
      </c>
      <c r="C11635" t="s">
        <v>8500</v>
      </c>
      <c r="D11635">
        <v>170590</v>
      </c>
      <c r="E11635" t="s">
        <v>14</v>
      </c>
      <c r="F11635">
        <v>41.25</v>
      </c>
      <c r="G11635">
        <v>29.033000000000001</v>
      </c>
      <c r="H11635">
        <v>3</v>
      </c>
      <c r="I11635">
        <v>30</v>
      </c>
      <c r="J11635" t="str">
        <f>HYPERLINK("https://climate.onebuilding.org/WMO_Region_6_Europe/TUR_Turkey/IB_Istanbul/TUR_IB_Kumkoy.170590_TMYx.2009-2023.zip")</f>
        <v>https://climate.onebuilding.org/WMO_Region_6_Europe/TUR_Turkey/IB_Istanbul/TUR_IB_Kumkoy.170590_TMYx.2009-2023.zip</v>
      </c>
    </row>
    <row r="11636" spans="1:10" x14ac:dyDescent="0.25">
      <c r="A11636" t="s">
        <v>8459</v>
      </c>
      <c r="B11636" t="s">
        <v>2155</v>
      </c>
      <c r="C11636" t="s">
        <v>8500</v>
      </c>
      <c r="D11636">
        <v>170590</v>
      </c>
      <c r="E11636" t="s">
        <v>14</v>
      </c>
      <c r="F11636">
        <v>41.25</v>
      </c>
      <c r="G11636">
        <v>29.033000000000001</v>
      </c>
      <c r="H11636">
        <v>3</v>
      </c>
      <c r="I11636">
        <v>30</v>
      </c>
      <c r="J11636" t="str">
        <f>HYPERLINK("https://climate.onebuilding.org/WMO_Region_6_Europe/TUR_Turkey/IB_Istanbul/TUR_IB_Kumkoy.170590_TMYx.zip")</f>
        <v>https://climate.onebuilding.org/WMO_Region_6_Europe/TUR_Turkey/IB_Istanbul/TUR_IB_Kumkoy.170590_TMYx.zip</v>
      </c>
    </row>
    <row r="11637" spans="1:10" x14ac:dyDescent="0.25">
      <c r="A11637" t="s">
        <v>8459</v>
      </c>
      <c r="B11637" t="s">
        <v>2155</v>
      </c>
      <c r="C11637" t="s">
        <v>8502</v>
      </c>
      <c r="D11637">
        <v>170600</v>
      </c>
      <c r="E11637" t="s">
        <v>8503</v>
      </c>
      <c r="F11637">
        <v>40.976999999999997</v>
      </c>
      <c r="G11637">
        <v>28.821000000000002</v>
      </c>
      <c r="H11637">
        <v>3</v>
      </c>
      <c r="I11637">
        <v>49.7</v>
      </c>
      <c r="J11637" t="str">
        <f>HYPERLINK("https://climate.onebuilding.org/WMO_Region_6_Europe/TUR_Turkey/IB_Istanbul/TUR_IB_Istanbul-Ataturk.AP.170600_TMYx.2004-2018.zip")</f>
        <v>https://climate.onebuilding.org/WMO_Region_6_Europe/TUR_Turkey/IB_Istanbul/TUR_IB_Istanbul-Ataturk.AP.170600_TMYx.2004-2018.zip</v>
      </c>
    </row>
    <row r="11638" spans="1:10" x14ac:dyDescent="0.25">
      <c r="A11638" t="s">
        <v>8459</v>
      </c>
      <c r="B11638" t="s">
        <v>2155</v>
      </c>
      <c r="C11638" t="s">
        <v>8502</v>
      </c>
      <c r="D11638">
        <v>170600</v>
      </c>
      <c r="E11638" t="s">
        <v>14</v>
      </c>
      <c r="F11638">
        <v>40.966999999999999</v>
      </c>
      <c r="G11638">
        <v>28.817</v>
      </c>
      <c r="H11638">
        <v>3</v>
      </c>
      <c r="I11638">
        <v>49.7</v>
      </c>
      <c r="J11638" t="str">
        <f>HYPERLINK("https://climate.onebuilding.org/WMO_Region_6_Europe/TUR_Turkey/IB_Istanbul/TUR_IB_Istanbul-Ataturk.AP.170600_TMYx.2007-2021.zip")</f>
        <v>https://climate.onebuilding.org/WMO_Region_6_Europe/TUR_Turkey/IB_Istanbul/TUR_IB_Istanbul-Ataturk.AP.170600_TMYx.2007-2021.zip</v>
      </c>
    </row>
    <row r="11639" spans="1:10" x14ac:dyDescent="0.25">
      <c r="A11639" t="s">
        <v>8459</v>
      </c>
      <c r="B11639" t="s">
        <v>2155</v>
      </c>
      <c r="C11639" t="s">
        <v>8502</v>
      </c>
      <c r="D11639">
        <v>170600</v>
      </c>
      <c r="E11639" t="s">
        <v>14</v>
      </c>
      <c r="F11639">
        <v>40.966999999999999</v>
      </c>
      <c r="G11639">
        <v>28.817</v>
      </c>
      <c r="H11639">
        <v>3</v>
      </c>
      <c r="I11639">
        <v>49.7</v>
      </c>
      <c r="J11639" t="str">
        <f>HYPERLINK("https://climate.onebuilding.org/WMO_Region_6_Europe/TUR_Turkey/IB_Istanbul/TUR_IB_Istanbul-Ataturk.AP.170600_TMYx.2009-2023.zip")</f>
        <v>https://climate.onebuilding.org/WMO_Region_6_Europe/TUR_Turkey/IB_Istanbul/TUR_IB_Istanbul-Ataturk.AP.170600_TMYx.2009-2023.zip</v>
      </c>
    </row>
    <row r="11640" spans="1:10" x14ac:dyDescent="0.25">
      <c r="A11640" t="s">
        <v>8459</v>
      </c>
      <c r="B11640" t="s">
        <v>2155</v>
      </c>
      <c r="C11640" t="s">
        <v>8502</v>
      </c>
      <c r="D11640">
        <v>170600</v>
      </c>
      <c r="E11640" t="s">
        <v>14</v>
      </c>
      <c r="F11640">
        <v>40.966999999999999</v>
      </c>
      <c r="G11640">
        <v>28.817</v>
      </c>
      <c r="H11640">
        <v>3</v>
      </c>
      <c r="I11640">
        <v>49.7</v>
      </c>
      <c r="J11640" t="str">
        <f>HYPERLINK("https://climate.onebuilding.org/WMO_Region_6_Europe/TUR_Turkey/IB_Istanbul/TUR_IB_Istanbul-Ataturk.AP.170600_TMYx.zip")</f>
        <v>https://climate.onebuilding.org/WMO_Region_6_Europe/TUR_Turkey/IB_Istanbul/TUR_IB_Istanbul-Ataturk.AP.170600_TMYx.zip</v>
      </c>
    </row>
    <row r="11641" spans="1:10" x14ac:dyDescent="0.25">
      <c r="A11641" t="s">
        <v>8459</v>
      </c>
      <c r="B11641" t="s">
        <v>2155</v>
      </c>
      <c r="C11641" t="s">
        <v>8504</v>
      </c>
      <c r="D11641">
        <v>170610</v>
      </c>
      <c r="E11641" t="s">
        <v>8505</v>
      </c>
      <c r="F11641">
        <v>41.133000000000003</v>
      </c>
      <c r="G11641">
        <v>29.067</v>
      </c>
      <c r="H11641">
        <v>3</v>
      </c>
      <c r="I11641">
        <v>58</v>
      </c>
      <c r="J11641" t="str">
        <f>HYPERLINK("https://climate.onebuilding.org/WMO_Region_6_Europe/TUR_Turkey/IB_Istanbul/TUR_IB_Sariyer.170610_TMYx.2004-2018.zip")</f>
        <v>https://climate.onebuilding.org/WMO_Region_6_Europe/TUR_Turkey/IB_Istanbul/TUR_IB_Sariyer.170610_TMYx.2004-2018.zip</v>
      </c>
    </row>
    <row r="11642" spans="1:10" x14ac:dyDescent="0.25">
      <c r="A11642" t="s">
        <v>8459</v>
      </c>
      <c r="B11642" t="s">
        <v>2155</v>
      </c>
      <c r="C11642" t="s">
        <v>8504</v>
      </c>
      <c r="D11642">
        <v>170610</v>
      </c>
      <c r="E11642" t="s">
        <v>14</v>
      </c>
      <c r="F11642">
        <v>41.133000000000003</v>
      </c>
      <c r="G11642">
        <v>29.067</v>
      </c>
      <c r="H11642">
        <v>3</v>
      </c>
      <c r="I11642">
        <v>58</v>
      </c>
      <c r="J11642" t="str">
        <f>HYPERLINK("https://climate.onebuilding.org/WMO_Region_6_Europe/TUR_Turkey/IB_Istanbul/TUR_IB_Sariyer.170610_TMYx.2007-2021.zip")</f>
        <v>https://climate.onebuilding.org/WMO_Region_6_Europe/TUR_Turkey/IB_Istanbul/TUR_IB_Sariyer.170610_TMYx.2007-2021.zip</v>
      </c>
    </row>
    <row r="11643" spans="1:10" x14ac:dyDescent="0.25">
      <c r="A11643" t="s">
        <v>8459</v>
      </c>
      <c r="B11643" t="s">
        <v>2155</v>
      </c>
      <c r="C11643" t="s">
        <v>8504</v>
      </c>
      <c r="D11643">
        <v>170610</v>
      </c>
      <c r="E11643" t="s">
        <v>14</v>
      </c>
      <c r="F11643">
        <v>41.133000000000003</v>
      </c>
      <c r="G11643">
        <v>29.067</v>
      </c>
      <c r="H11643">
        <v>3</v>
      </c>
      <c r="I11643">
        <v>58</v>
      </c>
      <c r="J11643" t="str">
        <f>HYPERLINK("https://climate.onebuilding.org/WMO_Region_6_Europe/TUR_Turkey/IB_Istanbul/TUR_IB_Sariyer.170610_TMYx.2009-2023.zip")</f>
        <v>https://climate.onebuilding.org/WMO_Region_6_Europe/TUR_Turkey/IB_Istanbul/TUR_IB_Sariyer.170610_TMYx.2009-2023.zip</v>
      </c>
    </row>
    <row r="11644" spans="1:10" x14ac:dyDescent="0.25">
      <c r="A11644" t="s">
        <v>8459</v>
      </c>
      <c r="B11644" t="s">
        <v>2155</v>
      </c>
      <c r="C11644" t="s">
        <v>8504</v>
      </c>
      <c r="D11644">
        <v>170610</v>
      </c>
      <c r="E11644" t="s">
        <v>14</v>
      </c>
      <c r="F11644">
        <v>41.133000000000003</v>
      </c>
      <c r="G11644">
        <v>29.067</v>
      </c>
      <c r="H11644">
        <v>3</v>
      </c>
      <c r="I11644">
        <v>58</v>
      </c>
      <c r="J11644" t="str">
        <f>HYPERLINK("https://climate.onebuilding.org/WMO_Region_6_Europe/TUR_Turkey/IB_Istanbul/TUR_IB_Sariyer.170610_TMYx.zip")</f>
        <v>https://climate.onebuilding.org/WMO_Region_6_Europe/TUR_Turkey/IB_Istanbul/TUR_IB_Sariyer.170610_TMYx.zip</v>
      </c>
    </row>
    <row r="11645" spans="1:10" x14ac:dyDescent="0.25">
      <c r="A11645" t="s">
        <v>8459</v>
      </c>
      <c r="B11645" t="s">
        <v>2155</v>
      </c>
      <c r="C11645" t="s">
        <v>8506</v>
      </c>
      <c r="D11645">
        <v>170630</v>
      </c>
      <c r="E11645" t="s">
        <v>8507</v>
      </c>
      <c r="F11645">
        <v>40.883000000000003</v>
      </c>
      <c r="G11645">
        <v>29.3</v>
      </c>
      <c r="H11645">
        <v>3</v>
      </c>
      <c r="I11645">
        <v>99</v>
      </c>
      <c r="J11645" t="str">
        <f>HYPERLINK("https://climate.onebuilding.org/WMO_Region_6_Europe/TUR_Turkey/IB_Istanbul/TUR_IB_Sabiha-Gokcen.Intl.AP.170630_TMYx.2004-2018.zip")</f>
        <v>https://climate.onebuilding.org/WMO_Region_6_Europe/TUR_Turkey/IB_Istanbul/TUR_IB_Sabiha-Gokcen.Intl.AP.170630_TMYx.2004-2018.zip</v>
      </c>
    </row>
    <row r="11646" spans="1:10" x14ac:dyDescent="0.25">
      <c r="A11646" t="s">
        <v>8459</v>
      </c>
      <c r="B11646" t="s">
        <v>2155</v>
      </c>
      <c r="C11646" t="s">
        <v>8506</v>
      </c>
      <c r="D11646">
        <v>170630</v>
      </c>
      <c r="E11646" t="s">
        <v>14</v>
      </c>
      <c r="F11646">
        <v>40.898000000000003</v>
      </c>
      <c r="G11646">
        <v>29.303000000000001</v>
      </c>
      <c r="H11646">
        <v>3</v>
      </c>
      <c r="I11646">
        <v>99</v>
      </c>
      <c r="J11646" t="str">
        <f>HYPERLINK("https://climate.onebuilding.org/WMO_Region_6_Europe/TUR_Turkey/IB_Istanbul/TUR_IB_Sabiha-Gokcen.Intl.AP.170630_TMYx.2007-2021.zip")</f>
        <v>https://climate.onebuilding.org/WMO_Region_6_Europe/TUR_Turkey/IB_Istanbul/TUR_IB_Sabiha-Gokcen.Intl.AP.170630_TMYx.2007-2021.zip</v>
      </c>
    </row>
    <row r="11647" spans="1:10" x14ac:dyDescent="0.25">
      <c r="A11647" t="s">
        <v>8459</v>
      </c>
      <c r="B11647" t="s">
        <v>2155</v>
      </c>
      <c r="C11647" t="s">
        <v>8506</v>
      </c>
      <c r="D11647">
        <v>170630</v>
      </c>
      <c r="E11647" t="s">
        <v>14</v>
      </c>
      <c r="F11647">
        <v>40.898000000000003</v>
      </c>
      <c r="G11647">
        <v>29.303000000000001</v>
      </c>
      <c r="H11647">
        <v>3</v>
      </c>
      <c r="I11647">
        <v>99</v>
      </c>
      <c r="J11647" t="str">
        <f>HYPERLINK("https://climate.onebuilding.org/WMO_Region_6_Europe/TUR_Turkey/IB_Istanbul/TUR_IB_Sabiha-Gokcen.Intl.AP.170630_TMYx.2009-2023.zip")</f>
        <v>https://climate.onebuilding.org/WMO_Region_6_Europe/TUR_Turkey/IB_Istanbul/TUR_IB_Sabiha-Gokcen.Intl.AP.170630_TMYx.2009-2023.zip</v>
      </c>
    </row>
    <row r="11648" spans="1:10" x14ac:dyDescent="0.25">
      <c r="A11648" t="s">
        <v>8459</v>
      </c>
      <c r="B11648" t="s">
        <v>2155</v>
      </c>
      <c r="C11648" t="s">
        <v>8506</v>
      </c>
      <c r="D11648">
        <v>170630</v>
      </c>
      <c r="E11648" t="s">
        <v>14</v>
      </c>
      <c r="F11648">
        <v>40.898000000000003</v>
      </c>
      <c r="G11648">
        <v>29.303000000000001</v>
      </c>
      <c r="H11648">
        <v>3</v>
      </c>
      <c r="I11648">
        <v>99</v>
      </c>
      <c r="J11648" t="str">
        <f>HYPERLINK("https://climate.onebuilding.org/WMO_Region_6_Europe/TUR_Turkey/IB_Istanbul/TUR_IB_Sabiha-Gokcen.Intl.AP.170630_TMYx.zip")</f>
        <v>https://climate.onebuilding.org/WMO_Region_6_Europe/TUR_Turkey/IB_Istanbul/TUR_IB_Sabiha-Gokcen.Intl.AP.170630_TMYx.zip</v>
      </c>
    </row>
    <row r="11649" spans="1:10" x14ac:dyDescent="0.25">
      <c r="A11649" t="s">
        <v>8459</v>
      </c>
      <c r="B11649" t="s">
        <v>2155</v>
      </c>
      <c r="C11649" t="s">
        <v>8508</v>
      </c>
      <c r="D11649">
        <v>170640</v>
      </c>
      <c r="E11649" t="s">
        <v>8509</v>
      </c>
      <c r="F11649">
        <v>40.901499999999999</v>
      </c>
      <c r="G11649">
        <v>29.1525</v>
      </c>
      <c r="H11649">
        <v>3</v>
      </c>
      <c r="I11649">
        <v>18</v>
      </c>
      <c r="J11649" t="str">
        <f>HYPERLINK("https://climate.onebuilding.org/WMO_Region_6_Europe/TUR_Turkey/IB_Istanbul/TUR_IB_Istanbul.Bolge.Kartal-Goztepe.170640_TMYx.2004-2018.zip")</f>
        <v>https://climate.onebuilding.org/WMO_Region_6_Europe/TUR_Turkey/IB_Istanbul/TUR_IB_Istanbul.Bolge.Kartal-Goztepe.170640_TMYx.2004-2018.zip</v>
      </c>
    </row>
    <row r="11650" spans="1:10" x14ac:dyDescent="0.25">
      <c r="A11650" t="s">
        <v>8459</v>
      </c>
      <c r="B11650" t="s">
        <v>2155</v>
      </c>
      <c r="C11650" t="s">
        <v>8508</v>
      </c>
      <c r="D11650">
        <v>170640</v>
      </c>
      <c r="E11650" t="s">
        <v>14</v>
      </c>
      <c r="F11650">
        <v>40.901490000000003</v>
      </c>
      <c r="G11650">
        <v>29.152470000000001</v>
      </c>
      <c r="H11650">
        <v>3</v>
      </c>
      <c r="I11650">
        <v>18</v>
      </c>
      <c r="J11650" t="str">
        <f>HYPERLINK("https://climate.onebuilding.org/WMO_Region_6_Europe/TUR_Turkey/IB_Istanbul/TUR_IB_Istanbul.Bolge.Kartal-Goztepe.170640_TMYx.2007-2021.zip")</f>
        <v>https://climate.onebuilding.org/WMO_Region_6_Europe/TUR_Turkey/IB_Istanbul/TUR_IB_Istanbul.Bolge.Kartal-Goztepe.170640_TMYx.2007-2021.zip</v>
      </c>
    </row>
    <row r="11651" spans="1:10" x14ac:dyDescent="0.25">
      <c r="A11651" t="s">
        <v>8459</v>
      </c>
      <c r="B11651" t="s">
        <v>2155</v>
      </c>
      <c r="C11651" t="s">
        <v>8508</v>
      </c>
      <c r="D11651">
        <v>170640</v>
      </c>
      <c r="E11651" t="s">
        <v>14</v>
      </c>
      <c r="F11651">
        <v>40.901490000000003</v>
      </c>
      <c r="G11651">
        <v>29.152470000000001</v>
      </c>
      <c r="H11651">
        <v>3</v>
      </c>
      <c r="I11651">
        <v>18</v>
      </c>
      <c r="J11651" t="str">
        <f>HYPERLINK("https://climate.onebuilding.org/WMO_Region_6_Europe/TUR_Turkey/IB_Istanbul/TUR_IB_Istanbul.Bolge.Kartal-Goztepe.170640_TMYx.2009-2023.zip")</f>
        <v>https://climate.onebuilding.org/WMO_Region_6_Europe/TUR_Turkey/IB_Istanbul/TUR_IB_Istanbul.Bolge.Kartal-Goztepe.170640_TMYx.2009-2023.zip</v>
      </c>
    </row>
    <row r="11652" spans="1:10" x14ac:dyDescent="0.25">
      <c r="A11652" t="s">
        <v>8459</v>
      </c>
      <c r="B11652" t="s">
        <v>2155</v>
      </c>
      <c r="C11652" t="s">
        <v>8508</v>
      </c>
      <c r="D11652">
        <v>170640</v>
      </c>
      <c r="E11652" t="s">
        <v>14</v>
      </c>
      <c r="F11652">
        <v>40.901490000000003</v>
      </c>
      <c r="G11652">
        <v>29.152470000000001</v>
      </c>
      <c r="H11652">
        <v>3</v>
      </c>
      <c r="I11652">
        <v>18</v>
      </c>
      <c r="J11652" t="str">
        <f>HYPERLINK("https://climate.onebuilding.org/WMO_Region_6_Europe/TUR_Turkey/IB_Istanbul/TUR_IB_Istanbul.Bolge.Kartal-Goztepe.170640_TMYx.zip")</f>
        <v>https://climate.onebuilding.org/WMO_Region_6_Europe/TUR_Turkey/IB_Istanbul/TUR_IB_Istanbul.Bolge.Kartal-Goztepe.170640_TMYx.zip</v>
      </c>
    </row>
    <row r="11653" spans="1:10" x14ac:dyDescent="0.25">
      <c r="A11653" t="s">
        <v>8459</v>
      </c>
      <c r="B11653" t="s">
        <v>8510</v>
      </c>
      <c r="C11653" t="s">
        <v>8511</v>
      </c>
      <c r="D11653">
        <v>170661</v>
      </c>
      <c r="E11653" t="s">
        <v>14</v>
      </c>
      <c r="F11653">
        <v>40.767000000000003</v>
      </c>
      <c r="G11653">
        <v>29.9</v>
      </c>
      <c r="H11653">
        <v>3</v>
      </c>
      <c r="I11653">
        <v>76</v>
      </c>
      <c r="J11653" t="str">
        <f>HYPERLINK("https://climate.onebuilding.org/WMO_Region_6_Europe/TUR_Turkey/KC_Kocaeli/TUR_KC_Izmit.170661_TMYx.2007-2021.zip")</f>
        <v>https://climate.onebuilding.org/WMO_Region_6_Europe/TUR_Turkey/KC_Kocaeli/TUR_KC_Izmit.170661_TMYx.2007-2021.zip</v>
      </c>
    </row>
    <row r="11654" spans="1:10" x14ac:dyDescent="0.25">
      <c r="A11654" t="s">
        <v>8459</v>
      </c>
      <c r="B11654" t="s">
        <v>8510</v>
      </c>
      <c r="C11654" t="s">
        <v>8511</v>
      </c>
      <c r="D11654">
        <v>170661</v>
      </c>
      <c r="E11654" t="s">
        <v>14</v>
      </c>
      <c r="F11654">
        <v>40.767000000000003</v>
      </c>
      <c r="G11654">
        <v>29.9</v>
      </c>
      <c r="H11654">
        <v>3</v>
      </c>
      <c r="I11654">
        <v>76</v>
      </c>
      <c r="J11654" t="str">
        <f>HYPERLINK("https://climate.onebuilding.org/WMO_Region_6_Europe/TUR_Turkey/KC_Kocaeli/TUR_KC_Izmit.170661_TMYx.2009-2023.zip")</f>
        <v>https://climate.onebuilding.org/WMO_Region_6_Europe/TUR_Turkey/KC_Kocaeli/TUR_KC_Izmit.170661_TMYx.2009-2023.zip</v>
      </c>
    </row>
    <row r="11655" spans="1:10" x14ac:dyDescent="0.25">
      <c r="A11655" t="s">
        <v>8459</v>
      </c>
      <c r="B11655" t="s">
        <v>8510</v>
      </c>
      <c r="C11655" t="s">
        <v>8511</v>
      </c>
      <c r="D11655">
        <v>170661</v>
      </c>
      <c r="E11655" t="s">
        <v>14</v>
      </c>
      <c r="F11655">
        <v>40.767000000000003</v>
      </c>
      <c r="G11655">
        <v>29.9</v>
      </c>
      <c r="H11655">
        <v>3</v>
      </c>
      <c r="I11655">
        <v>76</v>
      </c>
      <c r="J11655" t="str">
        <f>HYPERLINK("https://climate.onebuilding.org/WMO_Region_6_Europe/TUR_Turkey/KC_Kocaeli/TUR_KC_Izmit.170661_TMYx.zip")</f>
        <v>https://climate.onebuilding.org/WMO_Region_6_Europe/TUR_Turkey/KC_Kocaeli/TUR_KC_Izmit.170661_TMYx.zip</v>
      </c>
    </row>
    <row r="11656" spans="1:10" x14ac:dyDescent="0.25">
      <c r="A11656" t="s">
        <v>8459</v>
      </c>
      <c r="B11656" t="s">
        <v>8510</v>
      </c>
      <c r="C11656" t="s">
        <v>8512</v>
      </c>
      <c r="D11656">
        <v>170670</v>
      </c>
      <c r="E11656" t="s">
        <v>8513</v>
      </c>
      <c r="F11656">
        <v>40.667000000000002</v>
      </c>
      <c r="G11656">
        <v>29.832999999999998</v>
      </c>
      <c r="H11656">
        <v>3</v>
      </c>
      <c r="I11656">
        <v>18</v>
      </c>
      <c r="J11656" t="str">
        <f>HYPERLINK("https://climate.onebuilding.org/WMO_Region_6_Europe/TUR_Turkey/KC_Kocaeli/TUR_KC_Golcuk-Dumlupinar.170670_TMYx.2004-2018.zip")</f>
        <v>https://climate.onebuilding.org/WMO_Region_6_Europe/TUR_Turkey/KC_Kocaeli/TUR_KC_Golcuk-Dumlupinar.170670_TMYx.2004-2018.zip</v>
      </c>
    </row>
    <row r="11657" spans="1:10" x14ac:dyDescent="0.25">
      <c r="A11657" t="s">
        <v>8459</v>
      </c>
      <c r="B11657" t="s">
        <v>8510</v>
      </c>
      <c r="C11657" t="s">
        <v>8512</v>
      </c>
      <c r="D11657">
        <v>170670</v>
      </c>
      <c r="E11657" t="s">
        <v>14</v>
      </c>
      <c r="F11657">
        <v>40.726700000000001</v>
      </c>
      <c r="G11657">
        <v>29.806699999999999</v>
      </c>
      <c r="H11657">
        <v>3</v>
      </c>
      <c r="I11657">
        <v>18</v>
      </c>
      <c r="J11657" t="str">
        <f>HYPERLINK("https://climate.onebuilding.org/WMO_Region_6_Europe/TUR_Turkey/KC_Kocaeli/TUR_KC_Golcuk-Dumlupinar.170670_TMYx.2007-2021.zip")</f>
        <v>https://climate.onebuilding.org/WMO_Region_6_Europe/TUR_Turkey/KC_Kocaeli/TUR_KC_Golcuk-Dumlupinar.170670_TMYx.2007-2021.zip</v>
      </c>
    </row>
    <row r="11658" spans="1:10" x14ac:dyDescent="0.25">
      <c r="A11658" t="s">
        <v>8459</v>
      </c>
      <c r="B11658" t="s">
        <v>8510</v>
      </c>
      <c r="C11658" t="s">
        <v>8512</v>
      </c>
      <c r="D11658">
        <v>170670</v>
      </c>
      <c r="E11658" t="s">
        <v>14</v>
      </c>
      <c r="F11658">
        <v>40.726700000000001</v>
      </c>
      <c r="G11658">
        <v>29.806699999999999</v>
      </c>
      <c r="H11658">
        <v>3</v>
      </c>
      <c r="I11658">
        <v>18</v>
      </c>
      <c r="J11658" t="str">
        <f>HYPERLINK("https://climate.onebuilding.org/WMO_Region_6_Europe/TUR_Turkey/KC_Kocaeli/TUR_KC_Golcuk-Dumlupinar.170670_TMYx.2009-2023.zip")</f>
        <v>https://climate.onebuilding.org/WMO_Region_6_Europe/TUR_Turkey/KC_Kocaeli/TUR_KC_Golcuk-Dumlupinar.170670_TMYx.2009-2023.zip</v>
      </c>
    </row>
    <row r="11659" spans="1:10" x14ac:dyDescent="0.25">
      <c r="A11659" t="s">
        <v>8459</v>
      </c>
      <c r="B11659" t="s">
        <v>8510</v>
      </c>
      <c r="C11659" t="s">
        <v>8512</v>
      </c>
      <c r="D11659">
        <v>170670</v>
      </c>
      <c r="E11659" t="s">
        <v>14</v>
      </c>
      <c r="F11659">
        <v>40.726700000000001</v>
      </c>
      <c r="G11659">
        <v>29.806699999999999</v>
      </c>
      <c r="H11659">
        <v>3</v>
      </c>
      <c r="I11659">
        <v>18</v>
      </c>
      <c r="J11659" t="str">
        <f>HYPERLINK("https://climate.onebuilding.org/WMO_Region_6_Europe/TUR_Turkey/KC_Kocaeli/TUR_KC_Golcuk-Dumlupinar.170670_TMYx.zip")</f>
        <v>https://climate.onebuilding.org/WMO_Region_6_Europe/TUR_Turkey/KC_Kocaeli/TUR_KC_Golcuk-Dumlupinar.170670_TMYx.zip</v>
      </c>
    </row>
    <row r="11660" spans="1:10" x14ac:dyDescent="0.25">
      <c r="A11660" t="s">
        <v>8459</v>
      </c>
      <c r="B11660" t="s">
        <v>8510</v>
      </c>
      <c r="C11660" t="s">
        <v>8514</v>
      </c>
      <c r="D11660">
        <v>170680</v>
      </c>
      <c r="E11660" t="s">
        <v>8515</v>
      </c>
      <c r="F11660">
        <v>40.85</v>
      </c>
      <c r="G11660">
        <v>29.9</v>
      </c>
      <c r="H11660">
        <v>3</v>
      </c>
      <c r="I11660">
        <v>70</v>
      </c>
      <c r="J11660" t="str">
        <f>HYPERLINK("https://climate.onebuilding.org/WMO_Region_6_Europe/TUR_Turkey/KC_Kocaeli/TUR_KC_Cengiztopel.170680_TMYx.2004-2018.zip")</f>
        <v>https://climate.onebuilding.org/WMO_Region_6_Europe/TUR_Turkey/KC_Kocaeli/TUR_KC_Cengiztopel.170680_TMYx.2004-2018.zip</v>
      </c>
    </row>
    <row r="11661" spans="1:10" x14ac:dyDescent="0.25">
      <c r="A11661" t="s">
        <v>8459</v>
      </c>
      <c r="B11661" t="s">
        <v>8510</v>
      </c>
      <c r="C11661" t="s">
        <v>8514</v>
      </c>
      <c r="D11661">
        <v>170680</v>
      </c>
      <c r="E11661" t="s">
        <v>14</v>
      </c>
      <c r="F11661">
        <v>40.85</v>
      </c>
      <c r="G11661">
        <v>29.9</v>
      </c>
      <c r="H11661">
        <v>3</v>
      </c>
      <c r="I11661">
        <v>70</v>
      </c>
      <c r="J11661" t="str">
        <f>HYPERLINK("https://climate.onebuilding.org/WMO_Region_6_Europe/TUR_Turkey/KC_Kocaeli/TUR_KC_Cengiztopel.170680_TMYx.2007-2021.zip")</f>
        <v>https://climate.onebuilding.org/WMO_Region_6_Europe/TUR_Turkey/KC_Kocaeli/TUR_KC_Cengiztopel.170680_TMYx.2007-2021.zip</v>
      </c>
    </row>
    <row r="11662" spans="1:10" x14ac:dyDescent="0.25">
      <c r="A11662" t="s">
        <v>8459</v>
      </c>
      <c r="B11662" t="s">
        <v>8510</v>
      </c>
      <c r="C11662" t="s">
        <v>8514</v>
      </c>
      <c r="D11662">
        <v>170680</v>
      </c>
      <c r="E11662" t="s">
        <v>14</v>
      </c>
      <c r="F11662">
        <v>40.85</v>
      </c>
      <c r="G11662">
        <v>29.9</v>
      </c>
      <c r="H11662">
        <v>3</v>
      </c>
      <c r="I11662">
        <v>70</v>
      </c>
      <c r="J11662" t="str">
        <f>HYPERLINK("https://climate.onebuilding.org/WMO_Region_6_Europe/TUR_Turkey/KC_Kocaeli/TUR_KC_Cengiztopel.170680_TMYx.2009-2023.zip")</f>
        <v>https://climate.onebuilding.org/WMO_Region_6_Europe/TUR_Turkey/KC_Kocaeli/TUR_KC_Cengiztopel.170680_TMYx.2009-2023.zip</v>
      </c>
    </row>
    <row r="11663" spans="1:10" x14ac:dyDescent="0.25">
      <c r="A11663" t="s">
        <v>8459</v>
      </c>
      <c r="B11663" t="s">
        <v>8510</v>
      </c>
      <c r="C11663" t="s">
        <v>8514</v>
      </c>
      <c r="D11663">
        <v>170680</v>
      </c>
      <c r="E11663" t="s">
        <v>14</v>
      </c>
      <c r="F11663">
        <v>40.85</v>
      </c>
      <c r="G11663">
        <v>29.9</v>
      </c>
      <c r="H11663">
        <v>3</v>
      </c>
      <c r="I11663">
        <v>70</v>
      </c>
      <c r="J11663" t="str">
        <f>HYPERLINK("https://climate.onebuilding.org/WMO_Region_6_Europe/TUR_Turkey/KC_Kocaeli/TUR_KC_Cengiztopel.170680_TMYx.zip")</f>
        <v>https://climate.onebuilding.org/WMO_Region_6_Europe/TUR_Turkey/KC_Kocaeli/TUR_KC_Cengiztopel.170680_TMYx.zip</v>
      </c>
    </row>
    <row r="11664" spans="1:10" x14ac:dyDescent="0.25">
      <c r="A11664" t="s">
        <v>8459</v>
      </c>
      <c r="B11664" t="s">
        <v>1239</v>
      </c>
      <c r="C11664" t="s">
        <v>8516</v>
      </c>
      <c r="D11664">
        <v>170690</v>
      </c>
      <c r="E11664" t="s">
        <v>8517</v>
      </c>
      <c r="F11664">
        <v>40.783000000000001</v>
      </c>
      <c r="G11664">
        <v>30.417000000000002</v>
      </c>
      <c r="H11664">
        <v>3</v>
      </c>
      <c r="I11664">
        <v>30</v>
      </c>
      <c r="J11664" t="str">
        <f>HYPERLINK("https://climate.onebuilding.org/WMO_Region_6_Europe/TUR_Turkey/SK_Sakarya/TUR_SK_Adapazari.170690_TMYx.2004-2018.zip")</f>
        <v>https://climate.onebuilding.org/WMO_Region_6_Europe/TUR_Turkey/SK_Sakarya/TUR_SK_Adapazari.170690_TMYx.2004-2018.zip</v>
      </c>
    </row>
    <row r="11665" spans="1:10" x14ac:dyDescent="0.25">
      <c r="A11665" t="s">
        <v>8459</v>
      </c>
      <c r="B11665" t="s">
        <v>1239</v>
      </c>
      <c r="C11665" t="s">
        <v>8516</v>
      </c>
      <c r="D11665">
        <v>170690</v>
      </c>
      <c r="E11665" t="s">
        <v>14</v>
      </c>
      <c r="F11665">
        <v>40.783000000000001</v>
      </c>
      <c r="G11665">
        <v>30.417000000000002</v>
      </c>
      <c r="H11665">
        <v>3</v>
      </c>
      <c r="I11665">
        <v>30</v>
      </c>
      <c r="J11665" t="str">
        <f>HYPERLINK("https://climate.onebuilding.org/WMO_Region_6_Europe/TUR_Turkey/SK_Sakarya/TUR_SK_Adapazari.170690_TMYx.2007-2021.zip")</f>
        <v>https://climate.onebuilding.org/WMO_Region_6_Europe/TUR_Turkey/SK_Sakarya/TUR_SK_Adapazari.170690_TMYx.2007-2021.zip</v>
      </c>
    </row>
    <row r="11666" spans="1:10" x14ac:dyDescent="0.25">
      <c r="A11666" t="s">
        <v>8459</v>
      </c>
      <c r="B11666" t="s">
        <v>1239</v>
      </c>
      <c r="C11666" t="s">
        <v>8516</v>
      </c>
      <c r="D11666">
        <v>170690</v>
      </c>
      <c r="E11666" t="s">
        <v>14</v>
      </c>
      <c r="F11666">
        <v>40.783000000000001</v>
      </c>
      <c r="G11666">
        <v>30.417000000000002</v>
      </c>
      <c r="H11666">
        <v>3</v>
      </c>
      <c r="I11666">
        <v>30</v>
      </c>
      <c r="J11666" t="str">
        <f>HYPERLINK("https://climate.onebuilding.org/WMO_Region_6_Europe/TUR_Turkey/SK_Sakarya/TUR_SK_Adapazari.170690_TMYx.2009-2023.zip")</f>
        <v>https://climate.onebuilding.org/WMO_Region_6_Europe/TUR_Turkey/SK_Sakarya/TUR_SK_Adapazari.170690_TMYx.2009-2023.zip</v>
      </c>
    </row>
    <row r="11667" spans="1:10" x14ac:dyDescent="0.25">
      <c r="A11667" t="s">
        <v>8459</v>
      </c>
      <c r="B11667" t="s">
        <v>1239</v>
      </c>
      <c r="C11667" t="s">
        <v>8516</v>
      </c>
      <c r="D11667">
        <v>170690</v>
      </c>
      <c r="E11667" t="s">
        <v>14</v>
      </c>
      <c r="F11667">
        <v>40.783000000000001</v>
      </c>
      <c r="G11667">
        <v>30.417000000000002</v>
      </c>
      <c r="H11667">
        <v>3</v>
      </c>
      <c r="I11667">
        <v>30</v>
      </c>
      <c r="J11667" t="str">
        <f>HYPERLINK("https://climate.onebuilding.org/WMO_Region_6_Europe/TUR_Turkey/SK_Sakarya/TUR_SK_Adapazari.170690_TMYx.zip")</f>
        <v>https://climate.onebuilding.org/WMO_Region_6_Europe/TUR_Turkey/SK_Sakarya/TUR_SK_Adapazari.170690_TMYx.zip</v>
      </c>
    </row>
    <row r="11668" spans="1:10" x14ac:dyDescent="0.25">
      <c r="A11668" t="s">
        <v>8459</v>
      </c>
      <c r="B11668" t="s">
        <v>564</v>
      </c>
      <c r="C11668" t="s">
        <v>8518</v>
      </c>
      <c r="D11668">
        <v>170700</v>
      </c>
      <c r="E11668" t="s">
        <v>8519</v>
      </c>
      <c r="F11668">
        <v>40.732999999999997</v>
      </c>
      <c r="G11668">
        <v>31.6</v>
      </c>
      <c r="H11668">
        <v>3</v>
      </c>
      <c r="I11668">
        <v>743</v>
      </c>
      <c r="J11668" t="str">
        <f>HYPERLINK("https://climate.onebuilding.org/WMO_Region_6_Europe/TUR_Turkey/BL_Bolu/TUR_BL_Bolu.170700_TMYx.2004-2018.zip")</f>
        <v>https://climate.onebuilding.org/WMO_Region_6_Europe/TUR_Turkey/BL_Bolu/TUR_BL_Bolu.170700_TMYx.2004-2018.zip</v>
      </c>
    </row>
    <row r="11669" spans="1:10" x14ac:dyDescent="0.25">
      <c r="A11669" t="s">
        <v>8459</v>
      </c>
      <c r="B11669" t="s">
        <v>564</v>
      </c>
      <c r="C11669" t="s">
        <v>8518</v>
      </c>
      <c r="D11669">
        <v>170700</v>
      </c>
      <c r="E11669" t="s">
        <v>14</v>
      </c>
      <c r="F11669">
        <v>40.733800000000002</v>
      </c>
      <c r="G11669">
        <v>31.601600000000001</v>
      </c>
      <c r="H11669">
        <v>3</v>
      </c>
      <c r="I11669">
        <v>743</v>
      </c>
      <c r="J11669" t="str">
        <f>HYPERLINK("https://climate.onebuilding.org/WMO_Region_6_Europe/TUR_Turkey/BL_Bolu/TUR_BL_Bolu.170700_TMYx.2007-2021.zip")</f>
        <v>https://climate.onebuilding.org/WMO_Region_6_Europe/TUR_Turkey/BL_Bolu/TUR_BL_Bolu.170700_TMYx.2007-2021.zip</v>
      </c>
    </row>
    <row r="11670" spans="1:10" x14ac:dyDescent="0.25">
      <c r="A11670" t="s">
        <v>8459</v>
      </c>
      <c r="B11670" t="s">
        <v>564</v>
      </c>
      <c r="C11670" t="s">
        <v>8518</v>
      </c>
      <c r="D11670">
        <v>170700</v>
      </c>
      <c r="E11670" t="s">
        <v>14</v>
      </c>
      <c r="F11670">
        <v>40.733800000000002</v>
      </c>
      <c r="G11670">
        <v>31.601600000000001</v>
      </c>
      <c r="H11670">
        <v>3</v>
      </c>
      <c r="I11670">
        <v>743</v>
      </c>
      <c r="J11670" t="str">
        <f>HYPERLINK("https://climate.onebuilding.org/WMO_Region_6_Europe/TUR_Turkey/BL_Bolu/TUR_BL_Bolu.170700_TMYx.2009-2023.zip")</f>
        <v>https://climate.onebuilding.org/WMO_Region_6_Europe/TUR_Turkey/BL_Bolu/TUR_BL_Bolu.170700_TMYx.2009-2023.zip</v>
      </c>
    </row>
    <row r="11671" spans="1:10" x14ac:dyDescent="0.25">
      <c r="A11671" t="s">
        <v>8459</v>
      </c>
      <c r="B11671" t="s">
        <v>564</v>
      </c>
      <c r="C11671" t="s">
        <v>8518</v>
      </c>
      <c r="D11671">
        <v>170700</v>
      </c>
      <c r="E11671" t="s">
        <v>14</v>
      </c>
      <c r="F11671">
        <v>40.733800000000002</v>
      </c>
      <c r="G11671">
        <v>31.601600000000001</v>
      </c>
      <c r="H11671">
        <v>3</v>
      </c>
      <c r="I11671">
        <v>743</v>
      </c>
      <c r="J11671" t="str">
        <f>HYPERLINK("https://climate.onebuilding.org/WMO_Region_6_Europe/TUR_Turkey/BL_Bolu/TUR_BL_Bolu.170700_TMYx.zip")</f>
        <v>https://climate.onebuilding.org/WMO_Region_6_Europe/TUR_Turkey/BL_Bolu/TUR_BL_Bolu.170700_TMYx.zip</v>
      </c>
    </row>
    <row r="11672" spans="1:10" x14ac:dyDescent="0.25">
      <c r="A11672" t="s">
        <v>8459</v>
      </c>
      <c r="B11672" t="s">
        <v>52</v>
      </c>
      <c r="C11672" t="s">
        <v>8520</v>
      </c>
      <c r="D11672">
        <v>170720</v>
      </c>
      <c r="E11672" t="s">
        <v>8521</v>
      </c>
      <c r="F11672">
        <v>40.832999999999998</v>
      </c>
      <c r="G11672">
        <v>31.167000000000002</v>
      </c>
      <c r="H11672">
        <v>3</v>
      </c>
      <c r="I11672">
        <v>146</v>
      </c>
      <c r="J11672" t="str">
        <f>HYPERLINK("https://climate.onebuilding.org/WMO_Region_6_Europe/TUR_Turkey/DU_Duzce/TUR_DU_Duzce.170720_TMYx.2004-2018.zip")</f>
        <v>https://climate.onebuilding.org/WMO_Region_6_Europe/TUR_Turkey/DU_Duzce/TUR_DU_Duzce.170720_TMYx.2004-2018.zip</v>
      </c>
    </row>
    <row r="11673" spans="1:10" x14ac:dyDescent="0.25">
      <c r="A11673" t="s">
        <v>8459</v>
      </c>
      <c r="B11673" t="s">
        <v>52</v>
      </c>
      <c r="C11673" t="s">
        <v>8520</v>
      </c>
      <c r="D11673">
        <v>170720</v>
      </c>
      <c r="E11673" t="s">
        <v>14</v>
      </c>
      <c r="F11673">
        <v>40.832999999999998</v>
      </c>
      <c r="G11673">
        <v>31.167000000000002</v>
      </c>
      <c r="H11673">
        <v>3</v>
      </c>
      <c r="I11673">
        <v>146</v>
      </c>
      <c r="J11673" t="str">
        <f>HYPERLINK("https://climate.onebuilding.org/WMO_Region_6_Europe/TUR_Turkey/DU_Duzce/TUR_DU_Duzce.170720_TMYx.2007-2021.zip")</f>
        <v>https://climate.onebuilding.org/WMO_Region_6_Europe/TUR_Turkey/DU_Duzce/TUR_DU_Duzce.170720_TMYx.2007-2021.zip</v>
      </c>
    </row>
    <row r="11674" spans="1:10" x14ac:dyDescent="0.25">
      <c r="A11674" t="s">
        <v>8459</v>
      </c>
      <c r="B11674" t="s">
        <v>52</v>
      </c>
      <c r="C11674" t="s">
        <v>8520</v>
      </c>
      <c r="D11674">
        <v>170720</v>
      </c>
      <c r="E11674" t="s">
        <v>14</v>
      </c>
      <c r="F11674">
        <v>40.832999999999998</v>
      </c>
      <c r="G11674">
        <v>31.167000000000002</v>
      </c>
      <c r="H11674">
        <v>3</v>
      </c>
      <c r="I11674">
        <v>146</v>
      </c>
      <c r="J11674" t="str">
        <f>HYPERLINK("https://climate.onebuilding.org/WMO_Region_6_Europe/TUR_Turkey/DU_Duzce/TUR_DU_Duzce.170720_TMYx.2009-2023.zip")</f>
        <v>https://climate.onebuilding.org/WMO_Region_6_Europe/TUR_Turkey/DU_Duzce/TUR_DU_Duzce.170720_TMYx.2009-2023.zip</v>
      </c>
    </row>
    <row r="11675" spans="1:10" x14ac:dyDescent="0.25">
      <c r="A11675" t="s">
        <v>8459</v>
      </c>
      <c r="B11675" t="s">
        <v>52</v>
      </c>
      <c r="C11675" t="s">
        <v>8520</v>
      </c>
      <c r="D11675">
        <v>170720</v>
      </c>
      <c r="E11675" t="s">
        <v>14</v>
      </c>
      <c r="F11675">
        <v>40.832999999999998</v>
      </c>
      <c r="G11675">
        <v>31.167000000000002</v>
      </c>
      <c r="H11675">
        <v>3</v>
      </c>
      <c r="I11675">
        <v>146</v>
      </c>
      <c r="J11675" t="str">
        <f>HYPERLINK("https://climate.onebuilding.org/WMO_Region_6_Europe/TUR_Turkey/DU_Duzce/TUR_DU_Duzce.170720_TMYx.zip")</f>
        <v>https://climate.onebuilding.org/WMO_Region_6_Europe/TUR_Turkey/DU_Duzce/TUR_DU_Duzce.170720_TMYx.zip</v>
      </c>
    </row>
    <row r="11676" spans="1:10" x14ac:dyDescent="0.25">
      <c r="A11676" t="s">
        <v>8459</v>
      </c>
      <c r="B11676" t="s">
        <v>8466</v>
      </c>
      <c r="C11676" t="s">
        <v>8522</v>
      </c>
      <c r="D11676">
        <v>170740</v>
      </c>
      <c r="E11676" t="s">
        <v>8523</v>
      </c>
      <c r="F11676">
        <v>41.366999999999997</v>
      </c>
      <c r="G11676">
        <v>33.783000000000001</v>
      </c>
      <c r="H11676">
        <v>3</v>
      </c>
      <c r="I11676">
        <v>800</v>
      </c>
      <c r="J11676" t="str">
        <f>HYPERLINK("https://climate.onebuilding.org/WMO_Region_6_Europe/TUR_Turkey/KS_Kastamonu/TUR_KS_Kastamonu.170740_TMYx.2004-2018.zip")</f>
        <v>https://climate.onebuilding.org/WMO_Region_6_Europe/TUR_Turkey/KS_Kastamonu/TUR_KS_Kastamonu.170740_TMYx.2004-2018.zip</v>
      </c>
    </row>
    <row r="11677" spans="1:10" x14ac:dyDescent="0.25">
      <c r="A11677" t="s">
        <v>8459</v>
      </c>
      <c r="B11677" t="s">
        <v>8466</v>
      </c>
      <c r="C11677" t="s">
        <v>8522</v>
      </c>
      <c r="D11677">
        <v>170740</v>
      </c>
      <c r="E11677" t="s">
        <v>14</v>
      </c>
      <c r="F11677">
        <v>41.366999999999997</v>
      </c>
      <c r="G11677">
        <v>33.783000000000001</v>
      </c>
      <c r="H11677">
        <v>3</v>
      </c>
      <c r="I11677">
        <v>800</v>
      </c>
      <c r="J11677" t="str">
        <f>HYPERLINK("https://climate.onebuilding.org/WMO_Region_6_Europe/TUR_Turkey/KS_Kastamonu/TUR_KS_Kastamonu.170740_TMYx.2007-2021.zip")</f>
        <v>https://climate.onebuilding.org/WMO_Region_6_Europe/TUR_Turkey/KS_Kastamonu/TUR_KS_Kastamonu.170740_TMYx.2007-2021.zip</v>
      </c>
    </row>
    <row r="11678" spans="1:10" x14ac:dyDescent="0.25">
      <c r="A11678" t="s">
        <v>8459</v>
      </c>
      <c r="B11678" t="s">
        <v>8466</v>
      </c>
      <c r="C11678" t="s">
        <v>8522</v>
      </c>
      <c r="D11678">
        <v>170740</v>
      </c>
      <c r="E11678" t="s">
        <v>14</v>
      </c>
      <c r="F11678">
        <v>41.366999999999997</v>
      </c>
      <c r="G11678">
        <v>33.783000000000001</v>
      </c>
      <c r="H11678">
        <v>3</v>
      </c>
      <c r="I11678">
        <v>800</v>
      </c>
      <c r="J11678" t="str">
        <f>HYPERLINK("https://climate.onebuilding.org/WMO_Region_6_Europe/TUR_Turkey/KS_Kastamonu/TUR_KS_Kastamonu.170740_TMYx.2009-2023.zip")</f>
        <v>https://climate.onebuilding.org/WMO_Region_6_Europe/TUR_Turkey/KS_Kastamonu/TUR_KS_Kastamonu.170740_TMYx.2009-2023.zip</v>
      </c>
    </row>
    <row r="11679" spans="1:10" x14ac:dyDescent="0.25">
      <c r="A11679" t="s">
        <v>8459</v>
      </c>
      <c r="B11679" t="s">
        <v>8466</v>
      </c>
      <c r="C11679" t="s">
        <v>8522</v>
      </c>
      <c r="D11679">
        <v>170740</v>
      </c>
      <c r="E11679" t="s">
        <v>14</v>
      </c>
      <c r="F11679">
        <v>41.366999999999997</v>
      </c>
      <c r="G11679">
        <v>33.783000000000001</v>
      </c>
      <c r="H11679">
        <v>3</v>
      </c>
      <c r="I11679">
        <v>800</v>
      </c>
      <c r="J11679" t="str">
        <f>HYPERLINK("https://climate.onebuilding.org/WMO_Region_6_Europe/TUR_Turkey/KS_Kastamonu/TUR_KS_Kastamonu.170740_TMYx.zip")</f>
        <v>https://climate.onebuilding.org/WMO_Region_6_Europe/TUR_Turkey/KS_Kastamonu/TUR_KS_Kastamonu.170740_TMYx.zip</v>
      </c>
    </row>
    <row r="11680" spans="1:10" x14ac:dyDescent="0.25">
      <c r="A11680" t="s">
        <v>8459</v>
      </c>
      <c r="B11680" t="s">
        <v>8524</v>
      </c>
      <c r="C11680" t="s">
        <v>8525</v>
      </c>
      <c r="D11680">
        <v>170780</v>
      </c>
      <c r="E11680" t="s">
        <v>8526</v>
      </c>
      <c r="F11680">
        <v>41.2</v>
      </c>
      <c r="G11680">
        <v>32.633000000000003</v>
      </c>
      <c r="H11680">
        <v>3</v>
      </c>
      <c r="I11680">
        <v>259</v>
      </c>
      <c r="J11680" t="str">
        <f>HYPERLINK("https://climate.onebuilding.org/WMO_Region_6_Europe/TUR_Turkey/KB_Karabuk/TUR_KB_Karabuk.170780_TMYx.2004-2018.zip")</f>
        <v>https://climate.onebuilding.org/WMO_Region_6_Europe/TUR_Turkey/KB_Karabuk/TUR_KB_Karabuk.170780_TMYx.2004-2018.zip</v>
      </c>
    </row>
    <row r="11681" spans="1:10" x14ac:dyDescent="0.25">
      <c r="A11681" t="s">
        <v>8459</v>
      </c>
      <c r="B11681" t="s">
        <v>8524</v>
      </c>
      <c r="C11681" t="s">
        <v>8525</v>
      </c>
      <c r="D11681">
        <v>170780</v>
      </c>
      <c r="E11681" t="s">
        <v>14</v>
      </c>
      <c r="F11681">
        <v>41.2</v>
      </c>
      <c r="G11681">
        <v>32.633000000000003</v>
      </c>
      <c r="H11681">
        <v>3</v>
      </c>
      <c r="I11681">
        <v>259</v>
      </c>
      <c r="J11681" t="str">
        <f>HYPERLINK("https://climate.onebuilding.org/WMO_Region_6_Europe/TUR_Turkey/KB_Karabuk/TUR_KB_Karabuk.170780_TMYx.2007-2021.zip")</f>
        <v>https://climate.onebuilding.org/WMO_Region_6_Europe/TUR_Turkey/KB_Karabuk/TUR_KB_Karabuk.170780_TMYx.2007-2021.zip</v>
      </c>
    </row>
    <row r="11682" spans="1:10" x14ac:dyDescent="0.25">
      <c r="A11682" t="s">
        <v>8459</v>
      </c>
      <c r="B11682" t="s">
        <v>8524</v>
      </c>
      <c r="C11682" t="s">
        <v>8525</v>
      </c>
      <c r="D11682">
        <v>170780</v>
      </c>
      <c r="E11682" t="s">
        <v>14</v>
      </c>
      <c r="F11682">
        <v>41.2</v>
      </c>
      <c r="G11682">
        <v>32.633000000000003</v>
      </c>
      <c r="H11682">
        <v>3</v>
      </c>
      <c r="I11682">
        <v>259</v>
      </c>
      <c r="J11682" t="str">
        <f>HYPERLINK("https://climate.onebuilding.org/WMO_Region_6_Europe/TUR_Turkey/KB_Karabuk/TUR_KB_Karabuk.170780_TMYx.2009-2023.zip")</f>
        <v>https://climate.onebuilding.org/WMO_Region_6_Europe/TUR_Turkey/KB_Karabuk/TUR_KB_Karabuk.170780_TMYx.2009-2023.zip</v>
      </c>
    </row>
    <row r="11683" spans="1:10" x14ac:dyDescent="0.25">
      <c r="A11683" t="s">
        <v>8459</v>
      </c>
      <c r="B11683" t="s">
        <v>8524</v>
      </c>
      <c r="C11683" t="s">
        <v>8525</v>
      </c>
      <c r="D11683">
        <v>170780</v>
      </c>
      <c r="E11683" t="s">
        <v>14</v>
      </c>
      <c r="F11683">
        <v>41.2</v>
      </c>
      <c r="G11683">
        <v>32.633000000000003</v>
      </c>
      <c r="H11683">
        <v>3</v>
      </c>
      <c r="I11683">
        <v>259</v>
      </c>
      <c r="J11683" t="str">
        <f>HYPERLINK("https://climate.onebuilding.org/WMO_Region_6_Europe/TUR_Turkey/KB_Karabuk/TUR_KB_Karabuk.170780_TMYx.zip")</f>
        <v>https://climate.onebuilding.org/WMO_Region_6_Europe/TUR_Turkey/KB_Karabuk/TUR_KB_Karabuk.170780_TMYx.zip</v>
      </c>
    </row>
    <row r="11684" spans="1:10" x14ac:dyDescent="0.25">
      <c r="A11684" t="s">
        <v>8459</v>
      </c>
      <c r="B11684" t="s">
        <v>8527</v>
      </c>
      <c r="C11684" t="s">
        <v>8528</v>
      </c>
      <c r="D11684">
        <v>170800</v>
      </c>
      <c r="E11684" t="s">
        <v>8529</v>
      </c>
      <c r="F11684">
        <v>40.6</v>
      </c>
      <c r="G11684">
        <v>33.616999999999997</v>
      </c>
      <c r="H11684">
        <v>3</v>
      </c>
      <c r="I11684">
        <v>751</v>
      </c>
      <c r="J11684" t="str">
        <f>HYPERLINK("https://climate.onebuilding.org/WMO_Region_6_Europe/TUR_Turkey/CI_Cankiri/TUR_CI_Cankiri.170800_TMYx.2004-2018.zip")</f>
        <v>https://climate.onebuilding.org/WMO_Region_6_Europe/TUR_Turkey/CI_Cankiri/TUR_CI_Cankiri.170800_TMYx.2004-2018.zip</v>
      </c>
    </row>
    <row r="11685" spans="1:10" x14ac:dyDescent="0.25">
      <c r="A11685" t="s">
        <v>8459</v>
      </c>
      <c r="B11685" t="s">
        <v>8527</v>
      </c>
      <c r="C11685" t="s">
        <v>8528</v>
      </c>
      <c r="D11685">
        <v>170800</v>
      </c>
      <c r="E11685" t="s">
        <v>14</v>
      </c>
      <c r="F11685">
        <v>40.6</v>
      </c>
      <c r="G11685">
        <v>33.616999999999997</v>
      </c>
      <c r="H11685">
        <v>3</v>
      </c>
      <c r="I11685">
        <v>751</v>
      </c>
      <c r="J11685" t="str">
        <f>HYPERLINK("https://climate.onebuilding.org/WMO_Region_6_Europe/TUR_Turkey/CI_Cankiri/TUR_CI_Cankiri.170800_TMYx.2007-2021.zip")</f>
        <v>https://climate.onebuilding.org/WMO_Region_6_Europe/TUR_Turkey/CI_Cankiri/TUR_CI_Cankiri.170800_TMYx.2007-2021.zip</v>
      </c>
    </row>
    <row r="11686" spans="1:10" x14ac:dyDescent="0.25">
      <c r="A11686" t="s">
        <v>8459</v>
      </c>
      <c r="B11686" t="s">
        <v>8527</v>
      </c>
      <c r="C11686" t="s">
        <v>8528</v>
      </c>
      <c r="D11686">
        <v>170800</v>
      </c>
      <c r="E11686" t="s">
        <v>14</v>
      </c>
      <c r="F11686">
        <v>40.6</v>
      </c>
      <c r="G11686">
        <v>33.616999999999997</v>
      </c>
      <c r="H11686">
        <v>3</v>
      </c>
      <c r="I11686">
        <v>751</v>
      </c>
      <c r="J11686" t="str">
        <f>HYPERLINK("https://climate.onebuilding.org/WMO_Region_6_Europe/TUR_Turkey/CI_Cankiri/TUR_CI_Cankiri.170800_TMYx.2009-2023.zip")</f>
        <v>https://climate.onebuilding.org/WMO_Region_6_Europe/TUR_Turkey/CI_Cankiri/TUR_CI_Cankiri.170800_TMYx.2009-2023.zip</v>
      </c>
    </row>
    <row r="11687" spans="1:10" x14ac:dyDescent="0.25">
      <c r="A11687" t="s">
        <v>8459</v>
      </c>
      <c r="B11687" t="s">
        <v>8527</v>
      </c>
      <c r="C11687" t="s">
        <v>8528</v>
      </c>
      <c r="D11687">
        <v>170800</v>
      </c>
      <c r="E11687" t="s">
        <v>14</v>
      </c>
      <c r="F11687">
        <v>40.6</v>
      </c>
      <c r="G11687">
        <v>33.616999999999997</v>
      </c>
      <c r="H11687">
        <v>3</v>
      </c>
      <c r="I11687">
        <v>751</v>
      </c>
      <c r="J11687" t="str">
        <f>HYPERLINK("https://climate.onebuilding.org/WMO_Region_6_Europe/TUR_Turkey/CI_Cankiri/TUR_CI_Cankiri.170800_TMYx.zip")</f>
        <v>https://climate.onebuilding.org/WMO_Region_6_Europe/TUR_Turkey/CI_Cankiri/TUR_CI_Cankiri.170800_TMYx.zip</v>
      </c>
    </row>
    <row r="11688" spans="1:10" x14ac:dyDescent="0.25">
      <c r="A11688" t="s">
        <v>8459</v>
      </c>
      <c r="B11688" t="s">
        <v>5566</v>
      </c>
      <c r="C11688" t="s">
        <v>8530</v>
      </c>
      <c r="D11688">
        <v>170820</v>
      </c>
      <c r="E11688" t="s">
        <v>8531</v>
      </c>
      <c r="F11688">
        <v>40.829000000000001</v>
      </c>
      <c r="G11688">
        <v>35.521999999999998</v>
      </c>
      <c r="H11688">
        <v>3</v>
      </c>
      <c r="I11688">
        <v>535.79999999999995</v>
      </c>
      <c r="J11688" t="str">
        <f>HYPERLINK("https://climate.onebuilding.org/WMO_Region_6_Europe/TUR_Turkey/AM_Amasya/TUR_AM_Merzifon.AP.170820_TMYx.2004-2018.zip")</f>
        <v>https://climate.onebuilding.org/WMO_Region_6_Europe/TUR_Turkey/AM_Amasya/TUR_AM_Merzifon.AP.170820_TMYx.2004-2018.zip</v>
      </c>
    </row>
    <row r="11689" spans="1:10" x14ac:dyDescent="0.25">
      <c r="A11689" t="s">
        <v>8459</v>
      </c>
      <c r="B11689" t="s">
        <v>5566</v>
      </c>
      <c r="C11689" t="s">
        <v>8530</v>
      </c>
      <c r="D11689">
        <v>170820</v>
      </c>
      <c r="E11689" t="s">
        <v>14</v>
      </c>
      <c r="F11689">
        <v>40.835999999999999</v>
      </c>
      <c r="G11689">
        <v>35.526000000000003</v>
      </c>
      <c r="H11689">
        <v>3</v>
      </c>
      <c r="I11689">
        <v>535.79999999999995</v>
      </c>
      <c r="J11689" t="str">
        <f>HYPERLINK("https://climate.onebuilding.org/WMO_Region_6_Europe/TUR_Turkey/AM_Amasya/TUR_AM_Merzifon.AP.170820_TMYx.2007-2021.zip")</f>
        <v>https://climate.onebuilding.org/WMO_Region_6_Europe/TUR_Turkey/AM_Amasya/TUR_AM_Merzifon.AP.170820_TMYx.2007-2021.zip</v>
      </c>
    </row>
    <row r="11690" spans="1:10" x14ac:dyDescent="0.25">
      <c r="A11690" t="s">
        <v>8459</v>
      </c>
      <c r="B11690" t="s">
        <v>5566</v>
      </c>
      <c r="C11690" t="s">
        <v>8530</v>
      </c>
      <c r="D11690">
        <v>170820</v>
      </c>
      <c r="E11690" t="s">
        <v>14</v>
      </c>
      <c r="F11690">
        <v>40.835999999999999</v>
      </c>
      <c r="G11690">
        <v>35.526000000000003</v>
      </c>
      <c r="H11690">
        <v>3</v>
      </c>
      <c r="I11690">
        <v>535.79999999999995</v>
      </c>
      <c r="J11690" t="str">
        <f>HYPERLINK("https://climate.onebuilding.org/WMO_Region_6_Europe/TUR_Turkey/AM_Amasya/TUR_AM_Merzifon.AP.170820_TMYx.2009-2023.zip")</f>
        <v>https://climate.onebuilding.org/WMO_Region_6_Europe/TUR_Turkey/AM_Amasya/TUR_AM_Merzifon.AP.170820_TMYx.2009-2023.zip</v>
      </c>
    </row>
    <row r="11691" spans="1:10" x14ac:dyDescent="0.25">
      <c r="A11691" t="s">
        <v>8459</v>
      </c>
      <c r="B11691" t="s">
        <v>5566</v>
      </c>
      <c r="C11691" t="s">
        <v>8530</v>
      </c>
      <c r="D11691">
        <v>170820</v>
      </c>
      <c r="E11691" t="s">
        <v>14</v>
      </c>
      <c r="F11691">
        <v>40.835999999999999</v>
      </c>
      <c r="G11691">
        <v>35.526000000000003</v>
      </c>
      <c r="H11691">
        <v>3</v>
      </c>
      <c r="I11691">
        <v>535.79999999999995</v>
      </c>
      <c r="J11691" t="str">
        <f>HYPERLINK("https://climate.onebuilding.org/WMO_Region_6_Europe/TUR_Turkey/AM_Amasya/TUR_AM_Merzifon.AP.170820_TMYx.zip")</f>
        <v>https://climate.onebuilding.org/WMO_Region_6_Europe/TUR_Turkey/AM_Amasya/TUR_AM_Merzifon.AP.170820_TMYx.zip</v>
      </c>
    </row>
    <row r="11692" spans="1:10" x14ac:dyDescent="0.25">
      <c r="A11692" t="s">
        <v>8459</v>
      </c>
      <c r="B11692" t="s">
        <v>2117</v>
      </c>
      <c r="C11692" t="s">
        <v>8532</v>
      </c>
      <c r="D11692">
        <v>170840</v>
      </c>
      <c r="E11692" t="s">
        <v>8533</v>
      </c>
      <c r="F11692">
        <v>40.549999999999997</v>
      </c>
      <c r="G11692">
        <v>34.950000000000003</v>
      </c>
      <c r="H11692">
        <v>3</v>
      </c>
      <c r="I11692">
        <v>776</v>
      </c>
      <c r="J11692" t="str">
        <f>HYPERLINK("https://climate.onebuilding.org/WMO_Region_6_Europe/TUR_Turkey/CM_Corum/TUR_CM_Corum.170840_TMYx.2004-2018.zip")</f>
        <v>https://climate.onebuilding.org/WMO_Region_6_Europe/TUR_Turkey/CM_Corum/TUR_CM_Corum.170840_TMYx.2004-2018.zip</v>
      </c>
    </row>
    <row r="11693" spans="1:10" x14ac:dyDescent="0.25">
      <c r="A11693" t="s">
        <v>8459</v>
      </c>
      <c r="B11693" t="s">
        <v>2117</v>
      </c>
      <c r="C11693" t="s">
        <v>8532</v>
      </c>
      <c r="D11693">
        <v>170840</v>
      </c>
      <c r="E11693" t="s">
        <v>14</v>
      </c>
      <c r="F11693">
        <v>40.545900000000003</v>
      </c>
      <c r="G11693">
        <v>34.936399999999999</v>
      </c>
      <c r="H11693">
        <v>3</v>
      </c>
      <c r="I11693">
        <v>776</v>
      </c>
      <c r="J11693" t="str">
        <f>HYPERLINK("https://climate.onebuilding.org/WMO_Region_6_Europe/TUR_Turkey/CM_Corum/TUR_CM_Corum.170840_TMYx.2007-2021.zip")</f>
        <v>https://climate.onebuilding.org/WMO_Region_6_Europe/TUR_Turkey/CM_Corum/TUR_CM_Corum.170840_TMYx.2007-2021.zip</v>
      </c>
    </row>
    <row r="11694" spans="1:10" x14ac:dyDescent="0.25">
      <c r="A11694" t="s">
        <v>8459</v>
      </c>
      <c r="B11694" t="s">
        <v>2117</v>
      </c>
      <c r="C11694" t="s">
        <v>8532</v>
      </c>
      <c r="D11694">
        <v>170840</v>
      </c>
      <c r="E11694" t="s">
        <v>14</v>
      </c>
      <c r="F11694">
        <v>40.545900000000003</v>
      </c>
      <c r="G11694">
        <v>34.936399999999999</v>
      </c>
      <c r="H11694">
        <v>3</v>
      </c>
      <c r="I11694">
        <v>776</v>
      </c>
      <c r="J11694" t="str">
        <f>HYPERLINK("https://climate.onebuilding.org/WMO_Region_6_Europe/TUR_Turkey/CM_Corum/TUR_CM_Corum.170840_TMYx.2009-2023.zip")</f>
        <v>https://climate.onebuilding.org/WMO_Region_6_Europe/TUR_Turkey/CM_Corum/TUR_CM_Corum.170840_TMYx.2009-2023.zip</v>
      </c>
    </row>
    <row r="11695" spans="1:10" x14ac:dyDescent="0.25">
      <c r="A11695" t="s">
        <v>8459</v>
      </c>
      <c r="B11695" t="s">
        <v>2117</v>
      </c>
      <c r="C11695" t="s">
        <v>8532</v>
      </c>
      <c r="D11695">
        <v>170840</v>
      </c>
      <c r="E11695" t="s">
        <v>14</v>
      </c>
      <c r="F11695">
        <v>40.545900000000003</v>
      </c>
      <c r="G11695">
        <v>34.936399999999999</v>
      </c>
      <c r="H11695">
        <v>3</v>
      </c>
      <c r="I11695">
        <v>776</v>
      </c>
      <c r="J11695" t="str">
        <f>HYPERLINK("https://climate.onebuilding.org/WMO_Region_6_Europe/TUR_Turkey/CM_Corum/TUR_CM_Corum.170840_TMYx.zip")</f>
        <v>https://climate.onebuilding.org/WMO_Region_6_Europe/TUR_Turkey/CM_Corum/TUR_CM_Corum.170840_TMYx.zip</v>
      </c>
    </row>
    <row r="11696" spans="1:10" x14ac:dyDescent="0.25">
      <c r="A11696" t="s">
        <v>8459</v>
      </c>
      <c r="B11696" t="s">
        <v>5566</v>
      </c>
      <c r="C11696" t="s">
        <v>8534</v>
      </c>
      <c r="D11696">
        <v>170850</v>
      </c>
      <c r="E11696" t="s">
        <v>8535</v>
      </c>
      <c r="F11696">
        <v>40.65</v>
      </c>
      <c r="G11696">
        <v>35.85</v>
      </c>
      <c r="H11696">
        <v>3</v>
      </c>
      <c r="I11696">
        <v>412</v>
      </c>
      <c r="J11696" t="str">
        <f>HYPERLINK("https://climate.onebuilding.org/WMO_Region_6_Europe/TUR_Turkey/AM_Amasya/TUR_AM_Amasya.170850_TMYx.2004-2018.zip")</f>
        <v>https://climate.onebuilding.org/WMO_Region_6_Europe/TUR_Turkey/AM_Amasya/TUR_AM_Amasya.170850_TMYx.2004-2018.zip</v>
      </c>
    </row>
    <row r="11697" spans="1:10" x14ac:dyDescent="0.25">
      <c r="A11697" t="s">
        <v>8459</v>
      </c>
      <c r="B11697" t="s">
        <v>5566</v>
      </c>
      <c r="C11697" t="s">
        <v>8534</v>
      </c>
      <c r="D11697">
        <v>170850</v>
      </c>
      <c r="E11697" t="s">
        <v>14</v>
      </c>
      <c r="F11697">
        <v>40.65</v>
      </c>
      <c r="G11697">
        <v>35.85</v>
      </c>
      <c r="H11697">
        <v>3</v>
      </c>
      <c r="I11697">
        <v>412</v>
      </c>
      <c r="J11697" t="str">
        <f>HYPERLINK("https://climate.onebuilding.org/WMO_Region_6_Europe/TUR_Turkey/AM_Amasya/TUR_AM_Amasya.170850_TMYx.2007-2021.zip")</f>
        <v>https://climate.onebuilding.org/WMO_Region_6_Europe/TUR_Turkey/AM_Amasya/TUR_AM_Amasya.170850_TMYx.2007-2021.zip</v>
      </c>
    </row>
    <row r="11698" spans="1:10" x14ac:dyDescent="0.25">
      <c r="A11698" t="s">
        <v>8459</v>
      </c>
      <c r="B11698" t="s">
        <v>5566</v>
      </c>
      <c r="C11698" t="s">
        <v>8534</v>
      </c>
      <c r="D11698">
        <v>170850</v>
      </c>
      <c r="E11698" t="s">
        <v>14</v>
      </c>
      <c r="F11698">
        <v>40.65</v>
      </c>
      <c r="G11698">
        <v>35.85</v>
      </c>
      <c r="H11698">
        <v>3</v>
      </c>
      <c r="I11698">
        <v>412</v>
      </c>
      <c r="J11698" t="str">
        <f>HYPERLINK("https://climate.onebuilding.org/WMO_Region_6_Europe/TUR_Turkey/AM_Amasya/TUR_AM_Amasya.170850_TMYx.2009-2023.zip")</f>
        <v>https://climate.onebuilding.org/WMO_Region_6_Europe/TUR_Turkey/AM_Amasya/TUR_AM_Amasya.170850_TMYx.2009-2023.zip</v>
      </c>
    </row>
    <row r="11699" spans="1:10" x14ac:dyDescent="0.25">
      <c r="A11699" t="s">
        <v>8459</v>
      </c>
      <c r="B11699" t="s">
        <v>5566</v>
      </c>
      <c r="C11699" t="s">
        <v>8534</v>
      </c>
      <c r="D11699">
        <v>170850</v>
      </c>
      <c r="E11699" t="s">
        <v>14</v>
      </c>
      <c r="F11699">
        <v>40.65</v>
      </c>
      <c r="G11699">
        <v>35.85</v>
      </c>
      <c r="H11699">
        <v>3</v>
      </c>
      <c r="I11699">
        <v>412</v>
      </c>
      <c r="J11699" t="str">
        <f>HYPERLINK("https://climate.onebuilding.org/WMO_Region_6_Europe/TUR_Turkey/AM_Amasya/TUR_AM_Amasya.170850_TMYx.zip")</f>
        <v>https://climate.onebuilding.org/WMO_Region_6_Europe/TUR_Turkey/AM_Amasya/TUR_AM_Amasya.170850_TMYx.zip</v>
      </c>
    </row>
    <row r="11700" spans="1:10" x14ac:dyDescent="0.25">
      <c r="A11700" t="s">
        <v>8459</v>
      </c>
      <c r="B11700" t="s">
        <v>5240</v>
      </c>
      <c r="C11700" t="s">
        <v>8536</v>
      </c>
      <c r="D11700">
        <v>170860</v>
      </c>
      <c r="E11700" t="s">
        <v>8537</v>
      </c>
      <c r="F11700">
        <v>40.299999999999997</v>
      </c>
      <c r="G11700">
        <v>36.567</v>
      </c>
      <c r="H11700">
        <v>3</v>
      </c>
      <c r="I11700">
        <v>608</v>
      </c>
      <c r="J11700" t="str">
        <f>HYPERLINK("https://climate.onebuilding.org/WMO_Region_6_Europe/TUR_Turkey/TT_Tokat/TUR_TT_Tokat.170860_TMYx.2004-2018.zip")</f>
        <v>https://climate.onebuilding.org/WMO_Region_6_Europe/TUR_Turkey/TT_Tokat/TUR_TT_Tokat.170860_TMYx.2004-2018.zip</v>
      </c>
    </row>
    <row r="11701" spans="1:10" x14ac:dyDescent="0.25">
      <c r="A11701" t="s">
        <v>8459</v>
      </c>
      <c r="B11701" t="s">
        <v>5240</v>
      </c>
      <c r="C11701" t="s">
        <v>8536</v>
      </c>
      <c r="D11701">
        <v>170860</v>
      </c>
      <c r="E11701" t="s">
        <v>14</v>
      </c>
      <c r="F11701">
        <v>40.331099999999999</v>
      </c>
      <c r="G11701">
        <v>36.5578</v>
      </c>
      <c r="H11701">
        <v>3</v>
      </c>
      <c r="I11701">
        <v>608</v>
      </c>
      <c r="J11701" t="str">
        <f>HYPERLINK("https://climate.onebuilding.org/WMO_Region_6_Europe/TUR_Turkey/TT_Tokat/TUR_TT_Tokat.170860_TMYx.2007-2021.zip")</f>
        <v>https://climate.onebuilding.org/WMO_Region_6_Europe/TUR_Turkey/TT_Tokat/TUR_TT_Tokat.170860_TMYx.2007-2021.zip</v>
      </c>
    </row>
    <row r="11702" spans="1:10" x14ac:dyDescent="0.25">
      <c r="A11702" t="s">
        <v>8459</v>
      </c>
      <c r="B11702" t="s">
        <v>5240</v>
      </c>
      <c r="C11702" t="s">
        <v>8536</v>
      </c>
      <c r="D11702">
        <v>170860</v>
      </c>
      <c r="E11702" t="s">
        <v>14</v>
      </c>
      <c r="F11702">
        <v>40.331099999999999</v>
      </c>
      <c r="G11702">
        <v>36.5578</v>
      </c>
      <c r="H11702">
        <v>3</v>
      </c>
      <c r="I11702">
        <v>608</v>
      </c>
      <c r="J11702" t="str">
        <f>HYPERLINK("https://climate.onebuilding.org/WMO_Region_6_Europe/TUR_Turkey/TT_Tokat/TUR_TT_Tokat.170860_TMYx.2009-2023.zip")</f>
        <v>https://climate.onebuilding.org/WMO_Region_6_Europe/TUR_Turkey/TT_Tokat/TUR_TT_Tokat.170860_TMYx.2009-2023.zip</v>
      </c>
    </row>
    <row r="11703" spans="1:10" x14ac:dyDescent="0.25">
      <c r="A11703" t="s">
        <v>8459</v>
      </c>
      <c r="B11703" t="s">
        <v>5240</v>
      </c>
      <c r="C11703" t="s">
        <v>8536</v>
      </c>
      <c r="D11703">
        <v>170860</v>
      </c>
      <c r="E11703" t="s">
        <v>14</v>
      </c>
      <c r="F11703">
        <v>40.331099999999999</v>
      </c>
      <c r="G11703">
        <v>36.5578</v>
      </c>
      <c r="H11703">
        <v>3</v>
      </c>
      <c r="I11703">
        <v>608</v>
      </c>
      <c r="J11703" t="str">
        <f>HYPERLINK("https://climate.onebuilding.org/WMO_Region_6_Europe/TUR_Turkey/TT_Tokat/TUR_TT_Tokat.170860_TMYx.zip")</f>
        <v>https://climate.onebuilding.org/WMO_Region_6_Europe/TUR_Turkey/TT_Tokat/TUR_TT_Tokat.170860_TMYx.zip</v>
      </c>
    </row>
    <row r="11704" spans="1:10" x14ac:dyDescent="0.25">
      <c r="A11704" t="s">
        <v>8459</v>
      </c>
      <c r="B11704" t="s">
        <v>8538</v>
      </c>
      <c r="C11704" t="s">
        <v>8539</v>
      </c>
      <c r="D11704">
        <v>170880</v>
      </c>
      <c r="E11704" t="s">
        <v>8540</v>
      </c>
      <c r="F11704">
        <v>40.466999999999999</v>
      </c>
      <c r="G11704">
        <v>39.466999999999999</v>
      </c>
      <c r="H11704">
        <v>3</v>
      </c>
      <c r="I11704">
        <v>1219</v>
      </c>
      <c r="J11704" t="str">
        <f>HYPERLINK("https://climate.onebuilding.org/WMO_Region_6_Europe/TUR_Turkey/GU_Gumushane/TUR_GU_Gumushane.170880_TMYx.2004-2018.zip")</f>
        <v>https://climate.onebuilding.org/WMO_Region_6_Europe/TUR_Turkey/GU_Gumushane/TUR_GU_Gumushane.170880_TMYx.2004-2018.zip</v>
      </c>
    </row>
    <row r="11705" spans="1:10" x14ac:dyDescent="0.25">
      <c r="A11705" t="s">
        <v>8459</v>
      </c>
      <c r="B11705" t="s">
        <v>8538</v>
      </c>
      <c r="C11705" t="s">
        <v>8539</v>
      </c>
      <c r="D11705">
        <v>170880</v>
      </c>
      <c r="E11705" t="s">
        <v>14</v>
      </c>
      <c r="F11705">
        <v>40.466999999999999</v>
      </c>
      <c r="G11705">
        <v>39.466999999999999</v>
      </c>
      <c r="H11705">
        <v>3</v>
      </c>
      <c r="I11705">
        <v>1219</v>
      </c>
      <c r="J11705" t="str">
        <f>HYPERLINK("https://climate.onebuilding.org/WMO_Region_6_Europe/TUR_Turkey/GU_Gumushane/TUR_GU_Gumushane.170880_TMYx.2007-2021.zip")</f>
        <v>https://climate.onebuilding.org/WMO_Region_6_Europe/TUR_Turkey/GU_Gumushane/TUR_GU_Gumushane.170880_TMYx.2007-2021.zip</v>
      </c>
    </row>
    <row r="11706" spans="1:10" x14ac:dyDescent="0.25">
      <c r="A11706" t="s">
        <v>8459</v>
      </c>
      <c r="B11706" t="s">
        <v>8538</v>
      </c>
      <c r="C11706" t="s">
        <v>8539</v>
      </c>
      <c r="D11706">
        <v>170880</v>
      </c>
      <c r="E11706" t="s">
        <v>14</v>
      </c>
      <c r="F11706">
        <v>40.466999999999999</v>
      </c>
      <c r="G11706">
        <v>39.466999999999999</v>
      </c>
      <c r="H11706">
        <v>3</v>
      </c>
      <c r="I11706">
        <v>1219</v>
      </c>
      <c r="J11706" t="str">
        <f>HYPERLINK("https://climate.onebuilding.org/WMO_Region_6_Europe/TUR_Turkey/GU_Gumushane/TUR_GU_Gumushane.170880_TMYx.2009-2023.zip")</f>
        <v>https://climate.onebuilding.org/WMO_Region_6_Europe/TUR_Turkey/GU_Gumushane/TUR_GU_Gumushane.170880_TMYx.2009-2023.zip</v>
      </c>
    </row>
    <row r="11707" spans="1:10" x14ac:dyDescent="0.25">
      <c r="A11707" t="s">
        <v>8459</v>
      </c>
      <c r="B11707" t="s">
        <v>8538</v>
      </c>
      <c r="C11707" t="s">
        <v>8539</v>
      </c>
      <c r="D11707">
        <v>170880</v>
      </c>
      <c r="E11707" t="s">
        <v>14</v>
      </c>
      <c r="F11707">
        <v>40.466999999999999</v>
      </c>
      <c r="G11707">
        <v>39.466999999999999</v>
      </c>
      <c r="H11707">
        <v>3</v>
      </c>
      <c r="I11707">
        <v>1219</v>
      </c>
      <c r="J11707" t="str">
        <f>HYPERLINK("https://climate.onebuilding.org/WMO_Region_6_Europe/TUR_Turkey/GU_Gumushane/TUR_GU_Gumushane.170880_TMYx.zip")</f>
        <v>https://climate.onebuilding.org/WMO_Region_6_Europe/TUR_Turkey/GU_Gumushane/TUR_GU_Gumushane.170880_TMYx.zip</v>
      </c>
    </row>
    <row r="11708" spans="1:10" x14ac:dyDescent="0.25">
      <c r="A11708" t="s">
        <v>8459</v>
      </c>
      <c r="B11708" t="s">
        <v>1395</v>
      </c>
      <c r="C11708" t="s">
        <v>8541</v>
      </c>
      <c r="D11708">
        <v>170890</v>
      </c>
      <c r="E11708" t="s">
        <v>8542</v>
      </c>
      <c r="F11708">
        <v>40.25</v>
      </c>
      <c r="G11708">
        <v>40.232999999999997</v>
      </c>
      <c r="H11708">
        <v>3</v>
      </c>
      <c r="I11708">
        <v>1584</v>
      </c>
      <c r="J11708" t="str">
        <f>HYPERLINK("https://climate.onebuilding.org/WMO_Region_6_Europe/TUR_Turkey/BB_Bayburt/TUR_BB_Bayburt.170890_TMYx.2004-2018.zip")</f>
        <v>https://climate.onebuilding.org/WMO_Region_6_Europe/TUR_Turkey/BB_Bayburt/TUR_BB_Bayburt.170890_TMYx.2004-2018.zip</v>
      </c>
    </row>
    <row r="11709" spans="1:10" x14ac:dyDescent="0.25">
      <c r="A11709" t="s">
        <v>8459</v>
      </c>
      <c r="B11709" t="s">
        <v>1395</v>
      </c>
      <c r="C11709" t="s">
        <v>8541</v>
      </c>
      <c r="D11709">
        <v>170890</v>
      </c>
      <c r="E11709" t="s">
        <v>14</v>
      </c>
      <c r="F11709">
        <v>40.25</v>
      </c>
      <c r="G11709">
        <v>40.232999999999997</v>
      </c>
      <c r="H11709">
        <v>3</v>
      </c>
      <c r="I11709">
        <v>1584</v>
      </c>
      <c r="J11709" t="str">
        <f>HYPERLINK("https://climate.onebuilding.org/WMO_Region_6_Europe/TUR_Turkey/BB_Bayburt/TUR_BB_Bayburt.170890_TMYx.2007-2021.zip")</f>
        <v>https://climate.onebuilding.org/WMO_Region_6_Europe/TUR_Turkey/BB_Bayburt/TUR_BB_Bayburt.170890_TMYx.2007-2021.zip</v>
      </c>
    </row>
    <row r="11710" spans="1:10" x14ac:dyDescent="0.25">
      <c r="A11710" t="s">
        <v>8459</v>
      </c>
      <c r="B11710" t="s">
        <v>1395</v>
      </c>
      <c r="C11710" t="s">
        <v>8541</v>
      </c>
      <c r="D11710">
        <v>170890</v>
      </c>
      <c r="E11710" t="s">
        <v>14</v>
      </c>
      <c r="F11710">
        <v>40.25</v>
      </c>
      <c r="G11710">
        <v>40.232999999999997</v>
      </c>
      <c r="H11710">
        <v>3</v>
      </c>
      <c r="I11710">
        <v>1584</v>
      </c>
      <c r="J11710" t="str">
        <f>HYPERLINK("https://climate.onebuilding.org/WMO_Region_6_Europe/TUR_Turkey/BB_Bayburt/TUR_BB_Bayburt.170890_TMYx.2009-2023.zip")</f>
        <v>https://climate.onebuilding.org/WMO_Region_6_Europe/TUR_Turkey/BB_Bayburt/TUR_BB_Bayburt.170890_TMYx.2009-2023.zip</v>
      </c>
    </row>
    <row r="11711" spans="1:10" x14ac:dyDescent="0.25">
      <c r="A11711" t="s">
        <v>8459</v>
      </c>
      <c r="B11711" t="s">
        <v>1395</v>
      </c>
      <c r="C11711" t="s">
        <v>8541</v>
      </c>
      <c r="D11711">
        <v>170890</v>
      </c>
      <c r="E11711" t="s">
        <v>14</v>
      </c>
      <c r="F11711">
        <v>40.25</v>
      </c>
      <c r="G11711">
        <v>40.232999999999997</v>
      </c>
      <c r="H11711">
        <v>3</v>
      </c>
      <c r="I11711">
        <v>1584</v>
      </c>
      <c r="J11711" t="str">
        <f>HYPERLINK("https://climate.onebuilding.org/WMO_Region_6_Europe/TUR_Turkey/BB_Bayburt/TUR_BB_Bayburt.170890_TMYx.zip")</f>
        <v>https://climate.onebuilding.org/WMO_Region_6_Europe/TUR_Turkey/BB_Bayburt/TUR_BB_Bayburt.170890_TMYx.zip</v>
      </c>
    </row>
    <row r="11712" spans="1:10" x14ac:dyDescent="0.25">
      <c r="A11712" t="s">
        <v>8459</v>
      </c>
      <c r="B11712" t="s">
        <v>5733</v>
      </c>
      <c r="C11712" t="s">
        <v>8543</v>
      </c>
      <c r="D11712">
        <v>170900</v>
      </c>
      <c r="E11712" t="s">
        <v>8544</v>
      </c>
      <c r="F11712">
        <v>39.814</v>
      </c>
      <c r="G11712">
        <v>36.902999999999999</v>
      </c>
      <c r="H11712">
        <v>3</v>
      </c>
      <c r="I11712">
        <v>1595.9</v>
      </c>
      <c r="J11712" t="str">
        <f>HYPERLINK("https://climate.onebuilding.org/WMO_Region_6_Europe/TUR_Turkey/SV_Sivas/TUR_SV_Sivas.170900_TMYx.2004-2018.zip")</f>
        <v>https://climate.onebuilding.org/WMO_Region_6_Europe/TUR_Turkey/SV_Sivas/TUR_SV_Sivas.170900_TMYx.2004-2018.zip</v>
      </c>
    </row>
    <row r="11713" spans="1:10" x14ac:dyDescent="0.25">
      <c r="A11713" t="s">
        <v>8459</v>
      </c>
      <c r="B11713" t="s">
        <v>5733</v>
      </c>
      <c r="C11713" t="s">
        <v>8543</v>
      </c>
      <c r="D11713">
        <v>170900</v>
      </c>
      <c r="E11713" t="s">
        <v>14</v>
      </c>
      <c r="F11713">
        <v>39.7438</v>
      </c>
      <c r="G11713">
        <v>37.002000000000002</v>
      </c>
      <c r="H11713">
        <v>3</v>
      </c>
      <c r="I11713">
        <v>1595.9</v>
      </c>
      <c r="J11713" t="str">
        <f>HYPERLINK("https://climate.onebuilding.org/WMO_Region_6_Europe/TUR_Turkey/SV_Sivas/TUR_SV_Sivas.170900_TMYx.2007-2021.zip")</f>
        <v>https://climate.onebuilding.org/WMO_Region_6_Europe/TUR_Turkey/SV_Sivas/TUR_SV_Sivas.170900_TMYx.2007-2021.zip</v>
      </c>
    </row>
    <row r="11714" spans="1:10" x14ac:dyDescent="0.25">
      <c r="A11714" t="s">
        <v>8459</v>
      </c>
      <c r="B11714" t="s">
        <v>5733</v>
      </c>
      <c r="C11714" t="s">
        <v>8543</v>
      </c>
      <c r="D11714">
        <v>170900</v>
      </c>
      <c r="E11714" t="s">
        <v>14</v>
      </c>
      <c r="F11714">
        <v>39.7438</v>
      </c>
      <c r="G11714">
        <v>37.002000000000002</v>
      </c>
      <c r="H11714">
        <v>3</v>
      </c>
      <c r="I11714">
        <v>1595.9</v>
      </c>
      <c r="J11714" t="str">
        <f>HYPERLINK("https://climate.onebuilding.org/WMO_Region_6_Europe/TUR_Turkey/SV_Sivas/TUR_SV_Sivas.170900_TMYx.2009-2023.zip")</f>
        <v>https://climate.onebuilding.org/WMO_Region_6_Europe/TUR_Turkey/SV_Sivas/TUR_SV_Sivas.170900_TMYx.2009-2023.zip</v>
      </c>
    </row>
    <row r="11715" spans="1:10" x14ac:dyDescent="0.25">
      <c r="A11715" t="s">
        <v>8459</v>
      </c>
      <c r="B11715" t="s">
        <v>5733</v>
      </c>
      <c r="C11715" t="s">
        <v>8543</v>
      </c>
      <c r="D11715">
        <v>170900</v>
      </c>
      <c r="E11715" t="s">
        <v>14</v>
      </c>
      <c r="F11715">
        <v>39.7438</v>
      </c>
      <c r="G11715">
        <v>37.002000000000002</v>
      </c>
      <c r="H11715">
        <v>3</v>
      </c>
      <c r="I11715">
        <v>1595.9</v>
      </c>
      <c r="J11715" t="str">
        <f>HYPERLINK("https://climate.onebuilding.org/WMO_Region_6_Europe/TUR_Turkey/SV_Sivas/TUR_SV_Sivas.170900_TMYx.zip")</f>
        <v>https://climate.onebuilding.org/WMO_Region_6_Europe/TUR_Turkey/SV_Sivas/TUR_SV_Sivas.170900_TMYx.zip</v>
      </c>
    </row>
    <row r="11716" spans="1:10" x14ac:dyDescent="0.25">
      <c r="A11716" t="s">
        <v>8459</v>
      </c>
      <c r="B11716" t="s">
        <v>8545</v>
      </c>
      <c r="C11716" t="s">
        <v>8546</v>
      </c>
      <c r="D11716">
        <v>170920</v>
      </c>
      <c r="E11716" t="s">
        <v>8547</v>
      </c>
      <c r="F11716">
        <v>39.71</v>
      </c>
      <c r="G11716">
        <v>39.527000000000001</v>
      </c>
      <c r="H11716">
        <v>3</v>
      </c>
      <c r="I11716">
        <v>1153.0999999999999</v>
      </c>
      <c r="J11716" t="str">
        <f>HYPERLINK("https://climate.onebuilding.org/WMO_Region_6_Europe/TUR_Turkey/EN_Erzincan/TUR_EN_Erzincan.AP.170920_TMYx.2004-2018.zip")</f>
        <v>https://climate.onebuilding.org/WMO_Region_6_Europe/TUR_Turkey/EN_Erzincan/TUR_EN_Erzincan.AP.170920_TMYx.2004-2018.zip</v>
      </c>
    </row>
    <row r="11717" spans="1:10" x14ac:dyDescent="0.25">
      <c r="A11717" t="s">
        <v>8459</v>
      </c>
      <c r="B11717" t="s">
        <v>8545</v>
      </c>
      <c r="C11717" t="s">
        <v>8546</v>
      </c>
      <c r="D11717">
        <v>170920</v>
      </c>
      <c r="E11717" t="s">
        <v>14</v>
      </c>
      <c r="F11717">
        <v>39.716000000000001</v>
      </c>
      <c r="G11717">
        <v>39.524999999999999</v>
      </c>
      <c r="H11717">
        <v>3</v>
      </c>
      <c r="I11717">
        <v>1153.0999999999999</v>
      </c>
      <c r="J11717" t="str">
        <f>HYPERLINK("https://climate.onebuilding.org/WMO_Region_6_Europe/TUR_Turkey/EN_Erzincan/TUR_EN_Erzincan.AP.170920_TMYx.2007-2021.zip")</f>
        <v>https://climate.onebuilding.org/WMO_Region_6_Europe/TUR_Turkey/EN_Erzincan/TUR_EN_Erzincan.AP.170920_TMYx.2007-2021.zip</v>
      </c>
    </row>
    <row r="11718" spans="1:10" x14ac:dyDescent="0.25">
      <c r="A11718" t="s">
        <v>8459</v>
      </c>
      <c r="B11718" t="s">
        <v>8545</v>
      </c>
      <c r="C11718" t="s">
        <v>8546</v>
      </c>
      <c r="D11718">
        <v>170920</v>
      </c>
      <c r="E11718" t="s">
        <v>14</v>
      </c>
      <c r="F11718">
        <v>39.716000000000001</v>
      </c>
      <c r="G11718">
        <v>39.524999999999999</v>
      </c>
      <c r="H11718">
        <v>3</v>
      </c>
      <c r="I11718">
        <v>1153.0999999999999</v>
      </c>
      <c r="J11718" t="str">
        <f>HYPERLINK("https://climate.onebuilding.org/WMO_Region_6_Europe/TUR_Turkey/EN_Erzincan/TUR_EN_Erzincan.AP.170920_TMYx.2009-2023.zip")</f>
        <v>https://climate.onebuilding.org/WMO_Region_6_Europe/TUR_Turkey/EN_Erzincan/TUR_EN_Erzincan.AP.170920_TMYx.2009-2023.zip</v>
      </c>
    </row>
    <row r="11719" spans="1:10" x14ac:dyDescent="0.25">
      <c r="A11719" t="s">
        <v>8459</v>
      </c>
      <c r="B11719" t="s">
        <v>8545</v>
      </c>
      <c r="C11719" t="s">
        <v>8546</v>
      </c>
      <c r="D11719">
        <v>170920</v>
      </c>
      <c r="E11719" t="s">
        <v>14</v>
      </c>
      <c r="F11719">
        <v>39.716000000000001</v>
      </c>
      <c r="G11719">
        <v>39.524999999999999</v>
      </c>
      <c r="H11719">
        <v>3</v>
      </c>
      <c r="I11719">
        <v>1153.0999999999999</v>
      </c>
      <c r="J11719" t="str">
        <f>HYPERLINK("https://climate.onebuilding.org/WMO_Region_6_Europe/TUR_Turkey/EN_Erzincan/TUR_EN_Erzincan.AP.170920_TMYx.zip")</f>
        <v>https://climate.onebuilding.org/WMO_Region_6_Europe/TUR_Turkey/EN_Erzincan/TUR_EN_Erzincan.AP.170920_TMYx.zip</v>
      </c>
    </row>
    <row r="11720" spans="1:10" x14ac:dyDescent="0.25">
      <c r="A11720" t="s">
        <v>8459</v>
      </c>
      <c r="B11720" t="s">
        <v>4662</v>
      </c>
      <c r="C11720" t="s">
        <v>8548</v>
      </c>
      <c r="D11720">
        <v>170950</v>
      </c>
      <c r="E11720" t="s">
        <v>14</v>
      </c>
      <c r="F11720">
        <v>39.905799999999999</v>
      </c>
      <c r="G11720">
        <v>41.254399999999997</v>
      </c>
      <c r="H11720">
        <v>3</v>
      </c>
      <c r="I11720">
        <v>1869</v>
      </c>
      <c r="J11720" t="str">
        <f>HYPERLINK("https://climate.onebuilding.org/WMO_Region_6_Europe/TUR_Turkey/EM_Erzurum/TUR_EM_Erzurum.Bolge.170950_TMYx.2007-2021.zip")</f>
        <v>https://climate.onebuilding.org/WMO_Region_6_Europe/TUR_Turkey/EM_Erzurum/TUR_EM_Erzurum.Bolge.170950_TMYx.2007-2021.zip</v>
      </c>
    </row>
    <row r="11721" spans="1:10" x14ac:dyDescent="0.25">
      <c r="A11721" t="s">
        <v>8459</v>
      </c>
      <c r="B11721" t="s">
        <v>4662</v>
      </c>
      <c r="C11721" t="s">
        <v>8548</v>
      </c>
      <c r="D11721">
        <v>170950</v>
      </c>
      <c r="E11721" t="s">
        <v>14</v>
      </c>
      <c r="F11721">
        <v>39.905799999999999</v>
      </c>
      <c r="G11721">
        <v>41.254399999999997</v>
      </c>
      <c r="H11721">
        <v>3</v>
      </c>
      <c r="I11721">
        <v>1869</v>
      </c>
      <c r="J11721" t="str">
        <f>HYPERLINK("https://climate.onebuilding.org/WMO_Region_6_Europe/TUR_Turkey/EM_Erzurum/TUR_EM_Erzurum.Bolge.170950_TMYx.2009-2023.zip")</f>
        <v>https://climate.onebuilding.org/WMO_Region_6_Europe/TUR_Turkey/EM_Erzurum/TUR_EM_Erzurum.Bolge.170950_TMYx.2009-2023.zip</v>
      </c>
    </row>
    <row r="11722" spans="1:10" x14ac:dyDescent="0.25">
      <c r="A11722" t="s">
        <v>8459</v>
      </c>
      <c r="B11722" t="s">
        <v>4662</v>
      </c>
      <c r="C11722" t="s">
        <v>8548</v>
      </c>
      <c r="D11722">
        <v>170950</v>
      </c>
      <c r="E11722" t="s">
        <v>14</v>
      </c>
      <c r="F11722">
        <v>39.905799999999999</v>
      </c>
      <c r="G11722">
        <v>41.254399999999997</v>
      </c>
      <c r="H11722">
        <v>3</v>
      </c>
      <c r="I11722">
        <v>1869</v>
      </c>
      <c r="J11722" t="str">
        <f>HYPERLINK("https://climate.onebuilding.org/WMO_Region_6_Europe/TUR_Turkey/EM_Erzurum/TUR_EM_Erzurum.Bolge.170950_TMYx.zip")</f>
        <v>https://climate.onebuilding.org/WMO_Region_6_Europe/TUR_Turkey/EM_Erzurum/TUR_EM_Erzurum.Bolge.170950_TMYx.zip</v>
      </c>
    </row>
    <row r="11723" spans="1:10" x14ac:dyDescent="0.25">
      <c r="A11723" t="s">
        <v>8459</v>
      </c>
      <c r="B11723" t="s">
        <v>4662</v>
      </c>
      <c r="C11723" t="s">
        <v>8549</v>
      </c>
      <c r="D11723">
        <v>170960</v>
      </c>
      <c r="E11723" t="s">
        <v>8550</v>
      </c>
      <c r="F11723">
        <v>39.957000000000001</v>
      </c>
      <c r="G11723">
        <v>41.17</v>
      </c>
      <c r="H11723">
        <v>3</v>
      </c>
      <c r="I11723">
        <v>1756.6</v>
      </c>
      <c r="J11723" t="str">
        <f>HYPERLINK("https://climate.onebuilding.org/WMO_Region_6_Europe/TUR_Turkey/EM_Erzurum/TUR_EM_Erzurum.AP.170960_TMYx.2004-2018.zip")</f>
        <v>https://climate.onebuilding.org/WMO_Region_6_Europe/TUR_Turkey/EM_Erzurum/TUR_EM_Erzurum.AP.170960_TMYx.2004-2018.zip</v>
      </c>
    </row>
    <row r="11724" spans="1:10" x14ac:dyDescent="0.25">
      <c r="A11724" t="s">
        <v>8459</v>
      </c>
      <c r="B11724" t="s">
        <v>4662</v>
      </c>
      <c r="C11724" t="s">
        <v>8549</v>
      </c>
      <c r="D11724">
        <v>170960</v>
      </c>
      <c r="E11724" t="s">
        <v>14</v>
      </c>
      <c r="F11724">
        <v>39.953000000000003</v>
      </c>
      <c r="G11724">
        <v>41.19</v>
      </c>
      <c r="H11724">
        <v>3</v>
      </c>
      <c r="I11724">
        <v>1756.6</v>
      </c>
      <c r="J11724" t="str">
        <f>HYPERLINK("https://climate.onebuilding.org/WMO_Region_6_Europe/TUR_Turkey/EM_Erzurum/TUR_EM_Erzurum.AP.170960_TMYx.2007-2021.zip")</f>
        <v>https://climate.onebuilding.org/WMO_Region_6_Europe/TUR_Turkey/EM_Erzurum/TUR_EM_Erzurum.AP.170960_TMYx.2007-2021.zip</v>
      </c>
    </row>
    <row r="11725" spans="1:10" x14ac:dyDescent="0.25">
      <c r="A11725" t="s">
        <v>8459</v>
      </c>
      <c r="B11725" t="s">
        <v>4662</v>
      </c>
      <c r="C11725" t="s">
        <v>8549</v>
      </c>
      <c r="D11725">
        <v>170960</v>
      </c>
      <c r="E11725" t="s">
        <v>14</v>
      </c>
      <c r="F11725">
        <v>39.953000000000003</v>
      </c>
      <c r="G11725">
        <v>41.19</v>
      </c>
      <c r="H11725">
        <v>3</v>
      </c>
      <c r="I11725">
        <v>1756.6</v>
      </c>
      <c r="J11725" t="str">
        <f>HYPERLINK("https://climate.onebuilding.org/WMO_Region_6_Europe/TUR_Turkey/EM_Erzurum/TUR_EM_Erzurum.AP.170960_TMYx.2009-2023.zip")</f>
        <v>https://climate.onebuilding.org/WMO_Region_6_Europe/TUR_Turkey/EM_Erzurum/TUR_EM_Erzurum.AP.170960_TMYx.2009-2023.zip</v>
      </c>
    </row>
    <row r="11726" spans="1:10" x14ac:dyDescent="0.25">
      <c r="A11726" t="s">
        <v>8459</v>
      </c>
      <c r="B11726" t="s">
        <v>4662</v>
      </c>
      <c r="C11726" t="s">
        <v>8549</v>
      </c>
      <c r="D11726">
        <v>170960</v>
      </c>
      <c r="E11726" t="s">
        <v>14</v>
      </c>
      <c r="F11726">
        <v>39.953000000000003</v>
      </c>
      <c r="G11726">
        <v>41.19</v>
      </c>
      <c r="H11726">
        <v>3</v>
      </c>
      <c r="I11726">
        <v>1756.6</v>
      </c>
      <c r="J11726" t="str">
        <f>HYPERLINK("https://climate.onebuilding.org/WMO_Region_6_Europe/TUR_Turkey/EM_Erzurum/TUR_EM_Erzurum.AP.170960_TMYx.zip")</f>
        <v>https://climate.onebuilding.org/WMO_Region_6_Europe/TUR_Turkey/EM_Erzurum/TUR_EM_Erzurum.AP.170960_TMYx.zip</v>
      </c>
    </row>
    <row r="11727" spans="1:10" x14ac:dyDescent="0.25">
      <c r="A11727" t="s">
        <v>8459</v>
      </c>
      <c r="B11727" t="s">
        <v>246</v>
      </c>
      <c r="C11727" t="s">
        <v>8551</v>
      </c>
      <c r="D11727">
        <v>170980</v>
      </c>
      <c r="E11727" t="s">
        <v>8552</v>
      </c>
      <c r="F11727">
        <v>40.561999999999998</v>
      </c>
      <c r="G11727">
        <v>43.115000000000002</v>
      </c>
      <c r="H11727">
        <v>3</v>
      </c>
      <c r="I11727">
        <v>1795</v>
      </c>
      <c r="J11727" t="str">
        <f>HYPERLINK("https://climate.onebuilding.org/WMO_Region_6_Europe/TUR_Turkey/KA_Kars/TUR_KA_Kars.AP.170980_TMYx.2004-2018.zip")</f>
        <v>https://climate.onebuilding.org/WMO_Region_6_Europe/TUR_Turkey/KA_Kars/TUR_KA_Kars.AP.170980_TMYx.2004-2018.zip</v>
      </c>
    </row>
    <row r="11728" spans="1:10" x14ac:dyDescent="0.25">
      <c r="A11728" t="s">
        <v>8459</v>
      </c>
      <c r="B11728" t="s">
        <v>246</v>
      </c>
      <c r="C11728" t="s">
        <v>8551</v>
      </c>
      <c r="D11728">
        <v>170980</v>
      </c>
      <c r="E11728" t="s">
        <v>14</v>
      </c>
      <c r="F11728">
        <v>40.564</v>
      </c>
      <c r="G11728">
        <v>43.112000000000002</v>
      </c>
      <c r="H11728">
        <v>3</v>
      </c>
      <c r="I11728">
        <v>1795</v>
      </c>
      <c r="J11728" t="str">
        <f>HYPERLINK("https://climate.onebuilding.org/WMO_Region_6_Europe/TUR_Turkey/KA_Kars/TUR_KA_Kars.AP.170980_TMYx.2007-2021.zip")</f>
        <v>https://climate.onebuilding.org/WMO_Region_6_Europe/TUR_Turkey/KA_Kars/TUR_KA_Kars.AP.170980_TMYx.2007-2021.zip</v>
      </c>
    </row>
    <row r="11729" spans="1:10" x14ac:dyDescent="0.25">
      <c r="A11729" t="s">
        <v>8459</v>
      </c>
      <c r="B11729" t="s">
        <v>246</v>
      </c>
      <c r="C11729" t="s">
        <v>8551</v>
      </c>
      <c r="D11729">
        <v>170980</v>
      </c>
      <c r="E11729" t="s">
        <v>14</v>
      </c>
      <c r="F11729">
        <v>40.564</v>
      </c>
      <c r="G11729">
        <v>43.112000000000002</v>
      </c>
      <c r="H11729">
        <v>3</v>
      </c>
      <c r="I11729">
        <v>1795</v>
      </c>
      <c r="J11729" t="str">
        <f>HYPERLINK("https://climate.onebuilding.org/WMO_Region_6_Europe/TUR_Turkey/KA_Kars/TUR_KA_Kars.AP.170980_TMYx.2009-2023.zip")</f>
        <v>https://climate.onebuilding.org/WMO_Region_6_Europe/TUR_Turkey/KA_Kars/TUR_KA_Kars.AP.170980_TMYx.2009-2023.zip</v>
      </c>
    </row>
    <row r="11730" spans="1:10" x14ac:dyDescent="0.25">
      <c r="A11730" t="s">
        <v>8459</v>
      </c>
      <c r="B11730" t="s">
        <v>246</v>
      </c>
      <c r="C11730" t="s">
        <v>8551</v>
      </c>
      <c r="D11730">
        <v>170980</v>
      </c>
      <c r="E11730" t="s">
        <v>14</v>
      </c>
      <c r="F11730">
        <v>40.564</v>
      </c>
      <c r="G11730">
        <v>43.112000000000002</v>
      </c>
      <c r="H11730">
        <v>3</v>
      </c>
      <c r="I11730">
        <v>1795</v>
      </c>
      <c r="J11730" t="str">
        <f>HYPERLINK("https://climate.onebuilding.org/WMO_Region_6_Europe/TUR_Turkey/KA_Kars/TUR_KA_Kars.AP.170980_TMYx.zip")</f>
        <v>https://climate.onebuilding.org/WMO_Region_6_Europe/TUR_Turkey/KA_Kars/TUR_KA_Kars.AP.170980_TMYx.zip</v>
      </c>
    </row>
    <row r="11731" spans="1:10" x14ac:dyDescent="0.25">
      <c r="A11731" t="s">
        <v>8459</v>
      </c>
      <c r="B11731" t="s">
        <v>515</v>
      </c>
      <c r="C11731" t="s">
        <v>8553</v>
      </c>
      <c r="D11731">
        <v>170981</v>
      </c>
      <c r="E11731" t="s">
        <v>8554</v>
      </c>
      <c r="F11731">
        <v>37.978999999999999</v>
      </c>
      <c r="G11731">
        <v>41.84</v>
      </c>
      <c r="H11731">
        <v>3</v>
      </c>
      <c r="I11731">
        <v>609.9</v>
      </c>
      <c r="J11731" t="str">
        <f>HYPERLINK("https://climate.onebuilding.org/WMO_Region_6_Europe/TUR_Turkey/SI_Siirt/TUR_SI_Siirt.AP.170981_TMYx.2004-2018.zip")</f>
        <v>https://climate.onebuilding.org/WMO_Region_6_Europe/TUR_Turkey/SI_Siirt/TUR_SI_Siirt.AP.170981_TMYx.2004-2018.zip</v>
      </c>
    </row>
    <row r="11732" spans="1:10" x14ac:dyDescent="0.25">
      <c r="A11732" t="s">
        <v>8459</v>
      </c>
      <c r="B11732" t="s">
        <v>515</v>
      </c>
      <c r="C11732" t="s">
        <v>8553</v>
      </c>
      <c r="D11732">
        <v>170981</v>
      </c>
      <c r="E11732" t="s">
        <v>14</v>
      </c>
      <c r="F11732">
        <v>37.978999999999999</v>
      </c>
      <c r="G11732">
        <v>41.84</v>
      </c>
      <c r="H11732">
        <v>3</v>
      </c>
      <c r="I11732">
        <v>609.9</v>
      </c>
      <c r="J11732" t="str">
        <f>HYPERLINK("https://climate.onebuilding.org/WMO_Region_6_Europe/TUR_Turkey/SI_Siirt/TUR_SI_Siirt.AP.170981_TMYx.2007-2021.zip")</f>
        <v>https://climate.onebuilding.org/WMO_Region_6_Europe/TUR_Turkey/SI_Siirt/TUR_SI_Siirt.AP.170981_TMYx.2007-2021.zip</v>
      </c>
    </row>
    <row r="11733" spans="1:10" x14ac:dyDescent="0.25">
      <c r="A11733" t="s">
        <v>8459</v>
      </c>
      <c r="B11733" t="s">
        <v>515</v>
      </c>
      <c r="C11733" t="s">
        <v>8553</v>
      </c>
      <c r="D11733">
        <v>170981</v>
      </c>
      <c r="E11733" t="s">
        <v>14</v>
      </c>
      <c r="F11733">
        <v>37.978999999999999</v>
      </c>
      <c r="G11733">
        <v>41.84</v>
      </c>
      <c r="H11733">
        <v>3</v>
      </c>
      <c r="I11733">
        <v>609.9</v>
      </c>
      <c r="J11733" t="str">
        <f>HYPERLINK("https://climate.onebuilding.org/WMO_Region_6_Europe/TUR_Turkey/SI_Siirt/TUR_SI_Siirt.AP.170981_TMYx.2009-2023.zip")</f>
        <v>https://climate.onebuilding.org/WMO_Region_6_Europe/TUR_Turkey/SI_Siirt/TUR_SI_Siirt.AP.170981_TMYx.2009-2023.zip</v>
      </c>
    </row>
    <row r="11734" spans="1:10" x14ac:dyDescent="0.25">
      <c r="A11734" t="s">
        <v>8459</v>
      </c>
      <c r="B11734" t="s">
        <v>515</v>
      </c>
      <c r="C11734" t="s">
        <v>8553</v>
      </c>
      <c r="D11734">
        <v>170981</v>
      </c>
      <c r="E11734" t="s">
        <v>14</v>
      </c>
      <c r="F11734">
        <v>37.978999999999999</v>
      </c>
      <c r="G11734">
        <v>41.84</v>
      </c>
      <c r="H11734">
        <v>3</v>
      </c>
      <c r="I11734">
        <v>609.9</v>
      </c>
      <c r="J11734" t="str">
        <f>HYPERLINK("https://climate.onebuilding.org/WMO_Region_6_Europe/TUR_Turkey/SI_Siirt/TUR_SI_Siirt.AP.170981_TMYx.zip")</f>
        <v>https://climate.onebuilding.org/WMO_Region_6_Europe/TUR_Turkey/SI_Siirt/TUR_SI_Siirt.AP.170981_TMYx.zip</v>
      </c>
    </row>
    <row r="11735" spans="1:10" x14ac:dyDescent="0.25">
      <c r="A11735" t="s">
        <v>8459</v>
      </c>
      <c r="B11735" t="s">
        <v>814</v>
      </c>
      <c r="C11735" t="s">
        <v>8555</v>
      </c>
      <c r="D11735">
        <v>170990</v>
      </c>
      <c r="E11735" t="s">
        <v>8556</v>
      </c>
      <c r="F11735">
        <v>39.732999999999997</v>
      </c>
      <c r="G11735">
        <v>43.05</v>
      </c>
      <c r="H11735">
        <v>3</v>
      </c>
      <c r="I11735">
        <v>1632</v>
      </c>
      <c r="J11735" t="str">
        <f>HYPERLINK("https://climate.onebuilding.org/WMO_Region_6_Europe/TUR_Turkey/AG_Agri/TUR_AG_Agri.170990_TMYx.2004-2018.zip")</f>
        <v>https://climate.onebuilding.org/WMO_Region_6_Europe/TUR_Turkey/AG_Agri/TUR_AG_Agri.170990_TMYx.2004-2018.zip</v>
      </c>
    </row>
    <row r="11736" spans="1:10" x14ac:dyDescent="0.25">
      <c r="A11736" t="s">
        <v>8459</v>
      </c>
      <c r="B11736" t="s">
        <v>814</v>
      </c>
      <c r="C11736" t="s">
        <v>8555</v>
      </c>
      <c r="D11736">
        <v>170990</v>
      </c>
      <c r="E11736" t="s">
        <v>14</v>
      </c>
      <c r="F11736">
        <v>39.732999999999997</v>
      </c>
      <c r="G11736">
        <v>43.05</v>
      </c>
      <c r="H11736">
        <v>3</v>
      </c>
      <c r="I11736">
        <v>1632</v>
      </c>
      <c r="J11736" t="str">
        <f>HYPERLINK("https://climate.onebuilding.org/WMO_Region_6_Europe/TUR_Turkey/AG_Agri/TUR_AG_Agri.170990_TMYx.2007-2021.zip")</f>
        <v>https://climate.onebuilding.org/WMO_Region_6_Europe/TUR_Turkey/AG_Agri/TUR_AG_Agri.170990_TMYx.2007-2021.zip</v>
      </c>
    </row>
    <row r="11737" spans="1:10" x14ac:dyDescent="0.25">
      <c r="A11737" t="s">
        <v>8459</v>
      </c>
      <c r="B11737" t="s">
        <v>814</v>
      </c>
      <c r="C11737" t="s">
        <v>8555</v>
      </c>
      <c r="D11737">
        <v>170990</v>
      </c>
      <c r="E11737" t="s">
        <v>14</v>
      </c>
      <c r="F11737">
        <v>39.732999999999997</v>
      </c>
      <c r="G11737">
        <v>43.05</v>
      </c>
      <c r="H11737">
        <v>3</v>
      </c>
      <c r="I11737">
        <v>1632</v>
      </c>
      <c r="J11737" t="str">
        <f>HYPERLINK("https://climate.onebuilding.org/WMO_Region_6_Europe/TUR_Turkey/AG_Agri/TUR_AG_Agri.170990_TMYx.2009-2023.zip")</f>
        <v>https://climate.onebuilding.org/WMO_Region_6_Europe/TUR_Turkey/AG_Agri/TUR_AG_Agri.170990_TMYx.2009-2023.zip</v>
      </c>
    </row>
    <row r="11738" spans="1:10" x14ac:dyDescent="0.25">
      <c r="A11738" t="s">
        <v>8459</v>
      </c>
      <c r="B11738" t="s">
        <v>814</v>
      </c>
      <c r="C11738" t="s">
        <v>8555</v>
      </c>
      <c r="D11738">
        <v>170990</v>
      </c>
      <c r="E11738" t="s">
        <v>14</v>
      </c>
      <c r="F11738">
        <v>39.732999999999997</v>
      </c>
      <c r="G11738">
        <v>43.05</v>
      </c>
      <c r="H11738">
        <v>3</v>
      </c>
      <c r="I11738">
        <v>1632</v>
      </c>
      <c r="J11738" t="str">
        <f>HYPERLINK("https://climate.onebuilding.org/WMO_Region_6_Europe/TUR_Turkey/AG_Agri/TUR_AG_Agri.170990_TMYx.zip")</f>
        <v>https://climate.onebuilding.org/WMO_Region_6_Europe/TUR_Turkey/AG_Agri/TUR_AG_Agri.170990_TMYx.zip</v>
      </c>
    </row>
    <row r="11739" spans="1:10" x14ac:dyDescent="0.25">
      <c r="A11739" t="s">
        <v>8459</v>
      </c>
      <c r="B11739" t="s">
        <v>8557</v>
      </c>
      <c r="C11739" t="s">
        <v>8558</v>
      </c>
      <c r="D11739">
        <v>171000</v>
      </c>
      <c r="E11739" t="s">
        <v>8559</v>
      </c>
      <c r="F11739">
        <v>39.917000000000002</v>
      </c>
      <c r="G11739">
        <v>44.05</v>
      </c>
      <c r="H11739">
        <v>3</v>
      </c>
      <c r="I11739">
        <v>858</v>
      </c>
      <c r="J11739" t="str">
        <f>HYPERLINK("https://climate.onebuilding.org/WMO_Region_6_Europe/TUR_Turkey/IG_Igdir/TUR_IG_Igdir.171000_TMYx.2004-2018.zip")</f>
        <v>https://climate.onebuilding.org/WMO_Region_6_Europe/TUR_Turkey/IG_Igdir/TUR_IG_Igdir.171000_TMYx.2004-2018.zip</v>
      </c>
    </row>
    <row r="11740" spans="1:10" x14ac:dyDescent="0.25">
      <c r="A11740" t="s">
        <v>8459</v>
      </c>
      <c r="B11740" t="s">
        <v>8557</v>
      </c>
      <c r="C11740" t="s">
        <v>8558</v>
      </c>
      <c r="D11740">
        <v>171000</v>
      </c>
      <c r="E11740" t="s">
        <v>14</v>
      </c>
      <c r="F11740">
        <v>39.917000000000002</v>
      </c>
      <c r="G11740">
        <v>44.05</v>
      </c>
      <c r="H11740">
        <v>3</v>
      </c>
      <c r="I11740">
        <v>858</v>
      </c>
      <c r="J11740" t="str">
        <f>HYPERLINK("https://climate.onebuilding.org/WMO_Region_6_Europe/TUR_Turkey/IG_Igdir/TUR_IG_Igdir.171000_TMYx.2007-2021.zip")</f>
        <v>https://climate.onebuilding.org/WMO_Region_6_Europe/TUR_Turkey/IG_Igdir/TUR_IG_Igdir.171000_TMYx.2007-2021.zip</v>
      </c>
    </row>
    <row r="11741" spans="1:10" x14ac:dyDescent="0.25">
      <c r="A11741" t="s">
        <v>8459</v>
      </c>
      <c r="B11741" t="s">
        <v>8557</v>
      </c>
      <c r="C11741" t="s">
        <v>8558</v>
      </c>
      <c r="D11741">
        <v>171000</v>
      </c>
      <c r="E11741" t="s">
        <v>14</v>
      </c>
      <c r="F11741">
        <v>39.917000000000002</v>
      </c>
      <c r="G11741">
        <v>44.05</v>
      </c>
      <c r="H11741">
        <v>3</v>
      </c>
      <c r="I11741">
        <v>858</v>
      </c>
      <c r="J11741" t="str">
        <f>HYPERLINK("https://climate.onebuilding.org/WMO_Region_6_Europe/TUR_Turkey/IG_Igdir/TUR_IG_Igdir.171000_TMYx.2009-2023.zip")</f>
        <v>https://climate.onebuilding.org/WMO_Region_6_Europe/TUR_Turkey/IG_Igdir/TUR_IG_Igdir.171000_TMYx.2009-2023.zip</v>
      </c>
    </row>
    <row r="11742" spans="1:10" x14ac:dyDescent="0.25">
      <c r="A11742" t="s">
        <v>8459</v>
      </c>
      <c r="B11742" t="s">
        <v>8557</v>
      </c>
      <c r="C11742" t="s">
        <v>8558</v>
      </c>
      <c r="D11742">
        <v>171000</v>
      </c>
      <c r="E11742" t="s">
        <v>14</v>
      </c>
      <c r="F11742">
        <v>39.917000000000002</v>
      </c>
      <c r="G11742">
        <v>44.05</v>
      </c>
      <c r="H11742">
        <v>3</v>
      </c>
      <c r="I11742">
        <v>858</v>
      </c>
      <c r="J11742" t="str">
        <f>HYPERLINK("https://climate.onebuilding.org/WMO_Region_6_Europe/TUR_Turkey/IG_Igdir/TUR_IG_Igdir.171000_TMYx.zip")</f>
        <v>https://climate.onebuilding.org/WMO_Region_6_Europe/TUR_Turkey/IG_Igdir/TUR_IG_Igdir.171000_TMYx.zip</v>
      </c>
    </row>
    <row r="11743" spans="1:10" x14ac:dyDescent="0.25">
      <c r="A11743" t="s">
        <v>8459</v>
      </c>
      <c r="B11743" t="s">
        <v>8557</v>
      </c>
      <c r="C11743" t="s">
        <v>8560</v>
      </c>
      <c r="D11743">
        <v>171001</v>
      </c>
      <c r="E11743" t="s">
        <v>8561</v>
      </c>
      <c r="F11743">
        <v>39.982999999999997</v>
      </c>
      <c r="G11743">
        <v>43.866999999999997</v>
      </c>
      <c r="H11743">
        <v>3</v>
      </c>
      <c r="I11743">
        <v>946</v>
      </c>
      <c r="J11743" t="str">
        <f>HYPERLINK("https://climate.onebuilding.org/WMO_Region_6_Europe/TUR_Turkey/IG_Igdir/TUR_IG_Igdir.Airport.171001_TMYx.2004-2018.zip")</f>
        <v>https://climate.onebuilding.org/WMO_Region_6_Europe/TUR_Turkey/IG_Igdir/TUR_IG_Igdir.Airport.171001_TMYx.2004-2018.zip</v>
      </c>
    </row>
    <row r="11744" spans="1:10" x14ac:dyDescent="0.25">
      <c r="A11744" t="s">
        <v>8459</v>
      </c>
      <c r="B11744" t="s">
        <v>8557</v>
      </c>
      <c r="C11744" t="s">
        <v>8560</v>
      </c>
      <c r="D11744">
        <v>171001</v>
      </c>
      <c r="E11744" t="s">
        <v>14</v>
      </c>
      <c r="F11744">
        <v>39.982999999999997</v>
      </c>
      <c r="G11744">
        <v>43.866999999999997</v>
      </c>
      <c r="H11744">
        <v>3</v>
      </c>
      <c r="I11744">
        <v>946</v>
      </c>
      <c r="J11744" t="str">
        <f>HYPERLINK("https://climate.onebuilding.org/WMO_Region_6_Europe/TUR_Turkey/IG_Igdir/TUR_IG_Igdir.Airport.171001_TMYx.2007-2021.zip")</f>
        <v>https://climate.onebuilding.org/WMO_Region_6_Europe/TUR_Turkey/IG_Igdir/TUR_IG_Igdir.Airport.171001_TMYx.2007-2021.zip</v>
      </c>
    </row>
    <row r="11745" spans="1:10" x14ac:dyDescent="0.25">
      <c r="A11745" t="s">
        <v>8459</v>
      </c>
      <c r="B11745" t="s">
        <v>8557</v>
      </c>
      <c r="C11745" t="s">
        <v>8560</v>
      </c>
      <c r="D11745">
        <v>171001</v>
      </c>
      <c r="E11745" t="s">
        <v>14</v>
      </c>
      <c r="F11745">
        <v>39.982999999999997</v>
      </c>
      <c r="G11745">
        <v>43.866999999999997</v>
      </c>
      <c r="H11745">
        <v>3</v>
      </c>
      <c r="I11745">
        <v>946</v>
      </c>
      <c r="J11745" t="str">
        <f>HYPERLINK("https://climate.onebuilding.org/WMO_Region_6_Europe/TUR_Turkey/IG_Igdir/TUR_IG_Igdir.Airport.171001_TMYx.2009-2023.zip")</f>
        <v>https://climate.onebuilding.org/WMO_Region_6_Europe/TUR_Turkey/IG_Igdir/TUR_IG_Igdir.Airport.171001_TMYx.2009-2023.zip</v>
      </c>
    </row>
    <row r="11746" spans="1:10" x14ac:dyDescent="0.25">
      <c r="A11746" t="s">
        <v>8459</v>
      </c>
      <c r="B11746" t="s">
        <v>8557</v>
      </c>
      <c r="C11746" t="s">
        <v>8560</v>
      </c>
      <c r="D11746">
        <v>171001</v>
      </c>
      <c r="E11746" t="s">
        <v>14</v>
      </c>
      <c r="F11746">
        <v>39.982999999999997</v>
      </c>
      <c r="G11746">
        <v>43.866999999999997</v>
      </c>
      <c r="H11746">
        <v>3</v>
      </c>
      <c r="I11746">
        <v>946</v>
      </c>
      <c r="J11746" t="str">
        <f>HYPERLINK("https://climate.onebuilding.org/WMO_Region_6_Europe/TUR_Turkey/IG_Igdir/TUR_IG_Igdir.Airport.171001_TMYx.zip")</f>
        <v>https://climate.onebuilding.org/WMO_Region_6_Europe/TUR_Turkey/IG_Igdir/TUR_IG_Igdir.Airport.171001_TMYx.zip</v>
      </c>
    </row>
    <row r="11747" spans="1:10" x14ac:dyDescent="0.25">
      <c r="A11747" t="s">
        <v>8459</v>
      </c>
      <c r="B11747" t="s">
        <v>1209</v>
      </c>
      <c r="C11747" t="s">
        <v>8562</v>
      </c>
      <c r="D11747">
        <v>171100</v>
      </c>
      <c r="E11747" t="s">
        <v>14</v>
      </c>
      <c r="F11747">
        <v>40.203000000000003</v>
      </c>
      <c r="G11747">
        <v>25.884</v>
      </c>
      <c r="H11747">
        <v>3</v>
      </c>
      <c r="I11747">
        <v>72</v>
      </c>
      <c r="J11747" t="str">
        <f>HYPERLINK("https://climate.onebuilding.org/WMO_Region_6_Europe/TUR_Turkey/CK_Canakkale/TUR_CK_Gokceada.AP.171100_TMYx.2007-2021.zip")</f>
        <v>https://climate.onebuilding.org/WMO_Region_6_Europe/TUR_Turkey/CK_Canakkale/TUR_CK_Gokceada.AP.171100_TMYx.2007-2021.zip</v>
      </c>
    </row>
    <row r="11748" spans="1:10" x14ac:dyDescent="0.25">
      <c r="A11748" t="s">
        <v>8459</v>
      </c>
      <c r="B11748" t="s">
        <v>1209</v>
      </c>
      <c r="C11748" t="s">
        <v>8562</v>
      </c>
      <c r="D11748">
        <v>171100</v>
      </c>
      <c r="E11748" t="s">
        <v>14</v>
      </c>
      <c r="F11748">
        <v>40.203000000000003</v>
      </c>
      <c r="G11748">
        <v>25.884</v>
      </c>
      <c r="H11748">
        <v>3</v>
      </c>
      <c r="I11748">
        <v>72</v>
      </c>
      <c r="J11748" t="str">
        <f>HYPERLINK("https://climate.onebuilding.org/WMO_Region_6_Europe/TUR_Turkey/CK_Canakkale/TUR_CK_Gokceada.AP.171100_TMYx.2009-2023.zip")</f>
        <v>https://climate.onebuilding.org/WMO_Region_6_Europe/TUR_Turkey/CK_Canakkale/TUR_CK_Gokceada.AP.171100_TMYx.2009-2023.zip</v>
      </c>
    </row>
    <row r="11749" spans="1:10" x14ac:dyDescent="0.25">
      <c r="A11749" t="s">
        <v>8459</v>
      </c>
      <c r="B11749" t="s">
        <v>1209</v>
      </c>
      <c r="C11749" t="s">
        <v>8562</v>
      </c>
      <c r="D11749">
        <v>171100</v>
      </c>
      <c r="E11749" t="s">
        <v>14</v>
      </c>
      <c r="F11749">
        <v>40.203000000000003</v>
      </c>
      <c r="G11749">
        <v>25.884</v>
      </c>
      <c r="H11749">
        <v>3</v>
      </c>
      <c r="I11749">
        <v>72</v>
      </c>
      <c r="J11749" t="str">
        <f>HYPERLINK("https://climate.onebuilding.org/WMO_Region_6_Europe/TUR_Turkey/CK_Canakkale/TUR_CK_Gokceada.AP.171100_TMYx.zip")</f>
        <v>https://climate.onebuilding.org/WMO_Region_6_Europe/TUR_Turkey/CK_Canakkale/TUR_CK_Gokceada.AP.171100_TMYx.zip</v>
      </c>
    </row>
    <row r="11750" spans="1:10" x14ac:dyDescent="0.25">
      <c r="A11750" t="s">
        <v>8459</v>
      </c>
      <c r="B11750" t="s">
        <v>1209</v>
      </c>
      <c r="C11750" t="s">
        <v>8563</v>
      </c>
      <c r="D11750">
        <v>171110</v>
      </c>
      <c r="E11750" t="s">
        <v>14</v>
      </c>
      <c r="F11750">
        <v>39.832999999999998</v>
      </c>
      <c r="G11750">
        <v>26.067</v>
      </c>
      <c r="H11750">
        <v>3</v>
      </c>
      <c r="I11750">
        <v>30</v>
      </c>
      <c r="J11750" t="str">
        <f>HYPERLINK("https://climate.onebuilding.org/WMO_Region_6_Europe/TUR_Turkey/CK_Canakkale/TUR_CK_Bozcaada.171110_TMYx.2007-2021.zip")</f>
        <v>https://climate.onebuilding.org/WMO_Region_6_Europe/TUR_Turkey/CK_Canakkale/TUR_CK_Bozcaada.171110_TMYx.2007-2021.zip</v>
      </c>
    </row>
    <row r="11751" spans="1:10" x14ac:dyDescent="0.25">
      <c r="A11751" t="s">
        <v>8459</v>
      </c>
      <c r="B11751" t="s">
        <v>1209</v>
      </c>
      <c r="C11751" t="s">
        <v>8563</v>
      </c>
      <c r="D11751">
        <v>171110</v>
      </c>
      <c r="E11751" t="s">
        <v>14</v>
      </c>
      <c r="F11751">
        <v>39.832999999999998</v>
      </c>
      <c r="G11751">
        <v>26.067</v>
      </c>
      <c r="H11751">
        <v>3</v>
      </c>
      <c r="I11751">
        <v>30</v>
      </c>
      <c r="J11751" t="str">
        <f>HYPERLINK("https://climate.onebuilding.org/WMO_Region_6_Europe/TUR_Turkey/CK_Canakkale/TUR_CK_Bozcaada.171110_TMYx.2009-2023.zip")</f>
        <v>https://climate.onebuilding.org/WMO_Region_6_Europe/TUR_Turkey/CK_Canakkale/TUR_CK_Bozcaada.171110_TMYx.2009-2023.zip</v>
      </c>
    </row>
    <row r="11752" spans="1:10" x14ac:dyDescent="0.25">
      <c r="A11752" t="s">
        <v>8459</v>
      </c>
      <c r="B11752" t="s">
        <v>1209</v>
      </c>
      <c r="C11752" t="s">
        <v>8563</v>
      </c>
      <c r="D11752">
        <v>171110</v>
      </c>
      <c r="E11752" t="s">
        <v>14</v>
      </c>
      <c r="F11752">
        <v>39.832999999999998</v>
      </c>
      <c r="G11752">
        <v>26.067</v>
      </c>
      <c r="H11752">
        <v>3</v>
      </c>
      <c r="I11752">
        <v>30</v>
      </c>
      <c r="J11752" t="str">
        <f>HYPERLINK("https://climate.onebuilding.org/WMO_Region_6_Europe/TUR_Turkey/CK_Canakkale/TUR_CK_Bozcaada.171110_TMYx.zip")</f>
        <v>https://climate.onebuilding.org/WMO_Region_6_Europe/TUR_Turkey/CK_Canakkale/TUR_CK_Bozcaada.171110_TMYx.zip</v>
      </c>
    </row>
    <row r="11753" spans="1:10" x14ac:dyDescent="0.25">
      <c r="A11753" t="s">
        <v>8459</v>
      </c>
      <c r="B11753" t="s">
        <v>1209</v>
      </c>
      <c r="C11753" t="s">
        <v>8564</v>
      </c>
      <c r="D11753">
        <v>171120</v>
      </c>
      <c r="E11753" t="s">
        <v>8565</v>
      </c>
      <c r="F11753">
        <v>40.137999999999998</v>
      </c>
      <c r="G11753">
        <v>26.427</v>
      </c>
      <c r="H11753">
        <v>3</v>
      </c>
      <c r="I11753">
        <v>7</v>
      </c>
      <c r="J11753" t="str">
        <f>HYPERLINK("https://climate.onebuilding.org/WMO_Region_6_Europe/TUR_Turkey/CK_Canakkale/TUR_CK_Canakkale.171120_TMYx.2004-2018.zip")</f>
        <v>https://climate.onebuilding.org/WMO_Region_6_Europe/TUR_Turkey/CK_Canakkale/TUR_CK_Canakkale.171120_TMYx.2004-2018.zip</v>
      </c>
    </row>
    <row r="11754" spans="1:10" x14ac:dyDescent="0.25">
      <c r="A11754" t="s">
        <v>8459</v>
      </c>
      <c r="B11754" t="s">
        <v>1209</v>
      </c>
      <c r="C11754" t="s">
        <v>8564</v>
      </c>
      <c r="D11754">
        <v>171120</v>
      </c>
      <c r="E11754" t="s">
        <v>14</v>
      </c>
      <c r="F11754">
        <v>40.141399999999997</v>
      </c>
      <c r="G11754">
        <v>26.3995</v>
      </c>
      <c r="H11754">
        <v>3</v>
      </c>
      <c r="I11754">
        <v>7</v>
      </c>
      <c r="J11754" t="str">
        <f>HYPERLINK("https://climate.onebuilding.org/WMO_Region_6_Europe/TUR_Turkey/CK_Canakkale/TUR_CK_Canakkale.171120_TMYx.2007-2021.zip")</f>
        <v>https://climate.onebuilding.org/WMO_Region_6_Europe/TUR_Turkey/CK_Canakkale/TUR_CK_Canakkale.171120_TMYx.2007-2021.zip</v>
      </c>
    </row>
    <row r="11755" spans="1:10" x14ac:dyDescent="0.25">
      <c r="A11755" t="s">
        <v>8459</v>
      </c>
      <c r="B11755" t="s">
        <v>1209</v>
      </c>
      <c r="C11755" t="s">
        <v>8564</v>
      </c>
      <c r="D11755">
        <v>171120</v>
      </c>
      <c r="E11755" t="s">
        <v>14</v>
      </c>
      <c r="F11755">
        <v>40.141399999999997</v>
      </c>
      <c r="G11755">
        <v>26.3995</v>
      </c>
      <c r="H11755">
        <v>3</v>
      </c>
      <c r="I11755">
        <v>7</v>
      </c>
      <c r="J11755" t="str">
        <f>HYPERLINK("https://climate.onebuilding.org/WMO_Region_6_Europe/TUR_Turkey/CK_Canakkale/TUR_CK_Canakkale.171120_TMYx.2009-2023.zip")</f>
        <v>https://climate.onebuilding.org/WMO_Region_6_Europe/TUR_Turkey/CK_Canakkale/TUR_CK_Canakkale.171120_TMYx.2009-2023.zip</v>
      </c>
    </row>
    <row r="11756" spans="1:10" x14ac:dyDescent="0.25">
      <c r="A11756" t="s">
        <v>8459</v>
      </c>
      <c r="B11756" t="s">
        <v>1209</v>
      </c>
      <c r="C11756" t="s">
        <v>8564</v>
      </c>
      <c r="D11756">
        <v>171120</v>
      </c>
      <c r="E11756" t="s">
        <v>14</v>
      </c>
      <c r="F11756">
        <v>40.141399999999997</v>
      </c>
      <c r="G11756">
        <v>26.3995</v>
      </c>
      <c r="H11756">
        <v>3</v>
      </c>
      <c r="I11756">
        <v>7</v>
      </c>
      <c r="J11756" t="str">
        <f>HYPERLINK("https://climate.onebuilding.org/WMO_Region_6_Europe/TUR_Turkey/CK_Canakkale/TUR_CK_Canakkale.171120_TMYx.zip")</f>
        <v>https://climate.onebuilding.org/WMO_Region_6_Europe/TUR_Turkey/CK_Canakkale/TUR_CK_Canakkale.171120_TMYx.zip</v>
      </c>
    </row>
    <row r="11757" spans="1:10" x14ac:dyDescent="0.25">
      <c r="A11757" t="s">
        <v>8459</v>
      </c>
      <c r="B11757" t="s">
        <v>1272</v>
      </c>
      <c r="C11757" t="s">
        <v>8566</v>
      </c>
      <c r="D11757">
        <v>171150</v>
      </c>
      <c r="E11757" t="s">
        <v>8567</v>
      </c>
      <c r="F11757">
        <v>40.317999999999998</v>
      </c>
      <c r="G11757">
        <v>27.978000000000002</v>
      </c>
      <c r="H11757">
        <v>3</v>
      </c>
      <c r="I11757">
        <v>51.8</v>
      </c>
      <c r="J11757" t="str">
        <f>HYPERLINK("https://climate.onebuilding.org/WMO_Region_6_Europe/TUR_Turkey/BK_Balikesir/TUR_BK_Bandirma.AP.171150_TMYx.2004-2018.zip")</f>
        <v>https://climate.onebuilding.org/WMO_Region_6_Europe/TUR_Turkey/BK_Balikesir/TUR_BK_Bandirma.AP.171150_TMYx.2004-2018.zip</v>
      </c>
    </row>
    <row r="11758" spans="1:10" x14ac:dyDescent="0.25">
      <c r="A11758" t="s">
        <v>8459</v>
      </c>
      <c r="B11758" t="s">
        <v>1272</v>
      </c>
      <c r="C11758" t="s">
        <v>8566</v>
      </c>
      <c r="D11758">
        <v>171150</v>
      </c>
      <c r="E11758" t="s">
        <v>14</v>
      </c>
      <c r="F11758">
        <v>40.316200000000002</v>
      </c>
      <c r="G11758">
        <v>27.972300000000001</v>
      </c>
      <c r="H11758">
        <v>3</v>
      </c>
      <c r="I11758">
        <v>51.8</v>
      </c>
      <c r="J11758" t="str">
        <f>HYPERLINK("https://climate.onebuilding.org/WMO_Region_6_Europe/TUR_Turkey/BK_Balikesir/TUR_BK_Bandirma.AP.171150_TMYx.2007-2021.zip")</f>
        <v>https://climate.onebuilding.org/WMO_Region_6_Europe/TUR_Turkey/BK_Balikesir/TUR_BK_Bandirma.AP.171150_TMYx.2007-2021.zip</v>
      </c>
    </row>
    <row r="11759" spans="1:10" x14ac:dyDescent="0.25">
      <c r="A11759" t="s">
        <v>8459</v>
      </c>
      <c r="B11759" t="s">
        <v>1272</v>
      </c>
      <c r="C11759" t="s">
        <v>8566</v>
      </c>
      <c r="D11759">
        <v>171150</v>
      </c>
      <c r="E11759" t="s">
        <v>14</v>
      </c>
      <c r="F11759">
        <v>40.316200000000002</v>
      </c>
      <c r="G11759">
        <v>27.972300000000001</v>
      </c>
      <c r="H11759">
        <v>3</v>
      </c>
      <c r="I11759">
        <v>51.8</v>
      </c>
      <c r="J11759" t="str">
        <f>HYPERLINK("https://climate.onebuilding.org/WMO_Region_6_Europe/TUR_Turkey/BK_Balikesir/TUR_BK_Bandirma.AP.171150_TMYx.2009-2023.zip")</f>
        <v>https://climate.onebuilding.org/WMO_Region_6_Europe/TUR_Turkey/BK_Balikesir/TUR_BK_Bandirma.AP.171150_TMYx.2009-2023.zip</v>
      </c>
    </row>
    <row r="11760" spans="1:10" x14ac:dyDescent="0.25">
      <c r="A11760" t="s">
        <v>8459</v>
      </c>
      <c r="B11760" t="s">
        <v>1272</v>
      </c>
      <c r="C11760" t="s">
        <v>8566</v>
      </c>
      <c r="D11760">
        <v>171150</v>
      </c>
      <c r="E11760" t="s">
        <v>14</v>
      </c>
      <c r="F11760">
        <v>40.316200000000002</v>
      </c>
      <c r="G11760">
        <v>27.972300000000001</v>
      </c>
      <c r="H11760">
        <v>3</v>
      </c>
      <c r="I11760">
        <v>51.8</v>
      </c>
      <c r="J11760" t="str">
        <f>HYPERLINK("https://climate.onebuilding.org/WMO_Region_6_Europe/TUR_Turkey/BK_Balikesir/TUR_BK_Bandirma.AP.171150_TMYx.zip")</f>
        <v>https://climate.onebuilding.org/WMO_Region_6_Europe/TUR_Turkey/BK_Balikesir/TUR_BK_Bandirma.AP.171150_TMYx.zip</v>
      </c>
    </row>
    <row r="11761" spans="1:10" x14ac:dyDescent="0.25">
      <c r="A11761" t="s">
        <v>8459</v>
      </c>
      <c r="B11761" t="s">
        <v>233</v>
      </c>
      <c r="C11761" t="s">
        <v>8568</v>
      </c>
      <c r="D11761">
        <v>171160</v>
      </c>
      <c r="E11761" t="s">
        <v>8569</v>
      </c>
      <c r="F11761">
        <v>40.183</v>
      </c>
      <c r="G11761">
        <v>29.067</v>
      </c>
      <c r="H11761">
        <v>3</v>
      </c>
      <c r="I11761">
        <v>100</v>
      </c>
      <c r="J11761" t="str">
        <f>HYPERLINK("https://climate.onebuilding.org/WMO_Region_6_Europe/TUR_Turkey/BU_Bursa/TUR_BU_Bursa.AP.171160_TMYx.2004-2018.zip")</f>
        <v>https://climate.onebuilding.org/WMO_Region_6_Europe/TUR_Turkey/BU_Bursa/TUR_BU_Bursa.AP.171160_TMYx.2004-2018.zip</v>
      </c>
    </row>
    <row r="11762" spans="1:10" x14ac:dyDescent="0.25">
      <c r="A11762" t="s">
        <v>8459</v>
      </c>
      <c r="B11762" t="s">
        <v>233</v>
      </c>
      <c r="C11762" t="s">
        <v>8568</v>
      </c>
      <c r="D11762">
        <v>171160</v>
      </c>
      <c r="E11762" t="s">
        <v>14</v>
      </c>
      <c r="F11762">
        <v>40.230800000000002</v>
      </c>
      <c r="G11762">
        <v>29.013300000000001</v>
      </c>
      <c r="H11762">
        <v>3</v>
      </c>
      <c r="I11762">
        <v>100</v>
      </c>
      <c r="J11762" t="str">
        <f>HYPERLINK("https://climate.onebuilding.org/WMO_Region_6_Europe/TUR_Turkey/BU_Bursa/TUR_BU_Bursa.AP.171160_TMYx.2007-2021.zip")</f>
        <v>https://climate.onebuilding.org/WMO_Region_6_Europe/TUR_Turkey/BU_Bursa/TUR_BU_Bursa.AP.171160_TMYx.2007-2021.zip</v>
      </c>
    </row>
    <row r="11763" spans="1:10" x14ac:dyDescent="0.25">
      <c r="A11763" t="s">
        <v>8459</v>
      </c>
      <c r="B11763" t="s">
        <v>233</v>
      </c>
      <c r="C11763" t="s">
        <v>8568</v>
      </c>
      <c r="D11763">
        <v>171160</v>
      </c>
      <c r="E11763" t="s">
        <v>14</v>
      </c>
      <c r="F11763">
        <v>40.230800000000002</v>
      </c>
      <c r="G11763">
        <v>29.013300000000001</v>
      </c>
      <c r="H11763">
        <v>3</v>
      </c>
      <c r="I11763">
        <v>100</v>
      </c>
      <c r="J11763" t="str">
        <f>HYPERLINK("https://climate.onebuilding.org/WMO_Region_6_Europe/TUR_Turkey/BU_Bursa/TUR_BU_Bursa.AP.171160_TMYx.2009-2023.zip")</f>
        <v>https://climate.onebuilding.org/WMO_Region_6_Europe/TUR_Turkey/BU_Bursa/TUR_BU_Bursa.AP.171160_TMYx.2009-2023.zip</v>
      </c>
    </row>
    <row r="11764" spans="1:10" x14ac:dyDescent="0.25">
      <c r="A11764" t="s">
        <v>8459</v>
      </c>
      <c r="B11764" t="s">
        <v>233</v>
      </c>
      <c r="C11764" t="s">
        <v>8568</v>
      </c>
      <c r="D11764">
        <v>171160</v>
      </c>
      <c r="E11764" t="s">
        <v>14</v>
      </c>
      <c r="F11764">
        <v>40.230800000000002</v>
      </c>
      <c r="G11764">
        <v>29.013300000000001</v>
      </c>
      <c r="H11764">
        <v>3</v>
      </c>
      <c r="I11764">
        <v>100</v>
      </c>
      <c r="J11764" t="str">
        <f>HYPERLINK("https://climate.onebuilding.org/WMO_Region_6_Europe/TUR_Turkey/BU_Bursa/TUR_BU_Bursa.AP.171160_TMYx.zip")</f>
        <v>https://climate.onebuilding.org/WMO_Region_6_Europe/TUR_Turkey/BU_Bursa/TUR_BU_Bursa.AP.171160_TMYx.zip</v>
      </c>
    </row>
    <row r="11765" spans="1:10" x14ac:dyDescent="0.25">
      <c r="A11765" t="s">
        <v>8459</v>
      </c>
      <c r="B11765" t="s">
        <v>4827</v>
      </c>
      <c r="C11765" t="s">
        <v>8570</v>
      </c>
      <c r="D11765">
        <v>171170</v>
      </c>
      <c r="E11765" t="s">
        <v>14</v>
      </c>
      <c r="F11765">
        <v>39.433</v>
      </c>
      <c r="G11765">
        <v>30.016999999999999</v>
      </c>
      <c r="H11765">
        <v>3</v>
      </c>
      <c r="I11765">
        <v>921</v>
      </c>
      <c r="J11765" t="str">
        <f>HYPERLINK("https://climate.onebuilding.org/WMO_Region_6_Europe/TUR_Turkey/KU_Kutahya/TUR_KU_Kutahya.AFB.171170_TMYx.2007-2021.zip")</f>
        <v>https://climate.onebuilding.org/WMO_Region_6_Europe/TUR_Turkey/KU_Kutahya/TUR_KU_Kutahya.AFB.171170_TMYx.2007-2021.zip</v>
      </c>
    </row>
    <row r="11766" spans="1:10" x14ac:dyDescent="0.25">
      <c r="A11766" t="s">
        <v>8459</v>
      </c>
      <c r="B11766" t="s">
        <v>4827</v>
      </c>
      <c r="C11766" t="s">
        <v>8570</v>
      </c>
      <c r="D11766">
        <v>171170</v>
      </c>
      <c r="E11766" t="s">
        <v>14</v>
      </c>
      <c r="F11766">
        <v>39.433</v>
      </c>
      <c r="G11766">
        <v>30.016999999999999</v>
      </c>
      <c r="H11766">
        <v>3</v>
      </c>
      <c r="I11766">
        <v>921</v>
      </c>
      <c r="J11766" t="str">
        <f>HYPERLINK("https://climate.onebuilding.org/WMO_Region_6_Europe/TUR_Turkey/KU_Kutahya/TUR_KU_Kutahya.AFB.171170_TMYx.2009-2023.zip")</f>
        <v>https://climate.onebuilding.org/WMO_Region_6_Europe/TUR_Turkey/KU_Kutahya/TUR_KU_Kutahya.AFB.171170_TMYx.2009-2023.zip</v>
      </c>
    </row>
    <row r="11767" spans="1:10" x14ac:dyDescent="0.25">
      <c r="A11767" t="s">
        <v>8459</v>
      </c>
      <c r="B11767" t="s">
        <v>4827</v>
      </c>
      <c r="C11767" t="s">
        <v>8570</v>
      </c>
      <c r="D11767">
        <v>171170</v>
      </c>
      <c r="E11767" t="s">
        <v>14</v>
      </c>
      <c r="F11767">
        <v>39.433</v>
      </c>
      <c r="G11767">
        <v>30.016999999999999</v>
      </c>
      <c r="H11767">
        <v>3</v>
      </c>
      <c r="I11767">
        <v>921</v>
      </c>
      <c r="J11767" t="str">
        <f>HYPERLINK("https://climate.onebuilding.org/WMO_Region_6_Europe/TUR_Turkey/KU_Kutahya/TUR_KU_Kutahya.AFB.171170_TMYx.zip")</f>
        <v>https://climate.onebuilding.org/WMO_Region_6_Europe/TUR_Turkey/KU_Kutahya/TUR_KU_Kutahya.AFB.171170_TMYx.zip</v>
      </c>
    </row>
    <row r="11768" spans="1:10" x14ac:dyDescent="0.25">
      <c r="A11768" t="s">
        <v>8459</v>
      </c>
      <c r="B11768" t="s">
        <v>233</v>
      </c>
      <c r="C11768" t="s">
        <v>8571</v>
      </c>
      <c r="D11768">
        <v>171180</v>
      </c>
      <c r="E11768" t="s">
        <v>8572</v>
      </c>
      <c r="F11768">
        <v>40.25</v>
      </c>
      <c r="G11768">
        <v>29.55</v>
      </c>
      <c r="H11768">
        <v>3</v>
      </c>
      <c r="I11768">
        <v>238</v>
      </c>
      <c r="J11768" t="str">
        <f>HYPERLINK("https://climate.onebuilding.org/WMO_Region_6_Europe/TUR_Turkey/BU_Bursa/TUR_BU_Yenisehir.171180_TMYx.2004-2018.zip")</f>
        <v>https://climate.onebuilding.org/WMO_Region_6_Europe/TUR_Turkey/BU_Bursa/TUR_BU_Yenisehir.171180_TMYx.2004-2018.zip</v>
      </c>
    </row>
    <row r="11769" spans="1:10" x14ac:dyDescent="0.25">
      <c r="A11769" t="s">
        <v>8459</v>
      </c>
      <c r="B11769" t="s">
        <v>233</v>
      </c>
      <c r="C11769" t="s">
        <v>8571</v>
      </c>
      <c r="D11769">
        <v>171180</v>
      </c>
      <c r="E11769" t="s">
        <v>14</v>
      </c>
      <c r="F11769">
        <v>40.255000000000003</v>
      </c>
      <c r="G11769">
        <v>29.562999999999999</v>
      </c>
      <c r="H11769">
        <v>3</v>
      </c>
      <c r="I11769">
        <v>238</v>
      </c>
      <c r="J11769" t="str">
        <f>HYPERLINK("https://climate.onebuilding.org/WMO_Region_6_Europe/TUR_Turkey/BU_Bursa/TUR_BU_Yenisehir.171180_TMYx.2007-2021.zip")</f>
        <v>https://climate.onebuilding.org/WMO_Region_6_Europe/TUR_Turkey/BU_Bursa/TUR_BU_Yenisehir.171180_TMYx.2007-2021.zip</v>
      </c>
    </row>
    <row r="11770" spans="1:10" x14ac:dyDescent="0.25">
      <c r="A11770" t="s">
        <v>8459</v>
      </c>
      <c r="B11770" t="s">
        <v>233</v>
      </c>
      <c r="C11770" t="s">
        <v>8571</v>
      </c>
      <c r="D11770">
        <v>171180</v>
      </c>
      <c r="E11770" t="s">
        <v>14</v>
      </c>
      <c r="F11770">
        <v>40.255000000000003</v>
      </c>
      <c r="G11770">
        <v>29.562999999999999</v>
      </c>
      <c r="H11770">
        <v>3</v>
      </c>
      <c r="I11770">
        <v>238</v>
      </c>
      <c r="J11770" t="str">
        <f>HYPERLINK("https://climate.onebuilding.org/WMO_Region_6_Europe/TUR_Turkey/BU_Bursa/TUR_BU_Yenisehir.171180_TMYx.2009-2023.zip")</f>
        <v>https://climate.onebuilding.org/WMO_Region_6_Europe/TUR_Turkey/BU_Bursa/TUR_BU_Yenisehir.171180_TMYx.2009-2023.zip</v>
      </c>
    </row>
    <row r="11771" spans="1:10" x14ac:dyDescent="0.25">
      <c r="A11771" t="s">
        <v>8459</v>
      </c>
      <c r="B11771" t="s">
        <v>233</v>
      </c>
      <c r="C11771" t="s">
        <v>8571</v>
      </c>
      <c r="D11771">
        <v>171180</v>
      </c>
      <c r="E11771" t="s">
        <v>14</v>
      </c>
      <c r="F11771">
        <v>40.255000000000003</v>
      </c>
      <c r="G11771">
        <v>29.562999999999999</v>
      </c>
      <c r="H11771">
        <v>3</v>
      </c>
      <c r="I11771">
        <v>238</v>
      </c>
      <c r="J11771" t="str">
        <f>HYPERLINK("https://climate.onebuilding.org/WMO_Region_6_Europe/TUR_Turkey/BU_Bursa/TUR_BU_Yenisehir.171180_TMYx.zip")</f>
        <v>https://climate.onebuilding.org/WMO_Region_6_Europe/TUR_Turkey/BU_Bursa/TUR_BU_Yenisehir.171180_TMYx.zip</v>
      </c>
    </row>
    <row r="11772" spans="1:10" x14ac:dyDescent="0.25">
      <c r="A11772" t="s">
        <v>8459</v>
      </c>
      <c r="B11772" t="s">
        <v>8573</v>
      </c>
      <c r="C11772" t="s">
        <v>8574</v>
      </c>
      <c r="D11772">
        <v>171185</v>
      </c>
      <c r="E11772" t="s">
        <v>14</v>
      </c>
      <c r="F11772">
        <v>39.451000000000001</v>
      </c>
      <c r="G11772">
        <v>31.364999999999998</v>
      </c>
      <c r="H11772">
        <v>3</v>
      </c>
      <c r="I11772">
        <v>970.8</v>
      </c>
      <c r="J11772" t="str">
        <f>HYPERLINK("https://climate.onebuilding.org/WMO_Region_6_Europe/TUR_Turkey/ES_Eskisehir/TUR_ES_Sivrihisar.171185_TMYx.2007-2021.zip")</f>
        <v>https://climate.onebuilding.org/WMO_Region_6_Europe/TUR_Turkey/ES_Eskisehir/TUR_ES_Sivrihisar.171185_TMYx.2007-2021.zip</v>
      </c>
    </row>
    <row r="11773" spans="1:10" x14ac:dyDescent="0.25">
      <c r="A11773" t="s">
        <v>8459</v>
      </c>
      <c r="B11773" t="s">
        <v>8573</v>
      </c>
      <c r="C11773" t="s">
        <v>8574</v>
      </c>
      <c r="D11773">
        <v>171185</v>
      </c>
      <c r="E11773" t="s">
        <v>14</v>
      </c>
      <c r="F11773">
        <v>39.451000000000001</v>
      </c>
      <c r="G11773">
        <v>31.364999999999998</v>
      </c>
      <c r="H11773">
        <v>3</v>
      </c>
      <c r="I11773">
        <v>970.8</v>
      </c>
      <c r="J11773" t="str">
        <f>HYPERLINK("https://climate.onebuilding.org/WMO_Region_6_Europe/TUR_Turkey/ES_Eskisehir/TUR_ES_Sivrihisar.171185_TMYx.2009-2023.zip")</f>
        <v>https://climate.onebuilding.org/WMO_Region_6_Europe/TUR_Turkey/ES_Eskisehir/TUR_ES_Sivrihisar.171185_TMYx.2009-2023.zip</v>
      </c>
    </row>
    <row r="11774" spans="1:10" x14ac:dyDescent="0.25">
      <c r="A11774" t="s">
        <v>8459</v>
      </c>
      <c r="B11774" t="s">
        <v>8573</v>
      </c>
      <c r="C11774" t="s">
        <v>8574</v>
      </c>
      <c r="D11774">
        <v>171185</v>
      </c>
      <c r="E11774" t="s">
        <v>14</v>
      </c>
      <c r="F11774">
        <v>39.451000000000001</v>
      </c>
      <c r="G11774">
        <v>31.364999999999998</v>
      </c>
      <c r="H11774">
        <v>3</v>
      </c>
      <c r="I11774">
        <v>970.8</v>
      </c>
      <c r="J11774" t="str">
        <f>HYPERLINK("https://climate.onebuilding.org/WMO_Region_6_Europe/TUR_Turkey/ES_Eskisehir/TUR_ES_Sivrihisar.171185_TMYx.zip")</f>
        <v>https://climate.onebuilding.org/WMO_Region_6_Europe/TUR_Turkey/ES_Eskisehir/TUR_ES_Sivrihisar.171185_TMYx.zip</v>
      </c>
    </row>
    <row r="11775" spans="1:10" x14ac:dyDescent="0.25">
      <c r="A11775" t="s">
        <v>8459</v>
      </c>
      <c r="B11775" t="s">
        <v>8575</v>
      </c>
      <c r="C11775" t="s">
        <v>8576</v>
      </c>
      <c r="D11775">
        <v>171190</v>
      </c>
      <c r="E11775" t="s">
        <v>8577</v>
      </c>
      <c r="F11775">
        <v>40.667000000000002</v>
      </c>
      <c r="G11775">
        <v>29.283000000000001</v>
      </c>
      <c r="H11775">
        <v>3</v>
      </c>
      <c r="I11775">
        <v>4</v>
      </c>
      <c r="J11775" t="str">
        <f>HYPERLINK("https://climate.onebuilding.org/WMO_Region_6_Europe/TUR_Turkey/YL_Yalova/TUR_YL_Yalova.171190_TMYx.2004-2018.zip")</f>
        <v>https://climate.onebuilding.org/WMO_Region_6_Europe/TUR_Turkey/YL_Yalova/TUR_YL_Yalova.171190_TMYx.2004-2018.zip</v>
      </c>
    </row>
    <row r="11776" spans="1:10" x14ac:dyDescent="0.25">
      <c r="A11776" t="s">
        <v>8459</v>
      </c>
      <c r="B11776" t="s">
        <v>8575</v>
      </c>
      <c r="C11776" t="s">
        <v>8576</v>
      </c>
      <c r="D11776">
        <v>171190</v>
      </c>
      <c r="E11776" t="s">
        <v>14</v>
      </c>
      <c r="F11776">
        <v>40.667000000000002</v>
      </c>
      <c r="G11776">
        <v>29.283000000000001</v>
      </c>
      <c r="H11776">
        <v>3</v>
      </c>
      <c r="I11776">
        <v>4</v>
      </c>
      <c r="J11776" t="str">
        <f>HYPERLINK("https://climate.onebuilding.org/WMO_Region_6_Europe/TUR_Turkey/YL_Yalova/TUR_YL_Yalova.171190_TMYx.2007-2021.zip")</f>
        <v>https://climate.onebuilding.org/WMO_Region_6_Europe/TUR_Turkey/YL_Yalova/TUR_YL_Yalova.171190_TMYx.2007-2021.zip</v>
      </c>
    </row>
    <row r="11777" spans="1:10" x14ac:dyDescent="0.25">
      <c r="A11777" t="s">
        <v>8459</v>
      </c>
      <c r="B11777" t="s">
        <v>8575</v>
      </c>
      <c r="C11777" t="s">
        <v>8576</v>
      </c>
      <c r="D11777">
        <v>171190</v>
      </c>
      <c r="E11777" t="s">
        <v>14</v>
      </c>
      <c r="F11777">
        <v>40.667000000000002</v>
      </c>
      <c r="G11777">
        <v>29.283000000000001</v>
      </c>
      <c r="H11777">
        <v>3</v>
      </c>
      <c r="I11777">
        <v>4</v>
      </c>
      <c r="J11777" t="str">
        <f>HYPERLINK("https://climate.onebuilding.org/WMO_Region_6_Europe/TUR_Turkey/YL_Yalova/TUR_YL_Yalova.171190_TMYx.2009-2023.zip")</f>
        <v>https://climate.onebuilding.org/WMO_Region_6_Europe/TUR_Turkey/YL_Yalova/TUR_YL_Yalova.171190_TMYx.2009-2023.zip</v>
      </c>
    </row>
    <row r="11778" spans="1:10" x14ac:dyDescent="0.25">
      <c r="A11778" t="s">
        <v>8459</v>
      </c>
      <c r="B11778" t="s">
        <v>8575</v>
      </c>
      <c r="C11778" t="s">
        <v>8576</v>
      </c>
      <c r="D11778">
        <v>171190</v>
      </c>
      <c r="E11778" t="s">
        <v>14</v>
      </c>
      <c r="F11778">
        <v>40.667000000000002</v>
      </c>
      <c r="G11778">
        <v>29.283000000000001</v>
      </c>
      <c r="H11778">
        <v>3</v>
      </c>
      <c r="I11778">
        <v>4</v>
      </c>
      <c r="J11778" t="str">
        <f>HYPERLINK("https://climate.onebuilding.org/WMO_Region_6_Europe/TUR_Turkey/YL_Yalova/TUR_YL_Yalova.171190_TMYx.zip")</f>
        <v>https://climate.onebuilding.org/WMO_Region_6_Europe/TUR_Turkey/YL_Yalova/TUR_YL_Yalova.171190_TMYx.zip</v>
      </c>
    </row>
    <row r="11779" spans="1:10" x14ac:dyDescent="0.25">
      <c r="A11779" t="s">
        <v>8459</v>
      </c>
      <c r="B11779" t="s">
        <v>5453</v>
      </c>
      <c r="C11779" t="s">
        <v>8578</v>
      </c>
      <c r="D11779">
        <v>171200</v>
      </c>
      <c r="E11779" t="s">
        <v>8579</v>
      </c>
      <c r="F11779">
        <v>40.15</v>
      </c>
      <c r="G11779">
        <v>29.966999999999999</v>
      </c>
      <c r="H11779">
        <v>3</v>
      </c>
      <c r="I11779">
        <v>539</v>
      </c>
      <c r="J11779" t="str">
        <f>HYPERLINK("https://climate.onebuilding.org/WMO_Region_6_Europe/TUR_Turkey/BC_Bilecik/TUR_BC_Bilecik.171200_TMYx.2004-2018.zip")</f>
        <v>https://climate.onebuilding.org/WMO_Region_6_Europe/TUR_Turkey/BC_Bilecik/TUR_BC_Bilecik.171200_TMYx.2004-2018.zip</v>
      </c>
    </row>
    <row r="11780" spans="1:10" x14ac:dyDescent="0.25">
      <c r="A11780" t="s">
        <v>8459</v>
      </c>
      <c r="B11780" t="s">
        <v>5453</v>
      </c>
      <c r="C11780" t="s">
        <v>8578</v>
      </c>
      <c r="D11780">
        <v>171200</v>
      </c>
      <c r="E11780" t="s">
        <v>14</v>
      </c>
      <c r="F11780">
        <v>40.150199999999998</v>
      </c>
      <c r="G11780">
        <v>29.968399999999999</v>
      </c>
      <c r="H11780">
        <v>3</v>
      </c>
      <c r="I11780">
        <v>539</v>
      </c>
      <c r="J11780" t="str">
        <f>HYPERLINK("https://climate.onebuilding.org/WMO_Region_6_Europe/TUR_Turkey/BC_Bilecik/TUR_BC_Bilecik.171200_TMYx.2007-2021.zip")</f>
        <v>https://climate.onebuilding.org/WMO_Region_6_Europe/TUR_Turkey/BC_Bilecik/TUR_BC_Bilecik.171200_TMYx.2007-2021.zip</v>
      </c>
    </row>
    <row r="11781" spans="1:10" x14ac:dyDescent="0.25">
      <c r="A11781" t="s">
        <v>8459</v>
      </c>
      <c r="B11781" t="s">
        <v>5453</v>
      </c>
      <c r="C11781" t="s">
        <v>8578</v>
      </c>
      <c r="D11781">
        <v>171200</v>
      </c>
      <c r="E11781" t="s">
        <v>14</v>
      </c>
      <c r="F11781">
        <v>40.150199999999998</v>
      </c>
      <c r="G11781">
        <v>29.968399999999999</v>
      </c>
      <c r="H11781">
        <v>3</v>
      </c>
      <c r="I11781">
        <v>539</v>
      </c>
      <c r="J11781" t="str">
        <f>HYPERLINK("https://climate.onebuilding.org/WMO_Region_6_Europe/TUR_Turkey/BC_Bilecik/TUR_BC_Bilecik.171200_TMYx.2009-2023.zip")</f>
        <v>https://climate.onebuilding.org/WMO_Region_6_Europe/TUR_Turkey/BC_Bilecik/TUR_BC_Bilecik.171200_TMYx.2009-2023.zip</v>
      </c>
    </row>
    <row r="11782" spans="1:10" x14ac:dyDescent="0.25">
      <c r="A11782" t="s">
        <v>8459</v>
      </c>
      <c r="B11782" t="s">
        <v>5453</v>
      </c>
      <c r="C11782" t="s">
        <v>8578</v>
      </c>
      <c r="D11782">
        <v>171200</v>
      </c>
      <c r="E11782" t="s">
        <v>14</v>
      </c>
      <c r="F11782">
        <v>40.150199999999998</v>
      </c>
      <c r="G11782">
        <v>29.968399999999999</v>
      </c>
      <c r="H11782">
        <v>3</v>
      </c>
      <c r="I11782">
        <v>539</v>
      </c>
      <c r="J11782" t="str">
        <f>HYPERLINK("https://climate.onebuilding.org/WMO_Region_6_Europe/TUR_Turkey/BC_Bilecik/TUR_BC_Bilecik.171200_TMYx.zip")</f>
        <v>https://climate.onebuilding.org/WMO_Region_6_Europe/TUR_Turkey/BC_Bilecik/TUR_BC_Bilecik.171200_TMYx.zip</v>
      </c>
    </row>
    <row r="11783" spans="1:10" x14ac:dyDescent="0.25">
      <c r="A11783" t="s">
        <v>8459</v>
      </c>
      <c r="B11783" t="s">
        <v>8573</v>
      </c>
      <c r="C11783" t="s">
        <v>8580</v>
      </c>
      <c r="D11783">
        <v>171240</v>
      </c>
      <c r="E11783" t="s">
        <v>8581</v>
      </c>
      <c r="F11783">
        <v>39.783999999999999</v>
      </c>
      <c r="G11783">
        <v>30.582000000000001</v>
      </c>
      <c r="H11783">
        <v>3</v>
      </c>
      <c r="I11783">
        <v>786.7</v>
      </c>
      <c r="J11783" t="str">
        <f>HYPERLINK("https://climate.onebuilding.org/WMO_Region_6_Europe/TUR_Turkey/ES_Eskisehir/TUR_ES_Eskisehir.AB.171240_TMYx.2004-2018.zip")</f>
        <v>https://climate.onebuilding.org/WMO_Region_6_Europe/TUR_Turkey/ES_Eskisehir/TUR_ES_Eskisehir.AB.171240_TMYx.2004-2018.zip</v>
      </c>
    </row>
    <row r="11784" spans="1:10" x14ac:dyDescent="0.25">
      <c r="A11784" t="s">
        <v>8459</v>
      </c>
      <c r="B11784" t="s">
        <v>8573</v>
      </c>
      <c r="C11784" t="s">
        <v>8580</v>
      </c>
      <c r="D11784">
        <v>171240</v>
      </c>
      <c r="E11784" t="s">
        <v>14</v>
      </c>
      <c r="F11784">
        <v>39.780999999999999</v>
      </c>
      <c r="G11784">
        <v>30.58</v>
      </c>
      <c r="H11784">
        <v>3</v>
      </c>
      <c r="I11784">
        <v>786.7</v>
      </c>
      <c r="J11784" t="str">
        <f>HYPERLINK("https://climate.onebuilding.org/WMO_Region_6_Europe/TUR_Turkey/ES_Eskisehir/TUR_ES_Eskisehir.AB.171240_TMYx.2007-2021.zip")</f>
        <v>https://climate.onebuilding.org/WMO_Region_6_Europe/TUR_Turkey/ES_Eskisehir/TUR_ES_Eskisehir.AB.171240_TMYx.2007-2021.zip</v>
      </c>
    </row>
    <row r="11785" spans="1:10" x14ac:dyDescent="0.25">
      <c r="A11785" t="s">
        <v>8459</v>
      </c>
      <c r="B11785" t="s">
        <v>8573</v>
      </c>
      <c r="C11785" t="s">
        <v>8580</v>
      </c>
      <c r="D11785">
        <v>171240</v>
      </c>
      <c r="E11785" t="s">
        <v>14</v>
      </c>
      <c r="F11785">
        <v>39.780999999999999</v>
      </c>
      <c r="G11785">
        <v>30.58</v>
      </c>
      <c r="H11785">
        <v>3</v>
      </c>
      <c r="I11785">
        <v>786.7</v>
      </c>
      <c r="J11785" t="str">
        <f>HYPERLINK("https://climate.onebuilding.org/WMO_Region_6_Europe/TUR_Turkey/ES_Eskisehir/TUR_ES_Eskisehir.AB.171240_TMYx.2009-2023.zip")</f>
        <v>https://climate.onebuilding.org/WMO_Region_6_Europe/TUR_Turkey/ES_Eskisehir/TUR_ES_Eskisehir.AB.171240_TMYx.2009-2023.zip</v>
      </c>
    </row>
    <row r="11786" spans="1:10" x14ac:dyDescent="0.25">
      <c r="A11786" t="s">
        <v>8459</v>
      </c>
      <c r="B11786" t="s">
        <v>8573</v>
      </c>
      <c r="C11786" t="s">
        <v>8580</v>
      </c>
      <c r="D11786">
        <v>171240</v>
      </c>
      <c r="E11786" t="s">
        <v>14</v>
      </c>
      <c r="F11786">
        <v>39.780999999999999</v>
      </c>
      <c r="G11786">
        <v>30.58</v>
      </c>
      <c r="H11786">
        <v>3</v>
      </c>
      <c r="I11786">
        <v>786.7</v>
      </c>
      <c r="J11786" t="str">
        <f>HYPERLINK("https://climate.onebuilding.org/WMO_Region_6_Europe/TUR_Turkey/ES_Eskisehir/TUR_ES_Eskisehir.AB.171240_TMYx.zip")</f>
        <v>https://climate.onebuilding.org/WMO_Region_6_Europe/TUR_Turkey/ES_Eskisehir/TUR_ES_Eskisehir.AB.171240_TMYx.zip</v>
      </c>
    </row>
    <row r="11787" spans="1:10" x14ac:dyDescent="0.25">
      <c r="A11787" t="s">
        <v>8459</v>
      </c>
      <c r="B11787" t="s">
        <v>1970</v>
      </c>
      <c r="C11787" t="s">
        <v>8582</v>
      </c>
      <c r="D11787">
        <v>171270</v>
      </c>
      <c r="E11787" t="s">
        <v>8583</v>
      </c>
      <c r="F11787">
        <v>40.067</v>
      </c>
      <c r="G11787">
        <v>32.567</v>
      </c>
      <c r="H11787">
        <v>3</v>
      </c>
      <c r="I11787">
        <v>840</v>
      </c>
      <c r="J11787" t="str">
        <f>HYPERLINK("https://climate.onebuilding.org/WMO_Region_6_Europe/TUR_Turkey/AN_Ankara/TUR_AN_Ankara-Akinci.AP-Murted.AF.171270_TMYx.2004-2018.zip")</f>
        <v>https://climate.onebuilding.org/WMO_Region_6_Europe/TUR_Turkey/AN_Ankara/TUR_AN_Ankara-Akinci.AP-Murted.AF.171270_TMYx.2004-2018.zip</v>
      </c>
    </row>
    <row r="11788" spans="1:10" x14ac:dyDescent="0.25">
      <c r="A11788" t="s">
        <v>8459</v>
      </c>
      <c r="B11788" t="s">
        <v>1970</v>
      </c>
      <c r="C11788" t="s">
        <v>8582</v>
      </c>
      <c r="D11788">
        <v>171270</v>
      </c>
      <c r="E11788" t="s">
        <v>14</v>
      </c>
      <c r="F11788">
        <v>40.079000000000001</v>
      </c>
      <c r="G11788">
        <v>32.566000000000003</v>
      </c>
      <c r="H11788">
        <v>3</v>
      </c>
      <c r="I11788">
        <v>840</v>
      </c>
      <c r="J11788" t="str">
        <f>HYPERLINK("https://climate.onebuilding.org/WMO_Region_6_Europe/TUR_Turkey/AN_Ankara/TUR_AN_Ankara-Akinci.AP-Murted.AF.171270_TMYx.2007-2021.zip")</f>
        <v>https://climate.onebuilding.org/WMO_Region_6_Europe/TUR_Turkey/AN_Ankara/TUR_AN_Ankara-Akinci.AP-Murted.AF.171270_TMYx.2007-2021.zip</v>
      </c>
    </row>
    <row r="11789" spans="1:10" x14ac:dyDescent="0.25">
      <c r="A11789" t="s">
        <v>8459</v>
      </c>
      <c r="B11789" t="s">
        <v>1970</v>
      </c>
      <c r="C11789" t="s">
        <v>8582</v>
      </c>
      <c r="D11789">
        <v>171270</v>
      </c>
      <c r="E11789" t="s">
        <v>14</v>
      </c>
      <c r="F11789">
        <v>40.079000000000001</v>
      </c>
      <c r="G11789">
        <v>32.566000000000003</v>
      </c>
      <c r="H11789">
        <v>3</v>
      </c>
      <c r="I11789">
        <v>840</v>
      </c>
      <c r="J11789" t="str">
        <f>HYPERLINK("https://climate.onebuilding.org/WMO_Region_6_Europe/TUR_Turkey/AN_Ankara/TUR_AN_Ankara-Akinci.AP-Murted.AF.171270_TMYx.2009-2023.zip")</f>
        <v>https://climate.onebuilding.org/WMO_Region_6_Europe/TUR_Turkey/AN_Ankara/TUR_AN_Ankara-Akinci.AP-Murted.AF.171270_TMYx.2009-2023.zip</v>
      </c>
    </row>
    <row r="11790" spans="1:10" x14ac:dyDescent="0.25">
      <c r="A11790" t="s">
        <v>8459</v>
      </c>
      <c r="B11790" t="s">
        <v>1970</v>
      </c>
      <c r="C11790" t="s">
        <v>8582</v>
      </c>
      <c r="D11790">
        <v>171270</v>
      </c>
      <c r="E11790" t="s">
        <v>14</v>
      </c>
      <c r="F11790">
        <v>40.079000000000001</v>
      </c>
      <c r="G11790">
        <v>32.566000000000003</v>
      </c>
      <c r="H11790">
        <v>3</v>
      </c>
      <c r="I11790">
        <v>840</v>
      </c>
      <c r="J11790" t="str">
        <f>HYPERLINK("https://climate.onebuilding.org/WMO_Region_6_Europe/TUR_Turkey/AN_Ankara/TUR_AN_Ankara-Akinci.AP-Murted.AF.171270_TMYx.zip")</f>
        <v>https://climate.onebuilding.org/WMO_Region_6_Europe/TUR_Turkey/AN_Ankara/TUR_AN_Ankara-Akinci.AP-Murted.AF.171270_TMYx.zip</v>
      </c>
    </row>
    <row r="11791" spans="1:10" x14ac:dyDescent="0.25">
      <c r="A11791" t="s">
        <v>8459</v>
      </c>
      <c r="B11791" t="s">
        <v>1970</v>
      </c>
      <c r="C11791" t="s">
        <v>8584</v>
      </c>
      <c r="D11791">
        <v>171280</v>
      </c>
      <c r="E11791" t="s">
        <v>8585</v>
      </c>
      <c r="F11791">
        <v>40.128</v>
      </c>
      <c r="G11791">
        <v>32.994999999999997</v>
      </c>
      <c r="H11791">
        <v>3</v>
      </c>
      <c r="I11791">
        <v>952.5</v>
      </c>
      <c r="J11791" t="str">
        <f>HYPERLINK("https://climate.onebuilding.org/WMO_Region_6_Europe/TUR_Turkey/AN_Ankara/TUR_AN_Ankara-Esenboga.AP.171280_TMYx.2004-2018.zip")</f>
        <v>https://climate.onebuilding.org/WMO_Region_6_Europe/TUR_Turkey/AN_Ankara/TUR_AN_Ankara-Esenboga.AP.171280_TMYx.2004-2018.zip</v>
      </c>
    </row>
    <row r="11792" spans="1:10" x14ac:dyDescent="0.25">
      <c r="A11792" t="s">
        <v>8459</v>
      </c>
      <c r="B11792" t="s">
        <v>1970</v>
      </c>
      <c r="C11792" t="s">
        <v>8584</v>
      </c>
      <c r="D11792">
        <v>171280</v>
      </c>
      <c r="E11792" t="s">
        <v>14</v>
      </c>
      <c r="F11792">
        <v>40.128</v>
      </c>
      <c r="G11792">
        <v>32.994999999999997</v>
      </c>
      <c r="H11792">
        <v>3</v>
      </c>
      <c r="I11792">
        <v>952.5</v>
      </c>
      <c r="J11792" t="str">
        <f>HYPERLINK("https://climate.onebuilding.org/WMO_Region_6_Europe/TUR_Turkey/AN_Ankara/TUR_AN_Ankara-Esenboga.AP.171280_TMYx.2007-2021.zip")</f>
        <v>https://climate.onebuilding.org/WMO_Region_6_Europe/TUR_Turkey/AN_Ankara/TUR_AN_Ankara-Esenboga.AP.171280_TMYx.2007-2021.zip</v>
      </c>
    </row>
    <row r="11793" spans="1:10" x14ac:dyDescent="0.25">
      <c r="A11793" t="s">
        <v>8459</v>
      </c>
      <c r="B11793" t="s">
        <v>1970</v>
      </c>
      <c r="C11793" t="s">
        <v>8584</v>
      </c>
      <c r="D11793">
        <v>171280</v>
      </c>
      <c r="E11793" t="s">
        <v>14</v>
      </c>
      <c r="F11793">
        <v>40.128</v>
      </c>
      <c r="G11793">
        <v>32.994999999999997</v>
      </c>
      <c r="H11793">
        <v>3</v>
      </c>
      <c r="I11793">
        <v>952.5</v>
      </c>
      <c r="J11793" t="str">
        <f>HYPERLINK("https://climate.onebuilding.org/WMO_Region_6_Europe/TUR_Turkey/AN_Ankara/TUR_AN_Ankara-Esenboga.AP.171280_TMYx.2009-2023.zip")</f>
        <v>https://climate.onebuilding.org/WMO_Region_6_Europe/TUR_Turkey/AN_Ankara/TUR_AN_Ankara-Esenboga.AP.171280_TMYx.2009-2023.zip</v>
      </c>
    </row>
    <row r="11794" spans="1:10" x14ac:dyDescent="0.25">
      <c r="A11794" t="s">
        <v>8459</v>
      </c>
      <c r="B11794" t="s">
        <v>1970</v>
      </c>
      <c r="C11794" t="s">
        <v>8584</v>
      </c>
      <c r="D11794">
        <v>171280</v>
      </c>
      <c r="E11794" t="s">
        <v>14</v>
      </c>
      <c r="F11794">
        <v>40.128</v>
      </c>
      <c r="G11794">
        <v>32.994999999999997</v>
      </c>
      <c r="H11794">
        <v>3</v>
      </c>
      <c r="I11794">
        <v>952.5</v>
      </c>
      <c r="J11794" t="str">
        <f>HYPERLINK("https://climate.onebuilding.org/WMO_Region_6_Europe/TUR_Turkey/AN_Ankara/TUR_AN_Ankara-Esenboga.AP.171280_TMYx.zip")</f>
        <v>https://climate.onebuilding.org/WMO_Region_6_Europe/TUR_Turkey/AN_Ankara/TUR_AN_Ankara-Esenboga.AP.171280_TMYx.zip</v>
      </c>
    </row>
    <row r="11795" spans="1:10" x14ac:dyDescent="0.25">
      <c r="A11795" t="s">
        <v>8459</v>
      </c>
      <c r="B11795" t="s">
        <v>1970</v>
      </c>
      <c r="C11795" t="s">
        <v>8586</v>
      </c>
      <c r="D11795">
        <v>171290</v>
      </c>
      <c r="E11795" t="s">
        <v>8587</v>
      </c>
      <c r="F11795">
        <v>39.950000000000003</v>
      </c>
      <c r="G11795">
        <v>32.689</v>
      </c>
      <c r="H11795">
        <v>3</v>
      </c>
      <c r="I11795">
        <v>808.6</v>
      </c>
      <c r="J11795" t="str">
        <f>HYPERLINK("https://climate.onebuilding.org/WMO_Region_6_Europe/TUR_Turkey/AN_Ankara/TUR_AN_Ankara-Etimesgut.AP.171290_TMYx.2004-2018.zip")</f>
        <v>https://climate.onebuilding.org/WMO_Region_6_Europe/TUR_Turkey/AN_Ankara/TUR_AN_Ankara-Etimesgut.AP.171290_TMYx.2004-2018.zip</v>
      </c>
    </row>
    <row r="11796" spans="1:10" x14ac:dyDescent="0.25">
      <c r="A11796" t="s">
        <v>8459</v>
      </c>
      <c r="B11796" t="s">
        <v>1970</v>
      </c>
      <c r="C11796" t="s">
        <v>8586</v>
      </c>
      <c r="D11796">
        <v>171290</v>
      </c>
      <c r="E11796" t="s">
        <v>14</v>
      </c>
      <c r="F11796">
        <v>39.950000000000003</v>
      </c>
      <c r="G11796">
        <v>32.689</v>
      </c>
      <c r="H11796">
        <v>3</v>
      </c>
      <c r="I11796">
        <v>808.6</v>
      </c>
      <c r="J11796" t="str">
        <f>HYPERLINK("https://climate.onebuilding.org/WMO_Region_6_Europe/TUR_Turkey/AN_Ankara/TUR_AN_Ankara-Etimesgut.AP.171290_TMYx.2007-2021.zip")</f>
        <v>https://climate.onebuilding.org/WMO_Region_6_Europe/TUR_Turkey/AN_Ankara/TUR_AN_Ankara-Etimesgut.AP.171290_TMYx.2007-2021.zip</v>
      </c>
    </row>
    <row r="11797" spans="1:10" x14ac:dyDescent="0.25">
      <c r="A11797" t="s">
        <v>8459</v>
      </c>
      <c r="B11797" t="s">
        <v>1970</v>
      </c>
      <c r="C11797" t="s">
        <v>8586</v>
      </c>
      <c r="D11797">
        <v>171290</v>
      </c>
      <c r="E11797" t="s">
        <v>14</v>
      </c>
      <c r="F11797">
        <v>39.950000000000003</v>
      </c>
      <c r="G11797">
        <v>32.689</v>
      </c>
      <c r="H11797">
        <v>3</v>
      </c>
      <c r="I11797">
        <v>808.6</v>
      </c>
      <c r="J11797" t="str">
        <f>HYPERLINK("https://climate.onebuilding.org/WMO_Region_6_Europe/TUR_Turkey/AN_Ankara/TUR_AN_Ankara-Etimesgut.AP.171290_TMYx.2009-2023.zip")</f>
        <v>https://climate.onebuilding.org/WMO_Region_6_Europe/TUR_Turkey/AN_Ankara/TUR_AN_Ankara-Etimesgut.AP.171290_TMYx.2009-2023.zip</v>
      </c>
    </row>
    <row r="11798" spans="1:10" x14ac:dyDescent="0.25">
      <c r="A11798" t="s">
        <v>8459</v>
      </c>
      <c r="B11798" t="s">
        <v>1970</v>
      </c>
      <c r="C11798" t="s">
        <v>8586</v>
      </c>
      <c r="D11798">
        <v>171290</v>
      </c>
      <c r="E11798" t="s">
        <v>14</v>
      </c>
      <c r="F11798">
        <v>39.950000000000003</v>
      </c>
      <c r="G11798">
        <v>32.689</v>
      </c>
      <c r="H11798">
        <v>3</v>
      </c>
      <c r="I11798">
        <v>808.6</v>
      </c>
      <c r="J11798" t="str">
        <f>HYPERLINK("https://climate.onebuilding.org/WMO_Region_6_Europe/TUR_Turkey/AN_Ankara/TUR_AN_Ankara-Etimesgut.AP.171290_TMYx.zip")</f>
        <v>https://climate.onebuilding.org/WMO_Region_6_Europe/TUR_Turkey/AN_Ankara/TUR_AN_Ankara-Etimesgut.AP.171290_TMYx.zip</v>
      </c>
    </row>
    <row r="11799" spans="1:10" x14ac:dyDescent="0.25">
      <c r="A11799" t="s">
        <v>8459</v>
      </c>
      <c r="B11799" t="s">
        <v>1970</v>
      </c>
      <c r="C11799" t="s">
        <v>8588</v>
      </c>
      <c r="D11799">
        <v>171300</v>
      </c>
      <c r="E11799" t="s">
        <v>8589</v>
      </c>
      <c r="F11799">
        <v>39.950000000000003</v>
      </c>
      <c r="G11799">
        <v>32.883000000000003</v>
      </c>
      <c r="H11799">
        <v>3</v>
      </c>
      <c r="I11799">
        <v>891</v>
      </c>
      <c r="J11799" t="str">
        <f>HYPERLINK("https://climate.onebuilding.org/WMO_Region_6_Europe/TUR_Turkey/AN_Ankara/TUR_AN_Ankara.Central.171300_TMYx.2004-2018.zip")</f>
        <v>https://climate.onebuilding.org/WMO_Region_6_Europe/TUR_Turkey/AN_Ankara/TUR_AN_Ankara.Central.171300_TMYx.2004-2018.zip</v>
      </c>
    </row>
    <row r="11800" spans="1:10" x14ac:dyDescent="0.25">
      <c r="A11800" t="s">
        <v>8459</v>
      </c>
      <c r="B11800" t="s">
        <v>1970</v>
      </c>
      <c r="C11800" t="s">
        <v>8588</v>
      </c>
      <c r="D11800">
        <v>171300</v>
      </c>
      <c r="E11800" t="s">
        <v>14</v>
      </c>
      <c r="F11800">
        <v>39.972999999999999</v>
      </c>
      <c r="G11800">
        <v>32.863</v>
      </c>
      <c r="H11800">
        <v>3</v>
      </c>
      <c r="I11800">
        <v>891</v>
      </c>
      <c r="J11800" t="str">
        <f>HYPERLINK("https://climate.onebuilding.org/WMO_Region_6_Europe/TUR_Turkey/AN_Ankara/TUR_AN_Ankara.Central.171300_TMYx.2007-2021.zip")</f>
        <v>https://climate.onebuilding.org/WMO_Region_6_Europe/TUR_Turkey/AN_Ankara/TUR_AN_Ankara.Central.171300_TMYx.2007-2021.zip</v>
      </c>
    </row>
    <row r="11801" spans="1:10" x14ac:dyDescent="0.25">
      <c r="A11801" t="s">
        <v>8459</v>
      </c>
      <c r="B11801" t="s">
        <v>1970</v>
      </c>
      <c r="C11801" t="s">
        <v>8588</v>
      </c>
      <c r="D11801">
        <v>171300</v>
      </c>
      <c r="E11801" t="s">
        <v>14</v>
      </c>
      <c r="F11801">
        <v>39.972999999999999</v>
      </c>
      <c r="G11801">
        <v>32.863</v>
      </c>
      <c r="H11801">
        <v>3</v>
      </c>
      <c r="I11801">
        <v>891</v>
      </c>
      <c r="J11801" t="str">
        <f>HYPERLINK("https://climate.onebuilding.org/WMO_Region_6_Europe/TUR_Turkey/AN_Ankara/TUR_AN_Ankara.Central.171300_TMYx.2009-2023.zip")</f>
        <v>https://climate.onebuilding.org/WMO_Region_6_Europe/TUR_Turkey/AN_Ankara/TUR_AN_Ankara.Central.171300_TMYx.2009-2023.zip</v>
      </c>
    </row>
    <row r="11802" spans="1:10" x14ac:dyDescent="0.25">
      <c r="A11802" t="s">
        <v>8459</v>
      </c>
      <c r="B11802" t="s">
        <v>1970</v>
      </c>
      <c r="C11802" t="s">
        <v>8588</v>
      </c>
      <c r="D11802">
        <v>171300</v>
      </c>
      <c r="E11802" t="s">
        <v>14</v>
      </c>
      <c r="F11802">
        <v>39.972999999999999</v>
      </c>
      <c r="G11802">
        <v>32.863</v>
      </c>
      <c r="H11802">
        <v>3</v>
      </c>
      <c r="I11802">
        <v>891</v>
      </c>
      <c r="J11802" t="str">
        <f>HYPERLINK("https://climate.onebuilding.org/WMO_Region_6_Europe/TUR_Turkey/AN_Ankara/TUR_AN_Ankara.Central.171300_TMYx.zip")</f>
        <v>https://climate.onebuilding.org/WMO_Region_6_Europe/TUR_Turkey/AN_Ankara/TUR_AN_Ankara.Central.171300_TMYx.zip</v>
      </c>
    </row>
    <row r="11803" spans="1:10" x14ac:dyDescent="0.25">
      <c r="A11803" t="s">
        <v>8459</v>
      </c>
      <c r="B11803" t="s">
        <v>1970</v>
      </c>
      <c r="C11803" t="s">
        <v>8590</v>
      </c>
      <c r="D11803">
        <v>171310</v>
      </c>
      <c r="E11803" t="s">
        <v>8591</v>
      </c>
      <c r="F11803">
        <v>39.933</v>
      </c>
      <c r="G11803">
        <v>32.75</v>
      </c>
      <c r="H11803">
        <v>3</v>
      </c>
      <c r="I11803">
        <v>823</v>
      </c>
      <c r="J11803" t="str">
        <f>HYPERLINK("https://climate.onebuilding.org/WMO_Region_6_Europe/TUR_Turkey/AN_Ankara/TUR_AN_Ankara-Guvercinlik.AP.171310_TMYx.2004-2018.zip")</f>
        <v>https://climate.onebuilding.org/WMO_Region_6_Europe/TUR_Turkey/AN_Ankara/TUR_AN_Ankara-Guvercinlik.AP.171310_TMYx.2004-2018.zip</v>
      </c>
    </row>
    <row r="11804" spans="1:10" x14ac:dyDescent="0.25">
      <c r="A11804" t="s">
        <v>8459</v>
      </c>
      <c r="B11804" t="s">
        <v>1970</v>
      </c>
      <c r="C11804" t="s">
        <v>8590</v>
      </c>
      <c r="D11804">
        <v>171310</v>
      </c>
      <c r="E11804" t="s">
        <v>14</v>
      </c>
      <c r="F11804">
        <v>39.935000000000002</v>
      </c>
      <c r="G11804">
        <v>32.741</v>
      </c>
      <c r="H11804">
        <v>3</v>
      </c>
      <c r="I11804">
        <v>823</v>
      </c>
      <c r="J11804" t="str">
        <f>HYPERLINK("https://climate.onebuilding.org/WMO_Region_6_Europe/TUR_Turkey/AN_Ankara/TUR_AN_Ankara-Guvercinlik.AP.171310_TMYx.2007-2021.zip")</f>
        <v>https://climate.onebuilding.org/WMO_Region_6_Europe/TUR_Turkey/AN_Ankara/TUR_AN_Ankara-Guvercinlik.AP.171310_TMYx.2007-2021.zip</v>
      </c>
    </row>
    <row r="11805" spans="1:10" x14ac:dyDescent="0.25">
      <c r="A11805" t="s">
        <v>8459</v>
      </c>
      <c r="B11805" t="s">
        <v>1970</v>
      </c>
      <c r="C11805" t="s">
        <v>8590</v>
      </c>
      <c r="D11805">
        <v>171310</v>
      </c>
      <c r="E11805" t="s">
        <v>14</v>
      </c>
      <c r="F11805">
        <v>39.935000000000002</v>
      </c>
      <c r="G11805">
        <v>32.741</v>
      </c>
      <c r="H11805">
        <v>3</v>
      </c>
      <c r="I11805">
        <v>823</v>
      </c>
      <c r="J11805" t="str">
        <f>HYPERLINK("https://climate.onebuilding.org/WMO_Region_6_Europe/TUR_Turkey/AN_Ankara/TUR_AN_Ankara-Guvercinlik.AP.171310_TMYx.2009-2023.zip")</f>
        <v>https://climate.onebuilding.org/WMO_Region_6_Europe/TUR_Turkey/AN_Ankara/TUR_AN_Ankara-Guvercinlik.AP.171310_TMYx.2009-2023.zip</v>
      </c>
    </row>
    <row r="11806" spans="1:10" x14ac:dyDescent="0.25">
      <c r="A11806" t="s">
        <v>8459</v>
      </c>
      <c r="B11806" t="s">
        <v>1970</v>
      </c>
      <c r="C11806" t="s">
        <v>8590</v>
      </c>
      <c r="D11806">
        <v>171310</v>
      </c>
      <c r="E11806" t="s">
        <v>14</v>
      </c>
      <c r="F11806">
        <v>39.935000000000002</v>
      </c>
      <c r="G11806">
        <v>32.741</v>
      </c>
      <c r="H11806">
        <v>3</v>
      </c>
      <c r="I11806">
        <v>823</v>
      </c>
      <c r="J11806" t="str">
        <f>HYPERLINK("https://climate.onebuilding.org/WMO_Region_6_Europe/TUR_Turkey/AN_Ankara/TUR_AN_Ankara-Guvercinlik.AP.171310_TMYx.zip")</f>
        <v>https://climate.onebuilding.org/WMO_Region_6_Europe/TUR_Turkey/AN_Ankara/TUR_AN_Ankara-Guvercinlik.AP.171310_TMYx.zip</v>
      </c>
    </row>
    <row r="11807" spans="1:10" x14ac:dyDescent="0.25">
      <c r="A11807" t="s">
        <v>8459</v>
      </c>
      <c r="B11807" t="s">
        <v>26</v>
      </c>
      <c r="C11807" t="s">
        <v>8592</v>
      </c>
      <c r="D11807">
        <v>171350</v>
      </c>
      <c r="E11807" t="s">
        <v>8593</v>
      </c>
      <c r="F11807">
        <v>39.85</v>
      </c>
      <c r="G11807">
        <v>33.517000000000003</v>
      </c>
      <c r="H11807">
        <v>3</v>
      </c>
      <c r="I11807">
        <v>748</v>
      </c>
      <c r="J11807" t="str">
        <f>HYPERLINK("https://climate.onebuilding.org/WMO_Region_6_Europe/TUR_Turkey/KK_Kirikkale/TUR_KK_Kirikkale.171350_TMYx.2004-2018.zip")</f>
        <v>https://climate.onebuilding.org/WMO_Region_6_Europe/TUR_Turkey/KK_Kirikkale/TUR_KK_Kirikkale.171350_TMYx.2004-2018.zip</v>
      </c>
    </row>
    <row r="11808" spans="1:10" x14ac:dyDescent="0.25">
      <c r="A11808" t="s">
        <v>8459</v>
      </c>
      <c r="B11808" t="s">
        <v>26</v>
      </c>
      <c r="C11808" t="s">
        <v>8592</v>
      </c>
      <c r="D11808">
        <v>171350</v>
      </c>
      <c r="E11808" t="s">
        <v>14</v>
      </c>
      <c r="F11808">
        <v>39.843299999999999</v>
      </c>
      <c r="G11808">
        <v>33.518099999999997</v>
      </c>
      <c r="H11808">
        <v>3</v>
      </c>
      <c r="I11808">
        <v>748</v>
      </c>
      <c r="J11808" t="str">
        <f>HYPERLINK("https://climate.onebuilding.org/WMO_Region_6_Europe/TUR_Turkey/KK_Kirikkale/TUR_KK_Kirikkale.171350_TMYx.2007-2021.zip")</f>
        <v>https://climate.onebuilding.org/WMO_Region_6_Europe/TUR_Turkey/KK_Kirikkale/TUR_KK_Kirikkale.171350_TMYx.2007-2021.zip</v>
      </c>
    </row>
    <row r="11809" spans="1:10" x14ac:dyDescent="0.25">
      <c r="A11809" t="s">
        <v>8459</v>
      </c>
      <c r="B11809" t="s">
        <v>26</v>
      </c>
      <c r="C11809" t="s">
        <v>8592</v>
      </c>
      <c r="D11809">
        <v>171350</v>
      </c>
      <c r="E11809" t="s">
        <v>14</v>
      </c>
      <c r="F11809">
        <v>39.843299999999999</v>
      </c>
      <c r="G11809">
        <v>33.518099999999997</v>
      </c>
      <c r="H11809">
        <v>3</v>
      </c>
      <c r="I11809">
        <v>748</v>
      </c>
      <c r="J11809" t="str">
        <f>HYPERLINK("https://climate.onebuilding.org/WMO_Region_6_Europe/TUR_Turkey/KK_Kirikkale/TUR_KK_Kirikkale.171350_TMYx.2009-2023.zip")</f>
        <v>https://climate.onebuilding.org/WMO_Region_6_Europe/TUR_Turkey/KK_Kirikkale/TUR_KK_Kirikkale.171350_TMYx.2009-2023.zip</v>
      </c>
    </row>
    <row r="11810" spans="1:10" x14ac:dyDescent="0.25">
      <c r="A11810" t="s">
        <v>8459</v>
      </c>
      <c r="B11810" t="s">
        <v>26</v>
      </c>
      <c r="C11810" t="s">
        <v>8592</v>
      </c>
      <c r="D11810">
        <v>171350</v>
      </c>
      <c r="E11810" t="s">
        <v>14</v>
      </c>
      <c r="F11810">
        <v>39.843299999999999</v>
      </c>
      <c r="G11810">
        <v>33.518099999999997</v>
      </c>
      <c r="H11810">
        <v>3</v>
      </c>
      <c r="I11810">
        <v>748</v>
      </c>
      <c r="J11810" t="str">
        <f>HYPERLINK("https://climate.onebuilding.org/WMO_Region_6_Europe/TUR_Turkey/KK_Kirikkale/TUR_KK_Kirikkale.171350_TMYx.zip")</f>
        <v>https://climate.onebuilding.org/WMO_Region_6_Europe/TUR_Turkey/KK_Kirikkale/TUR_KK_Kirikkale.171350_TMYx.zip</v>
      </c>
    </row>
    <row r="11811" spans="1:10" x14ac:dyDescent="0.25">
      <c r="A11811" t="s">
        <v>8459</v>
      </c>
      <c r="B11811" t="s">
        <v>8594</v>
      </c>
      <c r="C11811" t="s">
        <v>8595</v>
      </c>
      <c r="D11811">
        <v>171400</v>
      </c>
      <c r="E11811" t="s">
        <v>8596</v>
      </c>
      <c r="F11811">
        <v>39.817</v>
      </c>
      <c r="G11811">
        <v>34.799999999999997</v>
      </c>
      <c r="H11811">
        <v>3</v>
      </c>
      <c r="I11811">
        <v>1298</v>
      </c>
      <c r="J11811" t="str">
        <f>HYPERLINK("https://climate.onebuilding.org/WMO_Region_6_Europe/TUR_Turkey/YZ_Yozgat/TUR_YZ_Yozgat.171400_TMYx.2004-2018.zip")</f>
        <v>https://climate.onebuilding.org/WMO_Region_6_Europe/TUR_Turkey/YZ_Yozgat/TUR_YZ_Yozgat.171400_TMYx.2004-2018.zip</v>
      </c>
    </row>
    <row r="11812" spans="1:10" x14ac:dyDescent="0.25">
      <c r="A11812" t="s">
        <v>8459</v>
      </c>
      <c r="B11812" t="s">
        <v>8594</v>
      </c>
      <c r="C11812" t="s">
        <v>8595</v>
      </c>
      <c r="D11812">
        <v>171400</v>
      </c>
      <c r="E11812" t="s">
        <v>14</v>
      </c>
      <c r="F11812">
        <v>39.817</v>
      </c>
      <c r="G11812">
        <v>34.799999999999997</v>
      </c>
      <c r="H11812">
        <v>3</v>
      </c>
      <c r="I11812">
        <v>1298</v>
      </c>
      <c r="J11812" t="str">
        <f>HYPERLINK("https://climate.onebuilding.org/WMO_Region_6_Europe/TUR_Turkey/YZ_Yozgat/TUR_YZ_Yozgat.171400_TMYx.2007-2021.zip")</f>
        <v>https://climate.onebuilding.org/WMO_Region_6_Europe/TUR_Turkey/YZ_Yozgat/TUR_YZ_Yozgat.171400_TMYx.2007-2021.zip</v>
      </c>
    </row>
    <row r="11813" spans="1:10" x14ac:dyDescent="0.25">
      <c r="A11813" t="s">
        <v>8459</v>
      </c>
      <c r="B11813" t="s">
        <v>8594</v>
      </c>
      <c r="C11813" t="s">
        <v>8595</v>
      </c>
      <c r="D11813">
        <v>171400</v>
      </c>
      <c r="E11813" t="s">
        <v>14</v>
      </c>
      <c r="F11813">
        <v>39.817</v>
      </c>
      <c r="G11813">
        <v>34.799999999999997</v>
      </c>
      <c r="H11813">
        <v>3</v>
      </c>
      <c r="I11813">
        <v>1298</v>
      </c>
      <c r="J11813" t="str">
        <f>HYPERLINK("https://climate.onebuilding.org/WMO_Region_6_Europe/TUR_Turkey/YZ_Yozgat/TUR_YZ_Yozgat.171400_TMYx.2009-2023.zip")</f>
        <v>https://climate.onebuilding.org/WMO_Region_6_Europe/TUR_Turkey/YZ_Yozgat/TUR_YZ_Yozgat.171400_TMYx.2009-2023.zip</v>
      </c>
    </row>
    <row r="11814" spans="1:10" x14ac:dyDescent="0.25">
      <c r="A11814" t="s">
        <v>8459</v>
      </c>
      <c r="B11814" t="s">
        <v>8594</v>
      </c>
      <c r="C11814" t="s">
        <v>8595</v>
      </c>
      <c r="D11814">
        <v>171400</v>
      </c>
      <c r="E11814" t="s">
        <v>14</v>
      </c>
      <c r="F11814">
        <v>39.817</v>
      </c>
      <c r="G11814">
        <v>34.799999999999997</v>
      </c>
      <c r="H11814">
        <v>3</v>
      </c>
      <c r="I11814">
        <v>1298</v>
      </c>
      <c r="J11814" t="str">
        <f>HYPERLINK("https://climate.onebuilding.org/WMO_Region_6_Europe/TUR_Turkey/YZ_Yozgat/TUR_YZ_Yozgat.171400_TMYx.zip")</f>
        <v>https://climate.onebuilding.org/WMO_Region_6_Europe/TUR_Turkey/YZ_Yozgat/TUR_YZ_Yozgat.171400_TMYx.zip</v>
      </c>
    </row>
    <row r="11815" spans="1:10" x14ac:dyDescent="0.25">
      <c r="A11815" t="s">
        <v>8459</v>
      </c>
      <c r="B11815" t="s">
        <v>233</v>
      </c>
      <c r="C11815" t="s">
        <v>8597</v>
      </c>
      <c r="D11815">
        <v>171450</v>
      </c>
      <c r="E11815" t="s">
        <v>8598</v>
      </c>
      <c r="F11815">
        <v>39.582999999999998</v>
      </c>
      <c r="G11815">
        <v>27.016999999999999</v>
      </c>
      <c r="H11815">
        <v>3</v>
      </c>
      <c r="I11815">
        <v>21</v>
      </c>
      <c r="J11815" t="str">
        <f>HYPERLINK("https://climate.onebuilding.org/WMO_Region_6_Europe/TUR_Turkey/BU_Bursa/TUR_BU_Balikesir-Edremit.Korfez.AP-Balikesir.Koca.Seyit.AP.171450_TMYx.2004-2018.zip")</f>
        <v>https://climate.onebuilding.org/WMO_Region_6_Europe/TUR_Turkey/BU_Bursa/TUR_BU_Balikesir-Edremit.Korfez.AP-Balikesir.Koca.Seyit.AP.171450_TMYx.2004-2018.zip</v>
      </c>
    </row>
    <row r="11816" spans="1:10" x14ac:dyDescent="0.25">
      <c r="A11816" t="s">
        <v>8459</v>
      </c>
      <c r="B11816" t="s">
        <v>233</v>
      </c>
      <c r="C11816" t="s">
        <v>8597</v>
      </c>
      <c r="D11816">
        <v>171450</v>
      </c>
      <c r="E11816" t="s">
        <v>14</v>
      </c>
      <c r="F11816">
        <v>39.55444</v>
      </c>
      <c r="G11816">
        <v>27.01361</v>
      </c>
      <c r="H11816">
        <v>3</v>
      </c>
      <c r="I11816">
        <v>11</v>
      </c>
      <c r="J11816" t="str">
        <f>HYPERLINK("https://climate.onebuilding.org/WMO_Region_6_Europe/TUR_Turkey/BU_Bursa/TUR_BU_Balikesir-Edremit.Korfez.AP-Balikesir.Koca.Seyit.AP.171450_TMYx.2007-2021.zip")</f>
        <v>https://climate.onebuilding.org/WMO_Region_6_Europe/TUR_Turkey/BU_Bursa/TUR_BU_Balikesir-Edremit.Korfez.AP-Balikesir.Koca.Seyit.AP.171450_TMYx.2007-2021.zip</v>
      </c>
    </row>
    <row r="11817" spans="1:10" x14ac:dyDescent="0.25">
      <c r="A11817" t="s">
        <v>8459</v>
      </c>
      <c r="B11817" t="s">
        <v>233</v>
      </c>
      <c r="C11817" t="s">
        <v>8597</v>
      </c>
      <c r="D11817">
        <v>171450</v>
      </c>
      <c r="E11817" t="s">
        <v>14</v>
      </c>
      <c r="F11817">
        <v>39.55444</v>
      </c>
      <c r="G11817">
        <v>27.01361</v>
      </c>
      <c r="H11817">
        <v>3</v>
      </c>
      <c r="I11817">
        <v>11</v>
      </c>
      <c r="J11817" t="str">
        <f>HYPERLINK("https://climate.onebuilding.org/WMO_Region_6_Europe/TUR_Turkey/BU_Bursa/TUR_BU_Balikesir-Edremit.Korfez.AP-Balikesir.Koca.Seyit.AP.171450_TMYx.2009-2023.zip")</f>
        <v>https://climate.onebuilding.org/WMO_Region_6_Europe/TUR_Turkey/BU_Bursa/TUR_BU_Balikesir-Edremit.Korfez.AP-Balikesir.Koca.Seyit.AP.171450_TMYx.2009-2023.zip</v>
      </c>
    </row>
    <row r="11818" spans="1:10" x14ac:dyDescent="0.25">
      <c r="A11818" t="s">
        <v>8459</v>
      </c>
      <c r="B11818" t="s">
        <v>233</v>
      </c>
      <c r="C11818" t="s">
        <v>8597</v>
      </c>
      <c r="D11818">
        <v>171450</v>
      </c>
      <c r="E11818" t="s">
        <v>14</v>
      </c>
      <c r="F11818">
        <v>39.55444</v>
      </c>
      <c r="G11818">
        <v>27.01361</v>
      </c>
      <c r="H11818">
        <v>3</v>
      </c>
      <c r="I11818">
        <v>11</v>
      </c>
      <c r="J11818" t="str">
        <f>HYPERLINK("https://climate.onebuilding.org/WMO_Region_6_Europe/TUR_Turkey/BU_Bursa/TUR_BU_Balikesir-Edremit.Korfez.AP-Balikesir.Koca.Seyit.AP.171450_TMYx.zip")</f>
        <v>https://climate.onebuilding.org/WMO_Region_6_Europe/TUR_Turkey/BU_Bursa/TUR_BU_Balikesir-Edremit.Korfez.AP-Balikesir.Koca.Seyit.AP.171450_TMYx.zip</v>
      </c>
    </row>
    <row r="11819" spans="1:10" x14ac:dyDescent="0.25">
      <c r="A11819" t="s">
        <v>8459</v>
      </c>
      <c r="B11819" t="s">
        <v>1272</v>
      </c>
      <c r="C11819" t="s">
        <v>8599</v>
      </c>
      <c r="D11819">
        <v>171500</v>
      </c>
      <c r="E11819" t="s">
        <v>8600</v>
      </c>
      <c r="F11819">
        <v>39.619</v>
      </c>
      <c r="G11819">
        <v>27.925999999999998</v>
      </c>
      <c r="H11819">
        <v>3</v>
      </c>
      <c r="I11819">
        <v>103.6</v>
      </c>
      <c r="J11819" t="str">
        <f>HYPERLINK("https://climate.onebuilding.org/WMO_Region_6_Europe/TUR_Turkey/BK_Balikesir/TUR_BK_Balikesir-Merkez.Havalimani.AP.171500_TMYx.2004-2018.zip")</f>
        <v>https://climate.onebuilding.org/WMO_Region_6_Europe/TUR_Turkey/BK_Balikesir/TUR_BK_Balikesir-Merkez.Havalimani.AP.171500_TMYx.2004-2018.zip</v>
      </c>
    </row>
    <row r="11820" spans="1:10" x14ac:dyDescent="0.25">
      <c r="A11820" t="s">
        <v>8459</v>
      </c>
      <c r="B11820" t="s">
        <v>1272</v>
      </c>
      <c r="C11820" t="s">
        <v>8599</v>
      </c>
      <c r="D11820">
        <v>171500</v>
      </c>
      <c r="E11820" t="s">
        <v>14</v>
      </c>
      <c r="F11820">
        <v>39.616999999999997</v>
      </c>
      <c r="G11820">
        <v>27.917000000000002</v>
      </c>
      <c r="H11820">
        <v>3</v>
      </c>
      <c r="I11820">
        <v>103.6</v>
      </c>
      <c r="J11820" t="str">
        <f>HYPERLINK("https://climate.onebuilding.org/WMO_Region_6_Europe/TUR_Turkey/BK_Balikesir/TUR_BK_Balikesir-Merkez.Havalimani.AP.171500_TMYx.2007-2021.zip")</f>
        <v>https://climate.onebuilding.org/WMO_Region_6_Europe/TUR_Turkey/BK_Balikesir/TUR_BK_Balikesir-Merkez.Havalimani.AP.171500_TMYx.2007-2021.zip</v>
      </c>
    </row>
    <row r="11821" spans="1:10" x14ac:dyDescent="0.25">
      <c r="A11821" t="s">
        <v>8459</v>
      </c>
      <c r="B11821" t="s">
        <v>1272</v>
      </c>
      <c r="C11821" t="s">
        <v>8599</v>
      </c>
      <c r="D11821">
        <v>171500</v>
      </c>
      <c r="E11821" t="s">
        <v>14</v>
      </c>
      <c r="F11821">
        <v>39.616999999999997</v>
      </c>
      <c r="G11821">
        <v>27.917000000000002</v>
      </c>
      <c r="H11821">
        <v>3</v>
      </c>
      <c r="I11821">
        <v>103.6</v>
      </c>
      <c r="J11821" t="str">
        <f>HYPERLINK("https://climate.onebuilding.org/WMO_Region_6_Europe/TUR_Turkey/BK_Balikesir/TUR_BK_Balikesir-Merkez.Havalimani.AP.171500_TMYx.2009-2023.zip")</f>
        <v>https://climate.onebuilding.org/WMO_Region_6_Europe/TUR_Turkey/BK_Balikesir/TUR_BK_Balikesir-Merkez.Havalimani.AP.171500_TMYx.2009-2023.zip</v>
      </c>
    </row>
    <row r="11822" spans="1:10" x14ac:dyDescent="0.25">
      <c r="A11822" t="s">
        <v>8459</v>
      </c>
      <c r="B11822" t="s">
        <v>1272</v>
      </c>
      <c r="C11822" t="s">
        <v>8599</v>
      </c>
      <c r="D11822">
        <v>171500</v>
      </c>
      <c r="E11822" t="s">
        <v>14</v>
      </c>
      <c r="F11822">
        <v>39.616999999999997</v>
      </c>
      <c r="G11822">
        <v>27.917000000000002</v>
      </c>
      <c r="H11822">
        <v>3</v>
      </c>
      <c r="I11822">
        <v>103.6</v>
      </c>
      <c r="J11822" t="str">
        <f>HYPERLINK("https://climate.onebuilding.org/WMO_Region_6_Europe/TUR_Turkey/BK_Balikesir/TUR_BK_Balikesir-Merkez.Havalimani.AP.171500_TMYx.zip")</f>
        <v>https://climate.onebuilding.org/WMO_Region_6_Europe/TUR_Turkey/BK_Balikesir/TUR_BK_Balikesir-Merkez.Havalimani.AP.171500_TMYx.zip</v>
      </c>
    </row>
    <row r="11823" spans="1:10" x14ac:dyDescent="0.25">
      <c r="A11823" t="s">
        <v>8459</v>
      </c>
      <c r="B11823" t="s">
        <v>4827</v>
      </c>
      <c r="C11823" t="s">
        <v>8601</v>
      </c>
      <c r="D11823">
        <v>171550</v>
      </c>
      <c r="E11823" t="s">
        <v>8602</v>
      </c>
      <c r="F11823">
        <v>39.417000000000002</v>
      </c>
      <c r="G11823">
        <v>29.966999999999999</v>
      </c>
      <c r="H11823">
        <v>3</v>
      </c>
      <c r="I11823">
        <v>969</v>
      </c>
      <c r="J11823" t="str">
        <f>HYPERLINK("https://climate.onebuilding.org/WMO_Region_6_Europe/TUR_Turkey/KU_Kutahya/TUR_KU_Kutahya.171550_TMYx.2004-2018.zip")</f>
        <v>https://climate.onebuilding.org/WMO_Region_6_Europe/TUR_Turkey/KU_Kutahya/TUR_KU_Kutahya.171550_TMYx.2004-2018.zip</v>
      </c>
    </row>
    <row r="11824" spans="1:10" x14ac:dyDescent="0.25">
      <c r="A11824" t="s">
        <v>8459</v>
      </c>
      <c r="B11824" t="s">
        <v>4827</v>
      </c>
      <c r="C11824" t="s">
        <v>8601</v>
      </c>
      <c r="D11824">
        <v>171550</v>
      </c>
      <c r="E11824" t="s">
        <v>14</v>
      </c>
      <c r="F11824">
        <v>39.417000000000002</v>
      </c>
      <c r="G11824">
        <v>29.966999999999999</v>
      </c>
      <c r="H11824">
        <v>3</v>
      </c>
      <c r="I11824">
        <v>969</v>
      </c>
      <c r="J11824" t="str">
        <f>HYPERLINK("https://climate.onebuilding.org/WMO_Region_6_Europe/TUR_Turkey/KU_Kutahya/TUR_KU_Kutahya.171550_TMYx.2007-2021.zip")</f>
        <v>https://climate.onebuilding.org/WMO_Region_6_Europe/TUR_Turkey/KU_Kutahya/TUR_KU_Kutahya.171550_TMYx.2007-2021.zip</v>
      </c>
    </row>
    <row r="11825" spans="1:10" x14ac:dyDescent="0.25">
      <c r="A11825" t="s">
        <v>8459</v>
      </c>
      <c r="B11825" t="s">
        <v>4827</v>
      </c>
      <c r="C11825" t="s">
        <v>8601</v>
      </c>
      <c r="D11825">
        <v>171550</v>
      </c>
      <c r="E11825" t="s">
        <v>14</v>
      </c>
      <c r="F11825">
        <v>39.417000000000002</v>
      </c>
      <c r="G11825">
        <v>29.966999999999999</v>
      </c>
      <c r="H11825">
        <v>3</v>
      </c>
      <c r="I11825">
        <v>969</v>
      </c>
      <c r="J11825" t="str">
        <f>HYPERLINK("https://climate.onebuilding.org/WMO_Region_6_Europe/TUR_Turkey/KU_Kutahya/TUR_KU_Kutahya.171550_TMYx.2009-2023.zip")</f>
        <v>https://climate.onebuilding.org/WMO_Region_6_Europe/TUR_Turkey/KU_Kutahya/TUR_KU_Kutahya.171550_TMYx.2009-2023.zip</v>
      </c>
    </row>
    <row r="11826" spans="1:10" x14ac:dyDescent="0.25">
      <c r="A11826" t="s">
        <v>8459</v>
      </c>
      <c r="B11826" t="s">
        <v>4827</v>
      </c>
      <c r="C11826" t="s">
        <v>8601</v>
      </c>
      <c r="D11826">
        <v>171550</v>
      </c>
      <c r="E11826" t="s">
        <v>14</v>
      </c>
      <c r="F11826">
        <v>39.417000000000002</v>
      </c>
      <c r="G11826">
        <v>29.966999999999999</v>
      </c>
      <c r="H11826">
        <v>3</v>
      </c>
      <c r="I11826">
        <v>969</v>
      </c>
      <c r="J11826" t="str">
        <f>HYPERLINK("https://climate.onebuilding.org/WMO_Region_6_Europe/TUR_Turkey/KU_Kutahya/TUR_KU_Kutahya.171550_TMYx.zip")</f>
        <v>https://climate.onebuilding.org/WMO_Region_6_Europe/TUR_Turkey/KU_Kutahya/TUR_KU_Kutahya.171550_TMYx.zip</v>
      </c>
    </row>
    <row r="11827" spans="1:10" x14ac:dyDescent="0.25">
      <c r="A11827" t="s">
        <v>8459</v>
      </c>
      <c r="B11827" t="s">
        <v>2321</v>
      </c>
      <c r="C11827" t="s">
        <v>8603</v>
      </c>
      <c r="D11827">
        <v>171600</v>
      </c>
      <c r="E11827" t="s">
        <v>8604</v>
      </c>
      <c r="F11827">
        <v>39.15</v>
      </c>
      <c r="G11827">
        <v>34.167000000000002</v>
      </c>
      <c r="H11827">
        <v>3</v>
      </c>
      <c r="I11827">
        <v>1007</v>
      </c>
      <c r="J11827" t="str">
        <f>HYPERLINK("https://climate.onebuilding.org/WMO_Region_6_Europe/TUR_Turkey/KH_Kirsehir/TUR_KH_Kirsehir.171600_TMYx.2004-2018.zip")</f>
        <v>https://climate.onebuilding.org/WMO_Region_6_Europe/TUR_Turkey/KH_Kirsehir/TUR_KH_Kirsehir.171600_TMYx.2004-2018.zip</v>
      </c>
    </row>
    <row r="11828" spans="1:10" x14ac:dyDescent="0.25">
      <c r="A11828" t="s">
        <v>8459</v>
      </c>
      <c r="B11828" t="s">
        <v>2321</v>
      </c>
      <c r="C11828" t="s">
        <v>8603</v>
      </c>
      <c r="D11828">
        <v>171600</v>
      </c>
      <c r="E11828" t="s">
        <v>14</v>
      </c>
      <c r="F11828">
        <v>39.164400000000001</v>
      </c>
      <c r="G11828">
        <v>34.155799999999999</v>
      </c>
      <c r="H11828">
        <v>3</v>
      </c>
      <c r="I11828">
        <v>1007</v>
      </c>
      <c r="J11828" t="str">
        <f>HYPERLINK("https://climate.onebuilding.org/WMO_Region_6_Europe/TUR_Turkey/KH_Kirsehir/TUR_KH_Kirsehir.171600_TMYx.2007-2021.zip")</f>
        <v>https://climate.onebuilding.org/WMO_Region_6_Europe/TUR_Turkey/KH_Kirsehir/TUR_KH_Kirsehir.171600_TMYx.2007-2021.zip</v>
      </c>
    </row>
    <row r="11829" spans="1:10" x14ac:dyDescent="0.25">
      <c r="A11829" t="s">
        <v>8459</v>
      </c>
      <c r="B11829" t="s">
        <v>2321</v>
      </c>
      <c r="C11829" t="s">
        <v>8603</v>
      </c>
      <c r="D11829">
        <v>171600</v>
      </c>
      <c r="E11829" t="s">
        <v>14</v>
      </c>
      <c r="F11829">
        <v>39.164400000000001</v>
      </c>
      <c r="G11829">
        <v>34.155799999999999</v>
      </c>
      <c r="H11829">
        <v>3</v>
      </c>
      <c r="I11829">
        <v>1007</v>
      </c>
      <c r="J11829" t="str">
        <f>HYPERLINK("https://climate.onebuilding.org/WMO_Region_6_Europe/TUR_Turkey/KH_Kirsehir/TUR_KH_Kirsehir.171600_TMYx.2009-2023.zip")</f>
        <v>https://climate.onebuilding.org/WMO_Region_6_Europe/TUR_Turkey/KH_Kirsehir/TUR_KH_Kirsehir.171600_TMYx.2009-2023.zip</v>
      </c>
    </row>
    <row r="11830" spans="1:10" x14ac:dyDescent="0.25">
      <c r="A11830" t="s">
        <v>8459</v>
      </c>
      <c r="B11830" t="s">
        <v>2321</v>
      </c>
      <c r="C11830" t="s">
        <v>8603</v>
      </c>
      <c r="D11830">
        <v>171600</v>
      </c>
      <c r="E11830" t="s">
        <v>14</v>
      </c>
      <c r="F11830">
        <v>39.164400000000001</v>
      </c>
      <c r="G11830">
        <v>34.155799999999999</v>
      </c>
      <c r="H11830">
        <v>3</v>
      </c>
      <c r="I11830">
        <v>1007</v>
      </c>
      <c r="J11830" t="str">
        <f>HYPERLINK("https://climate.onebuilding.org/WMO_Region_6_Europe/TUR_Turkey/KH_Kirsehir/TUR_KH_Kirsehir.171600_TMYx.zip")</f>
        <v>https://climate.onebuilding.org/WMO_Region_6_Europe/TUR_Turkey/KH_Kirsehir/TUR_KH_Kirsehir.171600_TMYx.zip</v>
      </c>
    </row>
    <row r="11831" spans="1:10" x14ac:dyDescent="0.25">
      <c r="A11831" t="s">
        <v>8459</v>
      </c>
      <c r="B11831" t="s">
        <v>5733</v>
      </c>
      <c r="C11831" t="s">
        <v>8605</v>
      </c>
      <c r="D11831">
        <v>171620</v>
      </c>
      <c r="E11831" t="s">
        <v>14</v>
      </c>
      <c r="F11831">
        <v>39.183</v>
      </c>
      <c r="G11831">
        <v>36.067</v>
      </c>
      <c r="H11831">
        <v>3</v>
      </c>
      <c r="I11831">
        <v>1171</v>
      </c>
      <c r="J11831" t="str">
        <f>HYPERLINK("https://climate.onebuilding.org/WMO_Region_6_Europe/TUR_Turkey/SV_Sivas/TUR_SV_Gemerek.171620_TMYx.2007-2021.zip")</f>
        <v>https://climate.onebuilding.org/WMO_Region_6_Europe/TUR_Turkey/SV_Sivas/TUR_SV_Gemerek.171620_TMYx.2007-2021.zip</v>
      </c>
    </row>
    <row r="11832" spans="1:10" x14ac:dyDescent="0.25">
      <c r="A11832" t="s">
        <v>8459</v>
      </c>
      <c r="B11832" t="s">
        <v>5733</v>
      </c>
      <c r="C11832" t="s">
        <v>8605</v>
      </c>
      <c r="D11832">
        <v>171620</v>
      </c>
      <c r="E11832" t="s">
        <v>14</v>
      </c>
      <c r="F11832">
        <v>39.183</v>
      </c>
      <c r="G11832">
        <v>36.067</v>
      </c>
      <c r="H11832">
        <v>3</v>
      </c>
      <c r="I11832">
        <v>1171</v>
      </c>
      <c r="J11832" t="str">
        <f>HYPERLINK("https://climate.onebuilding.org/WMO_Region_6_Europe/TUR_Turkey/SV_Sivas/TUR_SV_Gemerek.171620_TMYx.2009-2023.zip")</f>
        <v>https://climate.onebuilding.org/WMO_Region_6_Europe/TUR_Turkey/SV_Sivas/TUR_SV_Gemerek.171620_TMYx.2009-2023.zip</v>
      </c>
    </row>
    <row r="11833" spans="1:10" x14ac:dyDescent="0.25">
      <c r="A11833" t="s">
        <v>8459</v>
      </c>
      <c r="B11833" t="s">
        <v>5733</v>
      </c>
      <c r="C11833" t="s">
        <v>8605</v>
      </c>
      <c r="D11833">
        <v>171620</v>
      </c>
      <c r="E11833" t="s">
        <v>14</v>
      </c>
      <c r="F11833">
        <v>39.183</v>
      </c>
      <c r="G11833">
        <v>36.067</v>
      </c>
      <c r="H11833">
        <v>3</v>
      </c>
      <c r="I11833">
        <v>1171</v>
      </c>
      <c r="J11833" t="str">
        <f>HYPERLINK("https://climate.onebuilding.org/WMO_Region_6_Europe/TUR_Turkey/SV_Sivas/TUR_SV_Gemerek.171620_TMYx.zip")</f>
        <v>https://climate.onebuilding.org/WMO_Region_6_Europe/TUR_Turkey/SV_Sivas/TUR_SV_Gemerek.171620_TMYx.zip</v>
      </c>
    </row>
    <row r="11834" spans="1:10" x14ac:dyDescent="0.25">
      <c r="A11834" t="s">
        <v>8459</v>
      </c>
      <c r="B11834" t="s">
        <v>4683</v>
      </c>
      <c r="C11834" t="s">
        <v>8606</v>
      </c>
      <c r="D11834">
        <v>171650</v>
      </c>
      <c r="E11834" t="s">
        <v>8607</v>
      </c>
      <c r="F11834">
        <v>39.116999999999997</v>
      </c>
      <c r="G11834">
        <v>39.549999999999997</v>
      </c>
      <c r="H11834">
        <v>3</v>
      </c>
      <c r="I11834">
        <v>981</v>
      </c>
      <c r="J11834" t="str">
        <f>HYPERLINK("https://climate.onebuilding.org/WMO_Region_6_Europe/TUR_Turkey/TC_Tunceli/TUR_TC_Tunceli.171650_TMYx.2004-2018.zip")</f>
        <v>https://climate.onebuilding.org/WMO_Region_6_Europe/TUR_Turkey/TC_Tunceli/TUR_TC_Tunceli.171650_TMYx.2004-2018.zip</v>
      </c>
    </row>
    <row r="11835" spans="1:10" x14ac:dyDescent="0.25">
      <c r="A11835" t="s">
        <v>8459</v>
      </c>
      <c r="B11835" t="s">
        <v>4683</v>
      </c>
      <c r="C11835" t="s">
        <v>8606</v>
      </c>
      <c r="D11835">
        <v>171650</v>
      </c>
      <c r="E11835" t="s">
        <v>14</v>
      </c>
      <c r="F11835">
        <v>39.116999999999997</v>
      </c>
      <c r="G11835">
        <v>39.549999999999997</v>
      </c>
      <c r="H11835">
        <v>3</v>
      </c>
      <c r="I11835">
        <v>981</v>
      </c>
      <c r="J11835" t="str">
        <f>HYPERLINK("https://climate.onebuilding.org/WMO_Region_6_Europe/TUR_Turkey/TC_Tunceli/TUR_TC_Tunceli.171650_TMYx.2007-2021.zip")</f>
        <v>https://climate.onebuilding.org/WMO_Region_6_Europe/TUR_Turkey/TC_Tunceli/TUR_TC_Tunceli.171650_TMYx.2007-2021.zip</v>
      </c>
    </row>
    <row r="11836" spans="1:10" x14ac:dyDescent="0.25">
      <c r="A11836" t="s">
        <v>8459</v>
      </c>
      <c r="B11836" t="s">
        <v>4683</v>
      </c>
      <c r="C11836" t="s">
        <v>8606</v>
      </c>
      <c r="D11836">
        <v>171650</v>
      </c>
      <c r="E11836" t="s">
        <v>14</v>
      </c>
      <c r="F11836">
        <v>39.116999999999997</v>
      </c>
      <c r="G11836">
        <v>39.549999999999997</v>
      </c>
      <c r="H11836">
        <v>3</v>
      </c>
      <c r="I11836">
        <v>981</v>
      </c>
      <c r="J11836" t="str">
        <f>HYPERLINK("https://climate.onebuilding.org/WMO_Region_6_Europe/TUR_Turkey/TC_Tunceli/TUR_TC_Tunceli.171650_TMYx.2009-2023.zip")</f>
        <v>https://climate.onebuilding.org/WMO_Region_6_Europe/TUR_Turkey/TC_Tunceli/TUR_TC_Tunceli.171650_TMYx.2009-2023.zip</v>
      </c>
    </row>
    <row r="11837" spans="1:10" x14ac:dyDescent="0.25">
      <c r="A11837" t="s">
        <v>8459</v>
      </c>
      <c r="B11837" t="s">
        <v>4683</v>
      </c>
      <c r="C11837" t="s">
        <v>8606</v>
      </c>
      <c r="D11837">
        <v>171650</v>
      </c>
      <c r="E11837" t="s">
        <v>14</v>
      </c>
      <c r="F11837">
        <v>39.116999999999997</v>
      </c>
      <c r="G11837">
        <v>39.549999999999997</v>
      </c>
      <c r="H11837">
        <v>3</v>
      </c>
      <c r="I11837">
        <v>981</v>
      </c>
      <c r="J11837" t="str">
        <f>HYPERLINK("https://climate.onebuilding.org/WMO_Region_6_Europe/TUR_Turkey/TC_Tunceli/TUR_TC_Tunceli.171650_TMYx.zip")</f>
        <v>https://climate.onebuilding.org/WMO_Region_6_Europe/TUR_Turkey/TC_Tunceli/TUR_TC_Tunceli.171650_TMYx.zip</v>
      </c>
    </row>
    <row r="11838" spans="1:10" x14ac:dyDescent="0.25">
      <c r="A11838" t="s">
        <v>8459</v>
      </c>
      <c r="B11838" t="s">
        <v>4901</v>
      </c>
      <c r="C11838" t="s">
        <v>8608</v>
      </c>
      <c r="D11838">
        <v>171700</v>
      </c>
      <c r="E11838" t="s">
        <v>8609</v>
      </c>
      <c r="F11838">
        <v>38.468000000000004</v>
      </c>
      <c r="G11838">
        <v>43.332000000000001</v>
      </c>
      <c r="H11838">
        <v>3</v>
      </c>
      <c r="I11838">
        <v>1670.3</v>
      </c>
      <c r="J11838" t="str">
        <f>HYPERLINK("https://climate.onebuilding.org/WMO_Region_6_Europe/TUR_Turkey/VA_Van/TUR_VA_Van.Feritmelen.AP.171700_TMYx.2004-2018.zip")</f>
        <v>https://climate.onebuilding.org/WMO_Region_6_Europe/TUR_Turkey/VA_Van/TUR_VA_Van.Feritmelen.AP.171700_TMYx.2004-2018.zip</v>
      </c>
    </row>
    <row r="11839" spans="1:10" x14ac:dyDescent="0.25">
      <c r="A11839" t="s">
        <v>8459</v>
      </c>
      <c r="B11839" t="s">
        <v>4901</v>
      </c>
      <c r="C11839" t="s">
        <v>8608</v>
      </c>
      <c r="D11839">
        <v>171700</v>
      </c>
      <c r="E11839" t="s">
        <v>14</v>
      </c>
      <c r="F11839">
        <v>38.468000000000004</v>
      </c>
      <c r="G11839">
        <v>43.332000000000001</v>
      </c>
      <c r="H11839">
        <v>3</v>
      </c>
      <c r="I11839">
        <v>1670.3</v>
      </c>
      <c r="J11839" t="str">
        <f>HYPERLINK("https://climate.onebuilding.org/WMO_Region_6_Europe/TUR_Turkey/VA_Van/TUR_VA_Van.Feritmelen.AP.171700_TMYx.2007-2021.zip")</f>
        <v>https://climate.onebuilding.org/WMO_Region_6_Europe/TUR_Turkey/VA_Van/TUR_VA_Van.Feritmelen.AP.171700_TMYx.2007-2021.zip</v>
      </c>
    </row>
    <row r="11840" spans="1:10" x14ac:dyDescent="0.25">
      <c r="A11840" t="s">
        <v>8459</v>
      </c>
      <c r="B11840" t="s">
        <v>4901</v>
      </c>
      <c r="C11840" t="s">
        <v>8608</v>
      </c>
      <c r="D11840">
        <v>171700</v>
      </c>
      <c r="E11840" t="s">
        <v>14</v>
      </c>
      <c r="F11840">
        <v>38.468000000000004</v>
      </c>
      <c r="G11840">
        <v>43.332000000000001</v>
      </c>
      <c r="H11840">
        <v>3</v>
      </c>
      <c r="I11840">
        <v>1670.3</v>
      </c>
      <c r="J11840" t="str">
        <f>HYPERLINK("https://climate.onebuilding.org/WMO_Region_6_Europe/TUR_Turkey/VA_Van/TUR_VA_Van.Feritmelen.AP.171700_TMYx.2009-2023.zip")</f>
        <v>https://climate.onebuilding.org/WMO_Region_6_Europe/TUR_Turkey/VA_Van/TUR_VA_Van.Feritmelen.AP.171700_TMYx.2009-2023.zip</v>
      </c>
    </row>
    <row r="11841" spans="1:10" x14ac:dyDescent="0.25">
      <c r="A11841" t="s">
        <v>8459</v>
      </c>
      <c r="B11841" t="s">
        <v>4901</v>
      </c>
      <c r="C11841" t="s">
        <v>8608</v>
      </c>
      <c r="D11841">
        <v>171700</v>
      </c>
      <c r="E11841" t="s">
        <v>14</v>
      </c>
      <c r="F11841">
        <v>38.468000000000004</v>
      </c>
      <c r="G11841">
        <v>43.332000000000001</v>
      </c>
      <c r="H11841">
        <v>3</v>
      </c>
      <c r="I11841">
        <v>1670.3</v>
      </c>
      <c r="J11841" t="str">
        <f>HYPERLINK("https://climate.onebuilding.org/WMO_Region_6_Europe/TUR_Turkey/VA_Van/TUR_VA_Van.Feritmelen.AP.171700_TMYx.zip")</f>
        <v>https://climate.onebuilding.org/WMO_Region_6_Europe/TUR_Turkey/VA_Van/TUR_VA_Van.Feritmelen.AP.171700_TMYx.zip</v>
      </c>
    </row>
    <row r="11842" spans="1:10" x14ac:dyDescent="0.25">
      <c r="A11842" t="s">
        <v>8459</v>
      </c>
      <c r="B11842" t="s">
        <v>233</v>
      </c>
      <c r="C11842" t="s">
        <v>8610</v>
      </c>
      <c r="D11842">
        <v>171750</v>
      </c>
      <c r="E11842" t="s">
        <v>8611</v>
      </c>
      <c r="F11842">
        <v>39.299999999999997</v>
      </c>
      <c r="G11842">
        <v>26.7</v>
      </c>
      <c r="H11842">
        <v>3</v>
      </c>
      <c r="I11842">
        <v>4</v>
      </c>
      <c r="J11842" t="str">
        <f>HYPERLINK("https://climate.onebuilding.org/WMO_Region_6_Europe/TUR_Turkey/BU_Bursa/TUR_BU_Ayvalik.171750_TMYx.2004-2018.zip")</f>
        <v>https://climate.onebuilding.org/WMO_Region_6_Europe/TUR_Turkey/BU_Bursa/TUR_BU_Ayvalik.171750_TMYx.2004-2018.zip</v>
      </c>
    </row>
    <row r="11843" spans="1:10" x14ac:dyDescent="0.25">
      <c r="A11843" t="s">
        <v>8459</v>
      </c>
      <c r="B11843" t="s">
        <v>233</v>
      </c>
      <c r="C11843" t="s">
        <v>8610</v>
      </c>
      <c r="D11843">
        <v>171750</v>
      </c>
      <c r="E11843" t="s">
        <v>14</v>
      </c>
      <c r="F11843">
        <v>39.299999999999997</v>
      </c>
      <c r="G11843">
        <v>26.7</v>
      </c>
      <c r="H11843">
        <v>3</v>
      </c>
      <c r="I11843">
        <v>4</v>
      </c>
      <c r="J11843" t="str">
        <f>HYPERLINK("https://climate.onebuilding.org/WMO_Region_6_Europe/TUR_Turkey/BU_Bursa/TUR_BU_Ayvalik.171750_TMYx.2007-2021.zip")</f>
        <v>https://climate.onebuilding.org/WMO_Region_6_Europe/TUR_Turkey/BU_Bursa/TUR_BU_Ayvalik.171750_TMYx.2007-2021.zip</v>
      </c>
    </row>
    <row r="11844" spans="1:10" x14ac:dyDescent="0.25">
      <c r="A11844" t="s">
        <v>8459</v>
      </c>
      <c r="B11844" t="s">
        <v>233</v>
      </c>
      <c r="C11844" t="s">
        <v>8610</v>
      </c>
      <c r="D11844">
        <v>171750</v>
      </c>
      <c r="E11844" t="s">
        <v>14</v>
      </c>
      <c r="F11844">
        <v>39.299999999999997</v>
      </c>
      <c r="G11844">
        <v>26.7</v>
      </c>
      <c r="H11844">
        <v>3</v>
      </c>
      <c r="I11844">
        <v>4</v>
      </c>
      <c r="J11844" t="str">
        <f>HYPERLINK("https://climate.onebuilding.org/WMO_Region_6_Europe/TUR_Turkey/BU_Bursa/TUR_BU_Ayvalik.171750_TMYx.2009-2023.zip")</f>
        <v>https://climate.onebuilding.org/WMO_Region_6_Europe/TUR_Turkey/BU_Bursa/TUR_BU_Ayvalik.171750_TMYx.2009-2023.zip</v>
      </c>
    </row>
    <row r="11845" spans="1:10" x14ac:dyDescent="0.25">
      <c r="A11845" t="s">
        <v>8459</v>
      </c>
      <c r="B11845" t="s">
        <v>233</v>
      </c>
      <c r="C11845" t="s">
        <v>8610</v>
      </c>
      <c r="D11845">
        <v>171750</v>
      </c>
      <c r="E11845" t="s">
        <v>14</v>
      </c>
      <c r="F11845">
        <v>39.299999999999997</v>
      </c>
      <c r="G11845">
        <v>26.7</v>
      </c>
      <c r="H11845">
        <v>3</v>
      </c>
      <c r="I11845">
        <v>4</v>
      </c>
      <c r="J11845" t="str">
        <f>HYPERLINK("https://climate.onebuilding.org/WMO_Region_6_Europe/TUR_Turkey/BU_Bursa/TUR_BU_Ayvalik.171750_TMYx.zip")</f>
        <v>https://climate.onebuilding.org/WMO_Region_6_Europe/TUR_Turkey/BU_Bursa/TUR_BU_Ayvalik.171750_TMYx.zip</v>
      </c>
    </row>
    <row r="11846" spans="1:10" x14ac:dyDescent="0.25">
      <c r="A11846" t="s">
        <v>8459</v>
      </c>
      <c r="B11846" t="s">
        <v>8612</v>
      </c>
      <c r="C11846" t="s">
        <v>8613</v>
      </c>
      <c r="D11846">
        <v>171800</v>
      </c>
      <c r="E11846" t="s">
        <v>8614</v>
      </c>
      <c r="F11846">
        <v>39.067</v>
      </c>
      <c r="G11846">
        <v>26.882999999999999</v>
      </c>
      <c r="H11846">
        <v>3</v>
      </c>
      <c r="I11846">
        <v>3</v>
      </c>
      <c r="J11846" t="str">
        <f>HYPERLINK("https://climate.onebuilding.org/WMO_Region_6_Europe/TUR_Turkey/IZ_Izmir/TUR_IZ_Dikili.171800_TMYx.2004-2018.zip")</f>
        <v>https://climate.onebuilding.org/WMO_Region_6_Europe/TUR_Turkey/IZ_Izmir/TUR_IZ_Dikili.171800_TMYx.2004-2018.zip</v>
      </c>
    </row>
    <row r="11847" spans="1:10" x14ac:dyDescent="0.25">
      <c r="A11847" t="s">
        <v>8459</v>
      </c>
      <c r="B11847" t="s">
        <v>8612</v>
      </c>
      <c r="C11847" t="s">
        <v>8613</v>
      </c>
      <c r="D11847">
        <v>171800</v>
      </c>
      <c r="E11847" t="s">
        <v>14</v>
      </c>
      <c r="F11847">
        <v>39.073900000000002</v>
      </c>
      <c r="G11847">
        <v>26.888100000000001</v>
      </c>
      <c r="H11847">
        <v>3</v>
      </c>
      <c r="I11847">
        <v>3</v>
      </c>
      <c r="J11847" t="str">
        <f>HYPERLINK("https://climate.onebuilding.org/WMO_Region_6_Europe/TUR_Turkey/IZ_Izmir/TUR_IZ_Dikili.171800_TMYx.2007-2021.zip")</f>
        <v>https://climate.onebuilding.org/WMO_Region_6_Europe/TUR_Turkey/IZ_Izmir/TUR_IZ_Dikili.171800_TMYx.2007-2021.zip</v>
      </c>
    </row>
    <row r="11848" spans="1:10" x14ac:dyDescent="0.25">
      <c r="A11848" t="s">
        <v>8459</v>
      </c>
      <c r="B11848" t="s">
        <v>8612</v>
      </c>
      <c r="C11848" t="s">
        <v>8613</v>
      </c>
      <c r="D11848">
        <v>171800</v>
      </c>
      <c r="E11848" t="s">
        <v>14</v>
      </c>
      <c r="F11848">
        <v>39.073900000000002</v>
      </c>
      <c r="G11848">
        <v>26.888100000000001</v>
      </c>
      <c r="H11848">
        <v>3</v>
      </c>
      <c r="I11848">
        <v>3</v>
      </c>
      <c r="J11848" t="str">
        <f>HYPERLINK("https://climate.onebuilding.org/WMO_Region_6_Europe/TUR_Turkey/IZ_Izmir/TUR_IZ_Dikili.171800_TMYx.2009-2023.zip")</f>
        <v>https://climate.onebuilding.org/WMO_Region_6_Europe/TUR_Turkey/IZ_Izmir/TUR_IZ_Dikili.171800_TMYx.2009-2023.zip</v>
      </c>
    </row>
    <row r="11849" spans="1:10" x14ac:dyDescent="0.25">
      <c r="A11849" t="s">
        <v>8459</v>
      </c>
      <c r="B11849" t="s">
        <v>8612</v>
      </c>
      <c r="C11849" t="s">
        <v>8613</v>
      </c>
      <c r="D11849">
        <v>171800</v>
      </c>
      <c r="E11849" t="s">
        <v>14</v>
      </c>
      <c r="F11849">
        <v>39.073900000000002</v>
      </c>
      <c r="G11849">
        <v>26.888100000000001</v>
      </c>
      <c r="H11849">
        <v>3</v>
      </c>
      <c r="I11849">
        <v>3</v>
      </c>
      <c r="J11849" t="str">
        <f>HYPERLINK("https://climate.onebuilding.org/WMO_Region_6_Europe/TUR_Turkey/IZ_Izmir/TUR_IZ_Dikili.171800_TMYx.zip")</f>
        <v>https://climate.onebuilding.org/WMO_Region_6_Europe/TUR_Turkey/IZ_Izmir/TUR_IZ_Dikili.171800_TMYx.zip</v>
      </c>
    </row>
    <row r="11850" spans="1:10" x14ac:dyDescent="0.25">
      <c r="A11850" t="s">
        <v>8459</v>
      </c>
      <c r="B11850" t="s">
        <v>5403</v>
      </c>
      <c r="C11850" t="s">
        <v>8615</v>
      </c>
      <c r="D11850">
        <v>171840</v>
      </c>
      <c r="E11850" t="s">
        <v>8616</v>
      </c>
      <c r="F11850">
        <v>38.808999999999997</v>
      </c>
      <c r="G11850">
        <v>27.834</v>
      </c>
      <c r="H11850">
        <v>3</v>
      </c>
      <c r="I11850">
        <v>80.2</v>
      </c>
      <c r="J11850" t="str">
        <f>HYPERLINK("https://climate.onebuilding.org/WMO_Region_6_Europe/TUR_Turkey/ML_Malatya/TUR_ML_Akhisar.171840_TMYx.2004-2018.zip")</f>
        <v>https://climate.onebuilding.org/WMO_Region_6_Europe/TUR_Turkey/ML_Malatya/TUR_ML_Akhisar.171840_TMYx.2004-2018.zip</v>
      </c>
    </row>
    <row r="11851" spans="1:10" x14ac:dyDescent="0.25">
      <c r="A11851" t="s">
        <v>8459</v>
      </c>
      <c r="B11851" t="s">
        <v>5403</v>
      </c>
      <c r="C11851" t="s">
        <v>8615</v>
      </c>
      <c r="D11851">
        <v>171840</v>
      </c>
      <c r="E11851" t="s">
        <v>14</v>
      </c>
      <c r="F11851">
        <v>38.9114</v>
      </c>
      <c r="G11851">
        <v>27.823</v>
      </c>
      <c r="H11851">
        <v>3</v>
      </c>
      <c r="I11851">
        <v>80.2</v>
      </c>
      <c r="J11851" t="str">
        <f>HYPERLINK("https://climate.onebuilding.org/WMO_Region_6_Europe/TUR_Turkey/ML_Malatya/TUR_ML_Akhisar.171840_TMYx.2007-2021.zip")</f>
        <v>https://climate.onebuilding.org/WMO_Region_6_Europe/TUR_Turkey/ML_Malatya/TUR_ML_Akhisar.171840_TMYx.2007-2021.zip</v>
      </c>
    </row>
    <row r="11852" spans="1:10" x14ac:dyDescent="0.25">
      <c r="A11852" t="s">
        <v>8459</v>
      </c>
      <c r="B11852" t="s">
        <v>5403</v>
      </c>
      <c r="C11852" t="s">
        <v>8615</v>
      </c>
      <c r="D11852">
        <v>171840</v>
      </c>
      <c r="E11852" t="s">
        <v>14</v>
      </c>
      <c r="F11852">
        <v>38.9114</v>
      </c>
      <c r="G11852">
        <v>27.823</v>
      </c>
      <c r="H11852">
        <v>3</v>
      </c>
      <c r="I11852">
        <v>80.2</v>
      </c>
      <c r="J11852" t="str">
        <f>HYPERLINK("https://climate.onebuilding.org/WMO_Region_6_Europe/TUR_Turkey/ML_Malatya/TUR_ML_Akhisar.171840_TMYx.2009-2023.zip")</f>
        <v>https://climate.onebuilding.org/WMO_Region_6_Europe/TUR_Turkey/ML_Malatya/TUR_ML_Akhisar.171840_TMYx.2009-2023.zip</v>
      </c>
    </row>
    <row r="11853" spans="1:10" x14ac:dyDescent="0.25">
      <c r="A11853" t="s">
        <v>8459</v>
      </c>
      <c r="B11853" t="s">
        <v>5403</v>
      </c>
      <c r="C11853" t="s">
        <v>8615</v>
      </c>
      <c r="D11853">
        <v>171840</v>
      </c>
      <c r="E11853" t="s">
        <v>14</v>
      </c>
      <c r="F11853">
        <v>38.9114</v>
      </c>
      <c r="G11853">
        <v>27.823</v>
      </c>
      <c r="H11853">
        <v>3</v>
      </c>
      <c r="I11853">
        <v>80.2</v>
      </c>
      <c r="J11853" t="str">
        <f>HYPERLINK("https://climate.onebuilding.org/WMO_Region_6_Europe/TUR_Turkey/ML_Malatya/TUR_ML_Akhisar.171840_TMYx.zip")</f>
        <v>https://climate.onebuilding.org/WMO_Region_6_Europe/TUR_Turkey/ML_Malatya/TUR_ML_Akhisar.171840_TMYx.zip</v>
      </c>
    </row>
    <row r="11854" spans="1:10" x14ac:dyDescent="0.25">
      <c r="A11854" t="s">
        <v>8459</v>
      </c>
      <c r="B11854" t="s">
        <v>5561</v>
      </c>
      <c r="C11854" t="s">
        <v>8617</v>
      </c>
      <c r="D11854">
        <v>171860</v>
      </c>
      <c r="E11854" t="s">
        <v>8618</v>
      </c>
      <c r="F11854">
        <v>38.616999999999997</v>
      </c>
      <c r="G11854">
        <v>27.433</v>
      </c>
      <c r="H11854">
        <v>3</v>
      </c>
      <c r="I11854">
        <v>71</v>
      </c>
      <c r="J11854" t="str">
        <f>HYPERLINK("https://climate.onebuilding.org/WMO_Region_6_Europe/TUR_Turkey/MN_Manisa/TUR_MN_Manisa.171860_TMYx.2004-2018.zip")</f>
        <v>https://climate.onebuilding.org/WMO_Region_6_Europe/TUR_Turkey/MN_Manisa/TUR_MN_Manisa.171860_TMYx.2004-2018.zip</v>
      </c>
    </row>
    <row r="11855" spans="1:10" x14ac:dyDescent="0.25">
      <c r="A11855" t="s">
        <v>8459</v>
      </c>
      <c r="B11855" t="s">
        <v>5561</v>
      </c>
      <c r="C11855" t="s">
        <v>8617</v>
      </c>
      <c r="D11855">
        <v>171860</v>
      </c>
      <c r="E11855" t="s">
        <v>14</v>
      </c>
      <c r="F11855">
        <v>38.616999999999997</v>
      </c>
      <c r="G11855">
        <v>27.433</v>
      </c>
      <c r="H11855">
        <v>3</v>
      </c>
      <c r="I11855">
        <v>71</v>
      </c>
      <c r="J11855" t="str">
        <f>HYPERLINK("https://climate.onebuilding.org/WMO_Region_6_Europe/TUR_Turkey/MN_Manisa/TUR_MN_Manisa.171860_TMYx.2007-2021.zip")</f>
        <v>https://climate.onebuilding.org/WMO_Region_6_Europe/TUR_Turkey/MN_Manisa/TUR_MN_Manisa.171860_TMYx.2007-2021.zip</v>
      </c>
    </row>
    <row r="11856" spans="1:10" x14ac:dyDescent="0.25">
      <c r="A11856" t="s">
        <v>8459</v>
      </c>
      <c r="B11856" t="s">
        <v>5561</v>
      </c>
      <c r="C11856" t="s">
        <v>8617</v>
      </c>
      <c r="D11856">
        <v>171860</v>
      </c>
      <c r="E11856" t="s">
        <v>14</v>
      </c>
      <c r="F11856">
        <v>38.616999999999997</v>
      </c>
      <c r="G11856">
        <v>27.433</v>
      </c>
      <c r="H11856">
        <v>3</v>
      </c>
      <c r="I11856">
        <v>71</v>
      </c>
      <c r="J11856" t="str">
        <f>HYPERLINK("https://climate.onebuilding.org/WMO_Region_6_Europe/TUR_Turkey/MN_Manisa/TUR_MN_Manisa.171860_TMYx.2009-2023.zip")</f>
        <v>https://climate.onebuilding.org/WMO_Region_6_Europe/TUR_Turkey/MN_Manisa/TUR_MN_Manisa.171860_TMYx.2009-2023.zip</v>
      </c>
    </row>
    <row r="11857" spans="1:10" x14ac:dyDescent="0.25">
      <c r="A11857" t="s">
        <v>8459</v>
      </c>
      <c r="B11857" t="s">
        <v>5561</v>
      </c>
      <c r="C11857" t="s">
        <v>8617</v>
      </c>
      <c r="D11857">
        <v>171860</v>
      </c>
      <c r="E11857" t="s">
        <v>14</v>
      </c>
      <c r="F11857">
        <v>38.616999999999997</v>
      </c>
      <c r="G11857">
        <v>27.433</v>
      </c>
      <c r="H11857">
        <v>3</v>
      </c>
      <c r="I11857">
        <v>71</v>
      </c>
      <c r="J11857" t="str">
        <f>HYPERLINK("https://climate.onebuilding.org/WMO_Region_6_Europe/TUR_Turkey/MN_Manisa/TUR_MN_Manisa.171860_TMYx.zip")</f>
        <v>https://climate.onebuilding.org/WMO_Region_6_Europe/TUR_Turkey/MN_Manisa/TUR_MN_Manisa.171860_TMYx.zip</v>
      </c>
    </row>
    <row r="11858" spans="1:10" x14ac:dyDescent="0.25">
      <c r="A11858" t="s">
        <v>8459</v>
      </c>
      <c r="B11858" t="s">
        <v>5561</v>
      </c>
      <c r="C11858" t="s">
        <v>8619</v>
      </c>
      <c r="D11858">
        <v>171865</v>
      </c>
      <c r="E11858" t="s">
        <v>8620</v>
      </c>
      <c r="F11858">
        <v>38.633000000000003</v>
      </c>
      <c r="G11858">
        <v>27.35</v>
      </c>
      <c r="H11858">
        <v>3</v>
      </c>
      <c r="I11858">
        <v>73.5</v>
      </c>
      <c r="J11858" t="str">
        <f>HYPERLINK("https://climate.onebuilding.org/WMO_Region_6_Europe/TUR_Turkey/MN_Manisa/TUR_MN_Manisa.Industrial.Park.171865_TMYx.2004-2018.zip")</f>
        <v>https://climate.onebuilding.org/WMO_Region_6_Europe/TUR_Turkey/MN_Manisa/TUR_MN_Manisa.Industrial.Park.171865_TMYx.2004-2018.zip</v>
      </c>
    </row>
    <row r="11859" spans="1:10" x14ac:dyDescent="0.25">
      <c r="A11859" t="s">
        <v>8459</v>
      </c>
      <c r="B11859" t="s">
        <v>5561</v>
      </c>
      <c r="C11859" t="s">
        <v>8619</v>
      </c>
      <c r="D11859">
        <v>171865</v>
      </c>
      <c r="E11859" t="s">
        <v>14</v>
      </c>
      <c r="F11859">
        <v>38.633000000000003</v>
      </c>
      <c r="G11859">
        <v>27.35</v>
      </c>
      <c r="H11859">
        <v>3</v>
      </c>
      <c r="I11859">
        <v>73.5</v>
      </c>
      <c r="J11859" t="str">
        <f>HYPERLINK("https://climate.onebuilding.org/WMO_Region_6_Europe/TUR_Turkey/MN_Manisa/TUR_MN_Manisa.Industrial.Park.171865_TMYx.2007-2021.zip")</f>
        <v>https://climate.onebuilding.org/WMO_Region_6_Europe/TUR_Turkey/MN_Manisa/TUR_MN_Manisa.Industrial.Park.171865_TMYx.2007-2021.zip</v>
      </c>
    </row>
    <row r="11860" spans="1:10" x14ac:dyDescent="0.25">
      <c r="A11860" t="s">
        <v>8459</v>
      </c>
      <c r="B11860" t="s">
        <v>5561</v>
      </c>
      <c r="C11860" t="s">
        <v>8619</v>
      </c>
      <c r="D11860">
        <v>171865</v>
      </c>
      <c r="E11860" t="s">
        <v>14</v>
      </c>
      <c r="F11860">
        <v>38.633000000000003</v>
      </c>
      <c r="G11860">
        <v>27.35</v>
      </c>
      <c r="H11860">
        <v>3</v>
      </c>
      <c r="I11860">
        <v>73.5</v>
      </c>
      <c r="J11860" t="str">
        <f>HYPERLINK("https://climate.onebuilding.org/WMO_Region_6_Europe/TUR_Turkey/MN_Manisa/TUR_MN_Manisa.Industrial.Park.171865_TMYx.2009-2023.zip")</f>
        <v>https://climate.onebuilding.org/WMO_Region_6_Europe/TUR_Turkey/MN_Manisa/TUR_MN_Manisa.Industrial.Park.171865_TMYx.2009-2023.zip</v>
      </c>
    </row>
    <row r="11861" spans="1:10" x14ac:dyDescent="0.25">
      <c r="A11861" t="s">
        <v>8459</v>
      </c>
      <c r="B11861" t="s">
        <v>5561</v>
      </c>
      <c r="C11861" t="s">
        <v>8619</v>
      </c>
      <c r="D11861">
        <v>171865</v>
      </c>
      <c r="E11861" t="s">
        <v>14</v>
      </c>
      <c r="F11861">
        <v>38.633000000000003</v>
      </c>
      <c r="G11861">
        <v>27.35</v>
      </c>
      <c r="H11861">
        <v>3</v>
      </c>
      <c r="I11861">
        <v>73.5</v>
      </c>
      <c r="J11861" t="str">
        <f>HYPERLINK("https://climate.onebuilding.org/WMO_Region_6_Europe/TUR_Turkey/MN_Manisa/TUR_MN_Manisa.Industrial.Park.171865_TMYx.zip")</f>
        <v>https://climate.onebuilding.org/WMO_Region_6_Europe/TUR_Turkey/MN_Manisa/TUR_MN_Manisa.Industrial.Park.171865_TMYx.zip</v>
      </c>
    </row>
    <row r="11862" spans="1:10" x14ac:dyDescent="0.25">
      <c r="A11862" t="s">
        <v>8459</v>
      </c>
      <c r="B11862" t="s">
        <v>2317</v>
      </c>
      <c r="C11862" t="s">
        <v>8621</v>
      </c>
      <c r="D11862">
        <v>171880</v>
      </c>
      <c r="E11862" t="s">
        <v>8622</v>
      </c>
      <c r="F11862">
        <v>38.683</v>
      </c>
      <c r="G11862">
        <v>29.4</v>
      </c>
      <c r="H11862">
        <v>3</v>
      </c>
      <c r="I11862">
        <v>919</v>
      </c>
      <c r="J11862" t="str">
        <f>HYPERLINK("https://climate.onebuilding.org/WMO_Region_6_Europe/TUR_Turkey/US_Usak/TUR_US_Usak.171880_TMYx.2004-2018.zip")</f>
        <v>https://climate.onebuilding.org/WMO_Region_6_Europe/TUR_Turkey/US_Usak/TUR_US_Usak.171880_TMYx.2004-2018.zip</v>
      </c>
    </row>
    <row r="11863" spans="1:10" x14ac:dyDescent="0.25">
      <c r="A11863" t="s">
        <v>8459</v>
      </c>
      <c r="B11863" t="s">
        <v>2317</v>
      </c>
      <c r="C11863" t="s">
        <v>8621</v>
      </c>
      <c r="D11863">
        <v>171880</v>
      </c>
      <c r="E11863" t="s">
        <v>14</v>
      </c>
      <c r="F11863">
        <v>38.683</v>
      </c>
      <c r="G11863">
        <v>29.4</v>
      </c>
      <c r="H11863">
        <v>3</v>
      </c>
      <c r="I11863">
        <v>919</v>
      </c>
      <c r="J11863" t="str">
        <f>HYPERLINK("https://climate.onebuilding.org/WMO_Region_6_Europe/TUR_Turkey/US_Usak/TUR_US_Usak.171880_TMYx.2007-2021.zip")</f>
        <v>https://climate.onebuilding.org/WMO_Region_6_Europe/TUR_Turkey/US_Usak/TUR_US_Usak.171880_TMYx.2007-2021.zip</v>
      </c>
    </row>
    <row r="11864" spans="1:10" x14ac:dyDescent="0.25">
      <c r="A11864" t="s">
        <v>8459</v>
      </c>
      <c r="B11864" t="s">
        <v>2317</v>
      </c>
      <c r="C11864" t="s">
        <v>8621</v>
      </c>
      <c r="D11864">
        <v>171880</v>
      </c>
      <c r="E11864" t="s">
        <v>14</v>
      </c>
      <c r="F11864">
        <v>38.683</v>
      </c>
      <c r="G11864">
        <v>29.4</v>
      </c>
      <c r="H11864">
        <v>3</v>
      </c>
      <c r="I11864">
        <v>919</v>
      </c>
      <c r="J11864" t="str">
        <f>HYPERLINK("https://climate.onebuilding.org/WMO_Region_6_Europe/TUR_Turkey/US_Usak/TUR_US_Usak.171880_TMYx.2009-2023.zip")</f>
        <v>https://climate.onebuilding.org/WMO_Region_6_Europe/TUR_Turkey/US_Usak/TUR_US_Usak.171880_TMYx.2009-2023.zip</v>
      </c>
    </row>
    <row r="11865" spans="1:10" x14ac:dyDescent="0.25">
      <c r="A11865" t="s">
        <v>8459</v>
      </c>
      <c r="B11865" t="s">
        <v>2317</v>
      </c>
      <c r="C11865" t="s">
        <v>8621</v>
      </c>
      <c r="D11865">
        <v>171880</v>
      </c>
      <c r="E11865" t="s">
        <v>14</v>
      </c>
      <c r="F11865">
        <v>38.683</v>
      </c>
      <c r="G11865">
        <v>29.4</v>
      </c>
      <c r="H11865">
        <v>3</v>
      </c>
      <c r="I11865">
        <v>919</v>
      </c>
      <c r="J11865" t="str">
        <f>HYPERLINK("https://climate.onebuilding.org/WMO_Region_6_Europe/TUR_Turkey/US_Usak/TUR_US_Usak.171880_TMYx.zip")</f>
        <v>https://climate.onebuilding.org/WMO_Region_6_Europe/TUR_Turkey/US_Usak/TUR_US_Usak.171880_TMYx.zip</v>
      </c>
    </row>
    <row r="11866" spans="1:10" x14ac:dyDescent="0.25">
      <c r="A11866" t="s">
        <v>8459</v>
      </c>
      <c r="B11866" t="s">
        <v>8623</v>
      </c>
      <c r="C11866" t="s">
        <v>8624</v>
      </c>
      <c r="D11866">
        <v>171890</v>
      </c>
      <c r="E11866" t="s">
        <v>8625</v>
      </c>
      <c r="F11866">
        <v>38.725999999999999</v>
      </c>
      <c r="G11866">
        <v>30.600999999999999</v>
      </c>
      <c r="H11866">
        <v>3</v>
      </c>
      <c r="I11866">
        <v>1008.9</v>
      </c>
      <c r="J11866" t="str">
        <f>HYPERLINK("https://climate.onebuilding.org/WMO_Region_6_Europe/TUR_Turkey/AF_Afyonkarahisar/TUR_AF_Afyon.171890_TMYx.2004-2018.zip")</f>
        <v>https://climate.onebuilding.org/WMO_Region_6_Europe/TUR_Turkey/AF_Afyonkarahisar/TUR_AF_Afyon.171890_TMYx.2004-2018.zip</v>
      </c>
    </row>
    <row r="11867" spans="1:10" x14ac:dyDescent="0.25">
      <c r="A11867" t="s">
        <v>8459</v>
      </c>
      <c r="B11867" t="s">
        <v>8623</v>
      </c>
      <c r="C11867" t="s">
        <v>8626</v>
      </c>
      <c r="D11867">
        <v>171890</v>
      </c>
      <c r="E11867" t="s">
        <v>14</v>
      </c>
      <c r="F11867">
        <v>38.732999999999997</v>
      </c>
      <c r="G11867">
        <v>30.6</v>
      </c>
      <c r="H11867">
        <v>3</v>
      </c>
      <c r="I11867">
        <v>1012</v>
      </c>
      <c r="J11867" t="str">
        <f>HYPERLINK("https://climate.onebuilding.org/WMO_Region_6_Europe/TUR_Turkey/AF_Afyonkarahisar/TUR_AF_Afyonkarahisar.AP.171890_TMYx.2007-2021.zip")</f>
        <v>https://climate.onebuilding.org/WMO_Region_6_Europe/TUR_Turkey/AF_Afyonkarahisar/TUR_AF_Afyonkarahisar.AP.171890_TMYx.2007-2021.zip</v>
      </c>
    </row>
    <row r="11868" spans="1:10" x14ac:dyDescent="0.25">
      <c r="A11868" t="s">
        <v>8459</v>
      </c>
      <c r="B11868" t="s">
        <v>8623</v>
      </c>
      <c r="C11868" t="s">
        <v>8626</v>
      </c>
      <c r="D11868">
        <v>171890</v>
      </c>
      <c r="E11868" t="s">
        <v>14</v>
      </c>
      <c r="F11868">
        <v>38.732999999999997</v>
      </c>
      <c r="G11868">
        <v>30.6</v>
      </c>
      <c r="H11868">
        <v>3</v>
      </c>
      <c r="I11868">
        <v>1012</v>
      </c>
      <c r="J11868" t="str">
        <f>HYPERLINK("https://climate.onebuilding.org/WMO_Region_6_Europe/TUR_Turkey/AF_Afyonkarahisar/TUR_AF_Afyonkarahisar.AP.171890_TMYx.2009-2023.zip")</f>
        <v>https://climate.onebuilding.org/WMO_Region_6_Europe/TUR_Turkey/AF_Afyonkarahisar/TUR_AF_Afyonkarahisar.AP.171890_TMYx.2009-2023.zip</v>
      </c>
    </row>
    <row r="11869" spans="1:10" x14ac:dyDescent="0.25">
      <c r="A11869" t="s">
        <v>8459</v>
      </c>
      <c r="B11869" t="s">
        <v>8623</v>
      </c>
      <c r="C11869" t="s">
        <v>8626</v>
      </c>
      <c r="D11869">
        <v>171890</v>
      </c>
      <c r="E11869" t="s">
        <v>14</v>
      </c>
      <c r="F11869">
        <v>38.732999999999997</v>
      </c>
      <c r="G11869">
        <v>30.6</v>
      </c>
      <c r="H11869">
        <v>3</v>
      </c>
      <c r="I11869">
        <v>1012</v>
      </c>
      <c r="J11869" t="str">
        <f>HYPERLINK("https://climate.onebuilding.org/WMO_Region_6_Europe/TUR_Turkey/AF_Afyonkarahisar/TUR_AF_Afyonkarahisar.AP.171890_TMYx.zip")</f>
        <v>https://climate.onebuilding.org/WMO_Region_6_Europe/TUR_Turkey/AF_Afyonkarahisar/TUR_AF_Afyonkarahisar.AP.171890_TMYx.zip</v>
      </c>
    </row>
    <row r="11870" spans="1:10" x14ac:dyDescent="0.25">
      <c r="A11870" t="s">
        <v>8459</v>
      </c>
      <c r="B11870" t="s">
        <v>7574</v>
      </c>
      <c r="C11870" t="s">
        <v>8627</v>
      </c>
      <c r="D11870">
        <v>171910</v>
      </c>
      <c r="E11870" t="s">
        <v>8628</v>
      </c>
      <c r="F11870">
        <v>38.65</v>
      </c>
      <c r="G11870">
        <v>32.950000000000003</v>
      </c>
      <c r="H11870">
        <v>3</v>
      </c>
      <c r="I11870">
        <v>969</v>
      </c>
      <c r="J11870" t="str">
        <f>HYPERLINK("https://climate.onebuilding.org/WMO_Region_6_Europe/TUR_Turkey/KO_Konya/TUR_KO_Cihanbeyli.171910_TMYx.2004-2018.zip")</f>
        <v>https://climate.onebuilding.org/WMO_Region_6_Europe/TUR_Turkey/KO_Konya/TUR_KO_Cihanbeyli.171910_TMYx.2004-2018.zip</v>
      </c>
    </row>
    <row r="11871" spans="1:10" x14ac:dyDescent="0.25">
      <c r="A11871" t="s">
        <v>8459</v>
      </c>
      <c r="B11871" t="s">
        <v>7574</v>
      </c>
      <c r="C11871" t="s">
        <v>8627</v>
      </c>
      <c r="D11871">
        <v>171910</v>
      </c>
      <c r="E11871" t="s">
        <v>14</v>
      </c>
      <c r="F11871">
        <v>38.650559999999999</v>
      </c>
      <c r="G11871">
        <v>32.921950000000002</v>
      </c>
      <c r="H11871">
        <v>3</v>
      </c>
      <c r="I11871">
        <v>969</v>
      </c>
      <c r="J11871" t="str">
        <f>HYPERLINK("https://climate.onebuilding.org/WMO_Region_6_Europe/TUR_Turkey/KO_Konya/TUR_KO_Cihanbeyli.171910_TMYx.2007-2021.zip")</f>
        <v>https://climate.onebuilding.org/WMO_Region_6_Europe/TUR_Turkey/KO_Konya/TUR_KO_Cihanbeyli.171910_TMYx.2007-2021.zip</v>
      </c>
    </row>
    <row r="11872" spans="1:10" x14ac:dyDescent="0.25">
      <c r="A11872" t="s">
        <v>8459</v>
      </c>
      <c r="B11872" t="s">
        <v>7574</v>
      </c>
      <c r="C11872" t="s">
        <v>8627</v>
      </c>
      <c r="D11872">
        <v>171910</v>
      </c>
      <c r="E11872" t="s">
        <v>14</v>
      </c>
      <c r="F11872">
        <v>38.650559999999999</v>
      </c>
      <c r="G11872">
        <v>32.921950000000002</v>
      </c>
      <c r="H11872">
        <v>3</v>
      </c>
      <c r="I11872">
        <v>969</v>
      </c>
      <c r="J11872" t="str">
        <f>HYPERLINK("https://climate.onebuilding.org/WMO_Region_6_Europe/TUR_Turkey/KO_Konya/TUR_KO_Cihanbeyli.171910_TMYx.2009-2023.zip")</f>
        <v>https://climate.onebuilding.org/WMO_Region_6_Europe/TUR_Turkey/KO_Konya/TUR_KO_Cihanbeyli.171910_TMYx.2009-2023.zip</v>
      </c>
    </row>
    <row r="11873" spans="1:10" x14ac:dyDescent="0.25">
      <c r="A11873" t="s">
        <v>8459</v>
      </c>
      <c r="B11873" t="s">
        <v>7574</v>
      </c>
      <c r="C11873" t="s">
        <v>8627</v>
      </c>
      <c r="D11873">
        <v>171910</v>
      </c>
      <c r="E11873" t="s">
        <v>14</v>
      </c>
      <c r="F11873">
        <v>38.650559999999999</v>
      </c>
      <c r="G11873">
        <v>32.921950000000002</v>
      </c>
      <c r="H11873">
        <v>3</v>
      </c>
      <c r="I11873">
        <v>969</v>
      </c>
      <c r="J11873" t="str">
        <f>HYPERLINK("https://climate.onebuilding.org/WMO_Region_6_Europe/TUR_Turkey/KO_Konya/TUR_KO_Cihanbeyli.171910_TMYx.zip")</f>
        <v>https://climate.onebuilding.org/WMO_Region_6_Europe/TUR_Turkey/KO_Konya/TUR_KO_Cihanbeyli.171910_TMYx.zip</v>
      </c>
    </row>
    <row r="11874" spans="1:10" x14ac:dyDescent="0.25">
      <c r="A11874" t="s">
        <v>8459</v>
      </c>
      <c r="B11874" t="s">
        <v>6117</v>
      </c>
      <c r="C11874" t="s">
        <v>8629</v>
      </c>
      <c r="D11874">
        <v>171920</v>
      </c>
      <c r="E11874" t="s">
        <v>8630</v>
      </c>
      <c r="F11874">
        <v>38.383000000000003</v>
      </c>
      <c r="G11874">
        <v>34.049999999999997</v>
      </c>
      <c r="H11874">
        <v>3</v>
      </c>
      <c r="I11874">
        <v>961</v>
      </c>
      <c r="J11874" t="str">
        <f>HYPERLINK("https://climate.onebuilding.org/WMO_Region_6_Europe/TUR_Turkey/AK_Aksaray/TUR_AK_Aksaray.171920_TMYx.2004-2018.zip")</f>
        <v>https://climate.onebuilding.org/WMO_Region_6_Europe/TUR_Turkey/AK_Aksaray/TUR_AK_Aksaray.171920_TMYx.2004-2018.zip</v>
      </c>
    </row>
    <row r="11875" spans="1:10" x14ac:dyDescent="0.25">
      <c r="A11875" t="s">
        <v>8459</v>
      </c>
      <c r="B11875" t="s">
        <v>6117</v>
      </c>
      <c r="C11875" t="s">
        <v>8629</v>
      </c>
      <c r="D11875">
        <v>171920</v>
      </c>
      <c r="E11875" t="s">
        <v>14</v>
      </c>
      <c r="F11875">
        <v>38.370550000000001</v>
      </c>
      <c r="G11875">
        <v>33.998609999999999</v>
      </c>
      <c r="H11875">
        <v>3</v>
      </c>
      <c r="I11875">
        <v>961</v>
      </c>
      <c r="J11875" t="str">
        <f>HYPERLINK("https://climate.onebuilding.org/WMO_Region_6_Europe/TUR_Turkey/AK_Aksaray/TUR_AK_Aksaray.171920_TMYx.2007-2021.zip")</f>
        <v>https://climate.onebuilding.org/WMO_Region_6_Europe/TUR_Turkey/AK_Aksaray/TUR_AK_Aksaray.171920_TMYx.2007-2021.zip</v>
      </c>
    </row>
    <row r="11876" spans="1:10" x14ac:dyDescent="0.25">
      <c r="A11876" t="s">
        <v>8459</v>
      </c>
      <c r="B11876" t="s">
        <v>6117</v>
      </c>
      <c r="C11876" t="s">
        <v>8629</v>
      </c>
      <c r="D11876">
        <v>171920</v>
      </c>
      <c r="E11876" t="s">
        <v>14</v>
      </c>
      <c r="F11876">
        <v>38.370550000000001</v>
      </c>
      <c r="G11876">
        <v>33.998609999999999</v>
      </c>
      <c r="H11876">
        <v>3</v>
      </c>
      <c r="I11876">
        <v>961</v>
      </c>
      <c r="J11876" t="str">
        <f>HYPERLINK("https://climate.onebuilding.org/WMO_Region_6_Europe/TUR_Turkey/AK_Aksaray/TUR_AK_Aksaray.171920_TMYx.2009-2023.zip")</f>
        <v>https://climate.onebuilding.org/WMO_Region_6_Europe/TUR_Turkey/AK_Aksaray/TUR_AK_Aksaray.171920_TMYx.2009-2023.zip</v>
      </c>
    </row>
    <row r="11877" spans="1:10" x14ac:dyDescent="0.25">
      <c r="A11877" t="s">
        <v>8459</v>
      </c>
      <c r="B11877" t="s">
        <v>6117</v>
      </c>
      <c r="C11877" t="s">
        <v>8629</v>
      </c>
      <c r="D11877">
        <v>171920</v>
      </c>
      <c r="E11877" t="s">
        <v>14</v>
      </c>
      <c r="F11877">
        <v>38.370550000000001</v>
      </c>
      <c r="G11877">
        <v>33.998609999999999</v>
      </c>
      <c r="H11877">
        <v>3</v>
      </c>
      <c r="I11877">
        <v>961</v>
      </c>
      <c r="J11877" t="str">
        <f>HYPERLINK("https://climate.onebuilding.org/WMO_Region_6_Europe/TUR_Turkey/AK_Aksaray/TUR_AK_Aksaray.171920_TMYx.zip")</f>
        <v>https://climate.onebuilding.org/WMO_Region_6_Europe/TUR_Turkey/AK_Aksaray/TUR_AK_Aksaray.171920_TMYx.zip</v>
      </c>
    </row>
    <row r="11878" spans="1:10" x14ac:dyDescent="0.25">
      <c r="A11878" t="s">
        <v>8459</v>
      </c>
      <c r="B11878" t="s">
        <v>5150</v>
      </c>
      <c r="C11878" t="s">
        <v>8631</v>
      </c>
      <c r="D11878">
        <v>171930</v>
      </c>
      <c r="E11878" t="s">
        <v>8632</v>
      </c>
      <c r="F11878">
        <v>38.616999999999997</v>
      </c>
      <c r="G11878">
        <v>34.700000000000003</v>
      </c>
      <c r="H11878">
        <v>3</v>
      </c>
      <c r="I11878">
        <v>1260</v>
      </c>
      <c r="J11878" t="str">
        <f>HYPERLINK("https://climate.onebuilding.org/WMO_Region_6_Europe/TUR_Turkey/NV_Nevsehir/TUR_NV_Nevsehir.171930_TMYx.2004-2018.zip")</f>
        <v>https://climate.onebuilding.org/WMO_Region_6_Europe/TUR_Turkey/NV_Nevsehir/TUR_NV_Nevsehir.171930_TMYx.2004-2018.zip</v>
      </c>
    </row>
    <row r="11879" spans="1:10" x14ac:dyDescent="0.25">
      <c r="A11879" t="s">
        <v>8459</v>
      </c>
      <c r="B11879" t="s">
        <v>5150</v>
      </c>
      <c r="C11879" t="s">
        <v>8631</v>
      </c>
      <c r="D11879">
        <v>171930</v>
      </c>
      <c r="E11879" t="s">
        <v>14</v>
      </c>
      <c r="F11879">
        <v>38.616390000000003</v>
      </c>
      <c r="G11879">
        <v>34.702500000000001</v>
      </c>
      <c r="H11879">
        <v>3</v>
      </c>
      <c r="I11879">
        <v>1260</v>
      </c>
      <c r="J11879" t="str">
        <f>HYPERLINK("https://climate.onebuilding.org/WMO_Region_6_Europe/TUR_Turkey/NV_Nevsehir/TUR_NV_Nevsehir.171930_TMYx.2007-2021.zip")</f>
        <v>https://climate.onebuilding.org/WMO_Region_6_Europe/TUR_Turkey/NV_Nevsehir/TUR_NV_Nevsehir.171930_TMYx.2007-2021.zip</v>
      </c>
    </row>
    <row r="11880" spans="1:10" x14ac:dyDescent="0.25">
      <c r="A11880" t="s">
        <v>8459</v>
      </c>
      <c r="B11880" t="s">
        <v>5150</v>
      </c>
      <c r="C11880" t="s">
        <v>8631</v>
      </c>
      <c r="D11880">
        <v>171930</v>
      </c>
      <c r="E11880" t="s">
        <v>14</v>
      </c>
      <c r="F11880">
        <v>38.616390000000003</v>
      </c>
      <c r="G11880">
        <v>34.702500000000001</v>
      </c>
      <c r="H11880">
        <v>3</v>
      </c>
      <c r="I11880">
        <v>1260</v>
      </c>
      <c r="J11880" t="str">
        <f>HYPERLINK("https://climate.onebuilding.org/WMO_Region_6_Europe/TUR_Turkey/NV_Nevsehir/TUR_NV_Nevsehir.171930_TMYx.2009-2023.zip")</f>
        <v>https://climate.onebuilding.org/WMO_Region_6_Europe/TUR_Turkey/NV_Nevsehir/TUR_NV_Nevsehir.171930_TMYx.2009-2023.zip</v>
      </c>
    </row>
    <row r="11881" spans="1:10" x14ac:dyDescent="0.25">
      <c r="A11881" t="s">
        <v>8459</v>
      </c>
      <c r="B11881" t="s">
        <v>5150</v>
      </c>
      <c r="C11881" t="s">
        <v>8631</v>
      </c>
      <c r="D11881">
        <v>171930</v>
      </c>
      <c r="E11881" t="s">
        <v>14</v>
      </c>
      <c r="F11881">
        <v>38.616390000000003</v>
      </c>
      <c r="G11881">
        <v>34.702500000000001</v>
      </c>
      <c r="H11881">
        <v>3</v>
      </c>
      <c r="I11881">
        <v>1260</v>
      </c>
      <c r="J11881" t="str">
        <f>HYPERLINK("https://climate.onebuilding.org/WMO_Region_6_Europe/TUR_Turkey/NV_Nevsehir/TUR_NV_Nevsehir.171930_TMYx.zip")</f>
        <v>https://climate.onebuilding.org/WMO_Region_6_Europe/TUR_Turkey/NV_Nevsehir/TUR_NV_Nevsehir.171930_TMYx.zip</v>
      </c>
    </row>
    <row r="11882" spans="1:10" x14ac:dyDescent="0.25">
      <c r="A11882" t="s">
        <v>8459</v>
      </c>
      <c r="B11882" t="s">
        <v>5150</v>
      </c>
      <c r="C11882" t="s">
        <v>8633</v>
      </c>
      <c r="D11882">
        <v>171940</v>
      </c>
      <c r="E11882" t="s">
        <v>8634</v>
      </c>
      <c r="F11882">
        <v>38.767000000000003</v>
      </c>
      <c r="G11882">
        <v>34.533000000000001</v>
      </c>
      <c r="H11882">
        <v>3</v>
      </c>
      <c r="I11882">
        <v>945</v>
      </c>
      <c r="J11882" t="str">
        <f>HYPERLINK("https://climate.onebuilding.org/WMO_Region_6_Europe/TUR_Turkey/NV_Nevsehir/TUR_NV_Kapodokya.AP.171940_TMYx.2004-2018.zip")</f>
        <v>https://climate.onebuilding.org/WMO_Region_6_Europe/TUR_Turkey/NV_Nevsehir/TUR_NV_Kapodokya.AP.171940_TMYx.2004-2018.zip</v>
      </c>
    </row>
    <row r="11883" spans="1:10" x14ac:dyDescent="0.25">
      <c r="A11883" t="s">
        <v>8459</v>
      </c>
      <c r="B11883" t="s">
        <v>5150</v>
      </c>
      <c r="C11883" t="s">
        <v>8633</v>
      </c>
      <c r="D11883">
        <v>171940</v>
      </c>
      <c r="E11883" t="s">
        <v>14</v>
      </c>
      <c r="F11883">
        <v>38.767000000000003</v>
      </c>
      <c r="G11883">
        <v>34.533000000000001</v>
      </c>
      <c r="H11883">
        <v>3</v>
      </c>
      <c r="I11883">
        <v>945</v>
      </c>
      <c r="J11883" t="str">
        <f>HYPERLINK("https://climate.onebuilding.org/WMO_Region_6_Europe/TUR_Turkey/NV_Nevsehir/TUR_NV_Kapodokya.AP.171940_TMYx.2007-2021.zip")</f>
        <v>https://climate.onebuilding.org/WMO_Region_6_Europe/TUR_Turkey/NV_Nevsehir/TUR_NV_Kapodokya.AP.171940_TMYx.2007-2021.zip</v>
      </c>
    </row>
    <row r="11884" spans="1:10" x14ac:dyDescent="0.25">
      <c r="A11884" t="s">
        <v>8459</v>
      </c>
      <c r="B11884" t="s">
        <v>5150</v>
      </c>
      <c r="C11884" t="s">
        <v>8633</v>
      </c>
      <c r="D11884">
        <v>171940</v>
      </c>
      <c r="E11884" t="s">
        <v>14</v>
      </c>
      <c r="F11884">
        <v>38.767000000000003</v>
      </c>
      <c r="G11884">
        <v>34.533000000000001</v>
      </c>
      <c r="H11884">
        <v>3</v>
      </c>
      <c r="I11884">
        <v>945</v>
      </c>
      <c r="J11884" t="str">
        <f>HYPERLINK("https://climate.onebuilding.org/WMO_Region_6_Europe/TUR_Turkey/NV_Nevsehir/TUR_NV_Kapodokya.AP.171940_TMYx.2009-2023.zip")</f>
        <v>https://climate.onebuilding.org/WMO_Region_6_Europe/TUR_Turkey/NV_Nevsehir/TUR_NV_Kapodokya.AP.171940_TMYx.2009-2023.zip</v>
      </c>
    </row>
    <row r="11885" spans="1:10" x14ac:dyDescent="0.25">
      <c r="A11885" t="s">
        <v>8459</v>
      </c>
      <c r="B11885" t="s">
        <v>5150</v>
      </c>
      <c r="C11885" t="s">
        <v>8633</v>
      </c>
      <c r="D11885">
        <v>171940</v>
      </c>
      <c r="E11885" t="s">
        <v>14</v>
      </c>
      <c r="F11885">
        <v>38.767000000000003</v>
      </c>
      <c r="G11885">
        <v>34.533000000000001</v>
      </c>
      <c r="H11885">
        <v>3</v>
      </c>
      <c r="I11885">
        <v>945</v>
      </c>
      <c r="J11885" t="str">
        <f>HYPERLINK("https://climate.onebuilding.org/WMO_Region_6_Europe/TUR_Turkey/NV_Nevsehir/TUR_NV_Kapodokya.AP.171940_TMYx.zip")</f>
        <v>https://climate.onebuilding.org/WMO_Region_6_Europe/TUR_Turkey/NV_Nevsehir/TUR_NV_Kapodokya.AP.171940_TMYx.zip</v>
      </c>
    </row>
    <row r="11886" spans="1:10" x14ac:dyDescent="0.25">
      <c r="A11886" t="s">
        <v>8459</v>
      </c>
      <c r="B11886" t="s">
        <v>8466</v>
      </c>
      <c r="C11886" t="s">
        <v>8635</v>
      </c>
      <c r="D11886">
        <v>171950</v>
      </c>
      <c r="E11886" t="s">
        <v>8636</v>
      </c>
      <c r="F11886">
        <v>38.770000000000003</v>
      </c>
      <c r="G11886">
        <v>35.494999999999997</v>
      </c>
      <c r="H11886">
        <v>3</v>
      </c>
      <c r="I11886">
        <v>1055.5</v>
      </c>
      <c r="J11886" t="str">
        <f>HYPERLINK("https://climate.onebuilding.org/WMO_Region_6_Europe/TUR_Turkey/KS_Kastamonu/TUR_KS_Erkilet-Kayseri.AP.171950_TMYx.2004-2018.zip")</f>
        <v>https://climate.onebuilding.org/WMO_Region_6_Europe/TUR_Turkey/KS_Kastamonu/TUR_KS_Erkilet-Kayseri.AP.171950_TMYx.2004-2018.zip</v>
      </c>
    </row>
    <row r="11887" spans="1:10" x14ac:dyDescent="0.25">
      <c r="A11887" t="s">
        <v>8459</v>
      </c>
      <c r="B11887" t="s">
        <v>8466</v>
      </c>
      <c r="C11887" t="s">
        <v>8635</v>
      </c>
      <c r="D11887">
        <v>171950</v>
      </c>
      <c r="E11887" t="s">
        <v>14</v>
      </c>
      <c r="F11887">
        <v>38.773000000000003</v>
      </c>
      <c r="G11887">
        <v>35.491</v>
      </c>
      <c r="H11887">
        <v>3</v>
      </c>
      <c r="I11887">
        <v>1055.5</v>
      </c>
      <c r="J11887" t="str">
        <f>HYPERLINK("https://climate.onebuilding.org/WMO_Region_6_Europe/TUR_Turkey/KS_Kastamonu/TUR_KS_Erkilet-Kayseri.AP.171950_TMYx.2007-2021.zip")</f>
        <v>https://climate.onebuilding.org/WMO_Region_6_Europe/TUR_Turkey/KS_Kastamonu/TUR_KS_Erkilet-Kayseri.AP.171950_TMYx.2007-2021.zip</v>
      </c>
    </row>
    <row r="11888" spans="1:10" x14ac:dyDescent="0.25">
      <c r="A11888" t="s">
        <v>8459</v>
      </c>
      <c r="B11888" t="s">
        <v>8466</v>
      </c>
      <c r="C11888" t="s">
        <v>8635</v>
      </c>
      <c r="D11888">
        <v>171950</v>
      </c>
      <c r="E11888" t="s">
        <v>14</v>
      </c>
      <c r="F11888">
        <v>38.773000000000003</v>
      </c>
      <c r="G11888">
        <v>35.491</v>
      </c>
      <c r="H11888">
        <v>3</v>
      </c>
      <c r="I11888">
        <v>1055.5</v>
      </c>
      <c r="J11888" t="str">
        <f>HYPERLINK("https://climate.onebuilding.org/WMO_Region_6_Europe/TUR_Turkey/KS_Kastamonu/TUR_KS_Erkilet-Kayseri.AP.171950_TMYx.2009-2023.zip")</f>
        <v>https://climate.onebuilding.org/WMO_Region_6_Europe/TUR_Turkey/KS_Kastamonu/TUR_KS_Erkilet-Kayseri.AP.171950_TMYx.2009-2023.zip</v>
      </c>
    </row>
    <row r="11889" spans="1:10" x14ac:dyDescent="0.25">
      <c r="A11889" t="s">
        <v>8459</v>
      </c>
      <c r="B11889" t="s">
        <v>8466</v>
      </c>
      <c r="C11889" t="s">
        <v>8635</v>
      </c>
      <c r="D11889">
        <v>171950</v>
      </c>
      <c r="E11889" t="s">
        <v>14</v>
      </c>
      <c r="F11889">
        <v>38.773000000000003</v>
      </c>
      <c r="G11889">
        <v>35.491</v>
      </c>
      <c r="H11889">
        <v>3</v>
      </c>
      <c r="I11889">
        <v>1055.5</v>
      </c>
      <c r="J11889" t="str">
        <f>HYPERLINK("https://climate.onebuilding.org/WMO_Region_6_Europe/TUR_Turkey/KS_Kastamonu/TUR_KS_Erkilet-Kayseri.AP.171950_TMYx.zip")</f>
        <v>https://climate.onebuilding.org/WMO_Region_6_Europe/TUR_Turkey/KS_Kastamonu/TUR_KS_Erkilet-Kayseri.AP.171950_TMYx.zip</v>
      </c>
    </row>
    <row r="11890" spans="1:10" x14ac:dyDescent="0.25">
      <c r="A11890" t="s">
        <v>8459</v>
      </c>
      <c r="B11890" t="s">
        <v>5403</v>
      </c>
      <c r="C11890" t="s">
        <v>8637</v>
      </c>
      <c r="D11890">
        <v>171970</v>
      </c>
      <c r="E11890" t="s">
        <v>8638</v>
      </c>
      <c r="F11890">
        <v>38.353999999999999</v>
      </c>
      <c r="G11890">
        <v>38.253999999999998</v>
      </c>
      <c r="H11890">
        <v>3</v>
      </c>
      <c r="I11890">
        <v>919.3</v>
      </c>
      <c r="J11890" t="str">
        <f>HYPERLINK("https://climate.onebuilding.org/WMO_Region_6_Europe/TUR_Turkey/ML_Malatya/TUR_ML_Tulga.AP.171970_TMYx.2004-2018.zip")</f>
        <v>https://climate.onebuilding.org/WMO_Region_6_Europe/TUR_Turkey/ML_Malatya/TUR_ML_Tulga.AP.171970_TMYx.2004-2018.zip</v>
      </c>
    </row>
    <row r="11891" spans="1:10" x14ac:dyDescent="0.25">
      <c r="A11891" t="s">
        <v>8459</v>
      </c>
      <c r="B11891" t="s">
        <v>5403</v>
      </c>
      <c r="C11891" t="s">
        <v>8637</v>
      </c>
      <c r="D11891">
        <v>171970</v>
      </c>
      <c r="E11891" t="s">
        <v>14</v>
      </c>
      <c r="F11891">
        <v>38.35</v>
      </c>
      <c r="G11891">
        <v>38.25</v>
      </c>
      <c r="H11891">
        <v>3</v>
      </c>
      <c r="I11891">
        <v>919.3</v>
      </c>
      <c r="J11891" t="str">
        <f>HYPERLINK("https://climate.onebuilding.org/WMO_Region_6_Europe/TUR_Turkey/ML_Malatya/TUR_ML_Tulga.AP.171970_TMYx.2007-2021.zip")</f>
        <v>https://climate.onebuilding.org/WMO_Region_6_Europe/TUR_Turkey/ML_Malatya/TUR_ML_Tulga.AP.171970_TMYx.2007-2021.zip</v>
      </c>
    </row>
    <row r="11892" spans="1:10" x14ac:dyDescent="0.25">
      <c r="A11892" t="s">
        <v>8459</v>
      </c>
      <c r="B11892" t="s">
        <v>5403</v>
      </c>
      <c r="C11892" t="s">
        <v>8637</v>
      </c>
      <c r="D11892">
        <v>171970</v>
      </c>
      <c r="E11892" t="s">
        <v>14</v>
      </c>
      <c r="F11892">
        <v>38.35</v>
      </c>
      <c r="G11892">
        <v>38.25</v>
      </c>
      <c r="H11892">
        <v>3</v>
      </c>
      <c r="I11892">
        <v>919.3</v>
      </c>
      <c r="J11892" t="str">
        <f>HYPERLINK("https://climate.onebuilding.org/WMO_Region_6_Europe/TUR_Turkey/ML_Malatya/TUR_ML_Tulga.AP.171970_TMYx.2009-2023.zip")</f>
        <v>https://climate.onebuilding.org/WMO_Region_6_Europe/TUR_Turkey/ML_Malatya/TUR_ML_Tulga.AP.171970_TMYx.2009-2023.zip</v>
      </c>
    </row>
    <row r="11893" spans="1:10" x14ac:dyDescent="0.25">
      <c r="A11893" t="s">
        <v>8459</v>
      </c>
      <c r="B11893" t="s">
        <v>5403</v>
      </c>
      <c r="C11893" t="s">
        <v>8637</v>
      </c>
      <c r="D11893">
        <v>171970</v>
      </c>
      <c r="E11893" t="s">
        <v>14</v>
      </c>
      <c r="F11893">
        <v>38.35</v>
      </c>
      <c r="G11893">
        <v>38.25</v>
      </c>
      <c r="H11893">
        <v>3</v>
      </c>
      <c r="I11893">
        <v>919.3</v>
      </c>
      <c r="J11893" t="str">
        <f>HYPERLINK("https://climate.onebuilding.org/WMO_Region_6_Europe/TUR_Turkey/ML_Malatya/TUR_ML_Tulga.AP.171970_TMYx.zip")</f>
        <v>https://climate.onebuilding.org/WMO_Region_6_Europe/TUR_Turkey/ML_Malatya/TUR_ML_Tulga.AP.171970_TMYx.zip</v>
      </c>
    </row>
    <row r="11894" spans="1:10" x14ac:dyDescent="0.25">
      <c r="A11894" t="s">
        <v>8459</v>
      </c>
      <c r="B11894" t="s">
        <v>5403</v>
      </c>
      <c r="C11894" t="s">
        <v>8639</v>
      </c>
      <c r="D11894">
        <v>171990</v>
      </c>
      <c r="E11894" t="s">
        <v>8640</v>
      </c>
      <c r="F11894">
        <v>38.35</v>
      </c>
      <c r="G11894">
        <v>38.317</v>
      </c>
      <c r="H11894">
        <v>3</v>
      </c>
      <c r="I11894">
        <v>948</v>
      </c>
      <c r="J11894" t="str">
        <f>HYPERLINK("https://climate.onebuilding.org/WMO_Region_6_Europe/TUR_Turkey/ML_Malatya/TUR_ML_Malatya-Bolge.171990_TMYx.2004-2018.zip")</f>
        <v>https://climate.onebuilding.org/WMO_Region_6_Europe/TUR_Turkey/ML_Malatya/TUR_ML_Malatya-Bolge.171990_TMYx.2004-2018.zip</v>
      </c>
    </row>
    <row r="11895" spans="1:10" x14ac:dyDescent="0.25">
      <c r="A11895" t="s">
        <v>8459</v>
      </c>
      <c r="B11895" t="s">
        <v>5403</v>
      </c>
      <c r="C11895" t="s">
        <v>8639</v>
      </c>
      <c r="D11895">
        <v>171990</v>
      </c>
      <c r="E11895" t="s">
        <v>14</v>
      </c>
      <c r="F11895">
        <v>38.35</v>
      </c>
      <c r="G11895">
        <v>38.316670000000002</v>
      </c>
      <c r="H11895">
        <v>3</v>
      </c>
      <c r="I11895">
        <v>948</v>
      </c>
      <c r="J11895" t="str">
        <f>HYPERLINK("https://climate.onebuilding.org/WMO_Region_6_Europe/TUR_Turkey/ML_Malatya/TUR_ML_Malatya-Bolge.171990_TMYx.2007-2021.zip")</f>
        <v>https://climate.onebuilding.org/WMO_Region_6_Europe/TUR_Turkey/ML_Malatya/TUR_ML_Malatya-Bolge.171990_TMYx.2007-2021.zip</v>
      </c>
    </row>
    <row r="11896" spans="1:10" x14ac:dyDescent="0.25">
      <c r="A11896" t="s">
        <v>8459</v>
      </c>
      <c r="B11896" t="s">
        <v>5403</v>
      </c>
      <c r="C11896" t="s">
        <v>8639</v>
      </c>
      <c r="D11896">
        <v>171990</v>
      </c>
      <c r="E11896" t="s">
        <v>14</v>
      </c>
      <c r="F11896">
        <v>38.35</v>
      </c>
      <c r="G11896">
        <v>38.316670000000002</v>
      </c>
      <c r="H11896">
        <v>3</v>
      </c>
      <c r="I11896">
        <v>948</v>
      </c>
      <c r="J11896" t="str">
        <f>HYPERLINK("https://climate.onebuilding.org/WMO_Region_6_Europe/TUR_Turkey/ML_Malatya/TUR_ML_Malatya-Bolge.171990_TMYx.2009-2023.zip")</f>
        <v>https://climate.onebuilding.org/WMO_Region_6_Europe/TUR_Turkey/ML_Malatya/TUR_ML_Malatya-Bolge.171990_TMYx.2009-2023.zip</v>
      </c>
    </row>
    <row r="11897" spans="1:10" x14ac:dyDescent="0.25">
      <c r="A11897" t="s">
        <v>8459</v>
      </c>
      <c r="B11897" t="s">
        <v>5403</v>
      </c>
      <c r="C11897" t="s">
        <v>8639</v>
      </c>
      <c r="D11897">
        <v>171990</v>
      </c>
      <c r="E11897" t="s">
        <v>14</v>
      </c>
      <c r="F11897">
        <v>38.35</v>
      </c>
      <c r="G11897">
        <v>38.316670000000002</v>
      </c>
      <c r="H11897">
        <v>3</v>
      </c>
      <c r="I11897">
        <v>948</v>
      </c>
      <c r="J11897" t="str">
        <f>HYPERLINK("https://climate.onebuilding.org/WMO_Region_6_Europe/TUR_Turkey/ML_Malatya/TUR_ML_Malatya-Bolge.171990_TMYx.zip")</f>
        <v>https://climate.onebuilding.org/WMO_Region_6_Europe/TUR_Turkey/ML_Malatya/TUR_ML_Malatya-Bolge.171990_TMYx.zip</v>
      </c>
    </row>
    <row r="11898" spans="1:10" x14ac:dyDescent="0.25">
      <c r="A11898" t="s">
        <v>8459</v>
      </c>
      <c r="B11898" t="s">
        <v>5403</v>
      </c>
      <c r="C11898" t="s">
        <v>8641</v>
      </c>
      <c r="D11898">
        <v>172000</v>
      </c>
      <c r="E11898" t="s">
        <v>8642</v>
      </c>
      <c r="F11898">
        <v>38.435000000000002</v>
      </c>
      <c r="G11898">
        <v>38.091000000000001</v>
      </c>
      <c r="H11898">
        <v>3</v>
      </c>
      <c r="I11898">
        <v>862</v>
      </c>
      <c r="J11898" t="str">
        <f>HYPERLINK("https://climate.onebuilding.org/WMO_Region_6_Europe/TUR_Turkey/ML_Malatya/TUR_ML_Malatya-Erhac.AP.172000_TMYx.2004-2018.zip")</f>
        <v>https://climate.onebuilding.org/WMO_Region_6_Europe/TUR_Turkey/ML_Malatya/TUR_ML_Malatya-Erhac.AP.172000_TMYx.2004-2018.zip</v>
      </c>
    </row>
    <row r="11899" spans="1:10" x14ac:dyDescent="0.25">
      <c r="A11899" t="s">
        <v>8459</v>
      </c>
      <c r="B11899" t="s">
        <v>5403</v>
      </c>
      <c r="C11899" t="s">
        <v>8641</v>
      </c>
      <c r="D11899">
        <v>172000</v>
      </c>
      <c r="E11899" t="s">
        <v>14</v>
      </c>
      <c r="F11899">
        <v>38.433999999999997</v>
      </c>
      <c r="G11899">
        <v>38.093000000000004</v>
      </c>
      <c r="H11899">
        <v>3</v>
      </c>
      <c r="I11899">
        <v>862</v>
      </c>
      <c r="J11899" t="str">
        <f>HYPERLINK("https://climate.onebuilding.org/WMO_Region_6_Europe/TUR_Turkey/ML_Malatya/TUR_ML_Malatya-Erhac.AP.172000_TMYx.2007-2021.zip")</f>
        <v>https://climate.onebuilding.org/WMO_Region_6_Europe/TUR_Turkey/ML_Malatya/TUR_ML_Malatya-Erhac.AP.172000_TMYx.2007-2021.zip</v>
      </c>
    </row>
    <row r="11900" spans="1:10" x14ac:dyDescent="0.25">
      <c r="A11900" t="s">
        <v>8459</v>
      </c>
      <c r="B11900" t="s">
        <v>5403</v>
      </c>
      <c r="C11900" t="s">
        <v>8641</v>
      </c>
      <c r="D11900">
        <v>172000</v>
      </c>
      <c r="E11900" t="s">
        <v>14</v>
      </c>
      <c r="F11900">
        <v>38.433999999999997</v>
      </c>
      <c r="G11900">
        <v>38.093000000000004</v>
      </c>
      <c r="H11900">
        <v>3</v>
      </c>
      <c r="I11900">
        <v>862</v>
      </c>
      <c r="J11900" t="str">
        <f>HYPERLINK("https://climate.onebuilding.org/WMO_Region_6_Europe/TUR_Turkey/ML_Malatya/TUR_ML_Malatya-Erhac.AP.172000_TMYx.2009-2023.zip")</f>
        <v>https://climate.onebuilding.org/WMO_Region_6_Europe/TUR_Turkey/ML_Malatya/TUR_ML_Malatya-Erhac.AP.172000_TMYx.2009-2023.zip</v>
      </c>
    </row>
    <row r="11901" spans="1:10" x14ac:dyDescent="0.25">
      <c r="A11901" t="s">
        <v>8459</v>
      </c>
      <c r="B11901" t="s">
        <v>5403</v>
      </c>
      <c r="C11901" t="s">
        <v>8641</v>
      </c>
      <c r="D11901">
        <v>172000</v>
      </c>
      <c r="E11901" t="s">
        <v>14</v>
      </c>
      <c r="F11901">
        <v>38.433999999999997</v>
      </c>
      <c r="G11901">
        <v>38.093000000000004</v>
      </c>
      <c r="H11901">
        <v>3</v>
      </c>
      <c r="I11901">
        <v>862</v>
      </c>
      <c r="J11901" t="str">
        <f>HYPERLINK("https://climate.onebuilding.org/WMO_Region_6_Europe/TUR_Turkey/ML_Malatya/TUR_ML_Malatya-Erhac.AP.172000_TMYx.zip")</f>
        <v>https://climate.onebuilding.org/WMO_Region_6_Europe/TUR_Turkey/ML_Malatya/TUR_ML_Malatya-Erhac.AP.172000_TMYx.zip</v>
      </c>
    </row>
    <row r="11902" spans="1:10" x14ac:dyDescent="0.25">
      <c r="A11902" t="s">
        <v>8459</v>
      </c>
      <c r="B11902" t="s">
        <v>8510</v>
      </c>
      <c r="C11902" t="s">
        <v>8643</v>
      </c>
      <c r="D11902">
        <v>172005</v>
      </c>
      <c r="E11902" t="s">
        <v>8644</v>
      </c>
      <c r="F11902">
        <v>40.734999999999999</v>
      </c>
      <c r="G11902">
        <v>30.082999999999998</v>
      </c>
      <c r="H11902">
        <v>3</v>
      </c>
      <c r="I11902">
        <v>55.5</v>
      </c>
      <c r="J11902" t="str">
        <f>HYPERLINK("https://climate.onebuilding.org/WMO_Region_6_Europe/TUR_Turkey/KC_Kocaeli/TUR_KC_Cengiz-Topel.AP.172005_TMYx.2004-2018.zip")</f>
        <v>https://climate.onebuilding.org/WMO_Region_6_Europe/TUR_Turkey/KC_Kocaeli/TUR_KC_Cengiz-Topel.AP.172005_TMYx.2004-2018.zip</v>
      </c>
    </row>
    <row r="11903" spans="1:10" x14ac:dyDescent="0.25">
      <c r="A11903" t="s">
        <v>8459</v>
      </c>
      <c r="B11903" t="s">
        <v>8510</v>
      </c>
      <c r="C11903" t="s">
        <v>8643</v>
      </c>
      <c r="D11903">
        <v>172005</v>
      </c>
      <c r="E11903" t="s">
        <v>14</v>
      </c>
      <c r="F11903">
        <v>40.734999999999999</v>
      </c>
      <c r="G11903">
        <v>30.082999999999998</v>
      </c>
      <c r="H11903">
        <v>3</v>
      </c>
      <c r="I11903">
        <v>55.5</v>
      </c>
      <c r="J11903" t="str">
        <f>HYPERLINK("https://climate.onebuilding.org/WMO_Region_6_Europe/TUR_Turkey/KC_Kocaeli/TUR_KC_Cengiz-Topel.AP.172005_TMYx.2007-2021.zip")</f>
        <v>https://climate.onebuilding.org/WMO_Region_6_Europe/TUR_Turkey/KC_Kocaeli/TUR_KC_Cengiz-Topel.AP.172005_TMYx.2007-2021.zip</v>
      </c>
    </row>
    <row r="11904" spans="1:10" x14ac:dyDescent="0.25">
      <c r="A11904" t="s">
        <v>8459</v>
      </c>
      <c r="B11904" t="s">
        <v>8510</v>
      </c>
      <c r="C11904" t="s">
        <v>8643</v>
      </c>
      <c r="D11904">
        <v>172005</v>
      </c>
      <c r="E11904" t="s">
        <v>14</v>
      </c>
      <c r="F11904">
        <v>40.734999999999999</v>
      </c>
      <c r="G11904">
        <v>30.082999999999998</v>
      </c>
      <c r="H11904">
        <v>3</v>
      </c>
      <c r="I11904">
        <v>55.5</v>
      </c>
      <c r="J11904" t="str">
        <f>HYPERLINK("https://climate.onebuilding.org/WMO_Region_6_Europe/TUR_Turkey/KC_Kocaeli/TUR_KC_Cengiz-Topel.AP.172005_TMYx.2009-2023.zip")</f>
        <v>https://climate.onebuilding.org/WMO_Region_6_Europe/TUR_Turkey/KC_Kocaeli/TUR_KC_Cengiz-Topel.AP.172005_TMYx.2009-2023.zip</v>
      </c>
    </row>
    <row r="11905" spans="1:10" x14ac:dyDescent="0.25">
      <c r="A11905" t="s">
        <v>8459</v>
      </c>
      <c r="B11905" t="s">
        <v>8510</v>
      </c>
      <c r="C11905" t="s">
        <v>8643</v>
      </c>
      <c r="D11905">
        <v>172005</v>
      </c>
      <c r="E11905" t="s">
        <v>14</v>
      </c>
      <c r="F11905">
        <v>40.734999999999999</v>
      </c>
      <c r="G11905">
        <v>30.082999999999998</v>
      </c>
      <c r="H11905">
        <v>3</v>
      </c>
      <c r="I11905">
        <v>55.5</v>
      </c>
      <c r="J11905" t="str">
        <f>HYPERLINK("https://climate.onebuilding.org/WMO_Region_6_Europe/TUR_Turkey/KC_Kocaeli/TUR_KC_Cengiz-Topel.AP.172005_TMYx.zip")</f>
        <v>https://climate.onebuilding.org/WMO_Region_6_Europe/TUR_Turkey/KC_Kocaeli/TUR_KC_Cengiz-Topel.AP.172005_TMYx.zip</v>
      </c>
    </row>
    <row r="11906" spans="1:10" x14ac:dyDescent="0.25">
      <c r="A11906" t="s">
        <v>8459</v>
      </c>
      <c r="B11906" t="s">
        <v>8573</v>
      </c>
      <c r="C11906" t="s">
        <v>8645</v>
      </c>
      <c r="D11906">
        <v>172006</v>
      </c>
      <c r="E11906" t="s">
        <v>8646</v>
      </c>
      <c r="F11906">
        <v>39.81</v>
      </c>
      <c r="G11906">
        <v>30.518999999999998</v>
      </c>
      <c r="H11906">
        <v>3</v>
      </c>
      <c r="I11906">
        <v>788.8</v>
      </c>
      <c r="J11906" t="str">
        <f>HYPERLINK("https://climate.onebuilding.org/WMO_Region_6_Europe/TUR_Turkey/ES_Eskisehir/TUR_ES_Eskisehir-Anadolu.AP.172006_TMYx.2004-2018.zip")</f>
        <v>https://climate.onebuilding.org/WMO_Region_6_Europe/TUR_Turkey/ES_Eskisehir/TUR_ES_Eskisehir-Anadolu.AP.172006_TMYx.2004-2018.zip</v>
      </c>
    </row>
    <row r="11907" spans="1:10" x14ac:dyDescent="0.25">
      <c r="A11907" t="s">
        <v>8459</v>
      </c>
      <c r="B11907" t="s">
        <v>8573</v>
      </c>
      <c r="C11907" t="s">
        <v>8645</v>
      </c>
      <c r="D11907">
        <v>172006</v>
      </c>
      <c r="E11907" t="s">
        <v>14</v>
      </c>
      <c r="F11907">
        <v>39.81</v>
      </c>
      <c r="G11907">
        <v>30.518999999999998</v>
      </c>
      <c r="H11907">
        <v>3</v>
      </c>
      <c r="I11907">
        <v>788.8</v>
      </c>
      <c r="J11907" t="str">
        <f>HYPERLINK("https://climate.onebuilding.org/WMO_Region_6_Europe/TUR_Turkey/ES_Eskisehir/TUR_ES_Eskisehir-Anadolu.AP.172006_TMYx.2007-2021.zip")</f>
        <v>https://climate.onebuilding.org/WMO_Region_6_Europe/TUR_Turkey/ES_Eskisehir/TUR_ES_Eskisehir-Anadolu.AP.172006_TMYx.2007-2021.zip</v>
      </c>
    </row>
    <row r="11908" spans="1:10" x14ac:dyDescent="0.25">
      <c r="A11908" t="s">
        <v>8459</v>
      </c>
      <c r="B11908" t="s">
        <v>8573</v>
      </c>
      <c r="C11908" t="s">
        <v>8645</v>
      </c>
      <c r="D11908">
        <v>172006</v>
      </c>
      <c r="E11908" t="s">
        <v>14</v>
      </c>
      <c r="F11908">
        <v>39.81</v>
      </c>
      <c r="G11908">
        <v>30.518999999999998</v>
      </c>
      <c r="H11908">
        <v>3</v>
      </c>
      <c r="I11908">
        <v>788.8</v>
      </c>
      <c r="J11908" t="str">
        <f>HYPERLINK("https://climate.onebuilding.org/WMO_Region_6_Europe/TUR_Turkey/ES_Eskisehir/TUR_ES_Eskisehir-Anadolu.AP.172006_TMYx.2009-2023.zip")</f>
        <v>https://climate.onebuilding.org/WMO_Region_6_Europe/TUR_Turkey/ES_Eskisehir/TUR_ES_Eskisehir-Anadolu.AP.172006_TMYx.2009-2023.zip</v>
      </c>
    </row>
    <row r="11909" spans="1:10" x14ac:dyDescent="0.25">
      <c r="A11909" t="s">
        <v>8459</v>
      </c>
      <c r="B11909" t="s">
        <v>8573</v>
      </c>
      <c r="C11909" t="s">
        <v>8645</v>
      </c>
      <c r="D11909">
        <v>172006</v>
      </c>
      <c r="E11909" t="s">
        <v>14</v>
      </c>
      <c r="F11909">
        <v>39.81</v>
      </c>
      <c r="G11909">
        <v>30.518999999999998</v>
      </c>
      <c r="H11909">
        <v>3</v>
      </c>
      <c r="I11909">
        <v>788.8</v>
      </c>
      <c r="J11909" t="str">
        <f>HYPERLINK("https://climate.onebuilding.org/WMO_Region_6_Europe/TUR_Turkey/ES_Eskisehir/TUR_ES_Eskisehir-Anadolu.AP.172006_TMYx.zip")</f>
        <v>https://climate.onebuilding.org/WMO_Region_6_Europe/TUR_Turkey/ES_Eskisehir/TUR_ES_Eskisehir-Anadolu.AP.172006_TMYx.zip</v>
      </c>
    </row>
    <row r="11910" spans="1:10" x14ac:dyDescent="0.25">
      <c r="A11910" t="s">
        <v>8459</v>
      </c>
      <c r="B11910" t="s">
        <v>8647</v>
      </c>
      <c r="C11910" t="s">
        <v>8648</v>
      </c>
      <c r="D11910">
        <v>172020</v>
      </c>
      <c r="E11910" t="s">
        <v>8649</v>
      </c>
      <c r="F11910">
        <v>38.606999999999999</v>
      </c>
      <c r="G11910">
        <v>39.290999999999997</v>
      </c>
      <c r="H11910">
        <v>3</v>
      </c>
      <c r="I11910">
        <v>892.1</v>
      </c>
      <c r="J11910" t="str">
        <f>HYPERLINK("https://climate.onebuilding.org/WMO_Region_6_Europe/TUR_Turkey/EG_Elazig/TUR_EG_Elazig.AP.172020_TMYx.2004-2018.zip")</f>
        <v>https://climate.onebuilding.org/WMO_Region_6_Europe/TUR_Turkey/EG_Elazig/TUR_EG_Elazig.AP.172020_TMYx.2004-2018.zip</v>
      </c>
    </row>
    <row r="11911" spans="1:10" x14ac:dyDescent="0.25">
      <c r="A11911" t="s">
        <v>8459</v>
      </c>
      <c r="B11911" t="s">
        <v>8647</v>
      </c>
      <c r="C11911" t="s">
        <v>8648</v>
      </c>
      <c r="D11911">
        <v>172020</v>
      </c>
      <c r="E11911" t="s">
        <v>14</v>
      </c>
      <c r="F11911">
        <v>38.606000000000002</v>
      </c>
      <c r="G11911">
        <v>39.296999999999997</v>
      </c>
      <c r="H11911">
        <v>3</v>
      </c>
      <c r="I11911">
        <v>892.1</v>
      </c>
      <c r="J11911" t="str">
        <f>HYPERLINK("https://climate.onebuilding.org/WMO_Region_6_Europe/TUR_Turkey/EG_Elazig/TUR_EG_Elazig.AP.172020_TMYx.2007-2021.zip")</f>
        <v>https://climate.onebuilding.org/WMO_Region_6_Europe/TUR_Turkey/EG_Elazig/TUR_EG_Elazig.AP.172020_TMYx.2007-2021.zip</v>
      </c>
    </row>
    <row r="11912" spans="1:10" x14ac:dyDescent="0.25">
      <c r="A11912" t="s">
        <v>8459</v>
      </c>
      <c r="B11912" t="s">
        <v>8647</v>
      </c>
      <c r="C11912" t="s">
        <v>8648</v>
      </c>
      <c r="D11912">
        <v>172020</v>
      </c>
      <c r="E11912" t="s">
        <v>14</v>
      </c>
      <c r="F11912">
        <v>38.606000000000002</v>
      </c>
      <c r="G11912">
        <v>39.296999999999997</v>
      </c>
      <c r="H11912">
        <v>3</v>
      </c>
      <c r="I11912">
        <v>892.1</v>
      </c>
      <c r="J11912" t="str">
        <f>HYPERLINK("https://climate.onebuilding.org/WMO_Region_6_Europe/TUR_Turkey/EG_Elazig/TUR_EG_Elazig.AP.172020_TMYx.2009-2023.zip")</f>
        <v>https://climate.onebuilding.org/WMO_Region_6_Europe/TUR_Turkey/EG_Elazig/TUR_EG_Elazig.AP.172020_TMYx.2009-2023.zip</v>
      </c>
    </row>
    <row r="11913" spans="1:10" x14ac:dyDescent="0.25">
      <c r="A11913" t="s">
        <v>8459</v>
      </c>
      <c r="B11913" t="s">
        <v>8647</v>
      </c>
      <c r="C11913" t="s">
        <v>8648</v>
      </c>
      <c r="D11913">
        <v>172020</v>
      </c>
      <c r="E11913" t="s">
        <v>14</v>
      </c>
      <c r="F11913">
        <v>38.606000000000002</v>
      </c>
      <c r="G11913">
        <v>39.296999999999997</v>
      </c>
      <c r="H11913">
        <v>3</v>
      </c>
      <c r="I11913">
        <v>892.1</v>
      </c>
      <c r="J11913" t="str">
        <f>HYPERLINK("https://climate.onebuilding.org/WMO_Region_6_Europe/TUR_Turkey/EG_Elazig/TUR_EG_Elazig.AP.172020_TMYx.zip")</f>
        <v>https://climate.onebuilding.org/WMO_Region_6_Europe/TUR_Turkey/EG_Elazig/TUR_EG_Elazig.AP.172020_TMYx.zip</v>
      </c>
    </row>
    <row r="11914" spans="1:10" x14ac:dyDescent="0.25">
      <c r="A11914" t="s">
        <v>8459</v>
      </c>
      <c r="B11914" t="s">
        <v>8650</v>
      </c>
      <c r="C11914" t="s">
        <v>8651</v>
      </c>
      <c r="D11914">
        <v>172030</v>
      </c>
      <c r="E11914" t="s">
        <v>8652</v>
      </c>
      <c r="F11914">
        <v>38.866999999999997</v>
      </c>
      <c r="G11914">
        <v>40.5</v>
      </c>
      <c r="H11914">
        <v>3</v>
      </c>
      <c r="I11914">
        <v>1177</v>
      </c>
      <c r="J11914" t="str">
        <f>HYPERLINK("https://climate.onebuilding.org/WMO_Region_6_Europe/TUR_Turkey/BG_Bingol/TUR_BG_Bingol.172030_TMYx.2004-2018.zip")</f>
        <v>https://climate.onebuilding.org/WMO_Region_6_Europe/TUR_Turkey/BG_Bingol/TUR_BG_Bingol.172030_TMYx.2004-2018.zip</v>
      </c>
    </row>
    <row r="11915" spans="1:10" x14ac:dyDescent="0.25">
      <c r="A11915" t="s">
        <v>8459</v>
      </c>
      <c r="B11915" t="s">
        <v>8650</v>
      </c>
      <c r="C11915" t="s">
        <v>8651</v>
      </c>
      <c r="D11915">
        <v>172030</v>
      </c>
      <c r="E11915" t="s">
        <v>14</v>
      </c>
      <c r="F11915">
        <v>38.884999999999998</v>
      </c>
      <c r="G11915">
        <v>40.500999999999998</v>
      </c>
      <c r="H11915">
        <v>3</v>
      </c>
      <c r="I11915">
        <v>1177</v>
      </c>
      <c r="J11915" t="str">
        <f>HYPERLINK("https://climate.onebuilding.org/WMO_Region_6_Europe/TUR_Turkey/BG_Bingol/TUR_BG_Bingol.172030_TMYx.2007-2021.zip")</f>
        <v>https://climate.onebuilding.org/WMO_Region_6_Europe/TUR_Turkey/BG_Bingol/TUR_BG_Bingol.172030_TMYx.2007-2021.zip</v>
      </c>
    </row>
    <row r="11916" spans="1:10" x14ac:dyDescent="0.25">
      <c r="A11916" t="s">
        <v>8459</v>
      </c>
      <c r="B11916" t="s">
        <v>8650</v>
      </c>
      <c r="C11916" t="s">
        <v>8651</v>
      </c>
      <c r="D11916">
        <v>172030</v>
      </c>
      <c r="E11916" t="s">
        <v>14</v>
      </c>
      <c r="F11916">
        <v>38.884999999999998</v>
      </c>
      <c r="G11916">
        <v>40.500999999999998</v>
      </c>
      <c r="H11916">
        <v>3</v>
      </c>
      <c r="I11916">
        <v>1177</v>
      </c>
      <c r="J11916" t="str">
        <f>HYPERLINK("https://climate.onebuilding.org/WMO_Region_6_Europe/TUR_Turkey/BG_Bingol/TUR_BG_Bingol.172030_TMYx.2009-2023.zip")</f>
        <v>https://climate.onebuilding.org/WMO_Region_6_Europe/TUR_Turkey/BG_Bingol/TUR_BG_Bingol.172030_TMYx.2009-2023.zip</v>
      </c>
    </row>
    <row r="11917" spans="1:10" x14ac:dyDescent="0.25">
      <c r="A11917" t="s">
        <v>8459</v>
      </c>
      <c r="B11917" t="s">
        <v>8650</v>
      </c>
      <c r="C11917" t="s">
        <v>8651</v>
      </c>
      <c r="D11917">
        <v>172030</v>
      </c>
      <c r="E11917" t="s">
        <v>14</v>
      </c>
      <c r="F11917">
        <v>38.884999999999998</v>
      </c>
      <c r="G11917">
        <v>40.500999999999998</v>
      </c>
      <c r="H11917">
        <v>3</v>
      </c>
      <c r="I11917">
        <v>1177</v>
      </c>
      <c r="J11917" t="str">
        <f>HYPERLINK("https://climate.onebuilding.org/WMO_Region_6_Europe/TUR_Turkey/BG_Bingol/TUR_BG_Bingol.172030_TMYx.zip")</f>
        <v>https://climate.onebuilding.org/WMO_Region_6_Europe/TUR_Turkey/BG_Bingol/TUR_BG_Bingol.172030_TMYx.zip</v>
      </c>
    </row>
    <row r="11918" spans="1:10" x14ac:dyDescent="0.25">
      <c r="A11918" t="s">
        <v>8459</v>
      </c>
      <c r="B11918" t="s">
        <v>7192</v>
      </c>
      <c r="C11918" t="s">
        <v>8653</v>
      </c>
      <c r="D11918">
        <v>172040</v>
      </c>
      <c r="E11918" t="s">
        <v>8654</v>
      </c>
      <c r="F11918">
        <v>38.732999999999997</v>
      </c>
      <c r="G11918">
        <v>41.517000000000003</v>
      </c>
      <c r="H11918">
        <v>3</v>
      </c>
      <c r="I11918">
        <v>1320</v>
      </c>
      <c r="J11918" t="str">
        <f>HYPERLINK("https://climate.onebuilding.org/WMO_Region_6_Europe/TUR_Turkey/MS_Mus/TUR_MS_Mus.172040_TMYx.2004-2018.zip")</f>
        <v>https://climate.onebuilding.org/WMO_Region_6_Europe/TUR_Turkey/MS_Mus/TUR_MS_Mus.172040_TMYx.2004-2018.zip</v>
      </c>
    </row>
    <row r="11919" spans="1:10" x14ac:dyDescent="0.25">
      <c r="A11919" t="s">
        <v>8459</v>
      </c>
      <c r="B11919" t="s">
        <v>7192</v>
      </c>
      <c r="C11919" t="s">
        <v>8653</v>
      </c>
      <c r="D11919">
        <v>172040</v>
      </c>
      <c r="E11919" t="s">
        <v>14</v>
      </c>
      <c r="F11919">
        <v>38.750830000000001</v>
      </c>
      <c r="G11919">
        <v>41.502220000000001</v>
      </c>
      <c r="H11919">
        <v>3</v>
      </c>
      <c r="I11919">
        <v>1320</v>
      </c>
      <c r="J11919" t="str">
        <f>HYPERLINK("https://climate.onebuilding.org/WMO_Region_6_Europe/TUR_Turkey/MS_Mus/TUR_MS_Mus.172040_TMYx.2007-2021.zip")</f>
        <v>https://climate.onebuilding.org/WMO_Region_6_Europe/TUR_Turkey/MS_Mus/TUR_MS_Mus.172040_TMYx.2007-2021.zip</v>
      </c>
    </row>
    <row r="11920" spans="1:10" x14ac:dyDescent="0.25">
      <c r="A11920" t="s">
        <v>8459</v>
      </c>
      <c r="B11920" t="s">
        <v>7192</v>
      </c>
      <c r="C11920" t="s">
        <v>8653</v>
      </c>
      <c r="D11920">
        <v>172040</v>
      </c>
      <c r="E11920" t="s">
        <v>14</v>
      </c>
      <c r="F11920">
        <v>38.750830000000001</v>
      </c>
      <c r="G11920">
        <v>41.502220000000001</v>
      </c>
      <c r="H11920">
        <v>3</v>
      </c>
      <c r="I11920">
        <v>1320</v>
      </c>
      <c r="J11920" t="str">
        <f>HYPERLINK("https://climate.onebuilding.org/WMO_Region_6_Europe/TUR_Turkey/MS_Mus/TUR_MS_Mus.172040_TMYx.2009-2023.zip")</f>
        <v>https://climate.onebuilding.org/WMO_Region_6_Europe/TUR_Turkey/MS_Mus/TUR_MS_Mus.172040_TMYx.2009-2023.zip</v>
      </c>
    </row>
    <row r="11921" spans="1:10" x14ac:dyDescent="0.25">
      <c r="A11921" t="s">
        <v>8459</v>
      </c>
      <c r="B11921" t="s">
        <v>7192</v>
      </c>
      <c r="C11921" t="s">
        <v>8653</v>
      </c>
      <c r="D11921">
        <v>172040</v>
      </c>
      <c r="E11921" t="s">
        <v>14</v>
      </c>
      <c r="F11921">
        <v>38.750830000000001</v>
      </c>
      <c r="G11921">
        <v>41.502220000000001</v>
      </c>
      <c r="H11921">
        <v>3</v>
      </c>
      <c r="I11921">
        <v>1320</v>
      </c>
      <c r="J11921" t="str">
        <f>HYPERLINK("https://climate.onebuilding.org/WMO_Region_6_Europe/TUR_Turkey/MS_Mus/TUR_MS_Mus.172040_TMYx.zip")</f>
        <v>https://climate.onebuilding.org/WMO_Region_6_Europe/TUR_Turkey/MS_Mus/TUR_MS_Mus.172040_TMYx.zip</v>
      </c>
    </row>
    <row r="11922" spans="1:10" x14ac:dyDescent="0.25">
      <c r="A11922" t="s">
        <v>8459</v>
      </c>
      <c r="B11922" t="s">
        <v>7192</v>
      </c>
      <c r="C11922" t="s">
        <v>8655</v>
      </c>
      <c r="D11922">
        <v>172043</v>
      </c>
      <c r="E11922" t="s">
        <v>8656</v>
      </c>
      <c r="F11922">
        <v>38.747999999999998</v>
      </c>
      <c r="G11922">
        <v>41.661000000000001</v>
      </c>
      <c r="H11922">
        <v>3</v>
      </c>
      <c r="I11922">
        <v>1267.0999999999999</v>
      </c>
      <c r="J11922" t="str">
        <f>HYPERLINK("https://climate.onebuilding.org/WMO_Region_6_Europe/TUR_Turkey/MS_Mus/TUR_MS_Mus.AP.172043_TMYx.2004-2018.zip")</f>
        <v>https://climate.onebuilding.org/WMO_Region_6_Europe/TUR_Turkey/MS_Mus/TUR_MS_Mus.AP.172043_TMYx.2004-2018.zip</v>
      </c>
    </row>
    <row r="11923" spans="1:10" x14ac:dyDescent="0.25">
      <c r="A11923" t="s">
        <v>8459</v>
      </c>
      <c r="B11923" t="s">
        <v>7192</v>
      </c>
      <c r="C11923" t="s">
        <v>8655</v>
      </c>
      <c r="D11923">
        <v>172043</v>
      </c>
      <c r="E11923" t="s">
        <v>14</v>
      </c>
      <c r="F11923">
        <v>38.747999999999998</v>
      </c>
      <c r="G11923">
        <v>41.661000000000001</v>
      </c>
      <c r="H11923">
        <v>3</v>
      </c>
      <c r="I11923">
        <v>1267.0999999999999</v>
      </c>
      <c r="J11923" t="str">
        <f>HYPERLINK("https://climate.onebuilding.org/WMO_Region_6_Europe/TUR_Turkey/MS_Mus/TUR_MS_Mus.AP.172043_TMYx.2007-2021.zip")</f>
        <v>https://climate.onebuilding.org/WMO_Region_6_Europe/TUR_Turkey/MS_Mus/TUR_MS_Mus.AP.172043_TMYx.2007-2021.zip</v>
      </c>
    </row>
    <row r="11924" spans="1:10" x14ac:dyDescent="0.25">
      <c r="A11924" t="s">
        <v>8459</v>
      </c>
      <c r="B11924" t="s">
        <v>7192</v>
      </c>
      <c r="C11924" t="s">
        <v>8655</v>
      </c>
      <c r="D11924">
        <v>172043</v>
      </c>
      <c r="E11924" t="s">
        <v>14</v>
      </c>
      <c r="F11924">
        <v>38.747999999999998</v>
      </c>
      <c r="G11924">
        <v>41.661000000000001</v>
      </c>
      <c r="H11924">
        <v>3</v>
      </c>
      <c r="I11924">
        <v>1267.0999999999999</v>
      </c>
      <c r="J11924" t="str">
        <f>HYPERLINK("https://climate.onebuilding.org/WMO_Region_6_Europe/TUR_Turkey/MS_Mus/TUR_MS_Mus.AP.172043_TMYx.2009-2023.zip")</f>
        <v>https://climate.onebuilding.org/WMO_Region_6_Europe/TUR_Turkey/MS_Mus/TUR_MS_Mus.AP.172043_TMYx.2009-2023.zip</v>
      </c>
    </row>
    <row r="11925" spans="1:10" x14ac:dyDescent="0.25">
      <c r="A11925" t="s">
        <v>8459</v>
      </c>
      <c r="B11925" t="s">
        <v>7192</v>
      </c>
      <c r="C11925" t="s">
        <v>8655</v>
      </c>
      <c r="D11925">
        <v>172043</v>
      </c>
      <c r="E11925" t="s">
        <v>14</v>
      </c>
      <c r="F11925">
        <v>38.747999999999998</v>
      </c>
      <c r="G11925">
        <v>41.661000000000001</v>
      </c>
      <c r="H11925">
        <v>3</v>
      </c>
      <c r="I11925">
        <v>1267.0999999999999</v>
      </c>
      <c r="J11925" t="str">
        <f>HYPERLINK("https://climate.onebuilding.org/WMO_Region_6_Europe/TUR_Turkey/MS_Mus/TUR_MS_Mus.AP.172043_TMYx.zip")</f>
        <v>https://climate.onebuilding.org/WMO_Region_6_Europe/TUR_Turkey/MS_Mus/TUR_MS_Mus.AP.172043_TMYx.zip</v>
      </c>
    </row>
    <row r="11926" spans="1:10" x14ac:dyDescent="0.25">
      <c r="A11926" t="s">
        <v>8459</v>
      </c>
      <c r="B11926" t="s">
        <v>2984</v>
      </c>
      <c r="C11926" t="s">
        <v>8657</v>
      </c>
      <c r="D11926">
        <v>172050</v>
      </c>
      <c r="E11926" t="s">
        <v>14</v>
      </c>
      <c r="F11926">
        <v>38.482999999999997</v>
      </c>
      <c r="G11926">
        <v>42.3</v>
      </c>
      <c r="H11926">
        <v>3</v>
      </c>
      <c r="I11926">
        <v>1665</v>
      </c>
      <c r="J11926" t="str">
        <f>HYPERLINK("https://climate.onebuilding.org/WMO_Region_6_Europe/TUR_Turkey/BT_Bitlis/TUR_BT_Tatvan.172050_TMYx.2007-2021.zip")</f>
        <v>https://climate.onebuilding.org/WMO_Region_6_Europe/TUR_Turkey/BT_Bitlis/TUR_BT_Tatvan.172050_TMYx.2007-2021.zip</v>
      </c>
    </row>
    <row r="11927" spans="1:10" x14ac:dyDescent="0.25">
      <c r="A11927" t="s">
        <v>8459</v>
      </c>
      <c r="B11927" t="s">
        <v>2984</v>
      </c>
      <c r="C11927" t="s">
        <v>8657</v>
      </c>
      <c r="D11927">
        <v>172050</v>
      </c>
      <c r="E11927" t="s">
        <v>14</v>
      </c>
      <c r="F11927">
        <v>38.482999999999997</v>
      </c>
      <c r="G11927">
        <v>42.3</v>
      </c>
      <c r="H11927">
        <v>3</v>
      </c>
      <c r="I11927">
        <v>1665</v>
      </c>
      <c r="J11927" t="str">
        <f>HYPERLINK("https://climate.onebuilding.org/WMO_Region_6_Europe/TUR_Turkey/BT_Bitlis/TUR_BT_Tatvan.172050_TMYx.2009-2023.zip")</f>
        <v>https://climate.onebuilding.org/WMO_Region_6_Europe/TUR_Turkey/BT_Bitlis/TUR_BT_Tatvan.172050_TMYx.2009-2023.zip</v>
      </c>
    </row>
    <row r="11928" spans="1:10" x14ac:dyDescent="0.25">
      <c r="A11928" t="s">
        <v>8459</v>
      </c>
      <c r="B11928" t="s">
        <v>2984</v>
      </c>
      <c r="C11928" t="s">
        <v>8657</v>
      </c>
      <c r="D11928">
        <v>172050</v>
      </c>
      <c r="E11928" t="s">
        <v>14</v>
      </c>
      <c r="F11928">
        <v>38.482999999999997</v>
      </c>
      <c r="G11928">
        <v>42.3</v>
      </c>
      <c r="H11928">
        <v>3</v>
      </c>
      <c r="I11928">
        <v>1665</v>
      </c>
      <c r="J11928" t="str">
        <f>HYPERLINK("https://climate.onebuilding.org/WMO_Region_6_Europe/TUR_Turkey/BT_Bitlis/TUR_BT_Tatvan.172050_TMYx.zip")</f>
        <v>https://climate.onebuilding.org/WMO_Region_6_Europe/TUR_Turkey/BT_Bitlis/TUR_BT_Tatvan.172050_TMYx.zip</v>
      </c>
    </row>
    <row r="11929" spans="1:10" x14ac:dyDescent="0.25">
      <c r="A11929" t="s">
        <v>8459</v>
      </c>
      <c r="B11929" t="s">
        <v>515</v>
      </c>
      <c r="C11929" t="s">
        <v>8658</v>
      </c>
      <c r="D11929">
        <v>172100</v>
      </c>
      <c r="E11929" t="s">
        <v>8659</v>
      </c>
      <c r="F11929">
        <v>37.917000000000002</v>
      </c>
      <c r="G11929">
        <v>41.95</v>
      </c>
      <c r="H11929">
        <v>3</v>
      </c>
      <c r="I11929">
        <v>896</v>
      </c>
      <c r="J11929" t="str">
        <f>HYPERLINK("https://climate.onebuilding.org/WMO_Region_6_Europe/TUR_Turkey/SI_Siirt/TUR_SI_Siirt.172100_TMYx.2004-2018.zip")</f>
        <v>https://climate.onebuilding.org/WMO_Region_6_Europe/TUR_Turkey/SI_Siirt/TUR_SI_Siirt.172100_TMYx.2004-2018.zip</v>
      </c>
    </row>
    <row r="11930" spans="1:10" x14ac:dyDescent="0.25">
      <c r="A11930" t="s">
        <v>8459</v>
      </c>
      <c r="B11930" t="s">
        <v>515</v>
      </c>
      <c r="C11930" t="s">
        <v>8658</v>
      </c>
      <c r="D11930">
        <v>172100</v>
      </c>
      <c r="E11930" t="s">
        <v>14</v>
      </c>
      <c r="F11930">
        <v>37.931950000000001</v>
      </c>
      <c r="G11930">
        <v>41.935279999999999</v>
      </c>
      <c r="H11930">
        <v>3</v>
      </c>
      <c r="I11930">
        <v>896</v>
      </c>
      <c r="J11930" t="str">
        <f>HYPERLINK("https://climate.onebuilding.org/WMO_Region_6_Europe/TUR_Turkey/SI_Siirt/TUR_SI_Siirt.172100_TMYx.2007-2021.zip")</f>
        <v>https://climate.onebuilding.org/WMO_Region_6_Europe/TUR_Turkey/SI_Siirt/TUR_SI_Siirt.172100_TMYx.2007-2021.zip</v>
      </c>
    </row>
    <row r="11931" spans="1:10" x14ac:dyDescent="0.25">
      <c r="A11931" t="s">
        <v>8459</v>
      </c>
      <c r="B11931" t="s">
        <v>515</v>
      </c>
      <c r="C11931" t="s">
        <v>8658</v>
      </c>
      <c r="D11931">
        <v>172100</v>
      </c>
      <c r="E11931" t="s">
        <v>14</v>
      </c>
      <c r="F11931">
        <v>37.931950000000001</v>
      </c>
      <c r="G11931">
        <v>41.935279999999999</v>
      </c>
      <c r="H11931">
        <v>3</v>
      </c>
      <c r="I11931">
        <v>896</v>
      </c>
      <c r="J11931" t="str">
        <f>HYPERLINK("https://climate.onebuilding.org/WMO_Region_6_Europe/TUR_Turkey/SI_Siirt/TUR_SI_Siirt.172100_TMYx.2009-2023.zip")</f>
        <v>https://climate.onebuilding.org/WMO_Region_6_Europe/TUR_Turkey/SI_Siirt/TUR_SI_Siirt.172100_TMYx.2009-2023.zip</v>
      </c>
    </row>
    <row r="11932" spans="1:10" x14ac:dyDescent="0.25">
      <c r="A11932" t="s">
        <v>8459</v>
      </c>
      <c r="B11932" t="s">
        <v>515</v>
      </c>
      <c r="C11932" t="s">
        <v>8658</v>
      </c>
      <c r="D11932">
        <v>172100</v>
      </c>
      <c r="E11932" t="s">
        <v>14</v>
      </c>
      <c r="F11932">
        <v>37.931950000000001</v>
      </c>
      <c r="G11932">
        <v>41.935279999999999</v>
      </c>
      <c r="H11932">
        <v>3</v>
      </c>
      <c r="I11932">
        <v>896</v>
      </c>
      <c r="J11932" t="str">
        <f>HYPERLINK("https://climate.onebuilding.org/WMO_Region_6_Europe/TUR_Turkey/SI_Siirt/TUR_SI_Siirt.172100_TMYx.zip")</f>
        <v>https://climate.onebuilding.org/WMO_Region_6_Europe/TUR_Turkey/SI_Siirt/TUR_SI_Siirt.172100_TMYx.zip</v>
      </c>
    </row>
    <row r="11933" spans="1:10" x14ac:dyDescent="0.25">
      <c r="A11933" t="s">
        <v>8459</v>
      </c>
      <c r="B11933" t="s">
        <v>8612</v>
      </c>
      <c r="C11933" t="s">
        <v>8660</v>
      </c>
      <c r="D11933">
        <v>172180</v>
      </c>
      <c r="E11933" t="s">
        <v>8661</v>
      </c>
      <c r="F11933">
        <v>38.512999999999998</v>
      </c>
      <c r="G11933">
        <v>27.01</v>
      </c>
      <c r="H11933">
        <v>3</v>
      </c>
      <c r="I11933">
        <v>4.9000000000000004</v>
      </c>
      <c r="J11933" t="str">
        <f>HYPERLINK("https://climate.onebuilding.org/WMO_Region_6_Europe/TUR_Turkey/IZ_Izmir/TUR_IZ_Cigli.AB.172180_TMYx.2004-2018.zip")</f>
        <v>https://climate.onebuilding.org/WMO_Region_6_Europe/TUR_Turkey/IZ_Izmir/TUR_IZ_Cigli.AB.172180_TMYx.2004-2018.zip</v>
      </c>
    </row>
    <row r="11934" spans="1:10" x14ac:dyDescent="0.25">
      <c r="A11934" t="s">
        <v>8459</v>
      </c>
      <c r="B11934" t="s">
        <v>8612</v>
      </c>
      <c r="C11934" t="s">
        <v>8660</v>
      </c>
      <c r="D11934">
        <v>172180</v>
      </c>
      <c r="E11934" t="s">
        <v>14</v>
      </c>
      <c r="F11934">
        <v>38.512999999999998</v>
      </c>
      <c r="G11934">
        <v>27.013999999999999</v>
      </c>
      <c r="H11934">
        <v>3</v>
      </c>
      <c r="I11934">
        <v>4.9000000000000004</v>
      </c>
      <c r="J11934" t="str">
        <f>HYPERLINK("https://climate.onebuilding.org/WMO_Region_6_Europe/TUR_Turkey/IZ_Izmir/TUR_IZ_Cigli.AB.172180_TMYx.2007-2021.zip")</f>
        <v>https://climate.onebuilding.org/WMO_Region_6_Europe/TUR_Turkey/IZ_Izmir/TUR_IZ_Cigli.AB.172180_TMYx.2007-2021.zip</v>
      </c>
    </row>
    <row r="11935" spans="1:10" x14ac:dyDescent="0.25">
      <c r="A11935" t="s">
        <v>8459</v>
      </c>
      <c r="B11935" t="s">
        <v>8612</v>
      </c>
      <c r="C11935" t="s">
        <v>8660</v>
      </c>
      <c r="D11935">
        <v>172180</v>
      </c>
      <c r="E11935" t="s">
        <v>14</v>
      </c>
      <c r="F11935">
        <v>38.512999999999998</v>
      </c>
      <c r="G11935">
        <v>27.013999999999999</v>
      </c>
      <c r="H11935">
        <v>3</v>
      </c>
      <c r="I11935">
        <v>4.9000000000000004</v>
      </c>
      <c r="J11935" t="str">
        <f>HYPERLINK("https://climate.onebuilding.org/WMO_Region_6_Europe/TUR_Turkey/IZ_Izmir/TUR_IZ_Cigli.AB.172180_TMYx.2009-2023.zip")</f>
        <v>https://climate.onebuilding.org/WMO_Region_6_Europe/TUR_Turkey/IZ_Izmir/TUR_IZ_Cigli.AB.172180_TMYx.2009-2023.zip</v>
      </c>
    </row>
    <row r="11936" spans="1:10" x14ac:dyDescent="0.25">
      <c r="A11936" t="s">
        <v>8459</v>
      </c>
      <c r="B11936" t="s">
        <v>8612</v>
      </c>
      <c r="C11936" t="s">
        <v>8660</v>
      </c>
      <c r="D11936">
        <v>172180</v>
      </c>
      <c r="E11936" t="s">
        <v>14</v>
      </c>
      <c r="F11936">
        <v>38.512999999999998</v>
      </c>
      <c r="G11936">
        <v>27.013999999999999</v>
      </c>
      <c r="H11936">
        <v>3</v>
      </c>
      <c r="I11936">
        <v>4.9000000000000004</v>
      </c>
      <c r="J11936" t="str">
        <f>HYPERLINK("https://climate.onebuilding.org/WMO_Region_6_Europe/TUR_Turkey/IZ_Izmir/TUR_IZ_Cigli.AB.172180_TMYx.zip")</f>
        <v>https://climate.onebuilding.org/WMO_Region_6_Europe/TUR_Turkey/IZ_Izmir/TUR_IZ_Cigli.AB.172180_TMYx.zip</v>
      </c>
    </row>
    <row r="11937" spans="1:10" x14ac:dyDescent="0.25">
      <c r="A11937" t="s">
        <v>8459</v>
      </c>
      <c r="B11937" t="s">
        <v>8612</v>
      </c>
      <c r="C11937" t="s">
        <v>8662</v>
      </c>
      <c r="D11937">
        <v>172190</v>
      </c>
      <c r="E11937" t="s">
        <v>8663</v>
      </c>
      <c r="F11937">
        <v>38.292000000000002</v>
      </c>
      <c r="G11937">
        <v>27.157</v>
      </c>
      <c r="H11937">
        <v>3</v>
      </c>
      <c r="I11937">
        <v>125.6</v>
      </c>
      <c r="J11937" t="str">
        <f>HYPERLINK("https://climate.onebuilding.org/WMO_Region_6_Europe/TUR_Turkey/IZ_Izmir/TUR_IZ_Izmir-Adnan.Menderes.Univ.AP.172190_TMYx.2004-2018.zip")</f>
        <v>https://climate.onebuilding.org/WMO_Region_6_Europe/TUR_Turkey/IZ_Izmir/TUR_IZ_Izmir-Adnan.Menderes.Univ.AP.172190_TMYx.2004-2018.zip</v>
      </c>
    </row>
    <row r="11938" spans="1:10" x14ac:dyDescent="0.25">
      <c r="A11938" t="s">
        <v>8459</v>
      </c>
      <c r="B11938" t="s">
        <v>8612</v>
      </c>
      <c r="C11938" t="s">
        <v>8662</v>
      </c>
      <c r="D11938">
        <v>172190</v>
      </c>
      <c r="E11938" t="s">
        <v>14</v>
      </c>
      <c r="F11938">
        <v>38.295000000000002</v>
      </c>
      <c r="G11938">
        <v>27.148</v>
      </c>
      <c r="H11938">
        <v>3</v>
      </c>
      <c r="I11938">
        <v>125.6</v>
      </c>
      <c r="J11938" t="str">
        <f>HYPERLINK("https://climate.onebuilding.org/WMO_Region_6_Europe/TUR_Turkey/IZ_Izmir/TUR_IZ_Izmir-Adnan.Menderes.Univ.AP.172190_TMYx.2007-2021.zip")</f>
        <v>https://climate.onebuilding.org/WMO_Region_6_Europe/TUR_Turkey/IZ_Izmir/TUR_IZ_Izmir-Adnan.Menderes.Univ.AP.172190_TMYx.2007-2021.zip</v>
      </c>
    </row>
    <row r="11939" spans="1:10" x14ac:dyDescent="0.25">
      <c r="A11939" t="s">
        <v>8459</v>
      </c>
      <c r="B11939" t="s">
        <v>8612</v>
      </c>
      <c r="C11939" t="s">
        <v>8662</v>
      </c>
      <c r="D11939">
        <v>172190</v>
      </c>
      <c r="E11939" t="s">
        <v>14</v>
      </c>
      <c r="F11939">
        <v>38.295000000000002</v>
      </c>
      <c r="G11939">
        <v>27.148</v>
      </c>
      <c r="H11939">
        <v>3</v>
      </c>
      <c r="I11939">
        <v>125.6</v>
      </c>
      <c r="J11939" t="str">
        <f>HYPERLINK("https://climate.onebuilding.org/WMO_Region_6_Europe/TUR_Turkey/IZ_Izmir/TUR_IZ_Izmir-Adnan.Menderes.Univ.AP.172190_TMYx.2009-2023.zip")</f>
        <v>https://climate.onebuilding.org/WMO_Region_6_Europe/TUR_Turkey/IZ_Izmir/TUR_IZ_Izmir-Adnan.Menderes.Univ.AP.172190_TMYx.2009-2023.zip</v>
      </c>
    </row>
    <row r="11940" spans="1:10" x14ac:dyDescent="0.25">
      <c r="A11940" t="s">
        <v>8459</v>
      </c>
      <c r="B11940" t="s">
        <v>8612</v>
      </c>
      <c r="C11940" t="s">
        <v>8662</v>
      </c>
      <c r="D11940">
        <v>172190</v>
      </c>
      <c r="E11940" t="s">
        <v>14</v>
      </c>
      <c r="F11940">
        <v>38.295000000000002</v>
      </c>
      <c r="G11940">
        <v>27.148</v>
      </c>
      <c r="H11940">
        <v>3</v>
      </c>
      <c r="I11940">
        <v>125.6</v>
      </c>
      <c r="J11940" t="str">
        <f>HYPERLINK("https://climate.onebuilding.org/WMO_Region_6_Europe/TUR_Turkey/IZ_Izmir/TUR_IZ_Izmir-Adnan.Menderes.Univ.AP.172190_TMYx.zip")</f>
        <v>https://climate.onebuilding.org/WMO_Region_6_Europe/TUR_Turkey/IZ_Izmir/TUR_IZ_Izmir-Adnan.Menderes.Univ.AP.172190_TMYx.zip</v>
      </c>
    </row>
    <row r="11941" spans="1:10" x14ac:dyDescent="0.25">
      <c r="A11941" t="s">
        <v>8459</v>
      </c>
      <c r="B11941" t="s">
        <v>8612</v>
      </c>
      <c r="C11941" t="s">
        <v>8664</v>
      </c>
      <c r="D11941">
        <v>172191</v>
      </c>
      <c r="E11941" t="s">
        <v>14</v>
      </c>
      <c r="F11941">
        <v>38.319000000000003</v>
      </c>
      <c r="G11941">
        <v>27.158999999999999</v>
      </c>
      <c r="H11941">
        <v>3</v>
      </c>
      <c r="I11941">
        <v>132</v>
      </c>
      <c r="J11941" t="str">
        <f>HYPERLINK("https://climate.onebuilding.org/WMO_Region_6_Europe/TUR_Turkey/IZ_Izmir/TUR_IZ_Gaziemir.AB.172191_TMYx.2007-2021.zip")</f>
        <v>https://climate.onebuilding.org/WMO_Region_6_Europe/TUR_Turkey/IZ_Izmir/TUR_IZ_Gaziemir.AB.172191_TMYx.2007-2021.zip</v>
      </c>
    </row>
    <row r="11942" spans="1:10" x14ac:dyDescent="0.25">
      <c r="A11942" t="s">
        <v>8459</v>
      </c>
      <c r="B11942" t="s">
        <v>8612</v>
      </c>
      <c r="C11942" t="s">
        <v>8664</v>
      </c>
      <c r="D11942">
        <v>172191</v>
      </c>
      <c r="E11942" t="s">
        <v>14</v>
      </c>
      <c r="F11942">
        <v>38.319000000000003</v>
      </c>
      <c r="G11942">
        <v>27.158999999999999</v>
      </c>
      <c r="H11942">
        <v>3</v>
      </c>
      <c r="I11942">
        <v>132</v>
      </c>
      <c r="J11942" t="str">
        <f>HYPERLINK("https://climate.onebuilding.org/WMO_Region_6_Europe/TUR_Turkey/IZ_Izmir/TUR_IZ_Gaziemir.AB.172191_TMYx.2009-2023.zip")</f>
        <v>https://climate.onebuilding.org/WMO_Region_6_Europe/TUR_Turkey/IZ_Izmir/TUR_IZ_Gaziemir.AB.172191_TMYx.2009-2023.zip</v>
      </c>
    </row>
    <row r="11943" spans="1:10" x14ac:dyDescent="0.25">
      <c r="A11943" t="s">
        <v>8459</v>
      </c>
      <c r="B11943" t="s">
        <v>8612</v>
      </c>
      <c r="C11943" t="s">
        <v>8664</v>
      </c>
      <c r="D11943">
        <v>172191</v>
      </c>
      <c r="E11943" t="s">
        <v>14</v>
      </c>
      <c r="F11943">
        <v>38.319000000000003</v>
      </c>
      <c r="G11943">
        <v>27.158999999999999</v>
      </c>
      <c r="H11943">
        <v>3</v>
      </c>
      <c r="I11943">
        <v>132</v>
      </c>
      <c r="J11943" t="str">
        <f>HYPERLINK("https://climate.onebuilding.org/WMO_Region_6_Europe/TUR_Turkey/IZ_Izmir/TUR_IZ_Gaziemir.AB.172191_TMYx.zip")</f>
        <v>https://climate.onebuilding.org/WMO_Region_6_Europe/TUR_Turkey/IZ_Izmir/TUR_IZ_Gaziemir.AB.172191_TMYx.zip</v>
      </c>
    </row>
    <row r="11944" spans="1:10" x14ac:dyDescent="0.25">
      <c r="A11944" t="s">
        <v>8459</v>
      </c>
      <c r="B11944" t="s">
        <v>8612</v>
      </c>
      <c r="C11944" t="s">
        <v>8665</v>
      </c>
      <c r="D11944">
        <v>172200</v>
      </c>
      <c r="E11944" t="s">
        <v>8666</v>
      </c>
      <c r="F11944">
        <v>38.433</v>
      </c>
      <c r="G11944">
        <v>27.167000000000002</v>
      </c>
      <c r="H11944">
        <v>3</v>
      </c>
      <c r="I11944">
        <v>29</v>
      </c>
      <c r="J11944" t="str">
        <f>HYPERLINK("https://climate.onebuilding.org/WMO_Region_6_Europe/TUR_Turkey/IZ_Izmir/TUR_IZ_Izmir-Guzelyali.172200_TMYx.2004-2018.zip")</f>
        <v>https://climate.onebuilding.org/WMO_Region_6_Europe/TUR_Turkey/IZ_Izmir/TUR_IZ_Izmir-Guzelyali.172200_TMYx.2004-2018.zip</v>
      </c>
    </row>
    <row r="11945" spans="1:10" x14ac:dyDescent="0.25">
      <c r="A11945" t="s">
        <v>8459</v>
      </c>
      <c r="B11945" t="s">
        <v>8612</v>
      </c>
      <c r="C11945" t="s">
        <v>8665</v>
      </c>
      <c r="D11945">
        <v>172200</v>
      </c>
      <c r="E11945" t="s">
        <v>14</v>
      </c>
      <c r="F11945">
        <v>38.394500000000001</v>
      </c>
      <c r="G11945">
        <v>27.082100000000001</v>
      </c>
      <c r="H11945">
        <v>3</v>
      </c>
      <c r="I11945">
        <v>29</v>
      </c>
      <c r="J11945" t="str">
        <f>HYPERLINK("https://climate.onebuilding.org/WMO_Region_6_Europe/TUR_Turkey/IZ_Izmir/TUR_IZ_Izmir-Guzelyali.172200_TMYx.2007-2021.zip")</f>
        <v>https://climate.onebuilding.org/WMO_Region_6_Europe/TUR_Turkey/IZ_Izmir/TUR_IZ_Izmir-Guzelyali.172200_TMYx.2007-2021.zip</v>
      </c>
    </row>
    <row r="11946" spans="1:10" x14ac:dyDescent="0.25">
      <c r="A11946" t="s">
        <v>8459</v>
      </c>
      <c r="B11946" t="s">
        <v>8612</v>
      </c>
      <c r="C11946" t="s">
        <v>8665</v>
      </c>
      <c r="D11946">
        <v>172200</v>
      </c>
      <c r="E11946" t="s">
        <v>14</v>
      </c>
      <c r="F11946">
        <v>38.394500000000001</v>
      </c>
      <c r="G11946">
        <v>27.082100000000001</v>
      </c>
      <c r="H11946">
        <v>3</v>
      </c>
      <c r="I11946">
        <v>29</v>
      </c>
      <c r="J11946" t="str">
        <f>HYPERLINK("https://climate.onebuilding.org/WMO_Region_6_Europe/TUR_Turkey/IZ_Izmir/TUR_IZ_Izmir-Guzelyali.172200_TMYx.2009-2023.zip")</f>
        <v>https://climate.onebuilding.org/WMO_Region_6_Europe/TUR_Turkey/IZ_Izmir/TUR_IZ_Izmir-Guzelyali.172200_TMYx.2009-2023.zip</v>
      </c>
    </row>
    <row r="11947" spans="1:10" x14ac:dyDescent="0.25">
      <c r="A11947" t="s">
        <v>8459</v>
      </c>
      <c r="B11947" t="s">
        <v>8612</v>
      </c>
      <c r="C11947" t="s">
        <v>8665</v>
      </c>
      <c r="D11947">
        <v>172200</v>
      </c>
      <c r="E11947" t="s">
        <v>14</v>
      </c>
      <c r="F11947">
        <v>38.394500000000001</v>
      </c>
      <c r="G11947">
        <v>27.082100000000001</v>
      </c>
      <c r="H11947">
        <v>3</v>
      </c>
      <c r="I11947">
        <v>29</v>
      </c>
      <c r="J11947" t="str">
        <f>HYPERLINK("https://climate.onebuilding.org/WMO_Region_6_Europe/TUR_Turkey/IZ_Izmir/TUR_IZ_Izmir-Guzelyali.172200_TMYx.zip")</f>
        <v>https://climate.onebuilding.org/WMO_Region_6_Europe/TUR_Turkey/IZ_Izmir/TUR_IZ_Izmir-Guzelyali.172200_TMYx.zip</v>
      </c>
    </row>
    <row r="11948" spans="1:10" x14ac:dyDescent="0.25">
      <c r="A11948" t="s">
        <v>8459</v>
      </c>
      <c r="B11948" t="s">
        <v>8612</v>
      </c>
      <c r="C11948" t="s">
        <v>8667</v>
      </c>
      <c r="D11948">
        <v>172210</v>
      </c>
      <c r="E11948" t="s">
        <v>8668</v>
      </c>
      <c r="F11948">
        <v>38.299999999999997</v>
      </c>
      <c r="G11948">
        <v>26.3</v>
      </c>
      <c r="H11948">
        <v>3</v>
      </c>
      <c r="I11948">
        <v>5</v>
      </c>
      <c r="J11948" t="str">
        <f>HYPERLINK("https://climate.onebuilding.org/WMO_Region_6_Europe/TUR_Turkey/IZ_Izmir/TUR_IZ_Cesme.172210_TMYx.2004-2018.zip")</f>
        <v>https://climate.onebuilding.org/WMO_Region_6_Europe/TUR_Turkey/IZ_Izmir/TUR_IZ_Cesme.172210_TMYx.2004-2018.zip</v>
      </c>
    </row>
    <row r="11949" spans="1:10" x14ac:dyDescent="0.25">
      <c r="A11949" t="s">
        <v>8459</v>
      </c>
      <c r="B11949" t="s">
        <v>8612</v>
      </c>
      <c r="C11949" t="s">
        <v>8667</v>
      </c>
      <c r="D11949">
        <v>172210</v>
      </c>
      <c r="E11949" t="s">
        <v>14</v>
      </c>
      <c r="F11949">
        <v>38.303609999999999</v>
      </c>
      <c r="G11949">
        <v>26.372499999999999</v>
      </c>
      <c r="H11949">
        <v>3</v>
      </c>
      <c r="I11949">
        <v>5</v>
      </c>
      <c r="J11949" t="str">
        <f>HYPERLINK("https://climate.onebuilding.org/WMO_Region_6_Europe/TUR_Turkey/IZ_Izmir/TUR_IZ_Cesme.172210_TMYx.2007-2021.zip")</f>
        <v>https://climate.onebuilding.org/WMO_Region_6_Europe/TUR_Turkey/IZ_Izmir/TUR_IZ_Cesme.172210_TMYx.2007-2021.zip</v>
      </c>
    </row>
    <row r="11950" spans="1:10" x14ac:dyDescent="0.25">
      <c r="A11950" t="s">
        <v>8459</v>
      </c>
      <c r="B11950" t="s">
        <v>8612</v>
      </c>
      <c r="C11950" t="s">
        <v>8667</v>
      </c>
      <c r="D11950">
        <v>172210</v>
      </c>
      <c r="E11950" t="s">
        <v>14</v>
      </c>
      <c r="F11950">
        <v>38.303609999999999</v>
      </c>
      <c r="G11950">
        <v>26.372499999999999</v>
      </c>
      <c r="H11950">
        <v>3</v>
      </c>
      <c r="I11950">
        <v>5</v>
      </c>
      <c r="J11950" t="str">
        <f>HYPERLINK("https://climate.onebuilding.org/WMO_Region_6_Europe/TUR_Turkey/IZ_Izmir/TUR_IZ_Cesme.172210_TMYx.2009-2023.zip")</f>
        <v>https://climate.onebuilding.org/WMO_Region_6_Europe/TUR_Turkey/IZ_Izmir/TUR_IZ_Cesme.172210_TMYx.2009-2023.zip</v>
      </c>
    </row>
    <row r="11951" spans="1:10" x14ac:dyDescent="0.25">
      <c r="A11951" t="s">
        <v>8459</v>
      </c>
      <c r="B11951" t="s">
        <v>8612</v>
      </c>
      <c r="C11951" t="s">
        <v>8667</v>
      </c>
      <c r="D11951">
        <v>172210</v>
      </c>
      <c r="E11951" t="s">
        <v>14</v>
      </c>
      <c r="F11951">
        <v>38.303609999999999</v>
      </c>
      <c r="G11951">
        <v>26.372499999999999</v>
      </c>
      <c r="H11951">
        <v>3</v>
      </c>
      <c r="I11951">
        <v>5</v>
      </c>
      <c r="J11951" t="str">
        <f>HYPERLINK("https://climate.onebuilding.org/WMO_Region_6_Europe/TUR_Turkey/IZ_Izmir/TUR_IZ_Cesme.172210_TMYx.zip")</f>
        <v>https://climate.onebuilding.org/WMO_Region_6_Europe/TUR_Turkey/IZ_Izmir/TUR_IZ_Cesme.172210_TMYx.zip</v>
      </c>
    </row>
    <row r="11952" spans="1:10" x14ac:dyDescent="0.25">
      <c r="A11952" t="s">
        <v>8459</v>
      </c>
      <c r="B11952" t="s">
        <v>8669</v>
      </c>
      <c r="C11952" t="s">
        <v>8670</v>
      </c>
      <c r="D11952">
        <v>172320</v>
      </c>
      <c r="E11952" t="s">
        <v>8671</v>
      </c>
      <c r="F11952">
        <v>37.866999999999997</v>
      </c>
      <c r="G11952">
        <v>27.25</v>
      </c>
      <c r="H11952">
        <v>3</v>
      </c>
      <c r="I11952">
        <v>22</v>
      </c>
      <c r="J11952" t="str">
        <f>HYPERLINK("https://climate.onebuilding.org/WMO_Region_6_Europe/TUR_Turkey/AY_Aydin/TUR_AY_Kusadasi.172320_TMYx.2004-2018.zip")</f>
        <v>https://climate.onebuilding.org/WMO_Region_6_Europe/TUR_Turkey/AY_Aydin/TUR_AY_Kusadasi.172320_TMYx.2004-2018.zip</v>
      </c>
    </row>
    <row r="11953" spans="1:10" x14ac:dyDescent="0.25">
      <c r="A11953" t="s">
        <v>8459</v>
      </c>
      <c r="B11953" t="s">
        <v>8669</v>
      </c>
      <c r="C11953" t="s">
        <v>8670</v>
      </c>
      <c r="D11953">
        <v>172320</v>
      </c>
      <c r="E11953" t="s">
        <v>14</v>
      </c>
      <c r="F11953">
        <v>37.859720000000003</v>
      </c>
      <c r="G11953">
        <v>27.265280000000001</v>
      </c>
      <c r="H11953">
        <v>3</v>
      </c>
      <c r="I11953">
        <v>22</v>
      </c>
      <c r="J11953" t="str">
        <f>HYPERLINK("https://climate.onebuilding.org/WMO_Region_6_Europe/TUR_Turkey/AY_Aydin/TUR_AY_Kusadasi.172320_TMYx.2007-2021.zip")</f>
        <v>https://climate.onebuilding.org/WMO_Region_6_Europe/TUR_Turkey/AY_Aydin/TUR_AY_Kusadasi.172320_TMYx.2007-2021.zip</v>
      </c>
    </row>
    <row r="11954" spans="1:10" x14ac:dyDescent="0.25">
      <c r="A11954" t="s">
        <v>8459</v>
      </c>
      <c r="B11954" t="s">
        <v>8669</v>
      </c>
      <c r="C11954" t="s">
        <v>8670</v>
      </c>
      <c r="D11954">
        <v>172320</v>
      </c>
      <c r="E11954" t="s">
        <v>14</v>
      </c>
      <c r="F11954">
        <v>37.859720000000003</v>
      </c>
      <c r="G11954">
        <v>27.265280000000001</v>
      </c>
      <c r="H11954">
        <v>3</v>
      </c>
      <c r="I11954">
        <v>22</v>
      </c>
      <c r="J11954" t="str">
        <f>HYPERLINK("https://climate.onebuilding.org/WMO_Region_6_Europe/TUR_Turkey/AY_Aydin/TUR_AY_Kusadasi.172320_TMYx.2009-2023.zip")</f>
        <v>https://climate.onebuilding.org/WMO_Region_6_Europe/TUR_Turkey/AY_Aydin/TUR_AY_Kusadasi.172320_TMYx.2009-2023.zip</v>
      </c>
    </row>
    <row r="11955" spans="1:10" x14ac:dyDescent="0.25">
      <c r="A11955" t="s">
        <v>8459</v>
      </c>
      <c r="B11955" t="s">
        <v>8669</v>
      </c>
      <c r="C11955" t="s">
        <v>8670</v>
      </c>
      <c r="D11955">
        <v>172320</v>
      </c>
      <c r="E11955" t="s">
        <v>14</v>
      </c>
      <c r="F11955">
        <v>37.859720000000003</v>
      </c>
      <c r="G11955">
        <v>27.265280000000001</v>
      </c>
      <c r="H11955">
        <v>3</v>
      </c>
      <c r="I11955">
        <v>22</v>
      </c>
      <c r="J11955" t="str">
        <f>HYPERLINK("https://climate.onebuilding.org/WMO_Region_6_Europe/TUR_Turkey/AY_Aydin/TUR_AY_Kusadasi.172320_TMYx.zip")</f>
        <v>https://climate.onebuilding.org/WMO_Region_6_Europe/TUR_Turkey/AY_Aydin/TUR_AY_Kusadasi.172320_TMYx.zip</v>
      </c>
    </row>
    <row r="11956" spans="1:10" x14ac:dyDescent="0.25">
      <c r="A11956" t="s">
        <v>8459</v>
      </c>
      <c r="B11956" t="s">
        <v>8669</v>
      </c>
      <c r="C11956" t="s">
        <v>8672</v>
      </c>
      <c r="D11956">
        <v>172340</v>
      </c>
      <c r="E11956" t="s">
        <v>8673</v>
      </c>
      <c r="F11956">
        <v>37.85</v>
      </c>
      <c r="G11956">
        <v>27.85</v>
      </c>
      <c r="H11956">
        <v>3</v>
      </c>
      <c r="I11956">
        <v>56</v>
      </c>
      <c r="J11956" t="str">
        <f>HYPERLINK("https://climate.onebuilding.org/WMO_Region_6_Europe/TUR_Turkey/AY_Aydin/TUR_AY_Aydin.172340_TMYx.2004-2018.zip")</f>
        <v>https://climate.onebuilding.org/WMO_Region_6_Europe/TUR_Turkey/AY_Aydin/TUR_AY_Aydin.172340_TMYx.2004-2018.zip</v>
      </c>
    </row>
    <row r="11957" spans="1:10" x14ac:dyDescent="0.25">
      <c r="A11957" t="s">
        <v>8459</v>
      </c>
      <c r="B11957" t="s">
        <v>8669</v>
      </c>
      <c r="C11957" t="s">
        <v>8672</v>
      </c>
      <c r="D11957">
        <v>172340</v>
      </c>
      <c r="E11957" t="s">
        <v>14</v>
      </c>
      <c r="F11957">
        <v>37.85</v>
      </c>
      <c r="G11957">
        <v>27.85</v>
      </c>
      <c r="H11957">
        <v>3</v>
      </c>
      <c r="I11957">
        <v>56</v>
      </c>
      <c r="J11957" t="str">
        <f>HYPERLINK("https://climate.onebuilding.org/WMO_Region_6_Europe/TUR_Turkey/AY_Aydin/TUR_AY_Aydin.172340_TMYx.2007-2021.zip")</f>
        <v>https://climate.onebuilding.org/WMO_Region_6_Europe/TUR_Turkey/AY_Aydin/TUR_AY_Aydin.172340_TMYx.2007-2021.zip</v>
      </c>
    </row>
    <row r="11958" spans="1:10" x14ac:dyDescent="0.25">
      <c r="A11958" t="s">
        <v>8459</v>
      </c>
      <c r="B11958" t="s">
        <v>8669</v>
      </c>
      <c r="C11958" t="s">
        <v>8672</v>
      </c>
      <c r="D11958">
        <v>172340</v>
      </c>
      <c r="E11958" t="s">
        <v>14</v>
      </c>
      <c r="F11958">
        <v>37.85</v>
      </c>
      <c r="G11958">
        <v>27.85</v>
      </c>
      <c r="H11958">
        <v>3</v>
      </c>
      <c r="I11958">
        <v>56</v>
      </c>
      <c r="J11958" t="str">
        <f>HYPERLINK("https://climate.onebuilding.org/WMO_Region_6_Europe/TUR_Turkey/AY_Aydin/TUR_AY_Aydin.172340_TMYx.2009-2023.zip")</f>
        <v>https://climate.onebuilding.org/WMO_Region_6_Europe/TUR_Turkey/AY_Aydin/TUR_AY_Aydin.172340_TMYx.2009-2023.zip</v>
      </c>
    </row>
    <row r="11959" spans="1:10" x14ac:dyDescent="0.25">
      <c r="A11959" t="s">
        <v>8459</v>
      </c>
      <c r="B11959" t="s">
        <v>8669</v>
      </c>
      <c r="C11959" t="s">
        <v>8672</v>
      </c>
      <c r="D11959">
        <v>172340</v>
      </c>
      <c r="E11959" t="s">
        <v>14</v>
      </c>
      <c r="F11959">
        <v>37.85</v>
      </c>
      <c r="G11959">
        <v>27.85</v>
      </c>
      <c r="H11959">
        <v>3</v>
      </c>
      <c r="I11959">
        <v>56</v>
      </c>
      <c r="J11959" t="str">
        <f>HYPERLINK("https://climate.onebuilding.org/WMO_Region_6_Europe/TUR_Turkey/AY_Aydin/TUR_AY_Aydin.172340_TMYx.zip")</f>
        <v>https://climate.onebuilding.org/WMO_Region_6_Europe/TUR_Turkey/AY_Aydin/TUR_AY_Aydin.172340_TMYx.zip</v>
      </c>
    </row>
    <row r="11960" spans="1:10" x14ac:dyDescent="0.25">
      <c r="A11960" t="s">
        <v>8459</v>
      </c>
      <c r="B11960" t="s">
        <v>4954</v>
      </c>
      <c r="C11960" t="s">
        <v>8674</v>
      </c>
      <c r="D11960">
        <v>172370</v>
      </c>
      <c r="E11960" t="s">
        <v>8675</v>
      </c>
      <c r="F11960">
        <v>37.783000000000001</v>
      </c>
      <c r="G11960">
        <v>29.082999999999998</v>
      </c>
      <c r="H11960">
        <v>3</v>
      </c>
      <c r="I11960">
        <v>425</v>
      </c>
      <c r="J11960" t="str">
        <f>HYPERLINK("https://climate.onebuilding.org/WMO_Region_6_Europe/TUR_Turkey/DN_Denizli/TUR_DN_Denizli.172370_TMYx.2004-2018.zip")</f>
        <v>https://climate.onebuilding.org/WMO_Region_6_Europe/TUR_Turkey/DN_Denizli/TUR_DN_Denizli.172370_TMYx.2004-2018.zip</v>
      </c>
    </row>
    <row r="11961" spans="1:10" x14ac:dyDescent="0.25">
      <c r="A11961" t="s">
        <v>8459</v>
      </c>
      <c r="B11961" t="s">
        <v>4954</v>
      </c>
      <c r="C11961" t="s">
        <v>8674</v>
      </c>
      <c r="D11961">
        <v>172370</v>
      </c>
      <c r="E11961" t="s">
        <v>14</v>
      </c>
      <c r="F11961">
        <v>37.761899999999997</v>
      </c>
      <c r="G11961">
        <v>29.091899999999999</v>
      </c>
      <c r="H11961">
        <v>3</v>
      </c>
      <c r="I11961">
        <v>425</v>
      </c>
      <c r="J11961" t="str">
        <f>HYPERLINK("https://climate.onebuilding.org/WMO_Region_6_Europe/TUR_Turkey/DN_Denizli/TUR_DN_Denizli.172370_TMYx.2007-2021.zip")</f>
        <v>https://climate.onebuilding.org/WMO_Region_6_Europe/TUR_Turkey/DN_Denizli/TUR_DN_Denizli.172370_TMYx.2007-2021.zip</v>
      </c>
    </row>
    <row r="11962" spans="1:10" x14ac:dyDescent="0.25">
      <c r="A11962" t="s">
        <v>8459</v>
      </c>
      <c r="B11962" t="s">
        <v>4954</v>
      </c>
      <c r="C11962" t="s">
        <v>8674</v>
      </c>
      <c r="D11962">
        <v>172370</v>
      </c>
      <c r="E11962" t="s">
        <v>14</v>
      </c>
      <c r="F11962">
        <v>37.761899999999997</v>
      </c>
      <c r="G11962">
        <v>29.091899999999999</v>
      </c>
      <c r="H11962">
        <v>3</v>
      </c>
      <c r="I11962">
        <v>425</v>
      </c>
      <c r="J11962" t="str">
        <f>HYPERLINK("https://climate.onebuilding.org/WMO_Region_6_Europe/TUR_Turkey/DN_Denizli/TUR_DN_Denizli.172370_TMYx.2009-2023.zip")</f>
        <v>https://climate.onebuilding.org/WMO_Region_6_Europe/TUR_Turkey/DN_Denizli/TUR_DN_Denizli.172370_TMYx.2009-2023.zip</v>
      </c>
    </row>
    <row r="11963" spans="1:10" x14ac:dyDescent="0.25">
      <c r="A11963" t="s">
        <v>8459</v>
      </c>
      <c r="B11963" t="s">
        <v>4954</v>
      </c>
      <c r="C11963" t="s">
        <v>8674</v>
      </c>
      <c r="D11963">
        <v>172370</v>
      </c>
      <c r="E11963" t="s">
        <v>14</v>
      </c>
      <c r="F11963">
        <v>37.761899999999997</v>
      </c>
      <c r="G11963">
        <v>29.091899999999999</v>
      </c>
      <c r="H11963">
        <v>3</v>
      </c>
      <c r="I11963">
        <v>425</v>
      </c>
      <c r="J11963" t="str">
        <f>HYPERLINK("https://climate.onebuilding.org/WMO_Region_6_Europe/TUR_Turkey/DN_Denizli/TUR_DN_Denizli.172370_TMYx.zip")</f>
        <v>https://climate.onebuilding.org/WMO_Region_6_Europe/TUR_Turkey/DN_Denizli/TUR_DN_Denizli.172370_TMYx.zip</v>
      </c>
    </row>
    <row r="11964" spans="1:10" x14ac:dyDescent="0.25">
      <c r="A11964" t="s">
        <v>8459</v>
      </c>
      <c r="B11964" t="s">
        <v>4954</v>
      </c>
      <c r="C11964" t="s">
        <v>8676</v>
      </c>
      <c r="D11964">
        <v>172375</v>
      </c>
      <c r="E11964" t="s">
        <v>8677</v>
      </c>
      <c r="F11964">
        <v>37.786000000000001</v>
      </c>
      <c r="G11964">
        <v>29.701000000000001</v>
      </c>
      <c r="H11964">
        <v>3</v>
      </c>
      <c r="I11964">
        <v>851.9</v>
      </c>
      <c r="J11964" t="str">
        <f>HYPERLINK("https://climate.onebuilding.org/WMO_Region_6_Europe/TUR_Turkey/DN_Denizli/TUR_DN_Denzili-Cardak.AP.172375_TMYx.2004-2018.zip")</f>
        <v>https://climate.onebuilding.org/WMO_Region_6_Europe/TUR_Turkey/DN_Denizli/TUR_DN_Denzili-Cardak.AP.172375_TMYx.2004-2018.zip</v>
      </c>
    </row>
    <row r="11965" spans="1:10" x14ac:dyDescent="0.25">
      <c r="A11965" t="s">
        <v>8459</v>
      </c>
      <c r="B11965" t="s">
        <v>4954</v>
      </c>
      <c r="C11965" t="s">
        <v>8676</v>
      </c>
      <c r="D11965">
        <v>172375</v>
      </c>
      <c r="E11965" t="s">
        <v>14</v>
      </c>
      <c r="F11965">
        <v>37.786000000000001</v>
      </c>
      <c r="G11965">
        <v>29.701000000000001</v>
      </c>
      <c r="H11965">
        <v>3</v>
      </c>
      <c r="I11965">
        <v>851.9</v>
      </c>
      <c r="J11965" t="str">
        <f>HYPERLINK("https://climate.onebuilding.org/WMO_Region_6_Europe/TUR_Turkey/DN_Denizli/TUR_DN_Denzili-Cardak.AP.172375_TMYx.2007-2021.zip")</f>
        <v>https://climate.onebuilding.org/WMO_Region_6_Europe/TUR_Turkey/DN_Denizli/TUR_DN_Denzili-Cardak.AP.172375_TMYx.2007-2021.zip</v>
      </c>
    </row>
    <row r="11966" spans="1:10" x14ac:dyDescent="0.25">
      <c r="A11966" t="s">
        <v>8459</v>
      </c>
      <c r="B11966" t="s">
        <v>4954</v>
      </c>
      <c r="C11966" t="s">
        <v>8676</v>
      </c>
      <c r="D11966">
        <v>172375</v>
      </c>
      <c r="E11966" t="s">
        <v>14</v>
      </c>
      <c r="F11966">
        <v>37.786000000000001</v>
      </c>
      <c r="G11966">
        <v>29.701000000000001</v>
      </c>
      <c r="H11966">
        <v>3</v>
      </c>
      <c r="I11966">
        <v>851.9</v>
      </c>
      <c r="J11966" t="str">
        <f>HYPERLINK("https://climate.onebuilding.org/WMO_Region_6_Europe/TUR_Turkey/DN_Denizli/TUR_DN_Denzili-Cardak.AP.172375_TMYx.2009-2023.zip")</f>
        <v>https://climate.onebuilding.org/WMO_Region_6_Europe/TUR_Turkey/DN_Denizli/TUR_DN_Denzili-Cardak.AP.172375_TMYx.2009-2023.zip</v>
      </c>
    </row>
    <row r="11967" spans="1:10" x14ac:dyDescent="0.25">
      <c r="A11967" t="s">
        <v>8459</v>
      </c>
      <c r="B11967" t="s">
        <v>4954</v>
      </c>
      <c r="C11967" t="s">
        <v>8676</v>
      </c>
      <c r="D11967">
        <v>172375</v>
      </c>
      <c r="E11967" t="s">
        <v>14</v>
      </c>
      <c r="F11967">
        <v>37.786000000000001</v>
      </c>
      <c r="G11967">
        <v>29.701000000000001</v>
      </c>
      <c r="H11967">
        <v>3</v>
      </c>
      <c r="I11967">
        <v>851.9</v>
      </c>
      <c r="J11967" t="str">
        <f>HYPERLINK("https://climate.onebuilding.org/WMO_Region_6_Europe/TUR_Turkey/DN_Denizli/TUR_DN_Denzili-Cardak.AP.172375_TMYx.zip")</f>
        <v>https://climate.onebuilding.org/WMO_Region_6_Europe/TUR_Turkey/DN_Denizli/TUR_DN_Denzili-Cardak.AP.172375_TMYx.zip</v>
      </c>
    </row>
    <row r="11968" spans="1:10" x14ac:dyDescent="0.25">
      <c r="A11968" t="s">
        <v>8459</v>
      </c>
      <c r="B11968" t="s">
        <v>8678</v>
      </c>
      <c r="C11968" t="s">
        <v>8679</v>
      </c>
      <c r="D11968">
        <v>172380</v>
      </c>
      <c r="E11968" t="s">
        <v>8680</v>
      </c>
      <c r="F11968">
        <v>37.667000000000002</v>
      </c>
      <c r="G11968">
        <v>30.332999999999998</v>
      </c>
      <c r="H11968">
        <v>3</v>
      </c>
      <c r="I11968">
        <v>967</v>
      </c>
      <c r="J11968" t="str">
        <f>HYPERLINK("https://climate.onebuilding.org/WMO_Region_6_Europe/TUR_Turkey/BD_Burdur/TUR_BD_Burdur.172380_TMYx.2004-2018.zip")</f>
        <v>https://climate.onebuilding.org/WMO_Region_6_Europe/TUR_Turkey/BD_Burdur/TUR_BD_Burdur.172380_TMYx.2004-2018.zip</v>
      </c>
    </row>
    <row r="11969" spans="1:10" x14ac:dyDescent="0.25">
      <c r="A11969" t="s">
        <v>8459</v>
      </c>
      <c r="B11969" t="s">
        <v>8678</v>
      </c>
      <c r="C11969" t="s">
        <v>8679</v>
      </c>
      <c r="D11969">
        <v>172380</v>
      </c>
      <c r="E11969" t="s">
        <v>14</v>
      </c>
      <c r="F11969">
        <v>37.72195</v>
      </c>
      <c r="G11969">
        <v>30.293890000000001</v>
      </c>
      <c r="H11969">
        <v>3</v>
      </c>
      <c r="I11969">
        <v>967</v>
      </c>
      <c r="J11969" t="str">
        <f>HYPERLINK("https://climate.onebuilding.org/WMO_Region_6_Europe/TUR_Turkey/BD_Burdur/TUR_BD_Burdur.172380_TMYx.2007-2021.zip")</f>
        <v>https://climate.onebuilding.org/WMO_Region_6_Europe/TUR_Turkey/BD_Burdur/TUR_BD_Burdur.172380_TMYx.2007-2021.zip</v>
      </c>
    </row>
    <row r="11970" spans="1:10" x14ac:dyDescent="0.25">
      <c r="A11970" t="s">
        <v>8459</v>
      </c>
      <c r="B11970" t="s">
        <v>8678</v>
      </c>
      <c r="C11970" t="s">
        <v>8679</v>
      </c>
      <c r="D11970">
        <v>172380</v>
      </c>
      <c r="E11970" t="s">
        <v>14</v>
      </c>
      <c r="F11970">
        <v>37.72195</v>
      </c>
      <c r="G11970">
        <v>30.293890000000001</v>
      </c>
      <c r="H11970">
        <v>3</v>
      </c>
      <c r="I11970">
        <v>967</v>
      </c>
      <c r="J11970" t="str">
        <f>HYPERLINK("https://climate.onebuilding.org/WMO_Region_6_Europe/TUR_Turkey/BD_Burdur/TUR_BD_Burdur.172380_TMYx.2009-2023.zip")</f>
        <v>https://climate.onebuilding.org/WMO_Region_6_Europe/TUR_Turkey/BD_Burdur/TUR_BD_Burdur.172380_TMYx.2009-2023.zip</v>
      </c>
    </row>
    <row r="11971" spans="1:10" x14ac:dyDescent="0.25">
      <c r="A11971" t="s">
        <v>8459</v>
      </c>
      <c r="B11971" t="s">
        <v>8678</v>
      </c>
      <c r="C11971" t="s">
        <v>8679</v>
      </c>
      <c r="D11971">
        <v>172380</v>
      </c>
      <c r="E11971" t="s">
        <v>14</v>
      </c>
      <c r="F11971">
        <v>37.72195</v>
      </c>
      <c r="G11971">
        <v>30.293890000000001</v>
      </c>
      <c r="H11971">
        <v>3</v>
      </c>
      <c r="I11971">
        <v>967</v>
      </c>
      <c r="J11971" t="str">
        <f>HYPERLINK("https://climate.onebuilding.org/WMO_Region_6_Europe/TUR_Turkey/BD_Burdur/TUR_BD_Burdur.172380_TMYx.zip")</f>
        <v>https://climate.onebuilding.org/WMO_Region_6_Europe/TUR_Turkey/BD_Burdur/TUR_BD_Burdur.172380_TMYx.zip</v>
      </c>
    </row>
    <row r="11972" spans="1:10" x14ac:dyDescent="0.25">
      <c r="A11972" t="s">
        <v>8459</v>
      </c>
      <c r="B11972" t="s">
        <v>7574</v>
      </c>
      <c r="C11972" t="s">
        <v>8681</v>
      </c>
      <c r="D11972">
        <v>172390</v>
      </c>
      <c r="E11972" t="s">
        <v>8682</v>
      </c>
      <c r="F11972">
        <v>38.35</v>
      </c>
      <c r="G11972">
        <v>31.417000000000002</v>
      </c>
      <c r="H11972">
        <v>3</v>
      </c>
      <c r="I11972">
        <v>1002</v>
      </c>
      <c r="J11972" t="str">
        <f>HYPERLINK("https://climate.onebuilding.org/WMO_Region_6_Europe/TUR_Turkey/KO_Konya/TUR_KO_Aksehir.172390_TMYx.2004-2018.zip")</f>
        <v>https://climate.onebuilding.org/WMO_Region_6_Europe/TUR_Turkey/KO_Konya/TUR_KO_Aksehir.172390_TMYx.2004-2018.zip</v>
      </c>
    </row>
    <row r="11973" spans="1:10" x14ac:dyDescent="0.25">
      <c r="A11973" t="s">
        <v>8459</v>
      </c>
      <c r="B11973" t="s">
        <v>7574</v>
      </c>
      <c r="C11973" t="s">
        <v>8681</v>
      </c>
      <c r="D11973">
        <v>172390</v>
      </c>
      <c r="E11973" t="s">
        <v>14</v>
      </c>
      <c r="F11973">
        <v>38.36889</v>
      </c>
      <c r="G11973">
        <v>31.42972</v>
      </c>
      <c r="H11973">
        <v>3</v>
      </c>
      <c r="I11973">
        <v>1002</v>
      </c>
      <c r="J11973" t="str">
        <f>HYPERLINK("https://climate.onebuilding.org/WMO_Region_6_Europe/TUR_Turkey/KO_Konya/TUR_KO_Aksehir.172390_TMYx.2007-2021.zip")</f>
        <v>https://climate.onebuilding.org/WMO_Region_6_Europe/TUR_Turkey/KO_Konya/TUR_KO_Aksehir.172390_TMYx.2007-2021.zip</v>
      </c>
    </row>
    <row r="11974" spans="1:10" x14ac:dyDescent="0.25">
      <c r="A11974" t="s">
        <v>8459</v>
      </c>
      <c r="B11974" t="s">
        <v>7574</v>
      </c>
      <c r="C11974" t="s">
        <v>8681</v>
      </c>
      <c r="D11974">
        <v>172390</v>
      </c>
      <c r="E11974" t="s">
        <v>14</v>
      </c>
      <c r="F11974">
        <v>38.36889</v>
      </c>
      <c r="G11974">
        <v>31.42972</v>
      </c>
      <c r="H11974">
        <v>3</v>
      </c>
      <c r="I11974">
        <v>1002</v>
      </c>
      <c r="J11974" t="str">
        <f>HYPERLINK("https://climate.onebuilding.org/WMO_Region_6_Europe/TUR_Turkey/KO_Konya/TUR_KO_Aksehir.172390_TMYx.2009-2023.zip")</f>
        <v>https://climate.onebuilding.org/WMO_Region_6_Europe/TUR_Turkey/KO_Konya/TUR_KO_Aksehir.172390_TMYx.2009-2023.zip</v>
      </c>
    </row>
    <row r="11975" spans="1:10" x14ac:dyDescent="0.25">
      <c r="A11975" t="s">
        <v>8459</v>
      </c>
      <c r="B11975" t="s">
        <v>7574</v>
      </c>
      <c r="C11975" t="s">
        <v>8681</v>
      </c>
      <c r="D11975">
        <v>172390</v>
      </c>
      <c r="E11975" t="s">
        <v>14</v>
      </c>
      <c r="F11975">
        <v>38.36889</v>
      </c>
      <c r="G11975">
        <v>31.42972</v>
      </c>
      <c r="H11975">
        <v>3</v>
      </c>
      <c r="I11975">
        <v>1002</v>
      </c>
      <c r="J11975" t="str">
        <f>HYPERLINK("https://climate.onebuilding.org/WMO_Region_6_Europe/TUR_Turkey/KO_Konya/TUR_KO_Aksehir.172390_TMYx.zip")</f>
        <v>https://climate.onebuilding.org/WMO_Region_6_Europe/TUR_Turkey/KO_Konya/TUR_KO_Aksehir.172390_TMYx.zip</v>
      </c>
    </row>
    <row r="11976" spans="1:10" x14ac:dyDescent="0.25">
      <c r="A11976" t="s">
        <v>8459</v>
      </c>
      <c r="B11976" t="s">
        <v>8683</v>
      </c>
      <c r="C11976" t="s">
        <v>8684</v>
      </c>
      <c r="D11976">
        <v>172400</v>
      </c>
      <c r="E11976" t="s">
        <v>8685</v>
      </c>
      <c r="F11976">
        <v>37.784999999999997</v>
      </c>
      <c r="G11976">
        <v>30.582000000000001</v>
      </c>
      <c r="H11976">
        <v>3</v>
      </c>
      <c r="I11976">
        <v>990.6</v>
      </c>
      <c r="J11976" t="str">
        <f>HYPERLINK("https://climate.onebuilding.org/WMO_Region_6_Europe/TUR_Turkey/IP_Isparta/TUR_IP_Isparta.172400_TMYx.2004-2018.zip")</f>
        <v>https://climate.onebuilding.org/WMO_Region_6_Europe/TUR_Turkey/IP_Isparta/TUR_IP_Isparta.172400_TMYx.2004-2018.zip</v>
      </c>
    </row>
    <row r="11977" spans="1:10" x14ac:dyDescent="0.25">
      <c r="A11977" t="s">
        <v>8459</v>
      </c>
      <c r="B11977" t="s">
        <v>8683</v>
      </c>
      <c r="C11977" t="s">
        <v>8684</v>
      </c>
      <c r="D11977">
        <v>172400</v>
      </c>
      <c r="E11977" t="s">
        <v>14</v>
      </c>
      <c r="F11977">
        <v>37.785200000000003</v>
      </c>
      <c r="G11977">
        <v>30.566800000000001</v>
      </c>
      <c r="H11977">
        <v>3</v>
      </c>
      <c r="I11977">
        <v>997</v>
      </c>
      <c r="J11977" t="str">
        <f>HYPERLINK("https://climate.onebuilding.org/WMO_Region_6_Europe/TUR_Turkey/IP_Isparta/TUR_IP_Isparta.172400_TMYx.2007-2021.zip")</f>
        <v>https://climate.onebuilding.org/WMO_Region_6_Europe/TUR_Turkey/IP_Isparta/TUR_IP_Isparta.172400_TMYx.2007-2021.zip</v>
      </c>
    </row>
    <row r="11978" spans="1:10" x14ac:dyDescent="0.25">
      <c r="A11978" t="s">
        <v>8459</v>
      </c>
      <c r="B11978" t="s">
        <v>8683</v>
      </c>
      <c r="C11978" t="s">
        <v>8684</v>
      </c>
      <c r="D11978">
        <v>172400</v>
      </c>
      <c r="E11978" t="s">
        <v>14</v>
      </c>
      <c r="F11978">
        <v>37.785200000000003</v>
      </c>
      <c r="G11978">
        <v>30.566800000000001</v>
      </c>
      <c r="H11978">
        <v>3</v>
      </c>
      <c r="I11978">
        <v>997</v>
      </c>
      <c r="J11978" t="str">
        <f>HYPERLINK("https://climate.onebuilding.org/WMO_Region_6_Europe/TUR_Turkey/IP_Isparta/TUR_IP_Isparta.172400_TMYx.2009-2023.zip")</f>
        <v>https://climate.onebuilding.org/WMO_Region_6_Europe/TUR_Turkey/IP_Isparta/TUR_IP_Isparta.172400_TMYx.2009-2023.zip</v>
      </c>
    </row>
    <row r="11979" spans="1:10" x14ac:dyDescent="0.25">
      <c r="A11979" t="s">
        <v>8459</v>
      </c>
      <c r="B11979" t="s">
        <v>8683</v>
      </c>
      <c r="C11979" t="s">
        <v>8684</v>
      </c>
      <c r="D11979">
        <v>172400</v>
      </c>
      <c r="E11979" t="s">
        <v>14</v>
      </c>
      <c r="F11979">
        <v>37.785200000000003</v>
      </c>
      <c r="G11979">
        <v>30.566800000000001</v>
      </c>
      <c r="H11979">
        <v>3</v>
      </c>
      <c r="I11979">
        <v>997</v>
      </c>
      <c r="J11979" t="str">
        <f>HYPERLINK("https://climate.onebuilding.org/WMO_Region_6_Europe/TUR_Turkey/IP_Isparta/TUR_IP_Isparta.172400_TMYx.zip")</f>
        <v>https://climate.onebuilding.org/WMO_Region_6_Europe/TUR_Turkey/IP_Isparta/TUR_IP_Isparta.172400_TMYx.zip</v>
      </c>
    </row>
    <row r="11980" spans="1:10" x14ac:dyDescent="0.25">
      <c r="A11980" t="s">
        <v>8459</v>
      </c>
      <c r="B11980" t="s">
        <v>8683</v>
      </c>
      <c r="C11980" t="s">
        <v>8686</v>
      </c>
      <c r="D11980">
        <v>172410</v>
      </c>
      <c r="E11980" t="s">
        <v>8687</v>
      </c>
      <c r="F11980">
        <v>37.854999999999997</v>
      </c>
      <c r="G11980">
        <v>30.367999999999999</v>
      </c>
      <c r="H11980">
        <v>3</v>
      </c>
      <c r="I11980">
        <v>864.1</v>
      </c>
      <c r="J11980" t="str">
        <f>HYPERLINK("https://climate.onebuilding.org/WMO_Region_6_Europe/TUR_Turkey/IP_Isparta/TUR_IP_Isparta-Suleyman.Demirel.Univ.AP.172410_TMYx.2004-2018.zip")</f>
        <v>https://climate.onebuilding.org/WMO_Region_6_Europe/TUR_Turkey/IP_Isparta/TUR_IP_Isparta-Suleyman.Demirel.Univ.AP.172410_TMYx.2004-2018.zip</v>
      </c>
    </row>
    <row r="11981" spans="1:10" x14ac:dyDescent="0.25">
      <c r="A11981" t="s">
        <v>8459</v>
      </c>
      <c r="B11981" t="s">
        <v>8683</v>
      </c>
      <c r="C11981" t="s">
        <v>8686</v>
      </c>
      <c r="D11981">
        <v>172410</v>
      </c>
      <c r="E11981" t="s">
        <v>14</v>
      </c>
      <c r="F11981">
        <v>37.854999999999997</v>
      </c>
      <c r="G11981">
        <v>30.367999999999999</v>
      </c>
      <c r="H11981">
        <v>3</v>
      </c>
      <c r="I11981">
        <v>864.1</v>
      </c>
      <c r="J11981" t="str">
        <f>HYPERLINK("https://climate.onebuilding.org/WMO_Region_6_Europe/TUR_Turkey/IP_Isparta/TUR_IP_Isparta-Suleyman.Demirel.Univ.AP.172410_TMYx.2007-2021.zip")</f>
        <v>https://climate.onebuilding.org/WMO_Region_6_Europe/TUR_Turkey/IP_Isparta/TUR_IP_Isparta-Suleyman.Demirel.Univ.AP.172410_TMYx.2007-2021.zip</v>
      </c>
    </row>
    <row r="11982" spans="1:10" x14ac:dyDescent="0.25">
      <c r="A11982" t="s">
        <v>8459</v>
      </c>
      <c r="B11982" t="s">
        <v>8683</v>
      </c>
      <c r="C11982" t="s">
        <v>8686</v>
      </c>
      <c r="D11982">
        <v>172410</v>
      </c>
      <c r="E11982" t="s">
        <v>14</v>
      </c>
      <c r="F11982">
        <v>37.854999999999997</v>
      </c>
      <c r="G11982">
        <v>30.367999999999999</v>
      </c>
      <c r="H11982">
        <v>3</v>
      </c>
      <c r="I11982">
        <v>864.1</v>
      </c>
      <c r="J11982" t="str">
        <f>HYPERLINK("https://climate.onebuilding.org/WMO_Region_6_Europe/TUR_Turkey/IP_Isparta/TUR_IP_Isparta-Suleyman.Demirel.Univ.AP.172410_TMYx.2009-2023.zip")</f>
        <v>https://climate.onebuilding.org/WMO_Region_6_Europe/TUR_Turkey/IP_Isparta/TUR_IP_Isparta-Suleyman.Demirel.Univ.AP.172410_TMYx.2009-2023.zip</v>
      </c>
    </row>
    <row r="11983" spans="1:10" x14ac:dyDescent="0.25">
      <c r="A11983" t="s">
        <v>8459</v>
      </c>
      <c r="B11983" t="s">
        <v>8683</v>
      </c>
      <c r="C11983" t="s">
        <v>8686</v>
      </c>
      <c r="D11983">
        <v>172410</v>
      </c>
      <c r="E11983" t="s">
        <v>14</v>
      </c>
      <c r="F11983">
        <v>37.854999999999997</v>
      </c>
      <c r="G11983">
        <v>30.367999999999999</v>
      </c>
      <c r="H11983">
        <v>3</v>
      </c>
      <c r="I11983">
        <v>864.1</v>
      </c>
      <c r="J11983" t="str">
        <f>HYPERLINK("https://climate.onebuilding.org/WMO_Region_6_Europe/TUR_Turkey/IP_Isparta/TUR_IP_Isparta-Suleyman.Demirel.Univ.AP.172410_TMYx.zip")</f>
        <v>https://climate.onebuilding.org/WMO_Region_6_Europe/TUR_Turkey/IP_Isparta/TUR_IP_Isparta-Suleyman.Demirel.Univ.AP.172410_TMYx.zip</v>
      </c>
    </row>
    <row r="11984" spans="1:10" x14ac:dyDescent="0.25">
      <c r="A11984" t="s">
        <v>8459</v>
      </c>
      <c r="B11984" t="s">
        <v>7574</v>
      </c>
      <c r="C11984" t="s">
        <v>8688</v>
      </c>
      <c r="D11984">
        <v>172440</v>
      </c>
      <c r="E11984" t="s">
        <v>8689</v>
      </c>
      <c r="F11984">
        <v>37.978999999999999</v>
      </c>
      <c r="G11984">
        <v>32.561999999999998</v>
      </c>
      <c r="H11984">
        <v>3</v>
      </c>
      <c r="I11984">
        <v>1030.5</v>
      </c>
      <c r="J11984" t="str">
        <f>HYPERLINK("https://climate.onebuilding.org/WMO_Region_6_Europe/TUR_Turkey/KO_Konya/TUR_KO_Konya.AP.172440_TMYx.2004-2018.zip")</f>
        <v>https://climate.onebuilding.org/WMO_Region_6_Europe/TUR_Turkey/KO_Konya/TUR_KO_Konya.AP.172440_TMYx.2004-2018.zip</v>
      </c>
    </row>
    <row r="11985" spans="1:10" x14ac:dyDescent="0.25">
      <c r="A11985" t="s">
        <v>8459</v>
      </c>
      <c r="B11985" t="s">
        <v>7574</v>
      </c>
      <c r="C11985" t="s">
        <v>8688</v>
      </c>
      <c r="D11985">
        <v>172440</v>
      </c>
      <c r="E11985" t="s">
        <v>14</v>
      </c>
      <c r="F11985">
        <v>37.984000000000002</v>
      </c>
      <c r="G11985">
        <v>32.573999999999998</v>
      </c>
      <c r="H11985">
        <v>3</v>
      </c>
      <c r="I11985">
        <v>1030.5</v>
      </c>
      <c r="J11985" t="str">
        <f>HYPERLINK("https://climate.onebuilding.org/WMO_Region_6_Europe/TUR_Turkey/KO_Konya/TUR_KO_Konya.AP.172440_TMYx.2007-2021.zip")</f>
        <v>https://climate.onebuilding.org/WMO_Region_6_Europe/TUR_Turkey/KO_Konya/TUR_KO_Konya.AP.172440_TMYx.2007-2021.zip</v>
      </c>
    </row>
    <row r="11986" spans="1:10" x14ac:dyDescent="0.25">
      <c r="A11986" t="s">
        <v>8459</v>
      </c>
      <c r="B11986" t="s">
        <v>7574</v>
      </c>
      <c r="C11986" t="s">
        <v>8688</v>
      </c>
      <c r="D11986">
        <v>172440</v>
      </c>
      <c r="E11986" t="s">
        <v>14</v>
      </c>
      <c r="F11986">
        <v>37.984000000000002</v>
      </c>
      <c r="G11986">
        <v>32.573999999999998</v>
      </c>
      <c r="H11986">
        <v>3</v>
      </c>
      <c r="I11986">
        <v>1030.5</v>
      </c>
      <c r="J11986" t="str">
        <f>HYPERLINK("https://climate.onebuilding.org/WMO_Region_6_Europe/TUR_Turkey/KO_Konya/TUR_KO_Konya.AP.172440_TMYx.2009-2023.zip")</f>
        <v>https://climate.onebuilding.org/WMO_Region_6_Europe/TUR_Turkey/KO_Konya/TUR_KO_Konya.AP.172440_TMYx.2009-2023.zip</v>
      </c>
    </row>
    <row r="11987" spans="1:10" x14ac:dyDescent="0.25">
      <c r="A11987" t="s">
        <v>8459</v>
      </c>
      <c r="B11987" t="s">
        <v>7574</v>
      </c>
      <c r="C11987" t="s">
        <v>8688</v>
      </c>
      <c r="D11987">
        <v>172440</v>
      </c>
      <c r="E11987" t="s">
        <v>14</v>
      </c>
      <c r="F11987">
        <v>37.984000000000002</v>
      </c>
      <c r="G11987">
        <v>32.573999999999998</v>
      </c>
      <c r="H11987">
        <v>3</v>
      </c>
      <c r="I11987">
        <v>1030.5</v>
      </c>
      <c r="J11987" t="str">
        <f>HYPERLINK("https://climate.onebuilding.org/WMO_Region_6_Europe/TUR_Turkey/KO_Konya/TUR_KO_Konya.AP.172440_TMYx.zip")</f>
        <v>https://climate.onebuilding.org/WMO_Region_6_Europe/TUR_Turkey/KO_Konya/TUR_KO_Konya.AP.172440_TMYx.zip</v>
      </c>
    </row>
    <row r="11988" spans="1:10" x14ac:dyDescent="0.25">
      <c r="A11988" t="s">
        <v>8459</v>
      </c>
      <c r="B11988" t="s">
        <v>5651</v>
      </c>
      <c r="C11988" t="s">
        <v>8690</v>
      </c>
      <c r="D11988">
        <v>172460</v>
      </c>
      <c r="E11988" t="s">
        <v>8691</v>
      </c>
      <c r="F11988">
        <v>37.200000000000003</v>
      </c>
      <c r="G11988">
        <v>33.216999999999999</v>
      </c>
      <c r="H11988">
        <v>3</v>
      </c>
      <c r="I11988">
        <v>1023</v>
      </c>
      <c r="J11988" t="str">
        <f>HYPERLINK("https://climate.onebuilding.org/WMO_Region_6_Europe/TUR_Turkey/KR_Karaman/TUR_KR_Karaman.172460_TMYx.2004-2018.zip")</f>
        <v>https://climate.onebuilding.org/WMO_Region_6_Europe/TUR_Turkey/KR_Karaman/TUR_KR_Karaman.172460_TMYx.2004-2018.zip</v>
      </c>
    </row>
    <row r="11989" spans="1:10" x14ac:dyDescent="0.25">
      <c r="A11989" t="s">
        <v>8459</v>
      </c>
      <c r="B11989" t="s">
        <v>5651</v>
      </c>
      <c r="C11989" t="s">
        <v>8690</v>
      </c>
      <c r="D11989">
        <v>172460</v>
      </c>
      <c r="E11989" t="s">
        <v>14</v>
      </c>
      <c r="F11989">
        <v>37.193060000000003</v>
      </c>
      <c r="G11989">
        <v>33.220280000000002</v>
      </c>
      <c r="H11989">
        <v>3</v>
      </c>
      <c r="I11989">
        <v>1023</v>
      </c>
      <c r="J11989" t="str">
        <f>HYPERLINK("https://climate.onebuilding.org/WMO_Region_6_Europe/TUR_Turkey/KR_Karaman/TUR_KR_Karaman.172460_TMYx.2007-2021.zip")</f>
        <v>https://climate.onebuilding.org/WMO_Region_6_Europe/TUR_Turkey/KR_Karaman/TUR_KR_Karaman.172460_TMYx.2007-2021.zip</v>
      </c>
    </row>
    <row r="11990" spans="1:10" x14ac:dyDescent="0.25">
      <c r="A11990" t="s">
        <v>8459</v>
      </c>
      <c r="B11990" t="s">
        <v>5651</v>
      </c>
      <c r="C11990" t="s">
        <v>8690</v>
      </c>
      <c r="D11990">
        <v>172460</v>
      </c>
      <c r="E11990" t="s">
        <v>14</v>
      </c>
      <c r="F11990">
        <v>37.193060000000003</v>
      </c>
      <c r="G11990">
        <v>33.220280000000002</v>
      </c>
      <c r="H11990">
        <v>3</v>
      </c>
      <c r="I11990">
        <v>1023</v>
      </c>
      <c r="J11990" t="str">
        <f>HYPERLINK("https://climate.onebuilding.org/WMO_Region_6_Europe/TUR_Turkey/KR_Karaman/TUR_KR_Karaman.172460_TMYx.2009-2023.zip")</f>
        <v>https://climate.onebuilding.org/WMO_Region_6_Europe/TUR_Turkey/KR_Karaman/TUR_KR_Karaman.172460_TMYx.2009-2023.zip</v>
      </c>
    </row>
    <row r="11991" spans="1:10" x14ac:dyDescent="0.25">
      <c r="A11991" t="s">
        <v>8459</v>
      </c>
      <c r="B11991" t="s">
        <v>5651</v>
      </c>
      <c r="C11991" t="s">
        <v>8690</v>
      </c>
      <c r="D11991">
        <v>172460</v>
      </c>
      <c r="E11991" t="s">
        <v>14</v>
      </c>
      <c r="F11991">
        <v>37.193060000000003</v>
      </c>
      <c r="G11991">
        <v>33.220280000000002</v>
      </c>
      <c r="H11991">
        <v>3</v>
      </c>
      <c r="I11991">
        <v>1023</v>
      </c>
      <c r="J11991" t="str">
        <f>HYPERLINK("https://climate.onebuilding.org/WMO_Region_6_Europe/TUR_Turkey/KR_Karaman/TUR_KR_Karaman.172460_TMYx.zip")</f>
        <v>https://climate.onebuilding.org/WMO_Region_6_Europe/TUR_Turkey/KR_Karaman/TUR_KR_Karaman.172460_TMYx.zip</v>
      </c>
    </row>
    <row r="11992" spans="1:10" x14ac:dyDescent="0.25">
      <c r="A11992" t="s">
        <v>8459</v>
      </c>
      <c r="B11992" t="s">
        <v>7574</v>
      </c>
      <c r="C11992" t="s">
        <v>8692</v>
      </c>
      <c r="D11992">
        <v>172480</v>
      </c>
      <c r="E11992" t="s">
        <v>8693</v>
      </c>
      <c r="F11992">
        <v>37.5</v>
      </c>
      <c r="G11992">
        <v>34.049999999999997</v>
      </c>
      <c r="H11992">
        <v>3</v>
      </c>
      <c r="I11992">
        <v>1044</v>
      </c>
      <c r="J11992" t="str">
        <f>HYPERLINK("https://climate.onebuilding.org/WMO_Region_6_Europe/TUR_Turkey/KO_Konya/TUR_KO_Konya-Eregli.172480_TMYx.2004-2018.zip")</f>
        <v>https://climate.onebuilding.org/WMO_Region_6_Europe/TUR_Turkey/KO_Konya/TUR_KO_Konya-Eregli.172480_TMYx.2004-2018.zip</v>
      </c>
    </row>
    <row r="11993" spans="1:10" x14ac:dyDescent="0.25">
      <c r="A11993" t="s">
        <v>8459</v>
      </c>
      <c r="B11993" t="s">
        <v>7574</v>
      </c>
      <c r="C11993" t="s">
        <v>8692</v>
      </c>
      <c r="D11993">
        <v>172480</v>
      </c>
      <c r="E11993" t="s">
        <v>14</v>
      </c>
      <c r="F11993">
        <v>37.525550000000003</v>
      </c>
      <c r="G11993">
        <v>34.048609999999996</v>
      </c>
      <c r="H11993">
        <v>3</v>
      </c>
      <c r="I11993">
        <v>1044</v>
      </c>
      <c r="J11993" t="str">
        <f>HYPERLINK("https://climate.onebuilding.org/WMO_Region_6_Europe/TUR_Turkey/KO_Konya/TUR_KO_Konya-Eregli.172480_TMYx.2007-2021.zip")</f>
        <v>https://climate.onebuilding.org/WMO_Region_6_Europe/TUR_Turkey/KO_Konya/TUR_KO_Konya-Eregli.172480_TMYx.2007-2021.zip</v>
      </c>
    </row>
    <row r="11994" spans="1:10" x14ac:dyDescent="0.25">
      <c r="A11994" t="s">
        <v>8459</v>
      </c>
      <c r="B11994" t="s">
        <v>7574</v>
      </c>
      <c r="C11994" t="s">
        <v>8692</v>
      </c>
      <c r="D11994">
        <v>172480</v>
      </c>
      <c r="E11994" t="s">
        <v>14</v>
      </c>
      <c r="F11994">
        <v>37.525550000000003</v>
      </c>
      <c r="G11994">
        <v>34.048609999999996</v>
      </c>
      <c r="H11994">
        <v>3</v>
      </c>
      <c r="I11994">
        <v>1044</v>
      </c>
      <c r="J11994" t="str">
        <f>HYPERLINK("https://climate.onebuilding.org/WMO_Region_6_Europe/TUR_Turkey/KO_Konya/TUR_KO_Konya-Eregli.172480_TMYx.2009-2023.zip")</f>
        <v>https://climate.onebuilding.org/WMO_Region_6_Europe/TUR_Turkey/KO_Konya/TUR_KO_Konya-Eregli.172480_TMYx.2009-2023.zip</v>
      </c>
    </row>
    <row r="11995" spans="1:10" x14ac:dyDescent="0.25">
      <c r="A11995" t="s">
        <v>8459</v>
      </c>
      <c r="B11995" t="s">
        <v>7574</v>
      </c>
      <c r="C11995" t="s">
        <v>8692</v>
      </c>
      <c r="D11995">
        <v>172480</v>
      </c>
      <c r="E11995" t="s">
        <v>14</v>
      </c>
      <c r="F11995">
        <v>37.525550000000003</v>
      </c>
      <c r="G11995">
        <v>34.048609999999996</v>
      </c>
      <c r="H11995">
        <v>3</v>
      </c>
      <c r="I11995">
        <v>1044</v>
      </c>
      <c r="J11995" t="str">
        <f>HYPERLINK("https://climate.onebuilding.org/WMO_Region_6_Europe/TUR_Turkey/KO_Konya/TUR_KO_Konya-Eregli.172480_TMYx.zip")</f>
        <v>https://climate.onebuilding.org/WMO_Region_6_Europe/TUR_Turkey/KO_Konya/TUR_KO_Konya-Eregli.172480_TMYx.zip</v>
      </c>
    </row>
    <row r="11996" spans="1:10" x14ac:dyDescent="0.25">
      <c r="A11996" t="s">
        <v>8459</v>
      </c>
      <c r="B11996" t="s">
        <v>8694</v>
      </c>
      <c r="C11996" t="s">
        <v>8695</v>
      </c>
      <c r="D11996">
        <v>172500</v>
      </c>
      <c r="E11996" t="s">
        <v>8696</v>
      </c>
      <c r="F11996">
        <v>37.966999999999999</v>
      </c>
      <c r="G11996">
        <v>34.683</v>
      </c>
      <c r="H11996">
        <v>3</v>
      </c>
      <c r="I11996">
        <v>1210</v>
      </c>
      <c r="J11996" t="str">
        <f>HYPERLINK("https://climate.onebuilding.org/WMO_Region_6_Europe/TUR_Turkey/NG_Nigde/TUR_NG_Nigde.172500_TMYx.2004-2018.zip")</f>
        <v>https://climate.onebuilding.org/WMO_Region_6_Europe/TUR_Turkey/NG_Nigde/TUR_NG_Nigde.172500_TMYx.2004-2018.zip</v>
      </c>
    </row>
    <row r="11997" spans="1:10" x14ac:dyDescent="0.25">
      <c r="A11997" t="s">
        <v>8459</v>
      </c>
      <c r="B11997" t="s">
        <v>8694</v>
      </c>
      <c r="C11997" t="s">
        <v>8695</v>
      </c>
      <c r="D11997">
        <v>172500</v>
      </c>
      <c r="E11997" t="s">
        <v>14</v>
      </c>
      <c r="F11997">
        <v>37.958500000000001</v>
      </c>
      <c r="G11997">
        <v>34.679600000000001</v>
      </c>
      <c r="H11997">
        <v>3</v>
      </c>
      <c r="I11997">
        <v>1210</v>
      </c>
      <c r="J11997" t="str">
        <f>HYPERLINK("https://climate.onebuilding.org/WMO_Region_6_Europe/TUR_Turkey/NG_Nigde/TUR_NG_Nigde.172500_TMYx.2007-2021.zip")</f>
        <v>https://climate.onebuilding.org/WMO_Region_6_Europe/TUR_Turkey/NG_Nigde/TUR_NG_Nigde.172500_TMYx.2007-2021.zip</v>
      </c>
    </row>
    <row r="11998" spans="1:10" x14ac:dyDescent="0.25">
      <c r="A11998" t="s">
        <v>8459</v>
      </c>
      <c r="B11998" t="s">
        <v>8694</v>
      </c>
      <c r="C11998" t="s">
        <v>8695</v>
      </c>
      <c r="D11998">
        <v>172500</v>
      </c>
      <c r="E11998" t="s">
        <v>14</v>
      </c>
      <c r="F11998">
        <v>37.958500000000001</v>
      </c>
      <c r="G11998">
        <v>34.679600000000001</v>
      </c>
      <c r="H11998">
        <v>3</v>
      </c>
      <c r="I11998">
        <v>1210</v>
      </c>
      <c r="J11998" t="str">
        <f>HYPERLINK("https://climate.onebuilding.org/WMO_Region_6_Europe/TUR_Turkey/NG_Nigde/TUR_NG_Nigde.172500_TMYx.2009-2023.zip")</f>
        <v>https://climate.onebuilding.org/WMO_Region_6_Europe/TUR_Turkey/NG_Nigde/TUR_NG_Nigde.172500_TMYx.2009-2023.zip</v>
      </c>
    </row>
    <row r="11999" spans="1:10" x14ac:dyDescent="0.25">
      <c r="A11999" t="s">
        <v>8459</v>
      </c>
      <c r="B11999" t="s">
        <v>8694</v>
      </c>
      <c r="C11999" t="s">
        <v>8695</v>
      </c>
      <c r="D11999">
        <v>172500</v>
      </c>
      <c r="E11999" t="s">
        <v>14</v>
      </c>
      <c r="F11999">
        <v>37.958500000000001</v>
      </c>
      <c r="G11999">
        <v>34.679600000000001</v>
      </c>
      <c r="H11999">
        <v>3</v>
      </c>
      <c r="I11999">
        <v>1210</v>
      </c>
      <c r="J11999" t="str">
        <f>HYPERLINK("https://climate.onebuilding.org/WMO_Region_6_Europe/TUR_Turkey/NG_Nigde/TUR_NG_Nigde.172500_TMYx.zip")</f>
        <v>https://climate.onebuilding.org/WMO_Region_6_Europe/TUR_Turkey/NG_Nigde/TUR_NG_Nigde.172500_TMYx.zip</v>
      </c>
    </row>
    <row r="12000" spans="1:10" x14ac:dyDescent="0.25">
      <c r="A12000" t="s">
        <v>8459</v>
      </c>
      <c r="B12000" t="s">
        <v>19</v>
      </c>
      <c r="C12000" t="s">
        <v>8697</v>
      </c>
      <c r="D12000">
        <v>172550</v>
      </c>
      <c r="E12000" t="s">
        <v>8698</v>
      </c>
      <c r="F12000">
        <v>37.6</v>
      </c>
      <c r="G12000">
        <v>36.933</v>
      </c>
      <c r="H12000">
        <v>3</v>
      </c>
      <c r="I12000">
        <v>572</v>
      </c>
      <c r="J12000" t="str">
        <f>HYPERLINK("https://climate.onebuilding.org/WMO_Region_6_Europe/TUR_Turkey/KM_Kahramanmaras/TUR_KM_Kahramanmaras.172550_TMYx.2004-2018.zip")</f>
        <v>https://climate.onebuilding.org/WMO_Region_6_Europe/TUR_Turkey/KM_Kahramanmaras/TUR_KM_Kahramanmaras.172550_TMYx.2004-2018.zip</v>
      </c>
    </row>
    <row r="12001" spans="1:10" x14ac:dyDescent="0.25">
      <c r="A12001" t="s">
        <v>8459</v>
      </c>
      <c r="B12001" t="s">
        <v>19</v>
      </c>
      <c r="C12001" t="s">
        <v>8697</v>
      </c>
      <c r="D12001">
        <v>172550</v>
      </c>
      <c r="E12001" t="s">
        <v>14</v>
      </c>
      <c r="F12001">
        <v>37.6</v>
      </c>
      <c r="G12001">
        <v>36.933</v>
      </c>
      <c r="H12001">
        <v>3</v>
      </c>
      <c r="I12001">
        <v>721</v>
      </c>
      <c r="J12001" t="str">
        <f>HYPERLINK("https://climate.onebuilding.org/WMO_Region_6_Europe/TUR_Turkey/KM_Kahramanmaras/TUR_KM_Kahramanmaras.172550_TMYx.2007-2021.zip")</f>
        <v>https://climate.onebuilding.org/WMO_Region_6_Europe/TUR_Turkey/KM_Kahramanmaras/TUR_KM_Kahramanmaras.172550_TMYx.2007-2021.zip</v>
      </c>
    </row>
    <row r="12002" spans="1:10" x14ac:dyDescent="0.25">
      <c r="A12002" t="s">
        <v>8459</v>
      </c>
      <c r="B12002" t="s">
        <v>19</v>
      </c>
      <c r="C12002" t="s">
        <v>8697</v>
      </c>
      <c r="D12002">
        <v>172550</v>
      </c>
      <c r="E12002" t="s">
        <v>14</v>
      </c>
      <c r="F12002">
        <v>37.6</v>
      </c>
      <c r="G12002">
        <v>36.933</v>
      </c>
      <c r="H12002">
        <v>3</v>
      </c>
      <c r="I12002">
        <v>721</v>
      </c>
      <c r="J12002" t="str">
        <f>HYPERLINK("https://climate.onebuilding.org/WMO_Region_6_Europe/TUR_Turkey/KM_Kahramanmaras/TUR_KM_Kahramanmaras.172550_TMYx.2009-2023.zip")</f>
        <v>https://climate.onebuilding.org/WMO_Region_6_Europe/TUR_Turkey/KM_Kahramanmaras/TUR_KM_Kahramanmaras.172550_TMYx.2009-2023.zip</v>
      </c>
    </row>
    <row r="12003" spans="1:10" x14ac:dyDescent="0.25">
      <c r="A12003" t="s">
        <v>8459</v>
      </c>
      <c r="B12003" t="s">
        <v>19</v>
      </c>
      <c r="C12003" t="s">
        <v>8697</v>
      </c>
      <c r="D12003">
        <v>172550</v>
      </c>
      <c r="E12003" t="s">
        <v>14</v>
      </c>
      <c r="F12003">
        <v>37.6</v>
      </c>
      <c r="G12003">
        <v>36.933</v>
      </c>
      <c r="H12003">
        <v>3</v>
      </c>
      <c r="I12003">
        <v>721</v>
      </c>
      <c r="J12003" t="str">
        <f>HYPERLINK("https://climate.onebuilding.org/WMO_Region_6_Europe/TUR_Turkey/KM_Kahramanmaras/TUR_KM_Kahramanmaras.172550_TMYx.zip")</f>
        <v>https://climate.onebuilding.org/WMO_Region_6_Europe/TUR_Turkey/KM_Kahramanmaras/TUR_KM_Kahramanmaras.172550_TMYx.zip</v>
      </c>
    </row>
    <row r="12004" spans="1:10" x14ac:dyDescent="0.25">
      <c r="A12004" t="s">
        <v>8459</v>
      </c>
      <c r="B12004" t="s">
        <v>1950</v>
      </c>
      <c r="C12004" t="s">
        <v>8699</v>
      </c>
      <c r="D12004">
        <v>172600</v>
      </c>
      <c r="E12004" t="s">
        <v>8700</v>
      </c>
      <c r="F12004">
        <v>36.947000000000003</v>
      </c>
      <c r="G12004">
        <v>37.478999999999999</v>
      </c>
      <c r="H12004">
        <v>3</v>
      </c>
      <c r="I12004">
        <v>705.6</v>
      </c>
      <c r="J12004" t="str">
        <f>HYPERLINK("https://climate.onebuilding.org/WMO_Region_6_Europe/TUR_Turkey/GA_Gaziantep/TUR_GA_Gaziantep-Oguzeli.AP.172600_TMYx.2004-2018.zip")</f>
        <v>https://climate.onebuilding.org/WMO_Region_6_Europe/TUR_Turkey/GA_Gaziantep/TUR_GA_Gaziantep-Oguzeli.AP.172600_TMYx.2004-2018.zip</v>
      </c>
    </row>
    <row r="12005" spans="1:10" x14ac:dyDescent="0.25">
      <c r="A12005" t="s">
        <v>8459</v>
      </c>
      <c r="B12005" t="s">
        <v>1950</v>
      </c>
      <c r="C12005" t="s">
        <v>8699</v>
      </c>
      <c r="D12005">
        <v>172600</v>
      </c>
      <c r="E12005" t="s">
        <v>14</v>
      </c>
      <c r="F12005">
        <v>36.947000000000003</v>
      </c>
      <c r="G12005">
        <v>37.470999999999997</v>
      </c>
      <c r="H12005">
        <v>3</v>
      </c>
      <c r="I12005">
        <v>705.6</v>
      </c>
      <c r="J12005" t="str">
        <f>HYPERLINK("https://climate.onebuilding.org/WMO_Region_6_Europe/TUR_Turkey/GA_Gaziantep/TUR_GA_Gaziantep-Oguzeli.AP.172600_TMYx.2007-2021.zip")</f>
        <v>https://climate.onebuilding.org/WMO_Region_6_Europe/TUR_Turkey/GA_Gaziantep/TUR_GA_Gaziantep-Oguzeli.AP.172600_TMYx.2007-2021.zip</v>
      </c>
    </row>
    <row r="12006" spans="1:10" x14ac:dyDescent="0.25">
      <c r="A12006" t="s">
        <v>8459</v>
      </c>
      <c r="B12006" t="s">
        <v>1950</v>
      </c>
      <c r="C12006" t="s">
        <v>8699</v>
      </c>
      <c r="D12006">
        <v>172600</v>
      </c>
      <c r="E12006" t="s">
        <v>14</v>
      </c>
      <c r="F12006">
        <v>36.947000000000003</v>
      </c>
      <c r="G12006">
        <v>37.470999999999997</v>
      </c>
      <c r="H12006">
        <v>3</v>
      </c>
      <c r="I12006">
        <v>705.6</v>
      </c>
      <c r="J12006" t="str">
        <f>HYPERLINK("https://climate.onebuilding.org/WMO_Region_6_Europe/TUR_Turkey/GA_Gaziantep/TUR_GA_Gaziantep-Oguzeli.AP.172600_TMYx.2009-2023.zip")</f>
        <v>https://climate.onebuilding.org/WMO_Region_6_Europe/TUR_Turkey/GA_Gaziantep/TUR_GA_Gaziantep-Oguzeli.AP.172600_TMYx.2009-2023.zip</v>
      </c>
    </row>
    <row r="12007" spans="1:10" x14ac:dyDescent="0.25">
      <c r="A12007" t="s">
        <v>8459</v>
      </c>
      <c r="B12007" t="s">
        <v>1950</v>
      </c>
      <c r="C12007" t="s">
        <v>8699</v>
      </c>
      <c r="D12007">
        <v>172600</v>
      </c>
      <c r="E12007" t="s">
        <v>14</v>
      </c>
      <c r="F12007">
        <v>36.947000000000003</v>
      </c>
      <c r="G12007">
        <v>37.470999999999997</v>
      </c>
      <c r="H12007">
        <v>3</v>
      </c>
      <c r="I12007">
        <v>705.6</v>
      </c>
      <c r="J12007" t="str">
        <f>HYPERLINK("https://climate.onebuilding.org/WMO_Region_6_Europe/TUR_Turkey/GA_Gaziantep/TUR_GA_Gaziantep-Oguzeli.AP.172600_TMYx.zip")</f>
        <v>https://climate.onebuilding.org/WMO_Region_6_Europe/TUR_Turkey/GA_Gaziantep/TUR_GA_Gaziantep-Oguzeli.AP.172600_TMYx.zip</v>
      </c>
    </row>
    <row r="12008" spans="1:10" x14ac:dyDescent="0.25">
      <c r="A12008" t="s">
        <v>8459</v>
      </c>
      <c r="B12008" t="s">
        <v>7545</v>
      </c>
      <c r="C12008" t="s">
        <v>8701</v>
      </c>
      <c r="D12008">
        <v>172620</v>
      </c>
      <c r="E12008" t="s">
        <v>8702</v>
      </c>
      <c r="F12008">
        <v>36.716999999999999</v>
      </c>
      <c r="G12008">
        <v>37.116999999999997</v>
      </c>
      <c r="H12008">
        <v>3</v>
      </c>
      <c r="I12008">
        <v>638</v>
      </c>
      <c r="J12008" t="str">
        <f>HYPERLINK("https://climate.onebuilding.org/WMO_Region_6_Europe/TUR_Turkey/KI_Kilis/TUR_KI_Kilis.172620_TMYx.2004-2018.zip")</f>
        <v>https://climate.onebuilding.org/WMO_Region_6_Europe/TUR_Turkey/KI_Kilis/TUR_KI_Kilis.172620_TMYx.2004-2018.zip</v>
      </c>
    </row>
    <row r="12009" spans="1:10" x14ac:dyDescent="0.25">
      <c r="A12009" t="s">
        <v>8459</v>
      </c>
      <c r="B12009" t="s">
        <v>7545</v>
      </c>
      <c r="C12009" t="s">
        <v>8701</v>
      </c>
      <c r="D12009">
        <v>172620</v>
      </c>
      <c r="E12009" t="s">
        <v>14</v>
      </c>
      <c r="F12009">
        <v>36.716999999999999</v>
      </c>
      <c r="G12009">
        <v>37.116999999999997</v>
      </c>
      <c r="H12009">
        <v>3</v>
      </c>
      <c r="I12009">
        <v>638</v>
      </c>
      <c r="J12009" t="str">
        <f>HYPERLINK("https://climate.onebuilding.org/WMO_Region_6_Europe/TUR_Turkey/KI_Kilis/TUR_KI_Kilis.172620_TMYx.2007-2021.zip")</f>
        <v>https://climate.onebuilding.org/WMO_Region_6_Europe/TUR_Turkey/KI_Kilis/TUR_KI_Kilis.172620_TMYx.2007-2021.zip</v>
      </c>
    </row>
    <row r="12010" spans="1:10" x14ac:dyDescent="0.25">
      <c r="A12010" t="s">
        <v>8459</v>
      </c>
      <c r="B12010" t="s">
        <v>7545</v>
      </c>
      <c r="C12010" t="s">
        <v>8701</v>
      </c>
      <c r="D12010">
        <v>172620</v>
      </c>
      <c r="E12010" t="s">
        <v>14</v>
      </c>
      <c r="F12010">
        <v>36.716999999999999</v>
      </c>
      <c r="G12010">
        <v>37.116999999999997</v>
      </c>
      <c r="H12010">
        <v>3</v>
      </c>
      <c r="I12010">
        <v>638</v>
      </c>
      <c r="J12010" t="str">
        <f>HYPERLINK("https://climate.onebuilding.org/WMO_Region_6_Europe/TUR_Turkey/KI_Kilis/TUR_KI_Kilis.172620_TMYx.2009-2023.zip")</f>
        <v>https://climate.onebuilding.org/WMO_Region_6_Europe/TUR_Turkey/KI_Kilis/TUR_KI_Kilis.172620_TMYx.2009-2023.zip</v>
      </c>
    </row>
    <row r="12011" spans="1:10" x14ac:dyDescent="0.25">
      <c r="A12011" t="s">
        <v>8459</v>
      </c>
      <c r="B12011" t="s">
        <v>7545</v>
      </c>
      <c r="C12011" t="s">
        <v>8701</v>
      </c>
      <c r="D12011">
        <v>172620</v>
      </c>
      <c r="E12011" t="s">
        <v>14</v>
      </c>
      <c r="F12011">
        <v>36.716999999999999</v>
      </c>
      <c r="G12011">
        <v>37.116999999999997</v>
      </c>
      <c r="H12011">
        <v>3</v>
      </c>
      <c r="I12011">
        <v>638</v>
      </c>
      <c r="J12011" t="str">
        <f>HYPERLINK("https://climate.onebuilding.org/WMO_Region_6_Europe/TUR_Turkey/KI_Kilis/TUR_KI_Kilis.172620_TMYx.zip")</f>
        <v>https://climate.onebuilding.org/WMO_Region_6_Europe/TUR_Turkey/KI_Kilis/TUR_KI_Kilis.172620_TMYx.zip</v>
      </c>
    </row>
    <row r="12012" spans="1:10" x14ac:dyDescent="0.25">
      <c r="A12012" t="s">
        <v>8459</v>
      </c>
      <c r="B12012" t="s">
        <v>8703</v>
      </c>
      <c r="C12012" t="s">
        <v>8704</v>
      </c>
      <c r="D12012">
        <v>172650</v>
      </c>
      <c r="E12012" t="s">
        <v>8705</v>
      </c>
      <c r="F12012">
        <v>37.75</v>
      </c>
      <c r="G12012">
        <v>38.283000000000001</v>
      </c>
      <c r="H12012">
        <v>3</v>
      </c>
      <c r="I12012">
        <v>672</v>
      </c>
      <c r="J12012" t="str">
        <f>HYPERLINK("https://climate.onebuilding.org/WMO_Region_6_Europe/TUR_Turkey/AD_Adiyaman/TUR_AD_Adiyaman.172650_TMYx.2004-2018.zip")</f>
        <v>https://climate.onebuilding.org/WMO_Region_6_Europe/TUR_Turkey/AD_Adiyaman/TUR_AD_Adiyaman.172650_TMYx.2004-2018.zip</v>
      </c>
    </row>
    <row r="12013" spans="1:10" x14ac:dyDescent="0.25">
      <c r="A12013" t="s">
        <v>8459</v>
      </c>
      <c r="B12013" t="s">
        <v>8703</v>
      </c>
      <c r="C12013" t="s">
        <v>8704</v>
      </c>
      <c r="D12013">
        <v>172650</v>
      </c>
      <c r="E12013" t="s">
        <v>14</v>
      </c>
      <c r="F12013">
        <v>37.75</v>
      </c>
      <c r="G12013">
        <v>38.283000000000001</v>
      </c>
      <c r="H12013">
        <v>3</v>
      </c>
      <c r="I12013">
        <v>672</v>
      </c>
      <c r="J12013" t="str">
        <f>HYPERLINK("https://climate.onebuilding.org/WMO_Region_6_Europe/TUR_Turkey/AD_Adiyaman/TUR_AD_Adiyaman.172650_TMYx.2007-2021.zip")</f>
        <v>https://climate.onebuilding.org/WMO_Region_6_Europe/TUR_Turkey/AD_Adiyaman/TUR_AD_Adiyaman.172650_TMYx.2007-2021.zip</v>
      </c>
    </row>
    <row r="12014" spans="1:10" x14ac:dyDescent="0.25">
      <c r="A12014" t="s">
        <v>8459</v>
      </c>
      <c r="B12014" t="s">
        <v>8703</v>
      </c>
      <c r="C12014" t="s">
        <v>8704</v>
      </c>
      <c r="D12014">
        <v>172650</v>
      </c>
      <c r="E12014" t="s">
        <v>14</v>
      </c>
      <c r="F12014">
        <v>37.75</v>
      </c>
      <c r="G12014">
        <v>38.283000000000001</v>
      </c>
      <c r="H12014">
        <v>3</v>
      </c>
      <c r="I12014">
        <v>672</v>
      </c>
      <c r="J12014" t="str">
        <f>HYPERLINK("https://climate.onebuilding.org/WMO_Region_6_Europe/TUR_Turkey/AD_Adiyaman/TUR_AD_Adiyaman.172650_TMYx.2009-2023.zip")</f>
        <v>https://climate.onebuilding.org/WMO_Region_6_Europe/TUR_Turkey/AD_Adiyaman/TUR_AD_Adiyaman.172650_TMYx.2009-2023.zip</v>
      </c>
    </row>
    <row r="12015" spans="1:10" x14ac:dyDescent="0.25">
      <c r="A12015" t="s">
        <v>8459</v>
      </c>
      <c r="B12015" t="s">
        <v>8703</v>
      </c>
      <c r="C12015" t="s">
        <v>8704</v>
      </c>
      <c r="D12015">
        <v>172650</v>
      </c>
      <c r="E12015" t="s">
        <v>14</v>
      </c>
      <c r="F12015">
        <v>37.75</v>
      </c>
      <c r="G12015">
        <v>38.283000000000001</v>
      </c>
      <c r="H12015">
        <v>3</v>
      </c>
      <c r="I12015">
        <v>672</v>
      </c>
      <c r="J12015" t="str">
        <f>HYPERLINK("https://climate.onebuilding.org/WMO_Region_6_Europe/TUR_Turkey/AD_Adiyaman/TUR_AD_Adiyaman.172650_TMYx.zip")</f>
        <v>https://climate.onebuilding.org/WMO_Region_6_Europe/TUR_Turkey/AD_Adiyaman/TUR_AD_Adiyaman.172650_TMYx.zip</v>
      </c>
    </row>
    <row r="12016" spans="1:10" x14ac:dyDescent="0.25">
      <c r="A12016" t="s">
        <v>8459</v>
      </c>
      <c r="B12016" t="s">
        <v>3574</v>
      </c>
      <c r="C12016" t="s">
        <v>8706</v>
      </c>
      <c r="D12016">
        <v>172700</v>
      </c>
      <c r="E12016" t="s">
        <v>8707</v>
      </c>
      <c r="F12016">
        <v>37.094000000000001</v>
      </c>
      <c r="G12016">
        <v>38.847000000000001</v>
      </c>
      <c r="H12016">
        <v>3</v>
      </c>
      <c r="I12016">
        <v>452</v>
      </c>
      <c r="J12016" t="str">
        <f>HYPERLINK("https://climate.onebuilding.org/WMO_Region_6_Europe/TUR_Turkey/SU_Sanliurfa/TUR_SU_Sanliurfa.172700_TMYx.2004-2018.zip")</f>
        <v>https://climate.onebuilding.org/WMO_Region_6_Europe/TUR_Turkey/SU_Sanliurfa/TUR_SU_Sanliurfa.172700_TMYx.2004-2018.zip</v>
      </c>
    </row>
    <row r="12017" spans="1:10" x14ac:dyDescent="0.25">
      <c r="A12017" t="s">
        <v>8459</v>
      </c>
      <c r="B12017" t="s">
        <v>3574</v>
      </c>
      <c r="C12017" t="s">
        <v>8706</v>
      </c>
      <c r="D12017">
        <v>172700</v>
      </c>
      <c r="E12017" t="s">
        <v>14</v>
      </c>
      <c r="F12017">
        <v>37.160400000000003</v>
      </c>
      <c r="G12017">
        <v>38.786700000000003</v>
      </c>
      <c r="H12017">
        <v>3</v>
      </c>
      <c r="I12017">
        <v>549</v>
      </c>
      <c r="J12017" t="str">
        <f>HYPERLINK("https://climate.onebuilding.org/WMO_Region_6_Europe/TUR_Turkey/SU_Sanliurfa/TUR_SU_Sanliurfa.172700_TMYx.2007-2021.zip")</f>
        <v>https://climate.onebuilding.org/WMO_Region_6_Europe/TUR_Turkey/SU_Sanliurfa/TUR_SU_Sanliurfa.172700_TMYx.2007-2021.zip</v>
      </c>
    </row>
    <row r="12018" spans="1:10" x14ac:dyDescent="0.25">
      <c r="A12018" t="s">
        <v>8459</v>
      </c>
      <c r="B12018" t="s">
        <v>3574</v>
      </c>
      <c r="C12018" t="s">
        <v>8706</v>
      </c>
      <c r="D12018">
        <v>172700</v>
      </c>
      <c r="E12018" t="s">
        <v>14</v>
      </c>
      <c r="F12018">
        <v>37.160400000000003</v>
      </c>
      <c r="G12018">
        <v>38.786700000000003</v>
      </c>
      <c r="H12018">
        <v>3</v>
      </c>
      <c r="I12018">
        <v>549</v>
      </c>
      <c r="J12018" t="str">
        <f>HYPERLINK("https://climate.onebuilding.org/WMO_Region_6_Europe/TUR_Turkey/SU_Sanliurfa/TUR_SU_Sanliurfa.172700_TMYx.2009-2023.zip")</f>
        <v>https://climate.onebuilding.org/WMO_Region_6_Europe/TUR_Turkey/SU_Sanliurfa/TUR_SU_Sanliurfa.172700_TMYx.2009-2023.zip</v>
      </c>
    </row>
    <row r="12019" spans="1:10" x14ac:dyDescent="0.25">
      <c r="A12019" t="s">
        <v>8459</v>
      </c>
      <c r="B12019" t="s">
        <v>3574</v>
      </c>
      <c r="C12019" t="s">
        <v>8706</v>
      </c>
      <c r="D12019">
        <v>172700</v>
      </c>
      <c r="E12019" t="s">
        <v>14</v>
      </c>
      <c r="F12019">
        <v>37.160400000000003</v>
      </c>
      <c r="G12019">
        <v>38.786700000000003</v>
      </c>
      <c r="H12019">
        <v>3</v>
      </c>
      <c r="I12019">
        <v>549</v>
      </c>
      <c r="J12019" t="str">
        <f>HYPERLINK("https://climate.onebuilding.org/WMO_Region_6_Europe/TUR_Turkey/SU_Sanliurfa/TUR_SU_Sanliurfa.172700_TMYx.zip")</f>
        <v>https://climate.onebuilding.org/WMO_Region_6_Europe/TUR_Turkey/SU_Sanliurfa/TUR_SU_Sanliurfa.172700_TMYx.zip</v>
      </c>
    </row>
    <row r="12020" spans="1:10" x14ac:dyDescent="0.25">
      <c r="A12020" t="s">
        <v>8459</v>
      </c>
      <c r="B12020" t="s">
        <v>3574</v>
      </c>
      <c r="C12020" t="s">
        <v>8708</v>
      </c>
      <c r="D12020">
        <v>172710</v>
      </c>
      <c r="E12020" t="s">
        <v>8709</v>
      </c>
      <c r="F12020">
        <v>37.433</v>
      </c>
      <c r="G12020">
        <v>38.9</v>
      </c>
      <c r="H12020">
        <v>3</v>
      </c>
      <c r="I12020">
        <v>822</v>
      </c>
      <c r="J12020" t="str">
        <f>HYPERLINK("https://climate.onebuilding.org/WMO_Region_6_Europe/TUR_Turkey/SU_Sanliurfa/TUR_SU_Sanliurfa.GAP.AP.172710_TMYx.2004-2018.zip")</f>
        <v>https://climate.onebuilding.org/WMO_Region_6_Europe/TUR_Turkey/SU_Sanliurfa/TUR_SU_Sanliurfa.GAP.AP.172710_TMYx.2004-2018.zip</v>
      </c>
    </row>
    <row r="12021" spans="1:10" x14ac:dyDescent="0.25">
      <c r="A12021" t="s">
        <v>8459</v>
      </c>
      <c r="B12021" t="s">
        <v>3574</v>
      </c>
      <c r="C12021" t="s">
        <v>8708</v>
      </c>
      <c r="D12021">
        <v>172710</v>
      </c>
      <c r="E12021" t="s">
        <v>14</v>
      </c>
      <c r="F12021">
        <v>37.445</v>
      </c>
      <c r="G12021">
        <v>38.904000000000003</v>
      </c>
      <c r="H12021">
        <v>3</v>
      </c>
      <c r="I12021">
        <v>822</v>
      </c>
      <c r="J12021" t="str">
        <f>HYPERLINK("https://climate.onebuilding.org/WMO_Region_6_Europe/TUR_Turkey/SU_Sanliurfa/TUR_SU_Sanliurfa.GAP.AP.172710_TMYx.2007-2021.zip")</f>
        <v>https://climate.onebuilding.org/WMO_Region_6_Europe/TUR_Turkey/SU_Sanliurfa/TUR_SU_Sanliurfa.GAP.AP.172710_TMYx.2007-2021.zip</v>
      </c>
    </row>
    <row r="12022" spans="1:10" x14ac:dyDescent="0.25">
      <c r="A12022" t="s">
        <v>8459</v>
      </c>
      <c r="B12022" t="s">
        <v>3574</v>
      </c>
      <c r="C12022" t="s">
        <v>8708</v>
      </c>
      <c r="D12022">
        <v>172710</v>
      </c>
      <c r="E12022" t="s">
        <v>14</v>
      </c>
      <c r="F12022">
        <v>37.445</v>
      </c>
      <c r="G12022">
        <v>38.904000000000003</v>
      </c>
      <c r="H12022">
        <v>3</v>
      </c>
      <c r="I12022">
        <v>822</v>
      </c>
      <c r="J12022" t="str">
        <f>HYPERLINK("https://climate.onebuilding.org/WMO_Region_6_Europe/TUR_Turkey/SU_Sanliurfa/TUR_SU_Sanliurfa.GAP.AP.172710_TMYx.2009-2023.zip")</f>
        <v>https://climate.onebuilding.org/WMO_Region_6_Europe/TUR_Turkey/SU_Sanliurfa/TUR_SU_Sanliurfa.GAP.AP.172710_TMYx.2009-2023.zip</v>
      </c>
    </row>
    <row r="12023" spans="1:10" x14ac:dyDescent="0.25">
      <c r="A12023" t="s">
        <v>8459</v>
      </c>
      <c r="B12023" t="s">
        <v>3574</v>
      </c>
      <c r="C12023" t="s">
        <v>8708</v>
      </c>
      <c r="D12023">
        <v>172710</v>
      </c>
      <c r="E12023" t="s">
        <v>14</v>
      </c>
      <c r="F12023">
        <v>37.445</v>
      </c>
      <c r="G12023">
        <v>38.904000000000003</v>
      </c>
      <c r="H12023">
        <v>3</v>
      </c>
      <c r="I12023">
        <v>822</v>
      </c>
      <c r="J12023" t="str">
        <f>HYPERLINK("https://climate.onebuilding.org/WMO_Region_6_Europe/TUR_Turkey/SU_Sanliurfa/TUR_SU_Sanliurfa.GAP.AP.172710_TMYx.zip")</f>
        <v>https://climate.onebuilding.org/WMO_Region_6_Europe/TUR_Turkey/SU_Sanliurfa/TUR_SU_Sanliurfa.GAP.AP.172710_TMYx.zip</v>
      </c>
    </row>
    <row r="12024" spans="1:10" x14ac:dyDescent="0.25">
      <c r="A12024" t="s">
        <v>8459</v>
      </c>
      <c r="B12024" t="s">
        <v>5629</v>
      </c>
      <c r="C12024" t="s">
        <v>8710</v>
      </c>
      <c r="D12024">
        <v>172750</v>
      </c>
      <c r="E12024" t="s">
        <v>8711</v>
      </c>
      <c r="F12024">
        <v>37.299999999999997</v>
      </c>
      <c r="G12024">
        <v>40.732999999999997</v>
      </c>
      <c r="H12024">
        <v>3</v>
      </c>
      <c r="I12024">
        <v>1050</v>
      </c>
      <c r="J12024" t="str">
        <f>HYPERLINK("https://climate.onebuilding.org/WMO_Region_6_Europe/TUR_Turkey/MR_Mardin/TUR_MR_Mardin.172750_TMYx.2004-2018.zip")</f>
        <v>https://climate.onebuilding.org/WMO_Region_6_Europe/TUR_Turkey/MR_Mardin/TUR_MR_Mardin.172750_TMYx.2004-2018.zip</v>
      </c>
    </row>
    <row r="12025" spans="1:10" x14ac:dyDescent="0.25">
      <c r="A12025" t="s">
        <v>8459</v>
      </c>
      <c r="B12025" t="s">
        <v>5629</v>
      </c>
      <c r="C12025" t="s">
        <v>8710</v>
      </c>
      <c r="D12025">
        <v>172750</v>
      </c>
      <c r="E12025" t="s">
        <v>14</v>
      </c>
      <c r="F12025">
        <v>37.310279999999999</v>
      </c>
      <c r="G12025">
        <v>40.72833</v>
      </c>
      <c r="H12025">
        <v>3</v>
      </c>
      <c r="I12025">
        <v>1050</v>
      </c>
      <c r="J12025" t="str">
        <f>HYPERLINK("https://climate.onebuilding.org/WMO_Region_6_Europe/TUR_Turkey/MR_Mardin/TUR_MR_Mardin.172750_TMYx.2007-2021.zip")</f>
        <v>https://climate.onebuilding.org/WMO_Region_6_Europe/TUR_Turkey/MR_Mardin/TUR_MR_Mardin.172750_TMYx.2007-2021.zip</v>
      </c>
    </row>
    <row r="12026" spans="1:10" x14ac:dyDescent="0.25">
      <c r="A12026" t="s">
        <v>8459</v>
      </c>
      <c r="B12026" t="s">
        <v>5629</v>
      </c>
      <c r="C12026" t="s">
        <v>8710</v>
      </c>
      <c r="D12026">
        <v>172750</v>
      </c>
      <c r="E12026" t="s">
        <v>14</v>
      </c>
      <c r="F12026">
        <v>37.310279999999999</v>
      </c>
      <c r="G12026">
        <v>40.72833</v>
      </c>
      <c r="H12026">
        <v>3</v>
      </c>
      <c r="I12026">
        <v>1050</v>
      </c>
      <c r="J12026" t="str">
        <f>HYPERLINK("https://climate.onebuilding.org/WMO_Region_6_Europe/TUR_Turkey/MR_Mardin/TUR_MR_Mardin.172750_TMYx.2009-2023.zip")</f>
        <v>https://climate.onebuilding.org/WMO_Region_6_Europe/TUR_Turkey/MR_Mardin/TUR_MR_Mardin.172750_TMYx.2009-2023.zip</v>
      </c>
    </row>
    <row r="12027" spans="1:10" x14ac:dyDescent="0.25">
      <c r="A12027" t="s">
        <v>8459</v>
      </c>
      <c r="B12027" t="s">
        <v>5629</v>
      </c>
      <c r="C12027" t="s">
        <v>8710</v>
      </c>
      <c r="D12027">
        <v>172750</v>
      </c>
      <c r="E12027" t="s">
        <v>14</v>
      </c>
      <c r="F12027">
        <v>37.310279999999999</v>
      </c>
      <c r="G12027">
        <v>40.72833</v>
      </c>
      <c r="H12027">
        <v>3</v>
      </c>
      <c r="I12027">
        <v>1050</v>
      </c>
      <c r="J12027" t="str">
        <f>HYPERLINK("https://climate.onebuilding.org/WMO_Region_6_Europe/TUR_Turkey/MR_Mardin/TUR_MR_Mardin.172750_TMYx.zip")</f>
        <v>https://climate.onebuilding.org/WMO_Region_6_Europe/TUR_Turkey/MR_Mardin/TUR_MR_Mardin.172750_TMYx.zip</v>
      </c>
    </row>
    <row r="12028" spans="1:10" x14ac:dyDescent="0.25">
      <c r="A12028" t="s">
        <v>8459</v>
      </c>
      <c r="B12028" t="s">
        <v>8435</v>
      </c>
      <c r="C12028" t="s">
        <v>8712</v>
      </c>
      <c r="D12028">
        <v>172800</v>
      </c>
      <c r="E12028" t="s">
        <v>8713</v>
      </c>
      <c r="F12028">
        <v>37.893999999999998</v>
      </c>
      <c r="G12028">
        <v>40.201000000000001</v>
      </c>
      <c r="H12028">
        <v>3</v>
      </c>
      <c r="I12028">
        <v>686.1</v>
      </c>
      <c r="J12028" t="str">
        <f>HYPERLINK("https://climate.onebuilding.org/WMO_Region_6_Europe/TUR_Turkey/DY_Diyarbakir/TUR_DY_Diyarbakir.AP.172800_TMYx.2004-2018.zip")</f>
        <v>https://climate.onebuilding.org/WMO_Region_6_Europe/TUR_Turkey/DY_Diyarbakir/TUR_DY_Diyarbakir.AP.172800_TMYx.2004-2018.zip</v>
      </c>
    </row>
    <row r="12029" spans="1:10" x14ac:dyDescent="0.25">
      <c r="A12029" t="s">
        <v>8459</v>
      </c>
      <c r="B12029" t="s">
        <v>8435</v>
      </c>
      <c r="C12029" t="s">
        <v>8712</v>
      </c>
      <c r="D12029">
        <v>172800</v>
      </c>
      <c r="E12029" t="s">
        <v>14</v>
      </c>
      <c r="F12029">
        <v>37.896700000000003</v>
      </c>
      <c r="G12029">
        <v>40.202300000000001</v>
      </c>
      <c r="H12029">
        <v>3</v>
      </c>
      <c r="I12029">
        <v>686.1</v>
      </c>
      <c r="J12029" t="str">
        <f>HYPERLINK("https://climate.onebuilding.org/WMO_Region_6_Europe/TUR_Turkey/DY_Diyarbakir/TUR_DY_Diyarbakir.AP.172800_TMYx.2007-2021.zip")</f>
        <v>https://climate.onebuilding.org/WMO_Region_6_Europe/TUR_Turkey/DY_Diyarbakir/TUR_DY_Diyarbakir.AP.172800_TMYx.2007-2021.zip</v>
      </c>
    </row>
    <row r="12030" spans="1:10" x14ac:dyDescent="0.25">
      <c r="A12030" t="s">
        <v>8459</v>
      </c>
      <c r="B12030" t="s">
        <v>8435</v>
      </c>
      <c r="C12030" t="s">
        <v>8712</v>
      </c>
      <c r="D12030">
        <v>172800</v>
      </c>
      <c r="E12030" t="s">
        <v>14</v>
      </c>
      <c r="F12030">
        <v>37.896700000000003</v>
      </c>
      <c r="G12030">
        <v>40.202300000000001</v>
      </c>
      <c r="H12030">
        <v>3</v>
      </c>
      <c r="I12030">
        <v>686.1</v>
      </c>
      <c r="J12030" t="str">
        <f>HYPERLINK("https://climate.onebuilding.org/WMO_Region_6_Europe/TUR_Turkey/DY_Diyarbakir/TUR_DY_Diyarbakir.AP.172800_TMYx.2009-2023.zip")</f>
        <v>https://climate.onebuilding.org/WMO_Region_6_Europe/TUR_Turkey/DY_Diyarbakir/TUR_DY_Diyarbakir.AP.172800_TMYx.2009-2023.zip</v>
      </c>
    </row>
    <row r="12031" spans="1:10" x14ac:dyDescent="0.25">
      <c r="A12031" t="s">
        <v>8459</v>
      </c>
      <c r="B12031" t="s">
        <v>8435</v>
      </c>
      <c r="C12031" t="s">
        <v>8712</v>
      </c>
      <c r="D12031">
        <v>172800</v>
      </c>
      <c r="E12031" t="s">
        <v>14</v>
      </c>
      <c r="F12031">
        <v>37.896700000000003</v>
      </c>
      <c r="G12031">
        <v>40.202300000000001</v>
      </c>
      <c r="H12031">
        <v>3</v>
      </c>
      <c r="I12031">
        <v>686.1</v>
      </c>
      <c r="J12031" t="str">
        <f>HYPERLINK("https://climate.onebuilding.org/WMO_Region_6_Europe/TUR_Turkey/DY_Diyarbakir/TUR_DY_Diyarbakir.AP.172800_TMYx.zip")</f>
        <v>https://climate.onebuilding.org/WMO_Region_6_Europe/TUR_Turkey/DY_Diyarbakir/TUR_DY_Diyarbakir.AP.172800_TMYx.zip</v>
      </c>
    </row>
    <row r="12032" spans="1:10" x14ac:dyDescent="0.25">
      <c r="A12032" t="s">
        <v>8459</v>
      </c>
      <c r="B12032" t="s">
        <v>8714</v>
      </c>
      <c r="C12032" t="s">
        <v>8715</v>
      </c>
      <c r="D12032">
        <v>172820</v>
      </c>
      <c r="E12032" t="s">
        <v>8716</v>
      </c>
      <c r="F12032">
        <v>37.929000000000002</v>
      </c>
      <c r="G12032">
        <v>41.116999999999997</v>
      </c>
      <c r="H12032">
        <v>3</v>
      </c>
      <c r="I12032">
        <v>555.29999999999995</v>
      </c>
      <c r="J12032" t="str">
        <f>HYPERLINK("https://climate.onebuilding.org/WMO_Region_6_Europe/TUR_Turkey/BM_Batman/TUR_BM_Batman.AP.172820_TMYx.2004-2018.zip")</f>
        <v>https://climate.onebuilding.org/WMO_Region_6_Europe/TUR_Turkey/BM_Batman/TUR_BM_Batman.AP.172820_TMYx.2004-2018.zip</v>
      </c>
    </row>
    <row r="12033" spans="1:10" x14ac:dyDescent="0.25">
      <c r="A12033" t="s">
        <v>8459</v>
      </c>
      <c r="B12033" t="s">
        <v>8714</v>
      </c>
      <c r="C12033" t="s">
        <v>8715</v>
      </c>
      <c r="D12033">
        <v>172820</v>
      </c>
      <c r="E12033" t="s">
        <v>14</v>
      </c>
      <c r="F12033">
        <v>37.933</v>
      </c>
      <c r="G12033">
        <v>41.116999999999997</v>
      </c>
      <c r="H12033">
        <v>3</v>
      </c>
      <c r="I12033">
        <v>555.29999999999995</v>
      </c>
      <c r="J12033" t="str">
        <f>HYPERLINK("https://climate.onebuilding.org/WMO_Region_6_Europe/TUR_Turkey/BM_Batman/TUR_BM_Batman.AP.172820_TMYx.2007-2021.zip")</f>
        <v>https://climate.onebuilding.org/WMO_Region_6_Europe/TUR_Turkey/BM_Batman/TUR_BM_Batman.AP.172820_TMYx.2007-2021.zip</v>
      </c>
    </row>
    <row r="12034" spans="1:10" x14ac:dyDescent="0.25">
      <c r="A12034" t="s">
        <v>8459</v>
      </c>
      <c r="B12034" t="s">
        <v>8714</v>
      </c>
      <c r="C12034" t="s">
        <v>8715</v>
      </c>
      <c r="D12034">
        <v>172820</v>
      </c>
      <c r="E12034" t="s">
        <v>14</v>
      </c>
      <c r="F12034">
        <v>37.933</v>
      </c>
      <c r="G12034">
        <v>41.116999999999997</v>
      </c>
      <c r="H12034">
        <v>3</v>
      </c>
      <c r="I12034">
        <v>555.29999999999995</v>
      </c>
      <c r="J12034" t="str">
        <f>HYPERLINK("https://climate.onebuilding.org/WMO_Region_6_Europe/TUR_Turkey/BM_Batman/TUR_BM_Batman.AP.172820_TMYx.2009-2023.zip")</f>
        <v>https://climate.onebuilding.org/WMO_Region_6_Europe/TUR_Turkey/BM_Batman/TUR_BM_Batman.AP.172820_TMYx.2009-2023.zip</v>
      </c>
    </row>
    <row r="12035" spans="1:10" x14ac:dyDescent="0.25">
      <c r="A12035" t="s">
        <v>8459</v>
      </c>
      <c r="B12035" t="s">
        <v>8714</v>
      </c>
      <c r="C12035" t="s">
        <v>8715</v>
      </c>
      <c r="D12035">
        <v>172820</v>
      </c>
      <c r="E12035" t="s">
        <v>14</v>
      </c>
      <c r="F12035">
        <v>37.933</v>
      </c>
      <c r="G12035">
        <v>41.116999999999997</v>
      </c>
      <c r="H12035">
        <v>3</v>
      </c>
      <c r="I12035">
        <v>555.29999999999995</v>
      </c>
      <c r="J12035" t="str">
        <f>HYPERLINK("https://climate.onebuilding.org/WMO_Region_6_Europe/TUR_Turkey/BM_Batman/TUR_BM_Batman.AP.172820_TMYx.zip")</f>
        <v>https://climate.onebuilding.org/WMO_Region_6_Europe/TUR_Turkey/BM_Batman/TUR_BM_Batman.AP.172820_TMYx.zip</v>
      </c>
    </row>
    <row r="12036" spans="1:10" x14ac:dyDescent="0.25">
      <c r="A12036" t="s">
        <v>8459</v>
      </c>
      <c r="B12036" t="s">
        <v>577</v>
      </c>
      <c r="C12036" t="s">
        <v>8717</v>
      </c>
      <c r="D12036">
        <v>172821</v>
      </c>
      <c r="E12036" t="s">
        <v>8718</v>
      </c>
      <c r="F12036">
        <v>37.366999999999997</v>
      </c>
      <c r="G12036">
        <v>42.567</v>
      </c>
      <c r="H12036">
        <v>3</v>
      </c>
      <c r="I12036">
        <v>621</v>
      </c>
      <c r="J12036" t="str">
        <f>HYPERLINK("https://climate.onebuilding.org/WMO_Region_6_Europe/TUR_Turkey/SR_Sirnak/TUR_SR_Sirnak.172821_TMYx.2004-2018.zip")</f>
        <v>https://climate.onebuilding.org/WMO_Region_6_Europe/TUR_Turkey/SR_Sirnak/TUR_SR_Sirnak.172821_TMYx.2004-2018.zip</v>
      </c>
    </row>
    <row r="12037" spans="1:10" x14ac:dyDescent="0.25">
      <c r="A12037" t="s">
        <v>8459</v>
      </c>
      <c r="B12037" t="s">
        <v>577</v>
      </c>
      <c r="C12037" t="s">
        <v>8717</v>
      </c>
      <c r="D12037">
        <v>172821</v>
      </c>
      <c r="E12037" t="s">
        <v>14</v>
      </c>
      <c r="F12037">
        <v>37.516390000000001</v>
      </c>
      <c r="G12037">
        <v>42.461109999999998</v>
      </c>
      <c r="H12037">
        <v>3</v>
      </c>
      <c r="I12037">
        <v>1351</v>
      </c>
      <c r="J12037" t="str">
        <f>HYPERLINK("https://climate.onebuilding.org/WMO_Region_6_Europe/TUR_Turkey/SR_Sirnak/TUR_SR_Sirnak.172821_TMYx.2007-2021.zip")</f>
        <v>https://climate.onebuilding.org/WMO_Region_6_Europe/TUR_Turkey/SR_Sirnak/TUR_SR_Sirnak.172821_TMYx.2007-2021.zip</v>
      </c>
    </row>
    <row r="12038" spans="1:10" x14ac:dyDescent="0.25">
      <c r="A12038" t="s">
        <v>8459</v>
      </c>
      <c r="B12038" t="s">
        <v>577</v>
      </c>
      <c r="C12038" t="s">
        <v>8717</v>
      </c>
      <c r="D12038">
        <v>172821</v>
      </c>
      <c r="E12038" t="s">
        <v>14</v>
      </c>
      <c r="F12038">
        <v>37.516390000000001</v>
      </c>
      <c r="G12038">
        <v>42.461109999999998</v>
      </c>
      <c r="H12038">
        <v>3</v>
      </c>
      <c r="I12038">
        <v>1351</v>
      </c>
      <c r="J12038" t="str">
        <f>HYPERLINK("https://climate.onebuilding.org/WMO_Region_6_Europe/TUR_Turkey/SR_Sirnak/TUR_SR_Sirnak.172821_TMYx.2009-2023.zip")</f>
        <v>https://climate.onebuilding.org/WMO_Region_6_Europe/TUR_Turkey/SR_Sirnak/TUR_SR_Sirnak.172821_TMYx.2009-2023.zip</v>
      </c>
    </row>
    <row r="12039" spans="1:10" x14ac:dyDescent="0.25">
      <c r="A12039" t="s">
        <v>8459</v>
      </c>
      <c r="B12039" t="s">
        <v>577</v>
      </c>
      <c r="C12039" t="s">
        <v>8717</v>
      </c>
      <c r="D12039">
        <v>172821</v>
      </c>
      <c r="E12039" t="s">
        <v>14</v>
      </c>
      <c r="F12039">
        <v>37.516390000000001</v>
      </c>
      <c r="G12039">
        <v>42.461109999999998</v>
      </c>
      <c r="H12039">
        <v>3</v>
      </c>
      <c r="I12039">
        <v>1351</v>
      </c>
      <c r="J12039" t="str">
        <f>HYPERLINK("https://climate.onebuilding.org/WMO_Region_6_Europe/TUR_Turkey/SR_Sirnak/TUR_SR_Sirnak.172821_TMYx.zip")</f>
        <v>https://climate.onebuilding.org/WMO_Region_6_Europe/TUR_Turkey/SR_Sirnak/TUR_SR_Sirnak.172821_TMYx.zip</v>
      </c>
    </row>
    <row r="12040" spans="1:10" x14ac:dyDescent="0.25">
      <c r="A12040" t="s">
        <v>8459</v>
      </c>
      <c r="B12040" t="s">
        <v>1247</v>
      </c>
      <c r="C12040" t="s">
        <v>8719</v>
      </c>
      <c r="D12040">
        <v>172850</v>
      </c>
      <c r="E12040" t="s">
        <v>8720</v>
      </c>
      <c r="F12040">
        <v>37.567</v>
      </c>
      <c r="G12040">
        <v>43.767000000000003</v>
      </c>
      <c r="H12040">
        <v>3</v>
      </c>
      <c r="I12040">
        <v>1728</v>
      </c>
      <c r="J12040" t="str">
        <f>HYPERLINK("https://climate.onebuilding.org/WMO_Region_6_Europe/TUR_Turkey/HK_Hakkari/TUR_HK_Hakkari.172850_TMYx.2004-2018.zip")</f>
        <v>https://climate.onebuilding.org/WMO_Region_6_Europe/TUR_Turkey/HK_Hakkari/TUR_HK_Hakkari.172850_TMYx.2004-2018.zip</v>
      </c>
    </row>
    <row r="12041" spans="1:10" x14ac:dyDescent="0.25">
      <c r="A12041" t="s">
        <v>8459</v>
      </c>
      <c r="B12041" t="s">
        <v>1247</v>
      </c>
      <c r="C12041" t="s">
        <v>8719</v>
      </c>
      <c r="D12041">
        <v>172850</v>
      </c>
      <c r="E12041" t="s">
        <v>14</v>
      </c>
      <c r="F12041">
        <v>37.574440000000003</v>
      </c>
      <c r="G12041">
        <v>43.738889999999998</v>
      </c>
      <c r="H12041">
        <v>3</v>
      </c>
      <c r="I12041">
        <v>1728</v>
      </c>
      <c r="J12041" t="str">
        <f>HYPERLINK("https://climate.onebuilding.org/WMO_Region_6_Europe/TUR_Turkey/HK_Hakkari/TUR_HK_Hakkari.172850_TMYx.2007-2021.zip")</f>
        <v>https://climate.onebuilding.org/WMO_Region_6_Europe/TUR_Turkey/HK_Hakkari/TUR_HK_Hakkari.172850_TMYx.2007-2021.zip</v>
      </c>
    </row>
    <row r="12042" spans="1:10" x14ac:dyDescent="0.25">
      <c r="A12042" t="s">
        <v>8459</v>
      </c>
      <c r="B12042" t="s">
        <v>1247</v>
      </c>
      <c r="C12042" t="s">
        <v>8719</v>
      </c>
      <c r="D12042">
        <v>172850</v>
      </c>
      <c r="E12042" t="s">
        <v>14</v>
      </c>
      <c r="F12042">
        <v>37.574440000000003</v>
      </c>
      <c r="G12042">
        <v>43.738889999999998</v>
      </c>
      <c r="H12042">
        <v>3</v>
      </c>
      <c r="I12042">
        <v>1728</v>
      </c>
      <c r="J12042" t="str">
        <f>HYPERLINK("https://climate.onebuilding.org/WMO_Region_6_Europe/TUR_Turkey/HK_Hakkari/TUR_HK_Hakkari.172850_TMYx.2009-2023.zip")</f>
        <v>https://climate.onebuilding.org/WMO_Region_6_Europe/TUR_Turkey/HK_Hakkari/TUR_HK_Hakkari.172850_TMYx.2009-2023.zip</v>
      </c>
    </row>
    <row r="12043" spans="1:10" x14ac:dyDescent="0.25">
      <c r="A12043" t="s">
        <v>8459</v>
      </c>
      <c r="B12043" t="s">
        <v>1247</v>
      </c>
      <c r="C12043" t="s">
        <v>8719</v>
      </c>
      <c r="D12043">
        <v>172850</v>
      </c>
      <c r="E12043" t="s">
        <v>14</v>
      </c>
      <c r="F12043">
        <v>37.574440000000003</v>
      </c>
      <c r="G12043">
        <v>43.738889999999998</v>
      </c>
      <c r="H12043">
        <v>3</v>
      </c>
      <c r="I12043">
        <v>1728</v>
      </c>
      <c r="J12043" t="str">
        <f>HYPERLINK("https://climate.onebuilding.org/WMO_Region_6_Europe/TUR_Turkey/HK_Hakkari/TUR_HK_Hakkari.172850_TMYx.zip")</f>
        <v>https://climate.onebuilding.org/WMO_Region_6_Europe/TUR_Turkey/HK_Hakkari/TUR_HK_Hakkari.172850_TMYx.zip</v>
      </c>
    </row>
    <row r="12044" spans="1:10" x14ac:dyDescent="0.25">
      <c r="A12044" t="s">
        <v>8459</v>
      </c>
      <c r="B12044" t="s">
        <v>8721</v>
      </c>
      <c r="C12044" t="s">
        <v>8722</v>
      </c>
      <c r="D12044">
        <v>172900</v>
      </c>
      <c r="E12044" t="s">
        <v>8723</v>
      </c>
      <c r="F12044">
        <v>37.14</v>
      </c>
      <c r="G12044">
        <v>27.67</v>
      </c>
      <c r="H12044">
        <v>3</v>
      </c>
      <c r="I12044">
        <v>61.6</v>
      </c>
      <c r="J12044" t="str">
        <f>HYPERLINK("https://climate.onebuilding.org/WMO_Region_6_Europe/TUR_Turkey/MG_Mugla/TUR_MG_Bodrum.172900_TMYx.2004-2018.zip")</f>
        <v>https://climate.onebuilding.org/WMO_Region_6_Europe/TUR_Turkey/MG_Mugla/TUR_MG_Bodrum.172900_TMYx.2004-2018.zip</v>
      </c>
    </row>
    <row r="12045" spans="1:10" x14ac:dyDescent="0.25">
      <c r="A12045" t="s">
        <v>8459</v>
      </c>
      <c r="B12045" t="s">
        <v>8721</v>
      </c>
      <c r="C12045" t="s">
        <v>8722</v>
      </c>
      <c r="D12045">
        <v>172900</v>
      </c>
      <c r="E12045" t="s">
        <v>14</v>
      </c>
      <c r="F12045">
        <v>37.033000000000001</v>
      </c>
      <c r="G12045">
        <v>27.44</v>
      </c>
      <c r="H12045">
        <v>3</v>
      </c>
      <c r="I12045">
        <v>61.6</v>
      </c>
      <c r="J12045" t="str">
        <f>HYPERLINK("https://climate.onebuilding.org/WMO_Region_6_Europe/TUR_Turkey/MG_Mugla/TUR_MG_Bodrum.172900_TMYx.2007-2021.zip")</f>
        <v>https://climate.onebuilding.org/WMO_Region_6_Europe/TUR_Turkey/MG_Mugla/TUR_MG_Bodrum.172900_TMYx.2007-2021.zip</v>
      </c>
    </row>
    <row r="12046" spans="1:10" x14ac:dyDescent="0.25">
      <c r="A12046" t="s">
        <v>8459</v>
      </c>
      <c r="B12046" t="s">
        <v>8721</v>
      </c>
      <c r="C12046" t="s">
        <v>8722</v>
      </c>
      <c r="D12046">
        <v>172900</v>
      </c>
      <c r="E12046" t="s">
        <v>14</v>
      </c>
      <c r="F12046">
        <v>37.033000000000001</v>
      </c>
      <c r="G12046">
        <v>27.44</v>
      </c>
      <c r="H12046">
        <v>3</v>
      </c>
      <c r="I12046">
        <v>61.6</v>
      </c>
      <c r="J12046" t="str">
        <f>HYPERLINK("https://climate.onebuilding.org/WMO_Region_6_Europe/TUR_Turkey/MG_Mugla/TUR_MG_Bodrum.172900_TMYx.2009-2023.zip")</f>
        <v>https://climate.onebuilding.org/WMO_Region_6_Europe/TUR_Turkey/MG_Mugla/TUR_MG_Bodrum.172900_TMYx.2009-2023.zip</v>
      </c>
    </row>
    <row r="12047" spans="1:10" x14ac:dyDescent="0.25">
      <c r="A12047" t="s">
        <v>8459</v>
      </c>
      <c r="B12047" t="s">
        <v>8721</v>
      </c>
      <c r="C12047" t="s">
        <v>8722</v>
      </c>
      <c r="D12047">
        <v>172900</v>
      </c>
      <c r="E12047" t="s">
        <v>14</v>
      </c>
      <c r="F12047">
        <v>37.033000000000001</v>
      </c>
      <c r="G12047">
        <v>27.44</v>
      </c>
      <c r="H12047">
        <v>3</v>
      </c>
      <c r="I12047">
        <v>61.6</v>
      </c>
      <c r="J12047" t="str">
        <f>HYPERLINK("https://climate.onebuilding.org/WMO_Region_6_Europe/TUR_Turkey/MG_Mugla/TUR_MG_Bodrum.172900_TMYx.zip")</f>
        <v>https://climate.onebuilding.org/WMO_Region_6_Europe/TUR_Turkey/MG_Mugla/TUR_MG_Bodrum.172900_TMYx.zip</v>
      </c>
    </row>
    <row r="12048" spans="1:10" x14ac:dyDescent="0.25">
      <c r="A12048" t="s">
        <v>8459</v>
      </c>
      <c r="B12048" t="s">
        <v>8721</v>
      </c>
      <c r="C12048" t="s">
        <v>8724</v>
      </c>
      <c r="D12048">
        <v>172910</v>
      </c>
      <c r="E12048" t="s">
        <v>8725</v>
      </c>
      <c r="F12048">
        <v>37.232999999999997</v>
      </c>
      <c r="G12048">
        <v>27.667000000000002</v>
      </c>
      <c r="H12048">
        <v>3</v>
      </c>
      <c r="I12048">
        <v>11</v>
      </c>
      <c r="J12048" t="str">
        <f>HYPERLINK("https://climate.onebuilding.org/WMO_Region_6_Europe/TUR_Turkey/MG_Mugla/TUR_MG_Milas-Bodrum.Intl.AP.172910_TMYx.2004-2018.zip")</f>
        <v>https://climate.onebuilding.org/WMO_Region_6_Europe/TUR_Turkey/MG_Mugla/TUR_MG_Milas-Bodrum.Intl.AP.172910_TMYx.2004-2018.zip</v>
      </c>
    </row>
    <row r="12049" spans="1:10" x14ac:dyDescent="0.25">
      <c r="A12049" t="s">
        <v>8459</v>
      </c>
      <c r="B12049" t="s">
        <v>8721</v>
      </c>
      <c r="C12049" t="s">
        <v>8724</v>
      </c>
      <c r="D12049">
        <v>172910</v>
      </c>
      <c r="E12049" t="s">
        <v>14</v>
      </c>
      <c r="F12049">
        <v>37.250999999999998</v>
      </c>
      <c r="G12049">
        <v>27.664000000000001</v>
      </c>
      <c r="H12049">
        <v>3</v>
      </c>
      <c r="I12049">
        <v>11</v>
      </c>
      <c r="J12049" t="str">
        <f>HYPERLINK("https://climate.onebuilding.org/WMO_Region_6_Europe/TUR_Turkey/MG_Mugla/TUR_MG_Milas-Bodrum.Intl.AP.172910_TMYx.2007-2021.zip")</f>
        <v>https://climate.onebuilding.org/WMO_Region_6_Europe/TUR_Turkey/MG_Mugla/TUR_MG_Milas-Bodrum.Intl.AP.172910_TMYx.2007-2021.zip</v>
      </c>
    </row>
    <row r="12050" spans="1:10" x14ac:dyDescent="0.25">
      <c r="A12050" t="s">
        <v>8459</v>
      </c>
      <c r="B12050" t="s">
        <v>8721</v>
      </c>
      <c r="C12050" t="s">
        <v>8724</v>
      </c>
      <c r="D12050">
        <v>172910</v>
      </c>
      <c r="E12050" t="s">
        <v>14</v>
      </c>
      <c r="F12050">
        <v>37.250999999999998</v>
      </c>
      <c r="G12050">
        <v>27.664000000000001</v>
      </c>
      <c r="H12050">
        <v>3</v>
      </c>
      <c r="I12050">
        <v>11</v>
      </c>
      <c r="J12050" t="str">
        <f>HYPERLINK("https://climate.onebuilding.org/WMO_Region_6_Europe/TUR_Turkey/MG_Mugla/TUR_MG_Milas-Bodrum.Intl.AP.172910_TMYx.2009-2023.zip")</f>
        <v>https://climate.onebuilding.org/WMO_Region_6_Europe/TUR_Turkey/MG_Mugla/TUR_MG_Milas-Bodrum.Intl.AP.172910_TMYx.2009-2023.zip</v>
      </c>
    </row>
    <row r="12051" spans="1:10" x14ac:dyDescent="0.25">
      <c r="A12051" t="s">
        <v>8459</v>
      </c>
      <c r="B12051" t="s">
        <v>8721</v>
      </c>
      <c r="C12051" t="s">
        <v>8724</v>
      </c>
      <c r="D12051">
        <v>172910</v>
      </c>
      <c r="E12051" t="s">
        <v>14</v>
      </c>
      <c r="F12051">
        <v>37.250999999999998</v>
      </c>
      <c r="G12051">
        <v>27.664000000000001</v>
      </c>
      <c r="H12051">
        <v>3</v>
      </c>
      <c r="I12051">
        <v>11</v>
      </c>
      <c r="J12051" t="str">
        <f>HYPERLINK("https://climate.onebuilding.org/WMO_Region_6_Europe/TUR_Turkey/MG_Mugla/TUR_MG_Milas-Bodrum.Intl.AP.172910_TMYx.zip")</f>
        <v>https://climate.onebuilding.org/WMO_Region_6_Europe/TUR_Turkey/MG_Mugla/TUR_MG_Milas-Bodrum.Intl.AP.172910_TMYx.zip</v>
      </c>
    </row>
    <row r="12052" spans="1:10" x14ac:dyDescent="0.25">
      <c r="A12052" t="s">
        <v>8459</v>
      </c>
      <c r="B12052" t="s">
        <v>8721</v>
      </c>
      <c r="C12052" t="s">
        <v>8726</v>
      </c>
      <c r="D12052">
        <v>172920</v>
      </c>
      <c r="E12052" t="s">
        <v>8727</v>
      </c>
      <c r="F12052">
        <v>37.216999999999999</v>
      </c>
      <c r="G12052">
        <v>28.367000000000001</v>
      </c>
      <c r="H12052">
        <v>3</v>
      </c>
      <c r="I12052">
        <v>646</v>
      </c>
      <c r="J12052" t="str">
        <f>HYPERLINK("https://climate.onebuilding.org/WMO_Region_6_Europe/TUR_Turkey/MG_Mugla/TUR_MG_Mugla.172920_TMYx.2004-2018.zip")</f>
        <v>https://climate.onebuilding.org/WMO_Region_6_Europe/TUR_Turkey/MG_Mugla/TUR_MG_Mugla.172920_TMYx.2004-2018.zip</v>
      </c>
    </row>
    <row r="12053" spans="1:10" x14ac:dyDescent="0.25">
      <c r="A12053" t="s">
        <v>8459</v>
      </c>
      <c r="B12053" t="s">
        <v>8721</v>
      </c>
      <c r="C12053" t="s">
        <v>8726</v>
      </c>
      <c r="D12053">
        <v>172920</v>
      </c>
      <c r="E12053" t="s">
        <v>14</v>
      </c>
      <c r="F12053">
        <v>37.209400000000002</v>
      </c>
      <c r="G12053">
        <v>28.366900000000001</v>
      </c>
      <c r="H12053">
        <v>3</v>
      </c>
      <c r="I12053">
        <v>646</v>
      </c>
      <c r="J12053" t="str">
        <f>HYPERLINK("https://climate.onebuilding.org/WMO_Region_6_Europe/TUR_Turkey/MG_Mugla/TUR_MG_Mugla.172920_TMYx.2007-2021.zip")</f>
        <v>https://climate.onebuilding.org/WMO_Region_6_Europe/TUR_Turkey/MG_Mugla/TUR_MG_Mugla.172920_TMYx.2007-2021.zip</v>
      </c>
    </row>
    <row r="12054" spans="1:10" x14ac:dyDescent="0.25">
      <c r="A12054" t="s">
        <v>8459</v>
      </c>
      <c r="B12054" t="s">
        <v>8721</v>
      </c>
      <c r="C12054" t="s">
        <v>8726</v>
      </c>
      <c r="D12054">
        <v>172920</v>
      </c>
      <c r="E12054" t="s">
        <v>14</v>
      </c>
      <c r="F12054">
        <v>37.209400000000002</v>
      </c>
      <c r="G12054">
        <v>28.366900000000001</v>
      </c>
      <c r="H12054">
        <v>3</v>
      </c>
      <c r="I12054">
        <v>646</v>
      </c>
      <c r="J12054" t="str">
        <f>HYPERLINK("https://climate.onebuilding.org/WMO_Region_6_Europe/TUR_Turkey/MG_Mugla/TUR_MG_Mugla.172920_TMYx.2009-2023.zip")</f>
        <v>https://climate.onebuilding.org/WMO_Region_6_Europe/TUR_Turkey/MG_Mugla/TUR_MG_Mugla.172920_TMYx.2009-2023.zip</v>
      </c>
    </row>
    <row r="12055" spans="1:10" x14ac:dyDescent="0.25">
      <c r="A12055" t="s">
        <v>8459</v>
      </c>
      <c r="B12055" t="s">
        <v>8721</v>
      </c>
      <c r="C12055" t="s">
        <v>8726</v>
      </c>
      <c r="D12055">
        <v>172920</v>
      </c>
      <c r="E12055" t="s">
        <v>14</v>
      </c>
      <c r="F12055">
        <v>37.209400000000002</v>
      </c>
      <c r="G12055">
        <v>28.366900000000001</v>
      </c>
      <c r="H12055">
        <v>3</v>
      </c>
      <c r="I12055">
        <v>646</v>
      </c>
      <c r="J12055" t="str">
        <f>HYPERLINK("https://climate.onebuilding.org/WMO_Region_6_Europe/TUR_Turkey/MG_Mugla/TUR_MG_Mugla.172920_TMYx.zip")</f>
        <v>https://climate.onebuilding.org/WMO_Region_6_Europe/TUR_Turkey/MG_Mugla/TUR_MG_Mugla.172920_TMYx.zip</v>
      </c>
    </row>
    <row r="12056" spans="1:10" x14ac:dyDescent="0.25">
      <c r="A12056" t="s">
        <v>8459</v>
      </c>
      <c r="B12056" t="s">
        <v>8721</v>
      </c>
      <c r="C12056" t="s">
        <v>8728</v>
      </c>
      <c r="D12056">
        <v>172950</v>
      </c>
      <c r="E12056" t="s">
        <v>8729</v>
      </c>
      <c r="F12056">
        <v>36.713000000000001</v>
      </c>
      <c r="G12056">
        <v>28.792999999999999</v>
      </c>
      <c r="H12056">
        <v>3</v>
      </c>
      <c r="I12056">
        <v>6.1</v>
      </c>
      <c r="J12056" t="str">
        <f>HYPERLINK("https://climate.onebuilding.org/WMO_Region_6_Europe/TUR_Turkey/MG_Mugla/TUR_MG_Dalaman.AP.172950_TMYx.2004-2018.zip")</f>
        <v>https://climate.onebuilding.org/WMO_Region_6_Europe/TUR_Turkey/MG_Mugla/TUR_MG_Dalaman.AP.172950_TMYx.2004-2018.zip</v>
      </c>
    </row>
    <row r="12057" spans="1:10" x14ac:dyDescent="0.25">
      <c r="A12057" t="s">
        <v>8459</v>
      </c>
      <c r="B12057" t="s">
        <v>8721</v>
      </c>
      <c r="C12057" t="s">
        <v>8728</v>
      </c>
      <c r="D12057">
        <v>172950</v>
      </c>
      <c r="E12057" t="s">
        <v>14</v>
      </c>
      <c r="F12057">
        <v>36.722999999999999</v>
      </c>
      <c r="G12057">
        <v>28.79</v>
      </c>
      <c r="H12057">
        <v>3</v>
      </c>
      <c r="I12057">
        <v>6.1</v>
      </c>
      <c r="J12057" t="str">
        <f>HYPERLINK("https://climate.onebuilding.org/WMO_Region_6_Europe/TUR_Turkey/MG_Mugla/TUR_MG_Dalaman.AP.172950_TMYx.2007-2021.zip")</f>
        <v>https://climate.onebuilding.org/WMO_Region_6_Europe/TUR_Turkey/MG_Mugla/TUR_MG_Dalaman.AP.172950_TMYx.2007-2021.zip</v>
      </c>
    </row>
    <row r="12058" spans="1:10" x14ac:dyDescent="0.25">
      <c r="A12058" t="s">
        <v>8459</v>
      </c>
      <c r="B12058" t="s">
        <v>8721</v>
      </c>
      <c r="C12058" t="s">
        <v>8728</v>
      </c>
      <c r="D12058">
        <v>172950</v>
      </c>
      <c r="E12058" t="s">
        <v>14</v>
      </c>
      <c r="F12058">
        <v>36.722999999999999</v>
      </c>
      <c r="G12058">
        <v>28.79</v>
      </c>
      <c r="H12058">
        <v>3</v>
      </c>
      <c r="I12058">
        <v>6.1</v>
      </c>
      <c r="J12058" t="str">
        <f>HYPERLINK("https://climate.onebuilding.org/WMO_Region_6_Europe/TUR_Turkey/MG_Mugla/TUR_MG_Dalaman.AP.172950_TMYx.2009-2023.zip")</f>
        <v>https://climate.onebuilding.org/WMO_Region_6_Europe/TUR_Turkey/MG_Mugla/TUR_MG_Dalaman.AP.172950_TMYx.2009-2023.zip</v>
      </c>
    </row>
    <row r="12059" spans="1:10" x14ac:dyDescent="0.25">
      <c r="A12059" t="s">
        <v>8459</v>
      </c>
      <c r="B12059" t="s">
        <v>8721</v>
      </c>
      <c r="C12059" t="s">
        <v>8728</v>
      </c>
      <c r="D12059">
        <v>172950</v>
      </c>
      <c r="E12059" t="s">
        <v>14</v>
      </c>
      <c r="F12059">
        <v>36.722999999999999</v>
      </c>
      <c r="G12059">
        <v>28.79</v>
      </c>
      <c r="H12059">
        <v>3</v>
      </c>
      <c r="I12059">
        <v>6.1</v>
      </c>
      <c r="J12059" t="str">
        <f>HYPERLINK("https://climate.onebuilding.org/WMO_Region_6_Europe/TUR_Turkey/MG_Mugla/TUR_MG_Dalaman.AP.172950_TMYx.zip")</f>
        <v>https://climate.onebuilding.org/WMO_Region_6_Europe/TUR_Turkey/MG_Mugla/TUR_MG_Dalaman.AP.172950_TMYx.zip</v>
      </c>
    </row>
    <row r="12060" spans="1:10" x14ac:dyDescent="0.25">
      <c r="A12060" t="s">
        <v>8459</v>
      </c>
      <c r="B12060" t="s">
        <v>8721</v>
      </c>
      <c r="C12060" t="s">
        <v>8730</v>
      </c>
      <c r="D12060">
        <v>172960</v>
      </c>
      <c r="E12060" t="s">
        <v>8731</v>
      </c>
      <c r="F12060">
        <v>36.616999999999997</v>
      </c>
      <c r="G12060">
        <v>29.117000000000001</v>
      </c>
      <c r="H12060">
        <v>3</v>
      </c>
      <c r="I12060">
        <v>3</v>
      </c>
      <c r="J12060" t="str">
        <f>HYPERLINK("https://climate.onebuilding.org/WMO_Region_6_Europe/TUR_Turkey/MG_Mugla/TUR_MG_Fethiye.172960_TMYx.2004-2018.zip")</f>
        <v>https://climate.onebuilding.org/WMO_Region_6_Europe/TUR_Turkey/MG_Mugla/TUR_MG_Fethiye.172960_TMYx.2004-2018.zip</v>
      </c>
    </row>
    <row r="12061" spans="1:10" x14ac:dyDescent="0.25">
      <c r="A12061" t="s">
        <v>8459</v>
      </c>
      <c r="B12061" t="s">
        <v>8721</v>
      </c>
      <c r="C12061" t="s">
        <v>8730</v>
      </c>
      <c r="D12061">
        <v>172960</v>
      </c>
      <c r="E12061" t="s">
        <v>14</v>
      </c>
      <c r="F12061">
        <v>36.626660000000001</v>
      </c>
      <c r="G12061">
        <v>29.123889999999999</v>
      </c>
      <c r="H12061">
        <v>3</v>
      </c>
      <c r="I12061">
        <v>3</v>
      </c>
      <c r="J12061" t="str">
        <f>HYPERLINK("https://climate.onebuilding.org/WMO_Region_6_Europe/TUR_Turkey/MG_Mugla/TUR_MG_Fethiye.172960_TMYx.2007-2021.zip")</f>
        <v>https://climate.onebuilding.org/WMO_Region_6_Europe/TUR_Turkey/MG_Mugla/TUR_MG_Fethiye.172960_TMYx.2007-2021.zip</v>
      </c>
    </row>
    <row r="12062" spans="1:10" x14ac:dyDescent="0.25">
      <c r="A12062" t="s">
        <v>8459</v>
      </c>
      <c r="B12062" t="s">
        <v>8721</v>
      </c>
      <c r="C12062" t="s">
        <v>8730</v>
      </c>
      <c r="D12062">
        <v>172960</v>
      </c>
      <c r="E12062" t="s">
        <v>14</v>
      </c>
      <c r="F12062">
        <v>36.626660000000001</v>
      </c>
      <c r="G12062">
        <v>29.123889999999999</v>
      </c>
      <c r="H12062">
        <v>3</v>
      </c>
      <c r="I12062">
        <v>3</v>
      </c>
      <c r="J12062" t="str">
        <f>HYPERLINK("https://climate.onebuilding.org/WMO_Region_6_Europe/TUR_Turkey/MG_Mugla/TUR_MG_Fethiye.172960_TMYx.2009-2023.zip")</f>
        <v>https://climate.onebuilding.org/WMO_Region_6_Europe/TUR_Turkey/MG_Mugla/TUR_MG_Fethiye.172960_TMYx.2009-2023.zip</v>
      </c>
    </row>
    <row r="12063" spans="1:10" x14ac:dyDescent="0.25">
      <c r="A12063" t="s">
        <v>8459</v>
      </c>
      <c r="B12063" t="s">
        <v>8721</v>
      </c>
      <c r="C12063" t="s">
        <v>8730</v>
      </c>
      <c r="D12063">
        <v>172960</v>
      </c>
      <c r="E12063" t="s">
        <v>14</v>
      </c>
      <c r="F12063">
        <v>36.626660000000001</v>
      </c>
      <c r="G12063">
        <v>29.123889999999999</v>
      </c>
      <c r="H12063">
        <v>3</v>
      </c>
      <c r="I12063">
        <v>3</v>
      </c>
      <c r="J12063" t="str">
        <f>HYPERLINK("https://climate.onebuilding.org/WMO_Region_6_Europe/TUR_Turkey/MG_Mugla/TUR_MG_Fethiye.172960_TMYx.zip")</f>
        <v>https://climate.onebuilding.org/WMO_Region_6_Europe/TUR_Turkey/MG_Mugla/TUR_MG_Fethiye.172960_TMYx.zip</v>
      </c>
    </row>
    <row r="12064" spans="1:10" x14ac:dyDescent="0.25">
      <c r="A12064" t="s">
        <v>8459</v>
      </c>
      <c r="B12064" t="s">
        <v>8721</v>
      </c>
      <c r="C12064" t="s">
        <v>8732</v>
      </c>
      <c r="D12064">
        <v>172970</v>
      </c>
      <c r="E12064" t="s">
        <v>8733</v>
      </c>
      <c r="F12064">
        <v>36.700000000000003</v>
      </c>
      <c r="G12064">
        <v>27.667000000000002</v>
      </c>
      <c r="H12064">
        <v>3</v>
      </c>
      <c r="I12064">
        <v>28</v>
      </c>
      <c r="J12064" t="str">
        <f>HYPERLINK("https://climate.onebuilding.org/WMO_Region_6_Europe/TUR_Turkey/MG_Mugla/TUR_MG_Datca.172970_TMYx.2004-2018.zip")</f>
        <v>https://climate.onebuilding.org/WMO_Region_6_Europe/TUR_Turkey/MG_Mugla/TUR_MG_Datca.172970_TMYx.2004-2018.zip</v>
      </c>
    </row>
    <row r="12065" spans="1:10" x14ac:dyDescent="0.25">
      <c r="A12065" t="s">
        <v>8459</v>
      </c>
      <c r="B12065" t="s">
        <v>8721</v>
      </c>
      <c r="C12065" t="s">
        <v>8732</v>
      </c>
      <c r="D12065">
        <v>172970</v>
      </c>
      <c r="E12065" t="s">
        <v>14</v>
      </c>
      <c r="F12065">
        <v>36.70834</v>
      </c>
      <c r="G12065">
        <v>27.691939999999999</v>
      </c>
      <c r="H12065">
        <v>3</v>
      </c>
      <c r="I12065">
        <v>28</v>
      </c>
      <c r="J12065" t="str">
        <f>HYPERLINK("https://climate.onebuilding.org/WMO_Region_6_Europe/TUR_Turkey/MG_Mugla/TUR_MG_Datca.172970_TMYx.2007-2021.zip")</f>
        <v>https://climate.onebuilding.org/WMO_Region_6_Europe/TUR_Turkey/MG_Mugla/TUR_MG_Datca.172970_TMYx.2007-2021.zip</v>
      </c>
    </row>
    <row r="12066" spans="1:10" x14ac:dyDescent="0.25">
      <c r="A12066" t="s">
        <v>8459</v>
      </c>
      <c r="B12066" t="s">
        <v>8721</v>
      </c>
      <c r="C12066" t="s">
        <v>8732</v>
      </c>
      <c r="D12066">
        <v>172970</v>
      </c>
      <c r="E12066" t="s">
        <v>14</v>
      </c>
      <c r="F12066">
        <v>36.70834</v>
      </c>
      <c r="G12066">
        <v>27.691939999999999</v>
      </c>
      <c r="H12066">
        <v>3</v>
      </c>
      <c r="I12066">
        <v>28</v>
      </c>
      <c r="J12066" t="str">
        <f>HYPERLINK("https://climate.onebuilding.org/WMO_Region_6_Europe/TUR_Turkey/MG_Mugla/TUR_MG_Datca.172970_TMYx.2009-2023.zip")</f>
        <v>https://climate.onebuilding.org/WMO_Region_6_Europe/TUR_Turkey/MG_Mugla/TUR_MG_Datca.172970_TMYx.2009-2023.zip</v>
      </c>
    </row>
    <row r="12067" spans="1:10" x14ac:dyDescent="0.25">
      <c r="A12067" t="s">
        <v>8459</v>
      </c>
      <c r="B12067" t="s">
        <v>8721</v>
      </c>
      <c r="C12067" t="s">
        <v>8732</v>
      </c>
      <c r="D12067">
        <v>172970</v>
      </c>
      <c r="E12067" t="s">
        <v>14</v>
      </c>
      <c r="F12067">
        <v>36.70834</v>
      </c>
      <c r="G12067">
        <v>27.691939999999999</v>
      </c>
      <c r="H12067">
        <v>3</v>
      </c>
      <c r="I12067">
        <v>28</v>
      </c>
      <c r="J12067" t="str">
        <f>HYPERLINK("https://climate.onebuilding.org/WMO_Region_6_Europe/TUR_Turkey/MG_Mugla/TUR_MG_Datca.172970_TMYx.zip")</f>
        <v>https://climate.onebuilding.org/WMO_Region_6_Europe/TUR_Turkey/MG_Mugla/TUR_MG_Datca.172970_TMYx.zip</v>
      </c>
    </row>
    <row r="12068" spans="1:10" x14ac:dyDescent="0.25">
      <c r="A12068" t="s">
        <v>8459</v>
      </c>
      <c r="B12068" t="s">
        <v>8721</v>
      </c>
      <c r="C12068" t="s">
        <v>8734</v>
      </c>
      <c r="D12068">
        <v>172980</v>
      </c>
      <c r="E12068" t="s">
        <v>8735</v>
      </c>
      <c r="F12068">
        <v>36.85</v>
      </c>
      <c r="G12068">
        <v>28.266999999999999</v>
      </c>
      <c r="H12068">
        <v>3</v>
      </c>
      <c r="I12068">
        <v>16</v>
      </c>
      <c r="J12068" t="str">
        <f>HYPERLINK("https://climate.onebuilding.org/WMO_Region_6_Europe/TUR_Turkey/MG_Mugla/TUR_MG_Marmaris.172980_TMYx.2004-2018.zip")</f>
        <v>https://climate.onebuilding.org/WMO_Region_6_Europe/TUR_Turkey/MG_Mugla/TUR_MG_Marmaris.172980_TMYx.2004-2018.zip</v>
      </c>
    </row>
    <row r="12069" spans="1:10" x14ac:dyDescent="0.25">
      <c r="A12069" t="s">
        <v>8459</v>
      </c>
      <c r="B12069" t="s">
        <v>8721</v>
      </c>
      <c r="C12069" t="s">
        <v>8734</v>
      </c>
      <c r="D12069">
        <v>172980</v>
      </c>
      <c r="E12069" t="s">
        <v>14</v>
      </c>
      <c r="F12069">
        <v>36.839440000000003</v>
      </c>
      <c r="G12069">
        <v>28.245280000000001</v>
      </c>
      <c r="H12069">
        <v>3</v>
      </c>
      <c r="I12069">
        <v>16</v>
      </c>
      <c r="J12069" t="str">
        <f>HYPERLINK("https://climate.onebuilding.org/WMO_Region_6_Europe/TUR_Turkey/MG_Mugla/TUR_MG_Marmaris.172980_TMYx.2007-2021.zip")</f>
        <v>https://climate.onebuilding.org/WMO_Region_6_Europe/TUR_Turkey/MG_Mugla/TUR_MG_Marmaris.172980_TMYx.2007-2021.zip</v>
      </c>
    </row>
    <row r="12070" spans="1:10" x14ac:dyDescent="0.25">
      <c r="A12070" t="s">
        <v>8459</v>
      </c>
      <c r="B12070" t="s">
        <v>8721</v>
      </c>
      <c r="C12070" t="s">
        <v>8734</v>
      </c>
      <c r="D12070">
        <v>172980</v>
      </c>
      <c r="E12070" t="s">
        <v>14</v>
      </c>
      <c r="F12070">
        <v>36.839440000000003</v>
      </c>
      <c r="G12070">
        <v>28.245280000000001</v>
      </c>
      <c r="H12070">
        <v>3</v>
      </c>
      <c r="I12070">
        <v>16</v>
      </c>
      <c r="J12070" t="str">
        <f>HYPERLINK("https://climate.onebuilding.org/WMO_Region_6_Europe/TUR_Turkey/MG_Mugla/TUR_MG_Marmaris.172980_TMYx.2009-2023.zip")</f>
        <v>https://climate.onebuilding.org/WMO_Region_6_Europe/TUR_Turkey/MG_Mugla/TUR_MG_Marmaris.172980_TMYx.2009-2023.zip</v>
      </c>
    </row>
    <row r="12071" spans="1:10" x14ac:dyDescent="0.25">
      <c r="A12071" t="s">
        <v>8459</v>
      </c>
      <c r="B12071" t="s">
        <v>8721</v>
      </c>
      <c r="C12071" t="s">
        <v>8734</v>
      </c>
      <c r="D12071">
        <v>172980</v>
      </c>
      <c r="E12071" t="s">
        <v>14</v>
      </c>
      <c r="F12071">
        <v>36.839440000000003</v>
      </c>
      <c r="G12071">
        <v>28.245280000000001</v>
      </c>
      <c r="H12071">
        <v>3</v>
      </c>
      <c r="I12071">
        <v>16</v>
      </c>
      <c r="J12071" t="str">
        <f>HYPERLINK("https://climate.onebuilding.org/WMO_Region_6_Europe/TUR_Turkey/MG_Mugla/TUR_MG_Marmaris.172980_TMYx.zip")</f>
        <v>https://climate.onebuilding.org/WMO_Region_6_Europe/TUR_Turkey/MG_Mugla/TUR_MG_Marmaris.172980_TMYx.zip</v>
      </c>
    </row>
    <row r="12072" spans="1:10" x14ac:dyDescent="0.25">
      <c r="A12072" t="s">
        <v>8459</v>
      </c>
      <c r="B12072" t="s">
        <v>5165</v>
      </c>
      <c r="C12072" t="s">
        <v>8736</v>
      </c>
      <c r="D12072">
        <v>173000</v>
      </c>
      <c r="E12072" t="s">
        <v>8737</v>
      </c>
      <c r="F12072">
        <v>36.899000000000001</v>
      </c>
      <c r="G12072">
        <v>30.8</v>
      </c>
      <c r="H12072">
        <v>3</v>
      </c>
      <c r="I12072">
        <v>53.9</v>
      </c>
      <c r="J12072" t="str">
        <f>HYPERLINK("https://climate.onebuilding.org/WMO_Region_6_Europe/TUR_Turkey/AL_Antalya/TUR_AL_Antalya.AP.173000_TMYx.2004-2018.zip")</f>
        <v>https://climate.onebuilding.org/WMO_Region_6_Europe/TUR_Turkey/AL_Antalya/TUR_AL_Antalya.AP.173000_TMYx.2004-2018.zip</v>
      </c>
    </row>
    <row r="12073" spans="1:10" x14ac:dyDescent="0.25">
      <c r="A12073" t="s">
        <v>8459</v>
      </c>
      <c r="B12073" t="s">
        <v>5165</v>
      </c>
      <c r="C12073" t="s">
        <v>8736</v>
      </c>
      <c r="D12073">
        <v>173000</v>
      </c>
      <c r="E12073" t="s">
        <v>14</v>
      </c>
      <c r="F12073">
        <v>36.899000000000001</v>
      </c>
      <c r="G12073">
        <v>30.8</v>
      </c>
      <c r="H12073">
        <v>3</v>
      </c>
      <c r="I12073">
        <v>53.9</v>
      </c>
      <c r="J12073" t="str">
        <f>HYPERLINK("https://climate.onebuilding.org/WMO_Region_6_Europe/TUR_Turkey/AL_Antalya/TUR_AL_Antalya.AP.173000_TMYx.2007-2021.zip")</f>
        <v>https://climate.onebuilding.org/WMO_Region_6_Europe/TUR_Turkey/AL_Antalya/TUR_AL_Antalya.AP.173000_TMYx.2007-2021.zip</v>
      </c>
    </row>
    <row r="12074" spans="1:10" x14ac:dyDescent="0.25">
      <c r="A12074" t="s">
        <v>8459</v>
      </c>
      <c r="B12074" t="s">
        <v>5165</v>
      </c>
      <c r="C12074" t="s">
        <v>8736</v>
      </c>
      <c r="D12074">
        <v>173000</v>
      </c>
      <c r="E12074" t="s">
        <v>14</v>
      </c>
      <c r="F12074">
        <v>36.899000000000001</v>
      </c>
      <c r="G12074">
        <v>30.8</v>
      </c>
      <c r="H12074">
        <v>3</v>
      </c>
      <c r="I12074">
        <v>53.9</v>
      </c>
      <c r="J12074" t="str">
        <f>HYPERLINK("https://climate.onebuilding.org/WMO_Region_6_Europe/TUR_Turkey/AL_Antalya/TUR_AL_Antalya.AP.173000_TMYx.2009-2023.zip")</f>
        <v>https://climate.onebuilding.org/WMO_Region_6_Europe/TUR_Turkey/AL_Antalya/TUR_AL_Antalya.AP.173000_TMYx.2009-2023.zip</v>
      </c>
    </row>
    <row r="12075" spans="1:10" x14ac:dyDescent="0.25">
      <c r="A12075" t="s">
        <v>8459</v>
      </c>
      <c r="B12075" t="s">
        <v>5165</v>
      </c>
      <c r="C12075" t="s">
        <v>8736</v>
      </c>
      <c r="D12075">
        <v>173000</v>
      </c>
      <c r="E12075" t="s">
        <v>14</v>
      </c>
      <c r="F12075">
        <v>36.899000000000001</v>
      </c>
      <c r="G12075">
        <v>30.8</v>
      </c>
      <c r="H12075">
        <v>3</v>
      </c>
      <c r="I12075">
        <v>53.9</v>
      </c>
      <c r="J12075" t="str">
        <f>HYPERLINK("https://climate.onebuilding.org/WMO_Region_6_Europe/TUR_Turkey/AL_Antalya/TUR_AL_Antalya.AP.173000_TMYx.zip")</f>
        <v>https://climate.onebuilding.org/WMO_Region_6_Europe/TUR_Turkey/AL_Antalya/TUR_AL_Antalya.AP.173000_TMYx.zip</v>
      </c>
    </row>
    <row r="12076" spans="1:10" x14ac:dyDescent="0.25">
      <c r="A12076" t="s">
        <v>8459</v>
      </c>
      <c r="B12076" t="s">
        <v>5165</v>
      </c>
      <c r="C12076" t="s">
        <v>8738</v>
      </c>
      <c r="D12076">
        <v>173020</v>
      </c>
      <c r="E12076" t="s">
        <v>8739</v>
      </c>
      <c r="F12076">
        <v>36.866999999999997</v>
      </c>
      <c r="G12076">
        <v>30.7</v>
      </c>
      <c r="H12076">
        <v>3</v>
      </c>
      <c r="I12076">
        <v>47</v>
      </c>
      <c r="J12076" t="str">
        <f>HYPERLINK("https://climate.onebuilding.org/WMO_Region_6_Europe/TUR_Turkey/AL_Antalya/TUR_AL_Antalya-Bolge.173020_TMYx.2004-2018.zip")</f>
        <v>https://climate.onebuilding.org/WMO_Region_6_Europe/TUR_Turkey/AL_Antalya/TUR_AL_Antalya-Bolge.173020_TMYx.2004-2018.zip</v>
      </c>
    </row>
    <row r="12077" spans="1:10" x14ac:dyDescent="0.25">
      <c r="A12077" t="s">
        <v>8459</v>
      </c>
      <c r="B12077" t="s">
        <v>5165</v>
      </c>
      <c r="C12077" t="s">
        <v>8738</v>
      </c>
      <c r="D12077">
        <v>173020</v>
      </c>
      <c r="E12077" t="s">
        <v>14</v>
      </c>
      <c r="F12077">
        <v>36.884999999999998</v>
      </c>
      <c r="G12077">
        <v>30.6829</v>
      </c>
      <c r="H12077">
        <v>3</v>
      </c>
      <c r="I12077">
        <v>47</v>
      </c>
      <c r="J12077" t="str">
        <f>HYPERLINK("https://climate.onebuilding.org/WMO_Region_6_Europe/TUR_Turkey/AL_Antalya/TUR_AL_Antalya-Bolge.173020_TMYx.2007-2021.zip")</f>
        <v>https://climate.onebuilding.org/WMO_Region_6_Europe/TUR_Turkey/AL_Antalya/TUR_AL_Antalya-Bolge.173020_TMYx.2007-2021.zip</v>
      </c>
    </row>
    <row r="12078" spans="1:10" x14ac:dyDescent="0.25">
      <c r="A12078" t="s">
        <v>8459</v>
      </c>
      <c r="B12078" t="s">
        <v>5165</v>
      </c>
      <c r="C12078" t="s">
        <v>8738</v>
      </c>
      <c r="D12078">
        <v>173020</v>
      </c>
      <c r="E12078" t="s">
        <v>14</v>
      </c>
      <c r="F12078">
        <v>36.884999999999998</v>
      </c>
      <c r="G12078">
        <v>30.6829</v>
      </c>
      <c r="H12078">
        <v>3</v>
      </c>
      <c r="I12078">
        <v>47</v>
      </c>
      <c r="J12078" t="str">
        <f>HYPERLINK("https://climate.onebuilding.org/WMO_Region_6_Europe/TUR_Turkey/AL_Antalya/TUR_AL_Antalya-Bolge.173020_TMYx.2009-2023.zip")</f>
        <v>https://climate.onebuilding.org/WMO_Region_6_Europe/TUR_Turkey/AL_Antalya/TUR_AL_Antalya-Bolge.173020_TMYx.2009-2023.zip</v>
      </c>
    </row>
    <row r="12079" spans="1:10" x14ac:dyDescent="0.25">
      <c r="A12079" t="s">
        <v>8459</v>
      </c>
      <c r="B12079" t="s">
        <v>5165</v>
      </c>
      <c r="C12079" t="s">
        <v>8738</v>
      </c>
      <c r="D12079">
        <v>173020</v>
      </c>
      <c r="E12079" t="s">
        <v>14</v>
      </c>
      <c r="F12079">
        <v>36.884999999999998</v>
      </c>
      <c r="G12079">
        <v>30.6829</v>
      </c>
      <c r="H12079">
        <v>3</v>
      </c>
      <c r="I12079">
        <v>47</v>
      </c>
      <c r="J12079" t="str">
        <f>HYPERLINK("https://climate.onebuilding.org/WMO_Region_6_Europe/TUR_Turkey/AL_Antalya/TUR_AL_Antalya-Bolge.173020_TMYx.zip")</f>
        <v>https://climate.onebuilding.org/WMO_Region_6_Europe/TUR_Turkey/AL_Antalya/TUR_AL_Antalya-Bolge.173020_TMYx.zip</v>
      </c>
    </row>
    <row r="12080" spans="1:10" x14ac:dyDescent="0.25">
      <c r="A12080" t="s">
        <v>8459</v>
      </c>
      <c r="B12080" t="s">
        <v>5165</v>
      </c>
      <c r="C12080" t="s">
        <v>8740</v>
      </c>
      <c r="D12080">
        <v>173100</v>
      </c>
      <c r="E12080" t="s">
        <v>8741</v>
      </c>
      <c r="F12080">
        <v>36.549999999999997</v>
      </c>
      <c r="G12080">
        <v>32</v>
      </c>
      <c r="H12080">
        <v>3</v>
      </c>
      <c r="I12080">
        <v>6</v>
      </c>
      <c r="J12080" t="str">
        <f>HYPERLINK("https://climate.onebuilding.org/WMO_Region_6_Europe/TUR_Turkey/AL_Antalya/TUR_AL_Alanya.173100_TMYx.2004-2018.zip")</f>
        <v>https://climate.onebuilding.org/WMO_Region_6_Europe/TUR_Turkey/AL_Antalya/TUR_AL_Alanya.173100_TMYx.2004-2018.zip</v>
      </c>
    </row>
    <row r="12081" spans="1:10" x14ac:dyDescent="0.25">
      <c r="A12081" t="s">
        <v>8459</v>
      </c>
      <c r="B12081" t="s">
        <v>5165</v>
      </c>
      <c r="C12081" t="s">
        <v>8740</v>
      </c>
      <c r="D12081">
        <v>173100</v>
      </c>
      <c r="E12081" t="s">
        <v>14</v>
      </c>
      <c r="F12081">
        <v>36.549999999999997</v>
      </c>
      <c r="G12081">
        <v>31.979900000000001</v>
      </c>
      <c r="H12081">
        <v>3</v>
      </c>
      <c r="I12081">
        <v>6</v>
      </c>
      <c r="J12081" t="str">
        <f>HYPERLINK("https://climate.onebuilding.org/WMO_Region_6_Europe/TUR_Turkey/AL_Antalya/TUR_AL_Alanya.173100_TMYx.2007-2021.zip")</f>
        <v>https://climate.onebuilding.org/WMO_Region_6_Europe/TUR_Turkey/AL_Antalya/TUR_AL_Alanya.173100_TMYx.2007-2021.zip</v>
      </c>
    </row>
    <row r="12082" spans="1:10" x14ac:dyDescent="0.25">
      <c r="A12082" t="s">
        <v>8459</v>
      </c>
      <c r="B12082" t="s">
        <v>5165</v>
      </c>
      <c r="C12082" t="s">
        <v>8740</v>
      </c>
      <c r="D12082">
        <v>173100</v>
      </c>
      <c r="E12082" t="s">
        <v>14</v>
      </c>
      <c r="F12082">
        <v>36.549999999999997</v>
      </c>
      <c r="G12082">
        <v>31.979900000000001</v>
      </c>
      <c r="H12082">
        <v>3</v>
      </c>
      <c r="I12082">
        <v>6</v>
      </c>
      <c r="J12082" t="str">
        <f>HYPERLINK("https://climate.onebuilding.org/WMO_Region_6_Europe/TUR_Turkey/AL_Antalya/TUR_AL_Alanya.173100_TMYx.2009-2023.zip")</f>
        <v>https://climate.onebuilding.org/WMO_Region_6_Europe/TUR_Turkey/AL_Antalya/TUR_AL_Alanya.173100_TMYx.2009-2023.zip</v>
      </c>
    </row>
    <row r="12083" spans="1:10" x14ac:dyDescent="0.25">
      <c r="A12083" t="s">
        <v>8459</v>
      </c>
      <c r="B12083" t="s">
        <v>5165</v>
      </c>
      <c r="C12083" t="s">
        <v>8740</v>
      </c>
      <c r="D12083">
        <v>173100</v>
      </c>
      <c r="E12083" t="s">
        <v>14</v>
      </c>
      <c r="F12083">
        <v>36.549999999999997</v>
      </c>
      <c r="G12083">
        <v>31.979900000000001</v>
      </c>
      <c r="H12083">
        <v>3</v>
      </c>
      <c r="I12083">
        <v>6</v>
      </c>
      <c r="J12083" t="str">
        <f>HYPERLINK("https://climate.onebuilding.org/WMO_Region_6_Europe/TUR_Turkey/AL_Antalya/TUR_AL_Alanya.173100_TMYx.zip")</f>
        <v>https://climate.onebuilding.org/WMO_Region_6_Europe/TUR_Turkey/AL_Antalya/TUR_AL_Alanya.173100_TMYx.zip</v>
      </c>
    </row>
    <row r="12084" spans="1:10" x14ac:dyDescent="0.25">
      <c r="A12084" t="s">
        <v>8459</v>
      </c>
      <c r="B12084" t="s">
        <v>5165</v>
      </c>
      <c r="C12084" t="s">
        <v>8742</v>
      </c>
      <c r="D12084">
        <v>173200</v>
      </c>
      <c r="E12084" t="s">
        <v>8743</v>
      </c>
      <c r="F12084">
        <v>36.082999999999998</v>
      </c>
      <c r="G12084">
        <v>32.832999999999998</v>
      </c>
      <c r="H12084">
        <v>3</v>
      </c>
      <c r="I12084">
        <v>4</v>
      </c>
      <c r="J12084" t="str">
        <f>HYPERLINK("https://climate.onebuilding.org/WMO_Region_6_Europe/TUR_Turkey/AL_Antalya/TUR_AL_Anamur.173200_TMYx.2004-2018.zip")</f>
        <v>https://climate.onebuilding.org/WMO_Region_6_Europe/TUR_Turkey/AL_Antalya/TUR_AL_Anamur.173200_TMYx.2004-2018.zip</v>
      </c>
    </row>
    <row r="12085" spans="1:10" x14ac:dyDescent="0.25">
      <c r="A12085" t="s">
        <v>8459</v>
      </c>
      <c r="B12085" t="s">
        <v>5165</v>
      </c>
      <c r="C12085" t="s">
        <v>8742</v>
      </c>
      <c r="D12085">
        <v>173200</v>
      </c>
      <c r="E12085" t="s">
        <v>14</v>
      </c>
      <c r="F12085">
        <v>36.082999999999998</v>
      </c>
      <c r="G12085">
        <v>32.832999999999998</v>
      </c>
      <c r="H12085">
        <v>3</v>
      </c>
      <c r="I12085">
        <v>4</v>
      </c>
      <c r="J12085" t="str">
        <f>HYPERLINK("https://climate.onebuilding.org/WMO_Region_6_Europe/TUR_Turkey/AL_Antalya/TUR_AL_Anamur.173200_TMYx.2007-2021.zip")</f>
        <v>https://climate.onebuilding.org/WMO_Region_6_Europe/TUR_Turkey/AL_Antalya/TUR_AL_Anamur.173200_TMYx.2007-2021.zip</v>
      </c>
    </row>
    <row r="12086" spans="1:10" x14ac:dyDescent="0.25">
      <c r="A12086" t="s">
        <v>8459</v>
      </c>
      <c r="B12086" t="s">
        <v>5165</v>
      </c>
      <c r="C12086" t="s">
        <v>8742</v>
      </c>
      <c r="D12086">
        <v>173200</v>
      </c>
      <c r="E12086" t="s">
        <v>14</v>
      </c>
      <c r="F12086">
        <v>36.082999999999998</v>
      </c>
      <c r="G12086">
        <v>32.832999999999998</v>
      </c>
      <c r="H12086">
        <v>3</v>
      </c>
      <c r="I12086">
        <v>4</v>
      </c>
      <c r="J12086" t="str">
        <f>HYPERLINK("https://climate.onebuilding.org/WMO_Region_6_Europe/TUR_Turkey/AL_Antalya/TUR_AL_Anamur.173200_TMYx.2009-2023.zip")</f>
        <v>https://climate.onebuilding.org/WMO_Region_6_Europe/TUR_Turkey/AL_Antalya/TUR_AL_Anamur.173200_TMYx.2009-2023.zip</v>
      </c>
    </row>
    <row r="12087" spans="1:10" x14ac:dyDescent="0.25">
      <c r="A12087" t="s">
        <v>8459</v>
      </c>
      <c r="B12087" t="s">
        <v>5165</v>
      </c>
      <c r="C12087" t="s">
        <v>8742</v>
      </c>
      <c r="D12087">
        <v>173200</v>
      </c>
      <c r="E12087" t="s">
        <v>14</v>
      </c>
      <c r="F12087">
        <v>36.082999999999998</v>
      </c>
      <c r="G12087">
        <v>32.832999999999998</v>
      </c>
      <c r="H12087">
        <v>3</v>
      </c>
      <c r="I12087">
        <v>4</v>
      </c>
      <c r="J12087" t="str">
        <f>HYPERLINK("https://climate.onebuilding.org/WMO_Region_6_Europe/TUR_Turkey/AL_Antalya/TUR_AL_Anamur.173200_TMYx.zip")</f>
        <v>https://climate.onebuilding.org/WMO_Region_6_Europe/TUR_Turkey/AL_Antalya/TUR_AL_Anamur.173200_TMYx.zip</v>
      </c>
    </row>
    <row r="12088" spans="1:10" x14ac:dyDescent="0.25">
      <c r="A12088" t="s">
        <v>8459</v>
      </c>
      <c r="B12088" t="s">
        <v>8744</v>
      </c>
      <c r="C12088" t="s">
        <v>8745</v>
      </c>
      <c r="D12088">
        <v>173300</v>
      </c>
      <c r="E12088" t="s">
        <v>8746</v>
      </c>
      <c r="F12088">
        <v>36.383000000000003</v>
      </c>
      <c r="G12088">
        <v>33.933</v>
      </c>
      <c r="H12088">
        <v>3</v>
      </c>
      <c r="I12088">
        <v>15</v>
      </c>
      <c r="J12088" t="str">
        <f>HYPERLINK("https://climate.onebuilding.org/WMO_Region_6_Europe/TUR_Turkey/IC_Mersin/TUR_IC_Silifke.173300_TMYx.2004-2018.zip")</f>
        <v>https://climate.onebuilding.org/WMO_Region_6_Europe/TUR_Turkey/IC_Mersin/TUR_IC_Silifke.173300_TMYx.2004-2018.zip</v>
      </c>
    </row>
    <row r="12089" spans="1:10" x14ac:dyDescent="0.25">
      <c r="A12089" t="s">
        <v>8459</v>
      </c>
      <c r="B12089" t="s">
        <v>8744</v>
      </c>
      <c r="C12089" t="s">
        <v>8745</v>
      </c>
      <c r="D12089">
        <v>173300</v>
      </c>
      <c r="E12089" t="s">
        <v>14</v>
      </c>
      <c r="F12089">
        <v>36.382100000000001</v>
      </c>
      <c r="G12089">
        <v>33.936599999999999</v>
      </c>
      <c r="H12089">
        <v>3</v>
      </c>
      <c r="I12089">
        <v>15</v>
      </c>
      <c r="J12089" t="str">
        <f>HYPERLINK("https://climate.onebuilding.org/WMO_Region_6_Europe/TUR_Turkey/IC_Mersin/TUR_IC_Silifke.173300_TMYx.2007-2021.zip")</f>
        <v>https://climate.onebuilding.org/WMO_Region_6_Europe/TUR_Turkey/IC_Mersin/TUR_IC_Silifke.173300_TMYx.2007-2021.zip</v>
      </c>
    </row>
    <row r="12090" spans="1:10" x14ac:dyDescent="0.25">
      <c r="A12090" t="s">
        <v>8459</v>
      </c>
      <c r="B12090" t="s">
        <v>8744</v>
      </c>
      <c r="C12090" t="s">
        <v>8745</v>
      </c>
      <c r="D12090">
        <v>173300</v>
      </c>
      <c r="E12090" t="s">
        <v>14</v>
      </c>
      <c r="F12090">
        <v>36.382100000000001</v>
      </c>
      <c r="G12090">
        <v>33.936599999999999</v>
      </c>
      <c r="H12090">
        <v>3</v>
      </c>
      <c r="I12090">
        <v>15</v>
      </c>
      <c r="J12090" t="str">
        <f>HYPERLINK("https://climate.onebuilding.org/WMO_Region_6_Europe/TUR_Turkey/IC_Mersin/TUR_IC_Silifke.173300_TMYx.2009-2023.zip")</f>
        <v>https://climate.onebuilding.org/WMO_Region_6_Europe/TUR_Turkey/IC_Mersin/TUR_IC_Silifke.173300_TMYx.2009-2023.zip</v>
      </c>
    </row>
    <row r="12091" spans="1:10" x14ac:dyDescent="0.25">
      <c r="A12091" t="s">
        <v>8459</v>
      </c>
      <c r="B12091" t="s">
        <v>8744</v>
      </c>
      <c r="C12091" t="s">
        <v>8745</v>
      </c>
      <c r="D12091">
        <v>173300</v>
      </c>
      <c r="E12091" t="s">
        <v>14</v>
      </c>
      <c r="F12091">
        <v>36.382100000000001</v>
      </c>
      <c r="G12091">
        <v>33.936599999999999</v>
      </c>
      <c r="H12091">
        <v>3</v>
      </c>
      <c r="I12091">
        <v>15</v>
      </c>
      <c r="J12091" t="str">
        <f>HYPERLINK("https://climate.onebuilding.org/WMO_Region_6_Europe/TUR_Turkey/IC_Mersin/TUR_IC_Silifke.173300_TMYx.zip")</f>
        <v>https://climate.onebuilding.org/WMO_Region_6_Europe/TUR_Turkey/IC_Mersin/TUR_IC_Silifke.173300_TMYx.zip</v>
      </c>
    </row>
    <row r="12092" spans="1:10" x14ac:dyDescent="0.25">
      <c r="A12092" t="s">
        <v>8459</v>
      </c>
      <c r="B12092" t="s">
        <v>8744</v>
      </c>
      <c r="C12092" t="s">
        <v>8747</v>
      </c>
      <c r="D12092">
        <v>173400</v>
      </c>
      <c r="E12092" t="s">
        <v>8748</v>
      </c>
      <c r="F12092">
        <v>36.799999999999997</v>
      </c>
      <c r="G12092">
        <v>34.633000000000003</v>
      </c>
      <c r="H12092">
        <v>3</v>
      </c>
      <c r="I12092">
        <v>3</v>
      </c>
      <c r="J12092" t="str">
        <f>HYPERLINK("https://climate.onebuilding.org/WMO_Region_6_Europe/TUR_Turkey/IC_Mersin/TUR_IC_Mersin.173400_TMYx.2004-2018.zip")</f>
        <v>https://climate.onebuilding.org/WMO_Region_6_Europe/TUR_Turkey/IC_Mersin/TUR_IC_Mersin.173400_TMYx.2004-2018.zip</v>
      </c>
    </row>
    <row r="12093" spans="1:10" x14ac:dyDescent="0.25">
      <c r="A12093" t="s">
        <v>8459</v>
      </c>
      <c r="B12093" t="s">
        <v>8744</v>
      </c>
      <c r="C12093" t="s">
        <v>8747</v>
      </c>
      <c r="D12093">
        <v>173400</v>
      </c>
      <c r="E12093" t="s">
        <v>14</v>
      </c>
      <c r="F12093">
        <v>36.780830000000002</v>
      </c>
      <c r="G12093">
        <v>34.603050000000003</v>
      </c>
      <c r="H12093">
        <v>3</v>
      </c>
      <c r="I12093">
        <v>3</v>
      </c>
      <c r="J12093" t="str">
        <f>HYPERLINK("https://climate.onebuilding.org/WMO_Region_6_Europe/TUR_Turkey/IC_Mersin/TUR_IC_Mersin.173400_TMYx.2007-2021.zip")</f>
        <v>https://climate.onebuilding.org/WMO_Region_6_Europe/TUR_Turkey/IC_Mersin/TUR_IC_Mersin.173400_TMYx.2007-2021.zip</v>
      </c>
    </row>
    <row r="12094" spans="1:10" x14ac:dyDescent="0.25">
      <c r="A12094" t="s">
        <v>8459</v>
      </c>
      <c r="B12094" t="s">
        <v>8744</v>
      </c>
      <c r="C12094" t="s">
        <v>8747</v>
      </c>
      <c r="D12094">
        <v>173400</v>
      </c>
      <c r="E12094" t="s">
        <v>14</v>
      </c>
      <c r="F12094">
        <v>36.780830000000002</v>
      </c>
      <c r="G12094">
        <v>34.603050000000003</v>
      </c>
      <c r="H12094">
        <v>3</v>
      </c>
      <c r="I12094">
        <v>3</v>
      </c>
      <c r="J12094" t="str">
        <f>HYPERLINK("https://climate.onebuilding.org/WMO_Region_6_Europe/TUR_Turkey/IC_Mersin/TUR_IC_Mersin.173400_TMYx.2009-2023.zip")</f>
        <v>https://climate.onebuilding.org/WMO_Region_6_Europe/TUR_Turkey/IC_Mersin/TUR_IC_Mersin.173400_TMYx.2009-2023.zip</v>
      </c>
    </row>
    <row r="12095" spans="1:10" x14ac:dyDescent="0.25">
      <c r="A12095" t="s">
        <v>8459</v>
      </c>
      <c r="B12095" t="s">
        <v>8744</v>
      </c>
      <c r="C12095" t="s">
        <v>8747</v>
      </c>
      <c r="D12095">
        <v>173400</v>
      </c>
      <c r="E12095" t="s">
        <v>14</v>
      </c>
      <c r="F12095">
        <v>36.780830000000002</v>
      </c>
      <c r="G12095">
        <v>34.603050000000003</v>
      </c>
      <c r="H12095">
        <v>3</v>
      </c>
      <c r="I12095">
        <v>3</v>
      </c>
      <c r="J12095" t="str">
        <f>HYPERLINK("https://climate.onebuilding.org/WMO_Region_6_Europe/TUR_Turkey/IC_Mersin/TUR_IC_Mersin.173400_TMYx.zip")</f>
        <v>https://climate.onebuilding.org/WMO_Region_6_Europe/TUR_Turkey/IC_Mersin/TUR_IC_Mersin.173400_TMYx.zip</v>
      </c>
    </row>
    <row r="12096" spans="1:10" x14ac:dyDescent="0.25">
      <c r="A12096" t="s">
        <v>8459</v>
      </c>
      <c r="B12096" t="s">
        <v>6659</v>
      </c>
      <c r="C12096" t="s">
        <v>8749</v>
      </c>
      <c r="D12096">
        <v>173500</v>
      </c>
      <c r="E12096" t="s">
        <v>8750</v>
      </c>
      <c r="F12096">
        <v>37.002000000000002</v>
      </c>
      <c r="G12096">
        <v>35.426000000000002</v>
      </c>
      <c r="H12096">
        <v>3</v>
      </c>
      <c r="I12096">
        <v>72.5</v>
      </c>
      <c r="J12096" t="str">
        <f>HYPERLINK("https://climate.onebuilding.org/WMO_Region_6_Europe/TUR_Turkey/AA_Adana/TUR_AA_Adana-Incirlik.AB.173500_TMYx.2004-2018.zip")</f>
        <v>https://climate.onebuilding.org/WMO_Region_6_Europe/TUR_Turkey/AA_Adana/TUR_AA_Adana-Incirlik.AB.173500_TMYx.2004-2018.zip</v>
      </c>
    </row>
    <row r="12097" spans="1:10" x14ac:dyDescent="0.25">
      <c r="A12097" t="s">
        <v>8459</v>
      </c>
      <c r="B12097" t="s">
        <v>6659</v>
      </c>
      <c r="C12097" t="s">
        <v>8749</v>
      </c>
      <c r="D12097">
        <v>173500</v>
      </c>
      <c r="E12097" t="s">
        <v>14</v>
      </c>
      <c r="F12097">
        <v>37.000999999999998</v>
      </c>
      <c r="G12097">
        <v>35.417999999999999</v>
      </c>
      <c r="H12097">
        <v>3</v>
      </c>
      <c r="I12097">
        <v>72.5</v>
      </c>
      <c r="J12097" t="str">
        <f>HYPERLINK("https://climate.onebuilding.org/WMO_Region_6_Europe/TUR_Turkey/AA_Adana/TUR_AA_Adana-Incirlik.AB.173500_TMYx.2007-2021.zip")</f>
        <v>https://climate.onebuilding.org/WMO_Region_6_Europe/TUR_Turkey/AA_Adana/TUR_AA_Adana-Incirlik.AB.173500_TMYx.2007-2021.zip</v>
      </c>
    </row>
    <row r="12098" spans="1:10" x14ac:dyDescent="0.25">
      <c r="A12098" t="s">
        <v>8459</v>
      </c>
      <c r="B12098" t="s">
        <v>6659</v>
      </c>
      <c r="C12098" t="s">
        <v>8749</v>
      </c>
      <c r="D12098">
        <v>173500</v>
      </c>
      <c r="E12098" t="s">
        <v>14</v>
      </c>
      <c r="F12098">
        <v>37.000999999999998</v>
      </c>
      <c r="G12098">
        <v>35.417999999999999</v>
      </c>
      <c r="H12098">
        <v>3</v>
      </c>
      <c r="I12098">
        <v>72.5</v>
      </c>
      <c r="J12098" t="str">
        <f>HYPERLINK("https://climate.onebuilding.org/WMO_Region_6_Europe/TUR_Turkey/AA_Adana/TUR_AA_Adana-Incirlik.AB.173500_TMYx.2009-2023.zip")</f>
        <v>https://climate.onebuilding.org/WMO_Region_6_Europe/TUR_Turkey/AA_Adana/TUR_AA_Adana-Incirlik.AB.173500_TMYx.2009-2023.zip</v>
      </c>
    </row>
    <row r="12099" spans="1:10" x14ac:dyDescent="0.25">
      <c r="A12099" t="s">
        <v>8459</v>
      </c>
      <c r="B12099" t="s">
        <v>6659</v>
      </c>
      <c r="C12099" t="s">
        <v>8749</v>
      </c>
      <c r="D12099">
        <v>173500</v>
      </c>
      <c r="E12099" t="s">
        <v>14</v>
      </c>
      <c r="F12099">
        <v>37.000999999999998</v>
      </c>
      <c r="G12099">
        <v>35.417999999999999</v>
      </c>
      <c r="H12099">
        <v>3</v>
      </c>
      <c r="I12099">
        <v>72.5</v>
      </c>
      <c r="J12099" t="str">
        <f>HYPERLINK("https://climate.onebuilding.org/WMO_Region_6_Europe/TUR_Turkey/AA_Adana/TUR_AA_Adana-Incirlik.AB.173500_TMYx.zip")</f>
        <v>https://climate.onebuilding.org/WMO_Region_6_Europe/TUR_Turkey/AA_Adana/TUR_AA_Adana-Incirlik.AB.173500_TMYx.zip</v>
      </c>
    </row>
    <row r="12100" spans="1:10" x14ac:dyDescent="0.25">
      <c r="A12100" t="s">
        <v>8459</v>
      </c>
      <c r="B12100" t="s">
        <v>6659</v>
      </c>
      <c r="C12100" t="s">
        <v>8751</v>
      </c>
      <c r="D12100">
        <v>173510</v>
      </c>
      <c r="E12100" t="s">
        <v>14</v>
      </c>
      <c r="F12100">
        <v>37.004170000000002</v>
      </c>
      <c r="G12100">
        <v>35.344169999999998</v>
      </c>
      <c r="H12100">
        <v>3</v>
      </c>
      <c r="I12100">
        <v>27</v>
      </c>
      <c r="J12100" t="str">
        <f>HYPERLINK("https://climate.onebuilding.org/WMO_Region_6_Europe/TUR_Turkey/AA_Adana/TUR_AA_Adana.Bolge.173510_TMYx.zip")</f>
        <v>https://climate.onebuilding.org/WMO_Region_6_Europe/TUR_Turkey/AA_Adana/TUR_AA_Adana.Bolge.173510_TMYx.zip</v>
      </c>
    </row>
    <row r="12101" spans="1:10" x14ac:dyDescent="0.25">
      <c r="A12101" t="s">
        <v>8459</v>
      </c>
      <c r="B12101" t="s">
        <v>6659</v>
      </c>
      <c r="C12101" t="s">
        <v>8752</v>
      </c>
      <c r="D12101">
        <v>173520</v>
      </c>
      <c r="E12101" t="s">
        <v>8753</v>
      </c>
      <c r="F12101">
        <v>36.981999999999999</v>
      </c>
      <c r="G12101">
        <v>35.28</v>
      </c>
      <c r="H12101">
        <v>3</v>
      </c>
      <c r="I12101">
        <v>19.8</v>
      </c>
      <c r="J12101" t="str">
        <f>HYPERLINK("https://climate.onebuilding.org/WMO_Region_6_Europe/TUR_Turkey/AA_Adana/TUR_AA_Adana-Sakirpasa.AP.173520_TMYx.2004-2018.zip")</f>
        <v>https://climate.onebuilding.org/WMO_Region_6_Europe/TUR_Turkey/AA_Adana/TUR_AA_Adana-Sakirpasa.AP.173520_TMYx.2004-2018.zip</v>
      </c>
    </row>
    <row r="12102" spans="1:10" x14ac:dyDescent="0.25">
      <c r="A12102" t="s">
        <v>8459</v>
      </c>
      <c r="B12102" t="s">
        <v>6659</v>
      </c>
      <c r="C12102" t="s">
        <v>8752</v>
      </c>
      <c r="D12102">
        <v>173520</v>
      </c>
      <c r="E12102" t="s">
        <v>14</v>
      </c>
      <c r="F12102">
        <v>36.981999999999999</v>
      </c>
      <c r="G12102">
        <v>35.28</v>
      </c>
      <c r="H12102">
        <v>3</v>
      </c>
      <c r="I12102">
        <v>19.8</v>
      </c>
      <c r="J12102" t="str">
        <f>HYPERLINK("https://climate.onebuilding.org/WMO_Region_6_Europe/TUR_Turkey/AA_Adana/TUR_AA_Adana-Sakirpasa.AP.173520_TMYx.2007-2021.zip")</f>
        <v>https://climate.onebuilding.org/WMO_Region_6_Europe/TUR_Turkey/AA_Adana/TUR_AA_Adana-Sakirpasa.AP.173520_TMYx.2007-2021.zip</v>
      </c>
    </row>
    <row r="12103" spans="1:10" x14ac:dyDescent="0.25">
      <c r="A12103" t="s">
        <v>8459</v>
      </c>
      <c r="B12103" t="s">
        <v>6659</v>
      </c>
      <c r="C12103" t="s">
        <v>8752</v>
      </c>
      <c r="D12103">
        <v>173520</v>
      </c>
      <c r="E12103" t="s">
        <v>14</v>
      </c>
      <c r="F12103">
        <v>36.981999999999999</v>
      </c>
      <c r="G12103">
        <v>35.28</v>
      </c>
      <c r="H12103">
        <v>3</v>
      </c>
      <c r="I12103">
        <v>19.8</v>
      </c>
      <c r="J12103" t="str">
        <f>HYPERLINK("https://climate.onebuilding.org/WMO_Region_6_Europe/TUR_Turkey/AA_Adana/TUR_AA_Adana-Sakirpasa.AP.173520_TMYx.2009-2023.zip")</f>
        <v>https://climate.onebuilding.org/WMO_Region_6_Europe/TUR_Turkey/AA_Adana/TUR_AA_Adana-Sakirpasa.AP.173520_TMYx.2009-2023.zip</v>
      </c>
    </row>
    <row r="12104" spans="1:10" x14ac:dyDescent="0.25">
      <c r="A12104" t="s">
        <v>8459</v>
      </c>
      <c r="B12104" t="s">
        <v>6659</v>
      </c>
      <c r="C12104" t="s">
        <v>8752</v>
      </c>
      <c r="D12104">
        <v>173520</v>
      </c>
      <c r="E12104" t="s">
        <v>14</v>
      </c>
      <c r="F12104">
        <v>36.981999999999999</v>
      </c>
      <c r="G12104">
        <v>35.28</v>
      </c>
      <c r="H12104">
        <v>3</v>
      </c>
      <c r="I12104">
        <v>19.8</v>
      </c>
      <c r="J12104" t="str">
        <f>HYPERLINK("https://climate.onebuilding.org/WMO_Region_6_Europe/TUR_Turkey/AA_Adana/TUR_AA_Adana-Sakirpasa.AP.173520_TMYx.zip")</f>
        <v>https://climate.onebuilding.org/WMO_Region_6_Europe/TUR_Turkey/AA_Adana/TUR_AA_Adana-Sakirpasa.AP.173520_TMYx.zip</v>
      </c>
    </row>
    <row r="12105" spans="1:10" x14ac:dyDescent="0.25">
      <c r="A12105" t="s">
        <v>8459</v>
      </c>
      <c r="B12105" t="s">
        <v>2425</v>
      </c>
      <c r="C12105" t="s">
        <v>8754</v>
      </c>
      <c r="D12105">
        <v>173550</v>
      </c>
      <c r="E12105" t="s">
        <v>8755</v>
      </c>
      <c r="F12105">
        <v>37.1</v>
      </c>
      <c r="G12105">
        <v>36.25</v>
      </c>
      <c r="H12105">
        <v>3</v>
      </c>
      <c r="I12105">
        <v>94</v>
      </c>
      <c r="J12105" t="str">
        <f>HYPERLINK("https://climate.onebuilding.org/WMO_Region_6_Europe/TUR_Turkey/OS_Osmaniye/TUR_OS_Osmaniye.173550_TMYx.2004-2018.zip")</f>
        <v>https://climate.onebuilding.org/WMO_Region_6_Europe/TUR_Turkey/OS_Osmaniye/TUR_OS_Osmaniye.173550_TMYx.2004-2018.zip</v>
      </c>
    </row>
    <row r="12106" spans="1:10" x14ac:dyDescent="0.25">
      <c r="A12106" t="s">
        <v>8459</v>
      </c>
      <c r="B12106" t="s">
        <v>2425</v>
      </c>
      <c r="C12106" t="s">
        <v>8754</v>
      </c>
      <c r="D12106">
        <v>173550</v>
      </c>
      <c r="E12106" t="s">
        <v>14</v>
      </c>
      <c r="F12106">
        <v>37.102220000000003</v>
      </c>
      <c r="G12106">
        <v>36.253889999999998</v>
      </c>
      <c r="H12106">
        <v>3</v>
      </c>
      <c r="I12106">
        <v>94</v>
      </c>
      <c r="J12106" t="str">
        <f>HYPERLINK("https://climate.onebuilding.org/WMO_Region_6_Europe/TUR_Turkey/OS_Osmaniye/TUR_OS_Osmaniye.173550_TMYx.2007-2021.zip")</f>
        <v>https://climate.onebuilding.org/WMO_Region_6_Europe/TUR_Turkey/OS_Osmaniye/TUR_OS_Osmaniye.173550_TMYx.2007-2021.zip</v>
      </c>
    </row>
    <row r="12107" spans="1:10" x14ac:dyDescent="0.25">
      <c r="A12107" t="s">
        <v>8459</v>
      </c>
      <c r="B12107" t="s">
        <v>2425</v>
      </c>
      <c r="C12107" t="s">
        <v>8754</v>
      </c>
      <c r="D12107">
        <v>173550</v>
      </c>
      <c r="E12107" t="s">
        <v>14</v>
      </c>
      <c r="F12107">
        <v>37.102220000000003</v>
      </c>
      <c r="G12107">
        <v>36.253889999999998</v>
      </c>
      <c r="H12107">
        <v>3</v>
      </c>
      <c r="I12107">
        <v>94</v>
      </c>
      <c r="J12107" t="str">
        <f>HYPERLINK("https://climate.onebuilding.org/WMO_Region_6_Europe/TUR_Turkey/OS_Osmaniye/TUR_OS_Osmaniye.173550_TMYx.2009-2023.zip")</f>
        <v>https://climate.onebuilding.org/WMO_Region_6_Europe/TUR_Turkey/OS_Osmaniye/TUR_OS_Osmaniye.173550_TMYx.2009-2023.zip</v>
      </c>
    </row>
    <row r="12108" spans="1:10" x14ac:dyDescent="0.25">
      <c r="A12108" t="s">
        <v>8459</v>
      </c>
      <c r="B12108" t="s">
        <v>2425</v>
      </c>
      <c r="C12108" t="s">
        <v>8754</v>
      </c>
      <c r="D12108">
        <v>173550</v>
      </c>
      <c r="E12108" t="s">
        <v>14</v>
      </c>
      <c r="F12108">
        <v>37.102220000000003</v>
      </c>
      <c r="G12108">
        <v>36.253889999999998</v>
      </c>
      <c r="H12108">
        <v>3</v>
      </c>
      <c r="I12108">
        <v>94</v>
      </c>
      <c r="J12108" t="str">
        <f>HYPERLINK("https://climate.onebuilding.org/WMO_Region_6_Europe/TUR_Turkey/OS_Osmaniye/TUR_OS_Osmaniye.173550_TMYx.zip")</f>
        <v>https://climate.onebuilding.org/WMO_Region_6_Europe/TUR_Turkey/OS_Osmaniye/TUR_OS_Osmaniye.173550_TMYx.zip</v>
      </c>
    </row>
    <row r="12109" spans="1:10" x14ac:dyDescent="0.25">
      <c r="A12109" t="s">
        <v>8459</v>
      </c>
      <c r="B12109" t="s">
        <v>8756</v>
      </c>
      <c r="C12109" t="s">
        <v>8757</v>
      </c>
      <c r="D12109">
        <v>173700</v>
      </c>
      <c r="E12109" t="s">
        <v>8758</v>
      </c>
      <c r="F12109">
        <v>36.573</v>
      </c>
      <c r="G12109">
        <v>36.154000000000003</v>
      </c>
      <c r="H12109">
        <v>3</v>
      </c>
      <c r="I12109">
        <v>7.6</v>
      </c>
      <c r="J12109" t="str">
        <f>HYPERLINK("https://climate.onebuilding.org/WMO_Region_6_Europe/TUR_Turkey/HT_Hatay/TUR_HT_Iskenderun.173700_TMYx.2004-2018.zip")</f>
        <v>https://climate.onebuilding.org/WMO_Region_6_Europe/TUR_Turkey/HT_Hatay/TUR_HT_Iskenderun.173700_TMYx.2004-2018.zip</v>
      </c>
    </row>
    <row r="12110" spans="1:10" x14ac:dyDescent="0.25">
      <c r="A12110" t="s">
        <v>8459</v>
      </c>
      <c r="B12110" t="s">
        <v>8756</v>
      </c>
      <c r="C12110" t="s">
        <v>8757</v>
      </c>
      <c r="D12110">
        <v>173700</v>
      </c>
      <c r="E12110" t="s">
        <v>14</v>
      </c>
      <c r="F12110">
        <v>36.592399999999998</v>
      </c>
      <c r="G12110">
        <v>36.158200000000001</v>
      </c>
      <c r="H12110">
        <v>3</v>
      </c>
      <c r="I12110">
        <v>7.6</v>
      </c>
      <c r="J12110" t="str">
        <f>HYPERLINK("https://climate.onebuilding.org/WMO_Region_6_Europe/TUR_Turkey/HT_Hatay/TUR_HT_Iskenderun.173700_TMYx.2007-2021.zip")</f>
        <v>https://climate.onebuilding.org/WMO_Region_6_Europe/TUR_Turkey/HT_Hatay/TUR_HT_Iskenderun.173700_TMYx.2007-2021.zip</v>
      </c>
    </row>
    <row r="12111" spans="1:10" x14ac:dyDescent="0.25">
      <c r="A12111" t="s">
        <v>8459</v>
      </c>
      <c r="B12111" t="s">
        <v>8756</v>
      </c>
      <c r="C12111" t="s">
        <v>8757</v>
      </c>
      <c r="D12111">
        <v>173700</v>
      </c>
      <c r="E12111" t="s">
        <v>14</v>
      </c>
      <c r="F12111">
        <v>36.592399999999998</v>
      </c>
      <c r="G12111">
        <v>36.158200000000001</v>
      </c>
      <c r="H12111">
        <v>3</v>
      </c>
      <c r="I12111">
        <v>7.6</v>
      </c>
      <c r="J12111" t="str">
        <f>HYPERLINK("https://climate.onebuilding.org/WMO_Region_6_Europe/TUR_Turkey/HT_Hatay/TUR_HT_Iskenderun.173700_TMYx.2009-2023.zip")</f>
        <v>https://climate.onebuilding.org/WMO_Region_6_Europe/TUR_Turkey/HT_Hatay/TUR_HT_Iskenderun.173700_TMYx.2009-2023.zip</v>
      </c>
    </row>
    <row r="12112" spans="1:10" x14ac:dyDescent="0.25">
      <c r="A12112" t="s">
        <v>8459</v>
      </c>
      <c r="B12112" t="s">
        <v>8756</v>
      </c>
      <c r="C12112" t="s">
        <v>8757</v>
      </c>
      <c r="D12112">
        <v>173700</v>
      </c>
      <c r="E12112" t="s">
        <v>14</v>
      </c>
      <c r="F12112">
        <v>36.592399999999998</v>
      </c>
      <c r="G12112">
        <v>36.158200000000001</v>
      </c>
      <c r="H12112">
        <v>3</v>
      </c>
      <c r="I12112">
        <v>7.6</v>
      </c>
      <c r="J12112" t="str">
        <f>HYPERLINK("https://climate.onebuilding.org/WMO_Region_6_Europe/TUR_Turkey/HT_Hatay/TUR_HT_Iskenderun.173700_TMYx.zip")</f>
        <v>https://climate.onebuilding.org/WMO_Region_6_Europe/TUR_Turkey/HT_Hatay/TUR_HT_Iskenderun.173700_TMYx.zip</v>
      </c>
    </row>
    <row r="12113" spans="1:10" x14ac:dyDescent="0.25">
      <c r="A12113" t="s">
        <v>8459</v>
      </c>
      <c r="B12113" t="s">
        <v>8756</v>
      </c>
      <c r="C12113" t="s">
        <v>8759</v>
      </c>
      <c r="D12113">
        <v>173720</v>
      </c>
      <c r="E12113" t="s">
        <v>14</v>
      </c>
      <c r="F12113">
        <v>36.200000000000003</v>
      </c>
      <c r="G12113">
        <v>36.167000000000002</v>
      </c>
      <c r="H12113">
        <v>3</v>
      </c>
      <c r="I12113">
        <v>100</v>
      </c>
      <c r="J12113" t="str">
        <f>HYPERLINK("https://climate.onebuilding.org/WMO_Region_6_Europe/TUR_Turkey/HT_Hatay/TUR_HT_Hatay.Antajta.173720_TMYx.zip")</f>
        <v>https://climate.onebuilding.org/WMO_Region_6_Europe/TUR_Turkey/HT_Hatay/TUR_HT_Hatay.Antajta.173720_TMYx.zip</v>
      </c>
    </row>
    <row r="12114" spans="1:10" x14ac:dyDescent="0.25">
      <c r="A12114" t="s">
        <v>8459</v>
      </c>
      <c r="B12114" t="s">
        <v>8756</v>
      </c>
      <c r="C12114" t="s">
        <v>8760</v>
      </c>
      <c r="D12114">
        <v>173725</v>
      </c>
      <c r="E12114" t="s">
        <v>8761</v>
      </c>
      <c r="F12114">
        <v>36.35</v>
      </c>
      <c r="G12114">
        <v>36.283000000000001</v>
      </c>
      <c r="H12114">
        <v>3</v>
      </c>
      <c r="I12114">
        <v>267</v>
      </c>
      <c r="J12114" t="str">
        <f>HYPERLINK("https://climate.onebuilding.org/WMO_Region_6_Europe/TUR_Turkey/HT_Hatay/TUR_HT_Hatay.173725_TMYx.2004-2018.zip")</f>
        <v>https://climate.onebuilding.org/WMO_Region_6_Europe/TUR_Turkey/HT_Hatay/TUR_HT_Hatay.173725_TMYx.2004-2018.zip</v>
      </c>
    </row>
    <row r="12115" spans="1:10" x14ac:dyDescent="0.25">
      <c r="A12115" t="s">
        <v>8459</v>
      </c>
      <c r="B12115" t="s">
        <v>8756</v>
      </c>
      <c r="C12115" t="s">
        <v>8760</v>
      </c>
      <c r="D12115">
        <v>173725</v>
      </c>
      <c r="E12115" t="s">
        <v>14</v>
      </c>
      <c r="F12115">
        <v>36.365000000000002</v>
      </c>
      <c r="G12115">
        <v>36.283999999999999</v>
      </c>
      <c r="H12115">
        <v>3</v>
      </c>
      <c r="I12115">
        <v>267</v>
      </c>
      <c r="J12115" t="str">
        <f>HYPERLINK("https://climate.onebuilding.org/WMO_Region_6_Europe/TUR_Turkey/HT_Hatay/TUR_HT_Hatay.173725_TMYx.2007-2021.zip")</f>
        <v>https://climate.onebuilding.org/WMO_Region_6_Europe/TUR_Turkey/HT_Hatay/TUR_HT_Hatay.173725_TMYx.2007-2021.zip</v>
      </c>
    </row>
    <row r="12116" spans="1:10" x14ac:dyDescent="0.25">
      <c r="A12116" t="s">
        <v>8459</v>
      </c>
      <c r="B12116" t="s">
        <v>8756</v>
      </c>
      <c r="C12116" t="s">
        <v>8760</v>
      </c>
      <c r="D12116">
        <v>173725</v>
      </c>
      <c r="E12116" t="s">
        <v>14</v>
      </c>
      <c r="F12116">
        <v>36.365000000000002</v>
      </c>
      <c r="G12116">
        <v>36.283999999999999</v>
      </c>
      <c r="H12116">
        <v>3</v>
      </c>
      <c r="I12116">
        <v>267</v>
      </c>
      <c r="J12116" t="str">
        <f>HYPERLINK("https://climate.onebuilding.org/WMO_Region_6_Europe/TUR_Turkey/HT_Hatay/TUR_HT_Hatay.173725_TMYx.2009-2023.zip")</f>
        <v>https://climate.onebuilding.org/WMO_Region_6_Europe/TUR_Turkey/HT_Hatay/TUR_HT_Hatay.173725_TMYx.2009-2023.zip</v>
      </c>
    </row>
    <row r="12117" spans="1:10" x14ac:dyDescent="0.25">
      <c r="A12117" t="s">
        <v>8459</v>
      </c>
      <c r="B12117" t="s">
        <v>8756</v>
      </c>
      <c r="C12117" t="s">
        <v>8760</v>
      </c>
      <c r="D12117">
        <v>173725</v>
      </c>
      <c r="E12117" t="s">
        <v>14</v>
      </c>
      <c r="F12117">
        <v>36.365000000000002</v>
      </c>
      <c r="G12117">
        <v>36.283999999999999</v>
      </c>
      <c r="H12117">
        <v>3</v>
      </c>
      <c r="I12117">
        <v>267</v>
      </c>
      <c r="J12117" t="str">
        <f>HYPERLINK("https://climate.onebuilding.org/WMO_Region_6_Europe/TUR_Turkey/HT_Hatay/TUR_HT_Hatay.173725_TMYx.zip")</f>
        <v>https://climate.onebuilding.org/WMO_Region_6_Europe/TUR_Turkey/HT_Hatay/TUR_HT_Hatay.173725_TMYx.zip</v>
      </c>
    </row>
    <row r="12118" spans="1:10" x14ac:dyDescent="0.25">
      <c r="A12118" t="s">
        <v>8459</v>
      </c>
      <c r="B12118" t="s">
        <v>5165</v>
      </c>
      <c r="C12118" t="s">
        <v>8762</v>
      </c>
      <c r="D12118">
        <v>173750</v>
      </c>
      <c r="E12118" t="s">
        <v>8763</v>
      </c>
      <c r="F12118">
        <v>36.299999999999997</v>
      </c>
      <c r="G12118">
        <v>30.15</v>
      </c>
      <c r="H12118">
        <v>3</v>
      </c>
      <c r="I12118">
        <v>2</v>
      </c>
      <c r="J12118" t="str">
        <f>HYPERLINK("https://climate.onebuilding.org/WMO_Region_6_Europe/TUR_Turkey/AL_Antalya/TUR_AL_Finike.173750_TMYx.2004-2018.zip")</f>
        <v>https://climate.onebuilding.org/WMO_Region_6_Europe/TUR_Turkey/AL_Antalya/TUR_AL_Finike.173750_TMYx.2004-2018.zip</v>
      </c>
    </row>
    <row r="12119" spans="1:10" x14ac:dyDescent="0.25">
      <c r="A12119" t="s">
        <v>8459</v>
      </c>
      <c r="B12119" t="s">
        <v>5165</v>
      </c>
      <c r="C12119" t="s">
        <v>8762</v>
      </c>
      <c r="D12119">
        <v>173750</v>
      </c>
      <c r="E12119" t="s">
        <v>14</v>
      </c>
      <c r="F12119">
        <v>36.302500000000002</v>
      </c>
      <c r="G12119">
        <v>30.145900000000001</v>
      </c>
      <c r="H12119">
        <v>3</v>
      </c>
      <c r="I12119">
        <v>2</v>
      </c>
      <c r="J12119" t="str">
        <f>HYPERLINK("https://climate.onebuilding.org/WMO_Region_6_Europe/TUR_Turkey/AL_Antalya/TUR_AL_Finike.173750_TMYx.2007-2021.zip")</f>
        <v>https://climate.onebuilding.org/WMO_Region_6_Europe/TUR_Turkey/AL_Antalya/TUR_AL_Finike.173750_TMYx.2007-2021.zip</v>
      </c>
    </row>
    <row r="12120" spans="1:10" x14ac:dyDescent="0.25">
      <c r="A12120" t="s">
        <v>8459</v>
      </c>
      <c r="B12120" t="s">
        <v>5165</v>
      </c>
      <c r="C12120" t="s">
        <v>8762</v>
      </c>
      <c r="D12120">
        <v>173750</v>
      </c>
      <c r="E12120" t="s">
        <v>14</v>
      </c>
      <c r="F12120">
        <v>36.302500000000002</v>
      </c>
      <c r="G12120">
        <v>30.145900000000001</v>
      </c>
      <c r="H12120">
        <v>3</v>
      </c>
      <c r="I12120">
        <v>2</v>
      </c>
      <c r="J12120" t="str">
        <f>HYPERLINK("https://climate.onebuilding.org/WMO_Region_6_Europe/TUR_Turkey/AL_Antalya/TUR_AL_Finike.173750_TMYx.2009-2023.zip")</f>
        <v>https://climate.onebuilding.org/WMO_Region_6_Europe/TUR_Turkey/AL_Antalya/TUR_AL_Finike.173750_TMYx.2009-2023.zip</v>
      </c>
    </row>
    <row r="12121" spans="1:10" x14ac:dyDescent="0.25">
      <c r="A12121" t="s">
        <v>8459</v>
      </c>
      <c r="B12121" t="s">
        <v>5165</v>
      </c>
      <c r="C12121" t="s">
        <v>8762</v>
      </c>
      <c r="D12121">
        <v>173750</v>
      </c>
      <c r="E12121" t="s">
        <v>14</v>
      </c>
      <c r="F12121">
        <v>36.302500000000002</v>
      </c>
      <c r="G12121">
        <v>30.145900000000001</v>
      </c>
      <c r="H12121">
        <v>3</v>
      </c>
      <c r="I12121">
        <v>2</v>
      </c>
      <c r="J12121" t="str">
        <f>HYPERLINK("https://climate.onebuilding.org/WMO_Region_6_Europe/TUR_Turkey/AL_Antalya/TUR_AL_Finike.173750_TMYx.zip")</f>
        <v>https://climate.onebuilding.org/WMO_Region_6_Europe/TUR_Turkey/AL_Antalya/TUR_AL_Finike.173750_TMYx.zip</v>
      </c>
    </row>
    <row r="12122" spans="1:10" x14ac:dyDescent="0.25">
      <c r="A12122" t="s">
        <v>8459</v>
      </c>
      <c r="B12122" t="s">
        <v>5165</v>
      </c>
      <c r="C12122" t="s">
        <v>8764</v>
      </c>
      <c r="D12122">
        <v>173800</v>
      </c>
      <c r="E12122" t="s">
        <v>8765</v>
      </c>
      <c r="F12122">
        <v>36.200000000000003</v>
      </c>
      <c r="G12122">
        <v>29.65</v>
      </c>
      <c r="H12122">
        <v>3</v>
      </c>
      <c r="I12122">
        <v>153</v>
      </c>
      <c r="J12122" t="str">
        <f>HYPERLINK("https://climate.onebuilding.org/WMO_Region_6_Europe/TUR_Turkey/AL_Antalya/TUR_AL_Kas.173800_TMYx.2004-2018.zip")</f>
        <v>https://climate.onebuilding.org/WMO_Region_6_Europe/TUR_Turkey/AL_Antalya/TUR_AL_Kas.173800_TMYx.2004-2018.zip</v>
      </c>
    </row>
    <row r="12123" spans="1:10" x14ac:dyDescent="0.25">
      <c r="A12123" t="s">
        <v>8459</v>
      </c>
      <c r="B12123" t="s">
        <v>5165</v>
      </c>
      <c r="C12123" t="s">
        <v>8764</v>
      </c>
      <c r="D12123">
        <v>173800</v>
      </c>
      <c r="E12123" t="s">
        <v>14</v>
      </c>
      <c r="F12123">
        <v>36.200279999999999</v>
      </c>
      <c r="G12123">
        <v>29.650279999999999</v>
      </c>
      <c r="H12123">
        <v>3</v>
      </c>
      <c r="I12123">
        <v>153</v>
      </c>
      <c r="J12123" t="str">
        <f>HYPERLINK("https://climate.onebuilding.org/WMO_Region_6_Europe/TUR_Turkey/AL_Antalya/TUR_AL_Kas.173800_TMYx.2007-2021.zip")</f>
        <v>https://climate.onebuilding.org/WMO_Region_6_Europe/TUR_Turkey/AL_Antalya/TUR_AL_Kas.173800_TMYx.2007-2021.zip</v>
      </c>
    </row>
    <row r="12124" spans="1:10" x14ac:dyDescent="0.25">
      <c r="A12124" t="s">
        <v>8459</v>
      </c>
      <c r="B12124" t="s">
        <v>5165</v>
      </c>
      <c r="C12124" t="s">
        <v>8764</v>
      </c>
      <c r="D12124">
        <v>173800</v>
      </c>
      <c r="E12124" t="s">
        <v>14</v>
      </c>
      <c r="F12124">
        <v>36.200279999999999</v>
      </c>
      <c r="G12124">
        <v>29.650279999999999</v>
      </c>
      <c r="H12124">
        <v>3</v>
      </c>
      <c r="I12124">
        <v>153</v>
      </c>
      <c r="J12124" t="str">
        <f>HYPERLINK("https://climate.onebuilding.org/WMO_Region_6_Europe/TUR_Turkey/AL_Antalya/TUR_AL_Kas.173800_TMYx.2009-2023.zip")</f>
        <v>https://climate.onebuilding.org/WMO_Region_6_Europe/TUR_Turkey/AL_Antalya/TUR_AL_Kas.173800_TMYx.2009-2023.zip</v>
      </c>
    </row>
    <row r="12125" spans="1:10" x14ac:dyDescent="0.25">
      <c r="A12125" t="s">
        <v>8459</v>
      </c>
      <c r="B12125" t="s">
        <v>5165</v>
      </c>
      <c r="C12125" t="s">
        <v>8764</v>
      </c>
      <c r="D12125">
        <v>173800</v>
      </c>
      <c r="E12125" t="s">
        <v>14</v>
      </c>
      <c r="F12125">
        <v>36.200279999999999</v>
      </c>
      <c r="G12125">
        <v>29.650279999999999</v>
      </c>
      <c r="H12125">
        <v>3</v>
      </c>
      <c r="I12125">
        <v>153</v>
      </c>
      <c r="J12125" t="str">
        <f>HYPERLINK("https://climate.onebuilding.org/WMO_Region_6_Europe/TUR_Turkey/AL_Antalya/TUR_AL_Kas.173800_TMYx.zip")</f>
        <v>https://climate.onebuilding.org/WMO_Region_6_Europe/TUR_Turkey/AL_Antalya/TUR_AL_Kas.173800_TMYx.zip</v>
      </c>
    </row>
    <row r="12126" spans="1:10" x14ac:dyDescent="0.25">
      <c r="A12126" t="s">
        <v>8766</v>
      </c>
      <c r="B12126" t="s">
        <v>8767</v>
      </c>
      <c r="C12126" t="s">
        <v>8768</v>
      </c>
      <c r="D12126">
        <v>330001</v>
      </c>
      <c r="E12126" t="s">
        <v>8769</v>
      </c>
      <c r="F12126">
        <v>48.417000000000002</v>
      </c>
      <c r="G12126">
        <v>39.374000000000002</v>
      </c>
      <c r="H12126">
        <v>2</v>
      </c>
      <c r="I12126">
        <v>193.9</v>
      </c>
      <c r="J12126" t="str">
        <f>HYPERLINK("https://climate.onebuilding.org/WMO_Region_6_Europe/UKR_Ukraine/LH_Luhanska/UKR_LH_Luhansk.Intl.AP.330001_TMYx.2004-2018.zip")</f>
        <v>https://climate.onebuilding.org/WMO_Region_6_Europe/UKR_Ukraine/LH_Luhanska/UKR_LH_Luhansk.Intl.AP.330001_TMYx.2004-2018.zip</v>
      </c>
    </row>
    <row r="12127" spans="1:10" x14ac:dyDescent="0.25">
      <c r="A12127" t="s">
        <v>8766</v>
      </c>
      <c r="B12127" t="s">
        <v>8767</v>
      </c>
      <c r="C12127" t="s">
        <v>8768</v>
      </c>
      <c r="D12127">
        <v>330001</v>
      </c>
      <c r="E12127" t="s">
        <v>14</v>
      </c>
      <c r="F12127">
        <v>48.417000000000002</v>
      </c>
      <c r="G12127">
        <v>39.374000000000002</v>
      </c>
      <c r="H12127">
        <v>2</v>
      </c>
      <c r="I12127">
        <v>193.9</v>
      </c>
      <c r="J12127" t="str">
        <f>HYPERLINK("https://climate.onebuilding.org/WMO_Region_6_Europe/UKR_Ukraine/LH_Luhanska/UKR_LH_Luhansk.Intl.AP.330001_TMYx.2007-2021.zip")</f>
        <v>https://climate.onebuilding.org/WMO_Region_6_Europe/UKR_Ukraine/LH_Luhanska/UKR_LH_Luhansk.Intl.AP.330001_TMYx.2007-2021.zip</v>
      </c>
    </row>
    <row r="12128" spans="1:10" x14ac:dyDescent="0.25">
      <c r="A12128" t="s">
        <v>8766</v>
      </c>
      <c r="B12128" t="s">
        <v>8767</v>
      </c>
      <c r="C12128" t="s">
        <v>8768</v>
      </c>
      <c r="D12128">
        <v>330001</v>
      </c>
      <c r="E12128" t="s">
        <v>14</v>
      </c>
      <c r="F12128">
        <v>48.417000000000002</v>
      </c>
      <c r="G12128">
        <v>39.374000000000002</v>
      </c>
      <c r="H12128">
        <v>2</v>
      </c>
      <c r="I12128">
        <v>193.9</v>
      </c>
      <c r="J12128" t="str">
        <f>HYPERLINK("https://climate.onebuilding.org/WMO_Region_6_Europe/UKR_Ukraine/LH_Luhanska/UKR_LH_Luhansk.Intl.AP.330001_TMYx.2009-2023.zip")</f>
        <v>https://climate.onebuilding.org/WMO_Region_6_Europe/UKR_Ukraine/LH_Luhanska/UKR_LH_Luhansk.Intl.AP.330001_TMYx.2009-2023.zip</v>
      </c>
    </row>
    <row r="12129" spans="1:10" x14ac:dyDescent="0.25">
      <c r="A12129" t="s">
        <v>8766</v>
      </c>
      <c r="B12129" t="s">
        <v>8767</v>
      </c>
      <c r="C12129" t="s">
        <v>8768</v>
      </c>
      <c r="D12129">
        <v>330001</v>
      </c>
      <c r="E12129" t="s">
        <v>14</v>
      </c>
      <c r="F12129">
        <v>48.417000000000002</v>
      </c>
      <c r="G12129">
        <v>39.374000000000002</v>
      </c>
      <c r="H12129">
        <v>2</v>
      </c>
      <c r="I12129">
        <v>193.9</v>
      </c>
      <c r="J12129" t="str">
        <f>HYPERLINK("https://climate.onebuilding.org/WMO_Region_6_Europe/UKR_Ukraine/LH_Luhanska/UKR_LH_Luhansk.Intl.AP.330001_TMYx.zip")</f>
        <v>https://climate.onebuilding.org/WMO_Region_6_Europe/UKR_Ukraine/LH_Luhanska/UKR_LH_Luhansk.Intl.AP.330001_TMYx.zip</v>
      </c>
    </row>
    <row r="12130" spans="1:10" x14ac:dyDescent="0.25">
      <c r="A12130" t="s">
        <v>8766</v>
      </c>
      <c r="B12130" t="s">
        <v>8770</v>
      </c>
      <c r="C12130" t="s">
        <v>8771</v>
      </c>
      <c r="D12130">
        <v>330490</v>
      </c>
      <c r="E12130" t="s">
        <v>14</v>
      </c>
      <c r="F12130">
        <v>52.190800000000003</v>
      </c>
      <c r="G12130">
        <v>32.573900000000002</v>
      </c>
      <c r="H12130">
        <v>2</v>
      </c>
      <c r="I12130">
        <v>161</v>
      </c>
      <c r="J12130" t="str">
        <f>HYPERLINK("https://climate.onebuilding.org/WMO_Region_6_Europe/UKR_Ukraine/CH_Chernihivska/UKR_CH_Semenivka.330490_TMYx.2007-2021.zip")</f>
        <v>https://climate.onebuilding.org/WMO_Region_6_Europe/UKR_Ukraine/CH_Chernihivska/UKR_CH_Semenivka.330490_TMYx.2007-2021.zip</v>
      </c>
    </row>
    <row r="12131" spans="1:10" x14ac:dyDescent="0.25">
      <c r="A12131" t="s">
        <v>8766</v>
      </c>
      <c r="B12131" t="s">
        <v>8770</v>
      </c>
      <c r="C12131" t="s">
        <v>8771</v>
      </c>
      <c r="D12131">
        <v>330490</v>
      </c>
      <c r="E12131" t="s">
        <v>14</v>
      </c>
      <c r="F12131">
        <v>52.190800000000003</v>
      </c>
      <c r="G12131">
        <v>32.573900000000002</v>
      </c>
      <c r="H12131">
        <v>2</v>
      </c>
      <c r="I12131">
        <v>161</v>
      </c>
      <c r="J12131" t="str">
        <f>HYPERLINK("https://climate.onebuilding.org/WMO_Region_6_Europe/UKR_Ukraine/CH_Chernihivska/UKR_CH_Semenivka.330490_TMYx.2009-2023.zip")</f>
        <v>https://climate.onebuilding.org/WMO_Region_6_Europe/UKR_Ukraine/CH_Chernihivska/UKR_CH_Semenivka.330490_TMYx.2009-2023.zip</v>
      </c>
    </row>
    <row r="12132" spans="1:10" x14ac:dyDescent="0.25">
      <c r="A12132" t="s">
        <v>8766</v>
      </c>
      <c r="B12132" t="s">
        <v>8770</v>
      </c>
      <c r="C12132" t="s">
        <v>8771</v>
      </c>
      <c r="D12132">
        <v>330490</v>
      </c>
      <c r="E12132" t="s">
        <v>14</v>
      </c>
      <c r="F12132">
        <v>52.190800000000003</v>
      </c>
      <c r="G12132">
        <v>32.573900000000002</v>
      </c>
      <c r="H12132">
        <v>2</v>
      </c>
      <c r="I12132">
        <v>161</v>
      </c>
      <c r="J12132" t="str">
        <f>HYPERLINK("https://climate.onebuilding.org/WMO_Region_6_Europe/UKR_Ukraine/CH_Chernihivska/UKR_CH_Semenivka.330490_TMYx.zip")</f>
        <v>https://climate.onebuilding.org/WMO_Region_6_Europe/UKR_Ukraine/CH_Chernihivska/UKR_CH_Semenivka.330490_TMYx.zip</v>
      </c>
    </row>
    <row r="12133" spans="1:10" x14ac:dyDescent="0.25">
      <c r="A12133" t="s">
        <v>8766</v>
      </c>
      <c r="B12133" t="s">
        <v>8770</v>
      </c>
      <c r="C12133" t="s">
        <v>8772</v>
      </c>
      <c r="D12133">
        <v>330580</v>
      </c>
      <c r="E12133" t="s">
        <v>14</v>
      </c>
      <c r="F12133">
        <v>52.052799999999998</v>
      </c>
      <c r="G12133">
        <v>33.953600000000002</v>
      </c>
      <c r="H12133">
        <v>2</v>
      </c>
      <c r="I12133">
        <v>190</v>
      </c>
      <c r="J12133" t="str">
        <f>HYPERLINK("https://climate.onebuilding.org/WMO_Region_6_Europe/UKR_Ukraine/CH_Chernihivska/UKR_CH_Druzhba.330580_TMYx.2007-2021.zip")</f>
        <v>https://climate.onebuilding.org/WMO_Region_6_Europe/UKR_Ukraine/CH_Chernihivska/UKR_CH_Druzhba.330580_TMYx.2007-2021.zip</v>
      </c>
    </row>
    <row r="12134" spans="1:10" x14ac:dyDescent="0.25">
      <c r="A12134" t="s">
        <v>8766</v>
      </c>
      <c r="B12134" t="s">
        <v>8770</v>
      </c>
      <c r="C12134" t="s">
        <v>8772</v>
      </c>
      <c r="D12134">
        <v>330580</v>
      </c>
      <c r="E12134" t="s">
        <v>14</v>
      </c>
      <c r="F12134">
        <v>52.052799999999998</v>
      </c>
      <c r="G12134">
        <v>33.953600000000002</v>
      </c>
      <c r="H12134">
        <v>2</v>
      </c>
      <c r="I12134">
        <v>190</v>
      </c>
      <c r="J12134" t="str">
        <f>HYPERLINK("https://climate.onebuilding.org/WMO_Region_6_Europe/UKR_Ukraine/CH_Chernihivska/UKR_CH_Druzhba.330580_TMYx.2009-2023.zip")</f>
        <v>https://climate.onebuilding.org/WMO_Region_6_Europe/UKR_Ukraine/CH_Chernihivska/UKR_CH_Druzhba.330580_TMYx.2009-2023.zip</v>
      </c>
    </row>
    <row r="12135" spans="1:10" x14ac:dyDescent="0.25">
      <c r="A12135" t="s">
        <v>8766</v>
      </c>
      <c r="B12135" t="s">
        <v>8770</v>
      </c>
      <c r="C12135" t="s">
        <v>8772</v>
      </c>
      <c r="D12135">
        <v>330580</v>
      </c>
      <c r="E12135" t="s">
        <v>14</v>
      </c>
      <c r="F12135">
        <v>52.052799999999998</v>
      </c>
      <c r="G12135">
        <v>33.953600000000002</v>
      </c>
      <c r="H12135">
        <v>2</v>
      </c>
      <c r="I12135">
        <v>190</v>
      </c>
      <c r="J12135" t="str">
        <f>HYPERLINK("https://climate.onebuilding.org/WMO_Region_6_Europe/UKR_Ukraine/CH_Chernihivska/UKR_CH_Druzhba.330580_TMYx.zip")</f>
        <v>https://climate.onebuilding.org/WMO_Region_6_Europe/UKR_Ukraine/CH_Chernihivska/UKR_CH_Druzhba.330580_TMYx.zip</v>
      </c>
    </row>
    <row r="12136" spans="1:10" x14ac:dyDescent="0.25">
      <c r="A12136" t="s">
        <v>8766</v>
      </c>
      <c r="B12136" t="s">
        <v>149</v>
      </c>
      <c r="C12136" t="s">
        <v>8773</v>
      </c>
      <c r="D12136">
        <v>330670</v>
      </c>
      <c r="E12136" t="s">
        <v>14</v>
      </c>
      <c r="F12136">
        <v>51.482999999999997</v>
      </c>
      <c r="G12136">
        <v>23.85</v>
      </c>
      <c r="H12136">
        <v>2</v>
      </c>
      <c r="I12136">
        <v>164</v>
      </c>
      <c r="J12136" t="str">
        <f>HYPERLINK("https://climate.onebuilding.org/WMO_Region_6_Europe/UKR_Ukraine/VO_Volynska/UKR_VO_Svityaz.330670_TMYx.2007-2021.zip")</f>
        <v>https://climate.onebuilding.org/WMO_Region_6_Europe/UKR_Ukraine/VO_Volynska/UKR_VO_Svityaz.330670_TMYx.2007-2021.zip</v>
      </c>
    </row>
    <row r="12137" spans="1:10" x14ac:dyDescent="0.25">
      <c r="A12137" t="s">
        <v>8766</v>
      </c>
      <c r="B12137" t="s">
        <v>149</v>
      </c>
      <c r="C12137" t="s">
        <v>8773</v>
      </c>
      <c r="D12137">
        <v>330670</v>
      </c>
      <c r="E12137" t="s">
        <v>14</v>
      </c>
      <c r="F12137">
        <v>51.482999999999997</v>
      </c>
      <c r="G12137">
        <v>23.85</v>
      </c>
      <c r="H12137">
        <v>2</v>
      </c>
      <c r="I12137">
        <v>164</v>
      </c>
      <c r="J12137" t="str">
        <f>HYPERLINK("https://climate.onebuilding.org/WMO_Region_6_Europe/UKR_Ukraine/VO_Volynska/UKR_VO_Svityaz.330670_TMYx.2009-2023.zip")</f>
        <v>https://climate.onebuilding.org/WMO_Region_6_Europe/UKR_Ukraine/VO_Volynska/UKR_VO_Svityaz.330670_TMYx.2009-2023.zip</v>
      </c>
    </row>
    <row r="12138" spans="1:10" x14ac:dyDescent="0.25">
      <c r="A12138" t="s">
        <v>8766</v>
      </c>
      <c r="B12138" t="s">
        <v>149</v>
      </c>
      <c r="C12138" t="s">
        <v>8773</v>
      </c>
      <c r="D12138">
        <v>330670</v>
      </c>
      <c r="E12138" t="s">
        <v>14</v>
      </c>
      <c r="F12138">
        <v>51.482999999999997</v>
      </c>
      <c r="G12138">
        <v>23.85</v>
      </c>
      <c r="H12138">
        <v>2</v>
      </c>
      <c r="I12138">
        <v>164</v>
      </c>
      <c r="J12138" t="str">
        <f>HYPERLINK("https://climate.onebuilding.org/WMO_Region_6_Europe/UKR_Ukraine/VO_Volynska/UKR_VO_Svityaz.330670_TMYx.zip")</f>
        <v>https://climate.onebuilding.org/WMO_Region_6_Europe/UKR_Ukraine/VO_Volynska/UKR_VO_Svityaz.330670_TMYx.zip</v>
      </c>
    </row>
    <row r="12139" spans="1:10" x14ac:dyDescent="0.25">
      <c r="A12139" t="s">
        <v>8766</v>
      </c>
      <c r="B12139" t="s">
        <v>149</v>
      </c>
      <c r="C12139" t="s">
        <v>8774</v>
      </c>
      <c r="D12139">
        <v>330750</v>
      </c>
      <c r="E12139" t="s">
        <v>14</v>
      </c>
      <c r="F12139">
        <v>51.667000000000002</v>
      </c>
      <c r="G12139">
        <v>25.266999999999999</v>
      </c>
      <c r="H12139">
        <v>2</v>
      </c>
      <c r="I12139">
        <v>152</v>
      </c>
      <c r="J12139" t="str">
        <f>HYPERLINK("https://climate.onebuilding.org/WMO_Region_6_Europe/UKR_Ukraine/VO_Volynska/UKR_VO_Pnivne.330750_TMYx.zip")</f>
        <v>https://climate.onebuilding.org/WMO_Region_6_Europe/UKR_Ukraine/VO_Volynska/UKR_VO_Pnivne.330750_TMYx.zip</v>
      </c>
    </row>
    <row r="12140" spans="1:10" x14ac:dyDescent="0.25">
      <c r="A12140" t="s">
        <v>8766</v>
      </c>
      <c r="B12140" t="s">
        <v>8775</v>
      </c>
      <c r="C12140" t="s">
        <v>8776</v>
      </c>
      <c r="D12140">
        <v>330880</v>
      </c>
      <c r="E12140" t="s">
        <v>8777</v>
      </c>
      <c r="F12140">
        <v>51.312800000000003</v>
      </c>
      <c r="G12140">
        <v>26.613900000000001</v>
      </c>
      <c r="H12140">
        <v>2</v>
      </c>
      <c r="I12140">
        <v>156</v>
      </c>
      <c r="J12140" t="str">
        <f>HYPERLINK("https://climate.onebuilding.org/WMO_Region_6_Europe/UKR_Ukraine/RV_Rivnenska/UKR_RV_Sarny.330880_TMYx.2004-2018.zip")</f>
        <v>https://climate.onebuilding.org/WMO_Region_6_Europe/UKR_Ukraine/RV_Rivnenska/UKR_RV_Sarny.330880_TMYx.2004-2018.zip</v>
      </c>
    </row>
    <row r="12141" spans="1:10" x14ac:dyDescent="0.25">
      <c r="A12141" t="s">
        <v>8766</v>
      </c>
      <c r="B12141" t="s">
        <v>8775</v>
      </c>
      <c r="C12141" t="s">
        <v>8776</v>
      </c>
      <c r="D12141">
        <v>330880</v>
      </c>
      <c r="E12141" t="s">
        <v>14</v>
      </c>
      <c r="F12141">
        <v>51.312800000000003</v>
      </c>
      <c r="G12141">
        <v>26.613900000000001</v>
      </c>
      <c r="H12141">
        <v>2</v>
      </c>
      <c r="I12141">
        <v>156</v>
      </c>
      <c r="J12141" t="str">
        <f>HYPERLINK("https://climate.onebuilding.org/WMO_Region_6_Europe/UKR_Ukraine/RV_Rivnenska/UKR_RV_Sarny.330880_TMYx.2007-2021.zip")</f>
        <v>https://climate.onebuilding.org/WMO_Region_6_Europe/UKR_Ukraine/RV_Rivnenska/UKR_RV_Sarny.330880_TMYx.2007-2021.zip</v>
      </c>
    </row>
    <row r="12142" spans="1:10" x14ac:dyDescent="0.25">
      <c r="A12142" t="s">
        <v>8766</v>
      </c>
      <c r="B12142" t="s">
        <v>8775</v>
      </c>
      <c r="C12142" t="s">
        <v>8776</v>
      </c>
      <c r="D12142">
        <v>330880</v>
      </c>
      <c r="E12142" t="s">
        <v>14</v>
      </c>
      <c r="F12142">
        <v>51.312800000000003</v>
      </c>
      <c r="G12142">
        <v>26.613900000000001</v>
      </c>
      <c r="H12142">
        <v>2</v>
      </c>
      <c r="I12142">
        <v>156</v>
      </c>
      <c r="J12142" t="str">
        <f>HYPERLINK("https://climate.onebuilding.org/WMO_Region_6_Europe/UKR_Ukraine/RV_Rivnenska/UKR_RV_Sarny.330880_TMYx.2009-2023.zip")</f>
        <v>https://climate.onebuilding.org/WMO_Region_6_Europe/UKR_Ukraine/RV_Rivnenska/UKR_RV_Sarny.330880_TMYx.2009-2023.zip</v>
      </c>
    </row>
    <row r="12143" spans="1:10" x14ac:dyDescent="0.25">
      <c r="A12143" t="s">
        <v>8766</v>
      </c>
      <c r="B12143" t="s">
        <v>8775</v>
      </c>
      <c r="C12143" t="s">
        <v>8776</v>
      </c>
      <c r="D12143">
        <v>330880</v>
      </c>
      <c r="E12143" t="s">
        <v>14</v>
      </c>
      <c r="F12143">
        <v>51.312800000000003</v>
      </c>
      <c r="G12143">
        <v>26.613900000000001</v>
      </c>
      <c r="H12143">
        <v>2</v>
      </c>
      <c r="I12143">
        <v>156</v>
      </c>
      <c r="J12143" t="str">
        <f>HYPERLINK("https://climate.onebuilding.org/WMO_Region_6_Europe/UKR_Ukraine/RV_Rivnenska/UKR_RV_Sarny.330880_TMYx.zip")</f>
        <v>https://climate.onebuilding.org/WMO_Region_6_Europe/UKR_Ukraine/RV_Rivnenska/UKR_RV_Sarny.330880_TMYx.zip</v>
      </c>
    </row>
    <row r="12144" spans="1:10" x14ac:dyDescent="0.25">
      <c r="A12144" t="s">
        <v>8766</v>
      </c>
      <c r="B12144" t="s">
        <v>8770</v>
      </c>
      <c r="C12144" t="s">
        <v>8778</v>
      </c>
      <c r="D12144">
        <v>331350</v>
      </c>
      <c r="E12144" t="s">
        <v>8779</v>
      </c>
      <c r="F12144">
        <v>51.466999999999999</v>
      </c>
      <c r="G12144">
        <v>31.25</v>
      </c>
      <c r="H12144">
        <v>2</v>
      </c>
      <c r="I12144">
        <v>141</v>
      </c>
      <c r="J12144" t="str">
        <f>HYPERLINK("https://climate.onebuilding.org/WMO_Region_6_Europe/UKR_Ukraine/CH_Chernihivska/UKR_CH_Chernihiv.331350_TMYx.2004-2018.zip")</f>
        <v>https://climate.onebuilding.org/WMO_Region_6_Europe/UKR_Ukraine/CH_Chernihivska/UKR_CH_Chernihiv.331350_TMYx.2004-2018.zip</v>
      </c>
    </row>
    <row r="12145" spans="1:10" x14ac:dyDescent="0.25">
      <c r="A12145" t="s">
        <v>8766</v>
      </c>
      <c r="B12145" t="s">
        <v>8770</v>
      </c>
      <c r="C12145" t="s">
        <v>8778</v>
      </c>
      <c r="D12145">
        <v>331350</v>
      </c>
      <c r="E12145" t="s">
        <v>14</v>
      </c>
      <c r="F12145">
        <v>51.443899999999999</v>
      </c>
      <c r="G12145">
        <v>31.200299999999999</v>
      </c>
      <c r="H12145">
        <v>2</v>
      </c>
      <c r="I12145">
        <v>141</v>
      </c>
      <c r="J12145" t="str">
        <f>HYPERLINK("https://climate.onebuilding.org/WMO_Region_6_Europe/UKR_Ukraine/CH_Chernihivska/UKR_CH_Chernihiv.331350_TMYx.2007-2021.zip")</f>
        <v>https://climate.onebuilding.org/WMO_Region_6_Europe/UKR_Ukraine/CH_Chernihivska/UKR_CH_Chernihiv.331350_TMYx.2007-2021.zip</v>
      </c>
    </row>
    <row r="12146" spans="1:10" x14ac:dyDescent="0.25">
      <c r="A12146" t="s">
        <v>8766</v>
      </c>
      <c r="B12146" t="s">
        <v>8770</v>
      </c>
      <c r="C12146" t="s">
        <v>8778</v>
      </c>
      <c r="D12146">
        <v>331350</v>
      </c>
      <c r="E12146" t="s">
        <v>14</v>
      </c>
      <c r="F12146">
        <v>51.443899999999999</v>
      </c>
      <c r="G12146">
        <v>31.200299999999999</v>
      </c>
      <c r="H12146">
        <v>2</v>
      </c>
      <c r="I12146">
        <v>141</v>
      </c>
      <c r="J12146" t="str">
        <f>HYPERLINK("https://climate.onebuilding.org/WMO_Region_6_Europe/UKR_Ukraine/CH_Chernihivska/UKR_CH_Chernihiv.331350_TMYx.2009-2023.zip")</f>
        <v>https://climate.onebuilding.org/WMO_Region_6_Europe/UKR_Ukraine/CH_Chernihivska/UKR_CH_Chernihiv.331350_TMYx.2009-2023.zip</v>
      </c>
    </row>
    <row r="12147" spans="1:10" x14ac:dyDescent="0.25">
      <c r="A12147" t="s">
        <v>8766</v>
      </c>
      <c r="B12147" t="s">
        <v>8770</v>
      </c>
      <c r="C12147" t="s">
        <v>8778</v>
      </c>
      <c r="D12147">
        <v>331350</v>
      </c>
      <c r="E12147" t="s">
        <v>14</v>
      </c>
      <c r="F12147">
        <v>51.443899999999999</v>
      </c>
      <c r="G12147">
        <v>31.200299999999999</v>
      </c>
      <c r="H12147">
        <v>2</v>
      </c>
      <c r="I12147">
        <v>141</v>
      </c>
      <c r="J12147" t="str">
        <f>HYPERLINK("https://climate.onebuilding.org/WMO_Region_6_Europe/UKR_Ukraine/CH_Chernihivska/UKR_CH_Chernihiv.331350_TMYx.zip")</f>
        <v>https://climate.onebuilding.org/WMO_Region_6_Europe/UKR_Ukraine/CH_Chernihivska/UKR_CH_Chernihiv.331350_TMYx.zip</v>
      </c>
    </row>
    <row r="12148" spans="1:10" x14ac:dyDescent="0.25">
      <c r="A12148" t="s">
        <v>8766</v>
      </c>
      <c r="B12148" t="s">
        <v>8770</v>
      </c>
      <c r="C12148" t="s">
        <v>8780</v>
      </c>
      <c r="D12148">
        <v>331360</v>
      </c>
      <c r="E12148" t="s">
        <v>14</v>
      </c>
      <c r="F12148">
        <v>51.553100000000001</v>
      </c>
      <c r="G12148">
        <v>32.0244</v>
      </c>
      <c r="H12148">
        <v>2</v>
      </c>
      <c r="I12148">
        <v>143</v>
      </c>
      <c r="J12148" t="str">
        <f>HYPERLINK("https://climate.onebuilding.org/WMO_Region_6_Europe/UKR_Ukraine/CH_Chernihivska/UKR_CH_Voloskivtsi.331360_TMYx.zip")</f>
        <v>https://climate.onebuilding.org/WMO_Region_6_Europe/UKR_Ukraine/CH_Chernihivska/UKR_CH_Voloskivtsi.331360_TMYx.zip</v>
      </c>
    </row>
    <row r="12149" spans="1:10" x14ac:dyDescent="0.25">
      <c r="A12149" t="s">
        <v>8766</v>
      </c>
      <c r="B12149" t="s">
        <v>567</v>
      </c>
      <c r="C12149" t="s">
        <v>8781</v>
      </c>
      <c r="D12149">
        <v>331560</v>
      </c>
      <c r="E12149" t="s">
        <v>14</v>
      </c>
      <c r="F12149">
        <v>51.683</v>
      </c>
      <c r="G12149">
        <v>33.917000000000002</v>
      </c>
      <c r="H12149">
        <v>2</v>
      </c>
      <c r="I12149">
        <v>180</v>
      </c>
      <c r="J12149" t="str">
        <f>HYPERLINK("https://climate.onebuilding.org/WMO_Region_6_Europe/UKR_Ukraine/SM_Sumska/UKR_SM_Hlukhiv-Glukhov.331560_TMYx.zip")</f>
        <v>https://climate.onebuilding.org/WMO_Region_6_Europe/UKR_Ukraine/SM_Sumska/UKR_SM_Hlukhiv-Glukhov.331560_TMYx.zip</v>
      </c>
    </row>
    <row r="12150" spans="1:10" x14ac:dyDescent="0.25">
      <c r="A12150" t="s">
        <v>8766</v>
      </c>
      <c r="B12150" t="s">
        <v>149</v>
      </c>
      <c r="C12150" t="s">
        <v>8782</v>
      </c>
      <c r="D12150">
        <v>331730</v>
      </c>
      <c r="E12150" t="s">
        <v>14</v>
      </c>
      <c r="F12150">
        <v>51.198099999999997</v>
      </c>
      <c r="G12150">
        <v>24.706700000000001</v>
      </c>
      <c r="H12150">
        <v>2</v>
      </c>
      <c r="I12150">
        <v>174</v>
      </c>
      <c r="J12150" t="str">
        <f>HYPERLINK("https://climate.onebuilding.org/WMO_Region_6_Europe/UKR_Ukraine/VO_Volynska/UKR_VO_Kovel.331730_TMYx.2007-2021.zip")</f>
        <v>https://climate.onebuilding.org/WMO_Region_6_Europe/UKR_Ukraine/VO_Volynska/UKR_VO_Kovel.331730_TMYx.2007-2021.zip</v>
      </c>
    </row>
    <row r="12151" spans="1:10" x14ac:dyDescent="0.25">
      <c r="A12151" t="s">
        <v>8766</v>
      </c>
      <c r="B12151" t="s">
        <v>149</v>
      </c>
      <c r="C12151" t="s">
        <v>8782</v>
      </c>
      <c r="D12151">
        <v>331730</v>
      </c>
      <c r="E12151" t="s">
        <v>14</v>
      </c>
      <c r="F12151">
        <v>51.198099999999997</v>
      </c>
      <c r="G12151">
        <v>24.706700000000001</v>
      </c>
      <c r="H12151">
        <v>2</v>
      </c>
      <c r="I12151">
        <v>174</v>
      </c>
      <c r="J12151" t="str">
        <f>HYPERLINK("https://climate.onebuilding.org/WMO_Region_6_Europe/UKR_Ukraine/VO_Volynska/UKR_VO_Kovel.331730_TMYx.2009-2023.zip")</f>
        <v>https://climate.onebuilding.org/WMO_Region_6_Europe/UKR_Ukraine/VO_Volynska/UKR_VO_Kovel.331730_TMYx.2009-2023.zip</v>
      </c>
    </row>
    <row r="12152" spans="1:10" x14ac:dyDescent="0.25">
      <c r="A12152" t="s">
        <v>8766</v>
      </c>
      <c r="B12152" t="s">
        <v>149</v>
      </c>
      <c r="C12152" t="s">
        <v>8782</v>
      </c>
      <c r="D12152">
        <v>331730</v>
      </c>
      <c r="E12152" t="s">
        <v>14</v>
      </c>
      <c r="F12152">
        <v>51.198099999999997</v>
      </c>
      <c r="G12152">
        <v>24.706700000000001</v>
      </c>
      <c r="H12152">
        <v>2</v>
      </c>
      <c r="I12152">
        <v>174</v>
      </c>
      <c r="J12152" t="str">
        <f>HYPERLINK("https://climate.onebuilding.org/WMO_Region_6_Europe/UKR_Ukraine/VO_Volynska/UKR_VO_Kovel.331730_TMYx.zip")</f>
        <v>https://climate.onebuilding.org/WMO_Region_6_Europe/UKR_Ukraine/VO_Volynska/UKR_VO_Kovel.331730_TMYx.zip</v>
      </c>
    </row>
    <row r="12153" spans="1:10" x14ac:dyDescent="0.25">
      <c r="A12153" t="s">
        <v>8766</v>
      </c>
      <c r="B12153" t="s">
        <v>149</v>
      </c>
      <c r="C12153" t="s">
        <v>8783</v>
      </c>
      <c r="D12153">
        <v>331770</v>
      </c>
      <c r="E12153" t="s">
        <v>8784</v>
      </c>
      <c r="F12153">
        <v>50.832999999999998</v>
      </c>
      <c r="G12153">
        <v>24.343599999999999</v>
      </c>
      <c r="H12153">
        <v>2</v>
      </c>
      <c r="I12153">
        <v>194</v>
      </c>
      <c r="J12153" t="str">
        <f>HYPERLINK("https://climate.onebuilding.org/WMO_Region_6_Europe/UKR_Ukraine/VO_Volynska/UKR_VO_Volodymyr-Volynsky.331770_TMYx.2004-2018.zip")</f>
        <v>https://climate.onebuilding.org/WMO_Region_6_Europe/UKR_Ukraine/VO_Volynska/UKR_VO_Volodymyr-Volynsky.331770_TMYx.2004-2018.zip</v>
      </c>
    </row>
    <row r="12154" spans="1:10" x14ac:dyDescent="0.25">
      <c r="A12154" t="s">
        <v>8766</v>
      </c>
      <c r="B12154" t="s">
        <v>149</v>
      </c>
      <c r="C12154" t="s">
        <v>8783</v>
      </c>
      <c r="D12154">
        <v>331770</v>
      </c>
      <c r="E12154" t="s">
        <v>14</v>
      </c>
      <c r="F12154">
        <v>50.832999999999998</v>
      </c>
      <c r="G12154">
        <v>24.343599999999999</v>
      </c>
      <c r="H12154">
        <v>2</v>
      </c>
      <c r="I12154">
        <v>194</v>
      </c>
      <c r="J12154" t="str">
        <f>HYPERLINK("https://climate.onebuilding.org/WMO_Region_6_Europe/UKR_Ukraine/VO_Volynska/UKR_VO_Volodymyr-Volynsky.331770_TMYx.2007-2021.zip")</f>
        <v>https://climate.onebuilding.org/WMO_Region_6_Europe/UKR_Ukraine/VO_Volynska/UKR_VO_Volodymyr-Volynsky.331770_TMYx.2007-2021.zip</v>
      </c>
    </row>
    <row r="12155" spans="1:10" x14ac:dyDescent="0.25">
      <c r="A12155" t="s">
        <v>8766</v>
      </c>
      <c r="B12155" t="s">
        <v>149</v>
      </c>
      <c r="C12155" t="s">
        <v>8783</v>
      </c>
      <c r="D12155">
        <v>331770</v>
      </c>
      <c r="E12155" t="s">
        <v>14</v>
      </c>
      <c r="F12155">
        <v>50.832999999999998</v>
      </c>
      <c r="G12155">
        <v>24.343599999999999</v>
      </c>
      <c r="H12155">
        <v>2</v>
      </c>
      <c r="I12155">
        <v>194</v>
      </c>
      <c r="J12155" t="str">
        <f>HYPERLINK("https://climate.onebuilding.org/WMO_Region_6_Europe/UKR_Ukraine/VO_Volynska/UKR_VO_Volodymyr-Volynsky.331770_TMYx.2009-2023.zip")</f>
        <v>https://climate.onebuilding.org/WMO_Region_6_Europe/UKR_Ukraine/VO_Volynska/UKR_VO_Volodymyr-Volynsky.331770_TMYx.2009-2023.zip</v>
      </c>
    </row>
    <row r="12156" spans="1:10" x14ac:dyDescent="0.25">
      <c r="A12156" t="s">
        <v>8766</v>
      </c>
      <c r="B12156" t="s">
        <v>149</v>
      </c>
      <c r="C12156" t="s">
        <v>8783</v>
      </c>
      <c r="D12156">
        <v>331770</v>
      </c>
      <c r="E12156" t="s">
        <v>14</v>
      </c>
      <c r="F12156">
        <v>50.832999999999998</v>
      </c>
      <c r="G12156">
        <v>24.343599999999999</v>
      </c>
      <c r="H12156">
        <v>2</v>
      </c>
      <c r="I12156">
        <v>194</v>
      </c>
      <c r="J12156" t="str">
        <f>HYPERLINK("https://climate.onebuilding.org/WMO_Region_6_Europe/UKR_Ukraine/VO_Volynska/UKR_VO_Volodymyr-Volynsky.331770_TMYx.zip")</f>
        <v>https://climate.onebuilding.org/WMO_Region_6_Europe/UKR_Ukraine/VO_Volynska/UKR_VO_Volodymyr-Volynsky.331770_TMYx.zip</v>
      </c>
    </row>
    <row r="12157" spans="1:10" x14ac:dyDescent="0.25">
      <c r="A12157" t="s">
        <v>8766</v>
      </c>
      <c r="B12157" t="s">
        <v>149</v>
      </c>
      <c r="C12157" t="s">
        <v>8785</v>
      </c>
      <c r="D12157">
        <v>331820</v>
      </c>
      <c r="E12157" t="s">
        <v>14</v>
      </c>
      <c r="F12157">
        <v>51.283000000000001</v>
      </c>
      <c r="G12157">
        <v>25.533000000000001</v>
      </c>
      <c r="H12157">
        <v>2</v>
      </c>
      <c r="I12157">
        <v>183</v>
      </c>
      <c r="J12157" t="str">
        <f>HYPERLINK("https://climate.onebuilding.org/WMO_Region_6_Europe/UKR_Ukraine/VO_Volynska/UKR_VO_Manevychi.331820_TMYx.zip")</f>
        <v>https://climate.onebuilding.org/WMO_Region_6_Europe/UKR_Ukraine/VO_Volynska/UKR_VO_Manevychi.331820_TMYx.zip</v>
      </c>
    </row>
    <row r="12158" spans="1:10" x14ac:dyDescent="0.25">
      <c r="A12158" t="s">
        <v>8766</v>
      </c>
      <c r="B12158" t="s">
        <v>149</v>
      </c>
      <c r="C12158" t="s">
        <v>8786</v>
      </c>
      <c r="D12158">
        <v>331870</v>
      </c>
      <c r="E12158" t="s">
        <v>14</v>
      </c>
      <c r="F12158">
        <v>50.720799999999997</v>
      </c>
      <c r="G12158">
        <v>25.395600000000002</v>
      </c>
      <c r="H12158">
        <v>2</v>
      </c>
      <c r="I12158">
        <v>232</v>
      </c>
      <c r="J12158" t="str">
        <f>HYPERLINK("https://climate.onebuilding.org/WMO_Region_6_Europe/UKR_Ukraine/VO_Volynska/UKR_VO_Lutsk.331870_TMYx.2007-2021.zip")</f>
        <v>https://climate.onebuilding.org/WMO_Region_6_Europe/UKR_Ukraine/VO_Volynska/UKR_VO_Lutsk.331870_TMYx.2007-2021.zip</v>
      </c>
    </row>
    <row r="12159" spans="1:10" x14ac:dyDescent="0.25">
      <c r="A12159" t="s">
        <v>8766</v>
      </c>
      <c r="B12159" t="s">
        <v>149</v>
      </c>
      <c r="C12159" t="s">
        <v>8786</v>
      </c>
      <c r="D12159">
        <v>331870</v>
      </c>
      <c r="E12159" t="s">
        <v>14</v>
      </c>
      <c r="F12159">
        <v>50.720799999999997</v>
      </c>
      <c r="G12159">
        <v>25.395600000000002</v>
      </c>
      <c r="H12159">
        <v>2</v>
      </c>
      <c r="I12159">
        <v>232</v>
      </c>
      <c r="J12159" t="str">
        <f>HYPERLINK("https://climate.onebuilding.org/WMO_Region_6_Europe/UKR_Ukraine/VO_Volynska/UKR_VO_Lutsk.331870_TMYx.2009-2023.zip")</f>
        <v>https://climate.onebuilding.org/WMO_Region_6_Europe/UKR_Ukraine/VO_Volynska/UKR_VO_Lutsk.331870_TMYx.2009-2023.zip</v>
      </c>
    </row>
    <row r="12160" spans="1:10" x14ac:dyDescent="0.25">
      <c r="A12160" t="s">
        <v>8766</v>
      </c>
      <c r="B12160" t="s">
        <v>149</v>
      </c>
      <c r="C12160" t="s">
        <v>8786</v>
      </c>
      <c r="D12160">
        <v>331870</v>
      </c>
      <c r="E12160" t="s">
        <v>14</v>
      </c>
      <c r="F12160">
        <v>50.720799999999997</v>
      </c>
      <c r="G12160">
        <v>25.395600000000002</v>
      </c>
      <c r="H12160">
        <v>2</v>
      </c>
      <c r="I12160">
        <v>232</v>
      </c>
      <c r="J12160" t="str">
        <f>HYPERLINK("https://climate.onebuilding.org/WMO_Region_6_Europe/UKR_Ukraine/VO_Volynska/UKR_VO_Lutsk.331870_TMYx.zip")</f>
        <v>https://climate.onebuilding.org/WMO_Region_6_Europe/UKR_Ukraine/VO_Volynska/UKR_VO_Lutsk.331870_TMYx.zip</v>
      </c>
    </row>
    <row r="12161" spans="1:10" x14ac:dyDescent="0.25">
      <c r="A12161" t="s">
        <v>8766</v>
      </c>
      <c r="B12161" t="s">
        <v>8787</v>
      </c>
      <c r="C12161" t="s">
        <v>8788</v>
      </c>
      <c r="D12161">
        <v>332030</v>
      </c>
      <c r="E12161" t="s">
        <v>14</v>
      </c>
      <c r="F12161">
        <v>51.216999999999999</v>
      </c>
      <c r="G12161">
        <v>27.632999999999999</v>
      </c>
      <c r="H12161">
        <v>2</v>
      </c>
      <c r="I12161">
        <v>183</v>
      </c>
      <c r="J12161" t="str">
        <f>HYPERLINK("https://climate.onebuilding.org/WMO_Region_6_Europe/UKR_Ukraine/ZT_Zhytomyrska/UKR_ZT_Olevsk.332030_TMYx.2007-2021.zip")</f>
        <v>https://climate.onebuilding.org/WMO_Region_6_Europe/UKR_Ukraine/ZT_Zhytomyrska/UKR_ZT_Olevsk.332030_TMYx.2007-2021.zip</v>
      </c>
    </row>
    <row r="12162" spans="1:10" x14ac:dyDescent="0.25">
      <c r="A12162" t="s">
        <v>8766</v>
      </c>
      <c r="B12162" t="s">
        <v>8787</v>
      </c>
      <c r="C12162" t="s">
        <v>8788</v>
      </c>
      <c r="D12162">
        <v>332030</v>
      </c>
      <c r="E12162" t="s">
        <v>14</v>
      </c>
      <c r="F12162">
        <v>51.216999999999999</v>
      </c>
      <c r="G12162">
        <v>27.632999999999999</v>
      </c>
      <c r="H12162">
        <v>2</v>
      </c>
      <c r="I12162">
        <v>183</v>
      </c>
      <c r="J12162" t="str">
        <f>HYPERLINK("https://climate.onebuilding.org/WMO_Region_6_Europe/UKR_Ukraine/ZT_Zhytomyrska/UKR_ZT_Olevsk.332030_TMYx.2009-2023.zip")</f>
        <v>https://climate.onebuilding.org/WMO_Region_6_Europe/UKR_Ukraine/ZT_Zhytomyrska/UKR_ZT_Olevsk.332030_TMYx.2009-2023.zip</v>
      </c>
    </row>
    <row r="12163" spans="1:10" x14ac:dyDescent="0.25">
      <c r="A12163" t="s">
        <v>8766</v>
      </c>
      <c r="B12163" t="s">
        <v>8787</v>
      </c>
      <c r="C12163" t="s">
        <v>8788</v>
      </c>
      <c r="D12163">
        <v>332030</v>
      </c>
      <c r="E12163" t="s">
        <v>14</v>
      </c>
      <c r="F12163">
        <v>51.216999999999999</v>
      </c>
      <c r="G12163">
        <v>27.632999999999999</v>
      </c>
      <c r="H12163">
        <v>2</v>
      </c>
      <c r="I12163">
        <v>183</v>
      </c>
      <c r="J12163" t="str">
        <f>HYPERLINK("https://climate.onebuilding.org/WMO_Region_6_Europe/UKR_Ukraine/ZT_Zhytomyrska/UKR_ZT_Olevsk.332030_TMYx.zip")</f>
        <v>https://climate.onebuilding.org/WMO_Region_6_Europe/UKR_Ukraine/ZT_Zhytomyrska/UKR_ZT_Olevsk.332030_TMYx.zip</v>
      </c>
    </row>
    <row r="12164" spans="1:10" x14ac:dyDescent="0.25">
      <c r="A12164" t="s">
        <v>8766</v>
      </c>
      <c r="B12164" t="s">
        <v>8787</v>
      </c>
      <c r="C12164" t="s">
        <v>8789</v>
      </c>
      <c r="D12164">
        <v>332130</v>
      </c>
      <c r="E12164" t="s">
        <v>14</v>
      </c>
      <c r="F12164">
        <v>51.3292</v>
      </c>
      <c r="G12164">
        <v>28.783300000000001</v>
      </c>
      <c r="H12164">
        <v>2</v>
      </c>
      <c r="I12164">
        <v>170</v>
      </c>
      <c r="J12164" t="str">
        <f>HYPERLINK("https://climate.onebuilding.org/WMO_Region_6_Europe/UKR_Ukraine/ZT_Zhytomyrska/UKR_ZT_Ovruch.332130_TMYx.2007-2021.zip")</f>
        <v>https://climate.onebuilding.org/WMO_Region_6_Europe/UKR_Ukraine/ZT_Zhytomyrska/UKR_ZT_Ovruch.332130_TMYx.2007-2021.zip</v>
      </c>
    </row>
    <row r="12165" spans="1:10" x14ac:dyDescent="0.25">
      <c r="A12165" t="s">
        <v>8766</v>
      </c>
      <c r="B12165" t="s">
        <v>8787</v>
      </c>
      <c r="C12165" t="s">
        <v>8789</v>
      </c>
      <c r="D12165">
        <v>332130</v>
      </c>
      <c r="E12165" t="s">
        <v>14</v>
      </c>
      <c r="F12165">
        <v>51.3292</v>
      </c>
      <c r="G12165">
        <v>28.783300000000001</v>
      </c>
      <c r="H12165">
        <v>2</v>
      </c>
      <c r="I12165">
        <v>170</v>
      </c>
      <c r="J12165" t="str">
        <f>HYPERLINK("https://climate.onebuilding.org/WMO_Region_6_Europe/UKR_Ukraine/ZT_Zhytomyrska/UKR_ZT_Ovruch.332130_TMYx.2009-2023.zip")</f>
        <v>https://climate.onebuilding.org/WMO_Region_6_Europe/UKR_Ukraine/ZT_Zhytomyrska/UKR_ZT_Ovruch.332130_TMYx.2009-2023.zip</v>
      </c>
    </row>
    <row r="12166" spans="1:10" x14ac:dyDescent="0.25">
      <c r="A12166" t="s">
        <v>8766</v>
      </c>
      <c r="B12166" t="s">
        <v>8787</v>
      </c>
      <c r="C12166" t="s">
        <v>8789</v>
      </c>
      <c r="D12166">
        <v>332130</v>
      </c>
      <c r="E12166" t="s">
        <v>14</v>
      </c>
      <c r="F12166">
        <v>51.3292</v>
      </c>
      <c r="G12166">
        <v>28.783300000000001</v>
      </c>
      <c r="H12166">
        <v>2</v>
      </c>
      <c r="I12166">
        <v>170</v>
      </c>
      <c r="J12166" t="str">
        <f>HYPERLINK("https://climate.onebuilding.org/WMO_Region_6_Europe/UKR_Ukraine/ZT_Zhytomyrska/UKR_ZT_Ovruch.332130_TMYx.zip")</f>
        <v>https://climate.onebuilding.org/WMO_Region_6_Europe/UKR_Ukraine/ZT_Zhytomyrska/UKR_ZT_Ovruch.332130_TMYx.zip</v>
      </c>
    </row>
    <row r="12167" spans="1:10" x14ac:dyDescent="0.25">
      <c r="A12167" t="s">
        <v>8766</v>
      </c>
      <c r="B12167" t="s">
        <v>8787</v>
      </c>
      <c r="C12167" t="s">
        <v>8790</v>
      </c>
      <c r="D12167">
        <v>332150</v>
      </c>
      <c r="E12167" t="s">
        <v>14</v>
      </c>
      <c r="F12167">
        <v>50.95</v>
      </c>
      <c r="G12167">
        <v>28.65</v>
      </c>
      <c r="H12167">
        <v>2</v>
      </c>
      <c r="I12167">
        <v>189</v>
      </c>
      <c r="J12167" t="str">
        <f>HYPERLINK("https://climate.onebuilding.org/WMO_Region_6_Europe/UKR_Ukraine/ZT_Zhytomyrska/UKR_ZT_Korosten.332150_TMYx.zip")</f>
        <v>https://climate.onebuilding.org/WMO_Region_6_Europe/UKR_Ukraine/ZT_Zhytomyrska/UKR_ZT_Korosten.332150_TMYx.zip</v>
      </c>
    </row>
    <row r="12168" spans="1:10" x14ac:dyDescent="0.25">
      <c r="A12168" t="s">
        <v>8766</v>
      </c>
      <c r="B12168" t="s">
        <v>8791</v>
      </c>
      <c r="C12168" t="s">
        <v>8792</v>
      </c>
      <c r="D12168">
        <v>332220</v>
      </c>
      <c r="E12168" t="s">
        <v>14</v>
      </c>
      <c r="F12168">
        <v>51.232999999999997</v>
      </c>
      <c r="G12168">
        <v>29.382999999999999</v>
      </c>
      <c r="H12168">
        <v>2</v>
      </c>
      <c r="I12168">
        <v>137</v>
      </c>
      <c r="J12168" t="str">
        <f>HYPERLINK("https://climate.onebuilding.org/WMO_Region_6_Europe/UKR_Ukraine/KV_Kiev/UKR_KV_Volya.332220_TMYx.zip")</f>
        <v>https://climate.onebuilding.org/WMO_Region_6_Europe/UKR_Ukraine/KV_Kiev/UKR_KV_Volya.332220_TMYx.zip</v>
      </c>
    </row>
    <row r="12169" spans="1:10" x14ac:dyDescent="0.25">
      <c r="A12169" t="s">
        <v>8766</v>
      </c>
      <c r="B12169" t="s">
        <v>8791</v>
      </c>
      <c r="C12169" t="s">
        <v>8793</v>
      </c>
      <c r="D12169">
        <v>332280</v>
      </c>
      <c r="E12169" t="s">
        <v>14</v>
      </c>
      <c r="F12169">
        <v>50.692500000000003</v>
      </c>
      <c r="G12169">
        <v>29.583600000000001</v>
      </c>
      <c r="H12169">
        <v>2</v>
      </c>
      <c r="I12169">
        <v>132</v>
      </c>
      <c r="J12169" t="str">
        <f>HYPERLINK("https://climate.onebuilding.org/WMO_Region_6_Europe/UKR_Ukraine/KV_Kiev/UKR_KV_Teteriv.332280_TMYx.2007-2021.zip")</f>
        <v>https://climate.onebuilding.org/WMO_Region_6_Europe/UKR_Ukraine/KV_Kiev/UKR_KV_Teteriv.332280_TMYx.2007-2021.zip</v>
      </c>
    </row>
    <row r="12170" spans="1:10" x14ac:dyDescent="0.25">
      <c r="A12170" t="s">
        <v>8766</v>
      </c>
      <c r="B12170" t="s">
        <v>8791</v>
      </c>
      <c r="C12170" t="s">
        <v>8793</v>
      </c>
      <c r="D12170">
        <v>332280</v>
      </c>
      <c r="E12170" t="s">
        <v>14</v>
      </c>
      <c r="F12170">
        <v>50.692500000000003</v>
      </c>
      <c r="G12170">
        <v>29.583600000000001</v>
      </c>
      <c r="H12170">
        <v>2</v>
      </c>
      <c r="I12170">
        <v>132</v>
      </c>
      <c r="J12170" t="str">
        <f>HYPERLINK("https://climate.onebuilding.org/WMO_Region_6_Europe/UKR_Ukraine/KV_Kiev/UKR_KV_Teteriv.332280_TMYx.2009-2023.zip")</f>
        <v>https://climate.onebuilding.org/WMO_Region_6_Europe/UKR_Ukraine/KV_Kiev/UKR_KV_Teteriv.332280_TMYx.2009-2023.zip</v>
      </c>
    </row>
    <row r="12171" spans="1:10" x14ac:dyDescent="0.25">
      <c r="A12171" t="s">
        <v>8766</v>
      </c>
      <c r="B12171" t="s">
        <v>8791</v>
      </c>
      <c r="C12171" t="s">
        <v>8793</v>
      </c>
      <c r="D12171">
        <v>332280</v>
      </c>
      <c r="E12171" t="s">
        <v>14</v>
      </c>
      <c r="F12171">
        <v>50.692500000000003</v>
      </c>
      <c r="G12171">
        <v>29.583600000000001</v>
      </c>
      <c r="H12171">
        <v>2</v>
      </c>
      <c r="I12171">
        <v>132</v>
      </c>
      <c r="J12171" t="str">
        <f>HYPERLINK("https://climate.onebuilding.org/WMO_Region_6_Europe/UKR_Ukraine/KV_Kiev/UKR_KV_Teteriv.332280_TMYx.zip")</f>
        <v>https://climate.onebuilding.org/WMO_Region_6_Europe/UKR_Ukraine/KV_Kiev/UKR_KV_Teteriv.332280_TMYx.zip</v>
      </c>
    </row>
    <row r="12172" spans="1:10" x14ac:dyDescent="0.25">
      <c r="A12172" t="s">
        <v>8766</v>
      </c>
      <c r="B12172" t="s">
        <v>8791</v>
      </c>
      <c r="C12172" t="s">
        <v>8794</v>
      </c>
      <c r="D12172">
        <v>332310</v>
      </c>
      <c r="E12172" t="s">
        <v>14</v>
      </c>
      <c r="F12172">
        <v>51.266100000000002</v>
      </c>
      <c r="G12172">
        <v>30.2258</v>
      </c>
      <c r="H12172">
        <v>2</v>
      </c>
      <c r="I12172">
        <v>127</v>
      </c>
      <c r="J12172" t="str">
        <f>HYPERLINK("https://climate.onebuilding.org/WMO_Region_6_Europe/UKR_Ukraine/KV_Kiev/UKR_KV_Chernobyl.332310_TMYx.2007-2021.zip")</f>
        <v>https://climate.onebuilding.org/WMO_Region_6_Europe/UKR_Ukraine/KV_Kiev/UKR_KV_Chernobyl.332310_TMYx.2007-2021.zip</v>
      </c>
    </row>
    <row r="12173" spans="1:10" x14ac:dyDescent="0.25">
      <c r="A12173" t="s">
        <v>8766</v>
      </c>
      <c r="B12173" t="s">
        <v>8791</v>
      </c>
      <c r="C12173" t="s">
        <v>8794</v>
      </c>
      <c r="D12173">
        <v>332310</v>
      </c>
      <c r="E12173" t="s">
        <v>14</v>
      </c>
      <c r="F12173">
        <v>51.266100000000002</v>
      </c>
      <c r="G12173">
        <v>30.2258</v>
      </c>
      <c r="H12173">
        <v>2</v>
      </c>
      <c r="I12173">
        <v>127</v>
      </c>
      <c r="J12173" t="str">
        <f>HYPERLINK("https://climate.onebuilding.org/WMO_Region_6_Europe/UKR_Ukraine/KV_Kiev/UKR_KV_Chernobyl.332310_TMYx.2009-2023.zip")</f>
        <v>https://climate.onebuilding.org/WMO_Region_6_Europe/UKR_Ukraine/KV_Kiev/UKR_KV_Chernobyl.332310_TMYx.2009-2023.zip</v>
      </c>
    </row>
    <row r="12174" spans="1:10" x14ac:dyDescent="0.25">
      <c r="A12174" t="s">
        <v>8766</v>
      </c>
      <c r="B12174" t="s">
        <v>8791</v>
      </c>
      <c r="C12174" t="s">
        <v>8794</v>
      </c>
      <c r="D12174">
        <v>332310</v>
      </c>
      <c r="E12174" t="s">
        <v>14</v>
      </c>
      <c r="F12174">
        <v>51.266100000000002</v>
      </c>
      <c r="G12174">
        <v>30.2258</v>
      </c>
      <c r="H12174">
        <v>2</v>
      </c>
      <c r="I12174">
        <v>127</v>
      </c>
      <c r="J12174" t="str">
        <f>HYPERLINK("https://climate.onebuilding.org/WMO_Region_6_Europe/UKR_Ukraine/KV_Kiev/UKR_KV_Chernobyl.332310_TMYx.zip")</f>
        <v>https://climate.onebuilding.org/WMO_Region_6_Europe/UKR_Ukraine/KV_Kiev/UKR_KV_Chernobyl.332310_TMYx.zip</v>
      </c>
    </row>
    <row r="12175" spans="1:10" x14ac:dyDescent="0.25">
      <c r="A12175" t="s">
        <v>8766</v>
      </c>
      <c r="B12175" t="s">
        <v>8770</v>
      </c>
      <c r="C12175" t="s">
        <v>8795</v>
      </c>
      <c r="D12175">
        <v>332360</v>
      </c>
      <c r="E12175" t="s">
        <v>14</v>
      </c>
      <c r="F12175">
        <v>50.95</v>
      </c>
      <c r="G12175">
        <v>30.882999999999999</v>
      </c>
      <c r="H12175">
        <v>2</v>
      </c>
      <c r="I12175">
        <v>104</v>
      </c>
      <c r="J12175" t="str">
        <f>HYPERLINK("https://climate.onebuilding.org/WMO_Region_6_Europe/UKR_Ukraine/CH_Chernihivska/UKR_CH_Oster.332360_TMYx.zip")</f>
        <v>https://climate.onebuilding.org/WMO_Region_6_Europe/UKR_Ukraine/CH_Chernihivska/UKR_CH_Oster.332360_TMYx.zip</v>
      </c>
    </row>
    <row r="12176" spans="1:10" x14ac:dyDescent="0.25">
      <c r="A12176" t="s">
        <v>8766</v>
      </c>
      <c r="B12176" t="s">
        <v>8770</v>
      </c>
      <c r="C12176" t="s">
        <v>8796</v>
      </c>
      <c r="D12176">
        <v>332460</v>
      </c>
      <c r="E12176" t="s">
        <v>14</v>
      </c>
      <c r="F12176">
        <v>51.0381</v>
      </c>
      <c r="G12176">
        <v>31.900300000000001</v>
      </c>
      <c r="H12176">
        <v>2</v>
      </c>
      <c r="I12176">
        <v>126</v>
      </c>
      <c r="J12176" t="str">
        <f>HYPERLINK("https://climate.onebuilding.org/WMO_Region_6_Europe/UKR_Ukraine/CH_Chernihivska/UKR_CH_Nizhyn.332460_TMYx.2007-2021.zip")</f>
        <v>https://climate.onebuilding.org/WMO_Region_6_Europe/UKR_Ukraine/CH_Chernihivska/UKR_CH_Nizhyn.332460_TMYx.2007-2021.zip</v>
      </c>
    </row>
    <row r="12177" spans="1:10" x14ac:dyDescent="0.25">
      <c r="A12177" t="s">
        <v>8766</v>
      </c>
      <c r="B12177" t="s">
        <v>8770</v>
      </c>
      <c r="C12177" t="s">
        <v>8796</v>
      </c>
      <c r="D12177">
        <v>332460</v>
      </c>
      <c r="E12177" t="s">
        <v>14</v>
      </c>
      <c r="F12177">
        <v>51.0381</v>
      </c>
      <c r="G12177">
        <v>31.900300000000001</v>
      </c>
      <c r="H12177">
        <v>2</v>
      </c>
      <c r="I12177">
        <v>126</v>
      </c>
      <c r="J12177" t="str">
        <f>HYPERLINK("https://climate.onebuilding.org/WMO_Region_6_Europe/UKR_Ukraine/CH_Chernihivska/UKR_CH_Nizhyn.332460_TMYx.2009-2023.zip")</f>
        <v>https://climate.onebuilding.org/WMO_Region_6_Europe/UKR_Ukraine/CH_Chernihivska/UKR_CH_Nizhyn.332460_TMYx.2009-2023.zip</v>
      </c>
    </row>
    <row r="12178" spans="1:10" x14ac:dyDescent="0.25">
      <c r="A12178" t="s">
        <v>8766</v>
      </c>
      <c r="B12178" t="s">
        <v>8770</v>
      </c>
      <c r="C12178" t="s">
        <v>8796</v>
      </c>
      <c r="D12178">
        <v>332460</v>
      </c>
      <c r="E12178" t="s">
        <v>14</v>
      </c>
      <c r="F12178">
        <v>51.0381</v>
      </c>
      <c r="G12178">
        <v>31.900300000000001</v>
      </c>
      <c r="H12178">
        <v>2</v>
      </c>
      <c r="I12178">
        <v>126</v>
      </c>
      <c r="J12178" t="str">
        <f>HYPERLINK("https://climate.onebuilding.org/WMO_Region_6_Europe/UKR_Ukraine/CH_Chernihivska/UKR_CH_Nizhyn.332460_TMYx.zip")</f>
        <v>https://climate.onebuilding.org/WMO_Region_6_Europe/UKR_Ukraine/CH_Chernihivska/UKR_CH_Nizhyn.332460_TMYx.zip</v>
      </c>
    </row>
    <row r="12179" spans="1:10" x14ac:dyDescent="0.25">
      <c r="A12179" t="s">
        <v>8766</v>
      </c>
      <c r="B12179" t="s">
        <v>567</v>
      </c>
      <c r="C12179" t="s">
        <v>8797</v>
      </c>
      <c r="D12179">
        <v>332610</v>
      </c>
      <c r="E12179" t="s">
        <v>8798</v>
      </c>
      <c r="F12179">
        <v>51.2408</v>
      </c>
      <c r="G12179">
        <v>33.186999999999998</v>
      </c>
      <c r="H12179">
        <v>2</v>
      </c>
      <c r="I12179">
        <v>149</v>
      </c>
      <c r="J12179" t="str">
        <f>HYPERLINK("https://climate.onebuilding.org/WMO_Region_6_Europe/UKR_Ukraine/SM_Sumska/UKR_SM_Konotop.332610_TMYx.2004-2018.zip")</f>
        <v>https://climate.onebuilding.org/WMO_Region_6_Europe/UKR_Ukraine/SM_Sumska/UKR_SM_Konotop.332610_TMYx.2004-2018.zip</v>
      </c>
    </row>
    <row r="12180" spans="1:10" x14ac:dyDescent="0.25">
      <c r="A12180" t="s">
        <v>8766</v>
      </c>
      <c r="B12180" t="s">
        <v>567</v>
      </c>
      <c r="C12180" t="s">
        <v>8797</v>
      </c>
      <c r="D12180">
        <v>332610</v>
      </c>
      <c r="E12180" t="s">
        <v>14</v>
      </c>
      <c r="F12180">
        <v>51.2408</v>
      </c>
      <c r="G12180">
        <v>33.186999999999998</v>
      </c>
      <c r="H12180">
        <v>2</v>
      </c>
      <c r="I12180">
        <v>149</v>
      </c>
      <c r="J12180" t="str">
        <f>HYPERLINK("https://climate.onebuilding.org/WMO_Region_6_Europe/UKR_Ukraine/SM_Sumska/UKR_SM_Konotop.332610_TMYx.2007-2021.zip")</f>
        <v>https://climate.onebuilding.org/WMO_Region_6_Europe/UKR_Ukraine/SM_Sumska/UKR_SM_Konotop.332610_TMYx.2007-2021.zip</v>
      </c>
    </row>
    <row r="12181" spans="1:10" x14ac:dyDescent="0.25">
      <c r="A12181" t="s">
        <v>8766</v>
      </c>
      <c r="B12181" t="s">
        <v>567</v>
      </c>
      <c r="C12181" t="s">
        <v>8797</v>
      </c>
      <c r="D12181">
        <v>332610</v>
      </c>
      <c r="E12181" t="s">
        <v>14</v>
      </c>
      <c r="F12181">
        <v>51.2408</v>
      </c>
      <c r="G12181">
        <v>33.186999999999998</v>
      </c>
      <c r="H12181">
        <v>2</v>
      </c>
      <c r="I12181">
        <v>149</v>
      </c>
      <c r="J12181" t="str">
        <f>HYPERLINK("https://climate.onebuilding.org/WMO_Region_6_Europe/UKR_Ukraine/SM_Sumska/UKR_SM_Konotop.332610_TMYx.2009-2023.zip")</f>
        <v>https://climate.onebuilding.org/WMO_Region_6_Europe/UKR_Ukraine/SM_Sumska/UKR_SM_Konotop.332610_TMYx.2009-2023.zip</v>
      </c>
    </row>
    <row r="12182" spans="1:10" x14ac:dyDescent="0.25">
      <c r="A12182" t="s">
        <v>8766</v>
      </c>
      <c r="B12182" t="s">
        <v>567</v>
      </c>
      <c r="C12182" t="s">
        <v>8797</v>
      </c>
      <c r="D12182">
        <v>332610</v>
      </c>
      <c r="E12182" t="s">
        <v>14</v>
      </c>
      <c r="F12182">
        <v>51.2408</v>
      </c>
      <c r="G12182">
        <v>33.186999999999998</v>
      </c>
      <c r="H12182">
        <v>2</v>
      </c>
      <c r="I12182">
        <v>149</v>
      </c>
      <c r="J12182" t="str">
        <f>HYPERLINK("https://climate.onebuilding.org/WMO_Region_6_Europe/UKR_Ukraine/SM_Sumska/UKR_SM_Konotop.332610_TMYx.zip")</f>
        <v>https://climate.onebuilding.org/WMO_Region_6_Europe/UKR_Ukraine/SM_Sumska/UKR_SM_Konotop.332610_TMYx.zip</v>
      </c>
    </row>
    <row r="12183" spans="1:10" x14ac:dyDescent="0.25">
      <c r="A12183" t="s">
        <v>8766</v>
      </c>
      <c r="B12183" t="s">
        <v>567</v>
      </c>
      <c r="C12183" t="s">
        <v>8799</v>
      </c>
      <c r="D12183">
        <v>332680</v>
      </c>
      <c r="E12183" t="s">
        <v>14</v>
      </c>
      <c r="F12183">
        <v>50.768300000000004</v>
      </c>
      <c r="G12183">
        <v>33.442799999999998</v>
      </c>
      <c r="H12183">
        <v>2</v>
      </c>
      <c r="I12183">
        <v>169</v>
      </c>
      <c r="J12183" t="str">
        <f>HYPERLINK("https://climate.onebuilding.org/WMO_Region_6_Europe/UKR_Ukraine/SM_Sumska/UKR_SM_Romny.332680_TMYx.2007-2021.zip")</f>
        <v>https://climate.onebuilding.org/WMO_Region_6_Europe/UKR_Ukraine/SM_Sumska/UKR_SM_Romny.332680_TMYx.2007-2021.zip</v>
      </c>
    </row>
    <row r="12184" spans="1:10" x14ac:dyDescent="0.25">
      <c r="A12184" t="s">
        <v>8766</v>
      </c>
      <c r="B12184" t="s">
        <v>567</v>
      </c>
      <c r="C12184" t="s">
        <v>8799</v>
      </c>
      <c r="D12184">
        <v>332680</v>
      </c>
      <c r="E12184" t="s">
        <v>14</v>
      </c>
      <c r="F12184">
        <v>50.768300000000004</v>
      </c>
      <c r="G12184">
        <v>33.442799999999998</v>
      </c>
      <c r="H12184">
        <v>2</v>
      </c>
      <c r="I12184">
        <v>169</v>
      </c>
      <c r="J12184" t="str">
        <f>HYPERLINK("https://climate.onebuilding.org/WMO_Region_6_Europe/UKR_Ukraine/SM_Sumska/UKR_SM_Romny.332680_TMYx.2009-2023.zip")</f>
        <v>https://climate.onebuilding.org/WMO_Region_6_Europe/UKR_Ukraine/SM_Sumska/UKR_SM_Romny.332680_TMYx.2009-2023.zip</v>
      </c>
    </row>
    <row r="12185" spans="1:10" x14ac:dyDescent="0.25">
      <c r="A12185" t="s">
        <v>8766</v>
      </c>
      <c r="B12185" t="s">
        <v>567</v>
      </c>
      <c r="C12185" t="s">
        <v>8799</v>
      </c>
      <c r="D12185">
        <v>332680</v>
      </c>
      <c r="E12185" t="s">
        <v>14</v>
      </c>
      <c r="F12185">
        <v>50.768300000000004</v>
      </c>
      <c r="G12185">
        <v>33.442799999999998</v>
      </c>
      <c r="H12185">
        <v>2</v>
      </c>
      <c r="I12185">
        <v>169</v>
      </c>
      <c r="J12185" t="str">
        <f>HYPERLINK("https://climate.onebuilding.org/WMO_Region_6_Europe/UKR_Ukraine/SM_Sumska/UKR_SM_Romny.332680_TMYx.zip")</f>
        <v>https://climate.onebuilding.org/WMO_Region_6_Europe/UKR_Ukraine/SM_Sumska/UKR_SM_Romny.332680_TMYx.zip</v>
      </c>
    </row>
    <row r="12186" spans="1:10" x14ac:dyDescent="0.25">
      <c r="A12186" t="s">
        <v>8766</v>
      </c>
      <c r="B12186" t="s">
        <v>567</v>
      </c>
      <c r="C12186" t="s">
        <v>8800</v>
      </c>
      <c r="D12186">
        <v>332710</v>
      </c>
      <c r="E12186" t="s">
        <v>14</v>
      </c>
      <c r="F12186">
        <v>51.15</v>
      </c>
      <c r="G12186">
        <v>34.332999999999998</v>
      </c>
      <c r="H12186">
        <v>2</v>
      </c>
      <c r="I12186">
        <v>156</v>
      </c>
      <c r="J12186" t="str">
        <f>HYPERLINK("https://climate.onebuilding.org/WMO_Region_6_Europe/UKR_Ukraine/SM_Sumska/UKR_SM_Bilopillya.332710_TMYx.zip")</f>
        <v>https://climate.onebuilding.org/WMO_Region_6_Europe/UKR_Ukraine/SM_Sumska/UKR_SM_Bilopillya.332710_TMYx.zip</v>
      </c>
    </row>
    <row r="12187" spans="1:10" x14ac:dyDescent="0.25">
      <c r="A12187" t="s">
        <v>8766</v>
      </c>
      <c r="B12187" t="s">
        <v>567</v>
      </c>
      <c r="C12187" t="s">
        <v>8801</v>
      </c>
      <c r="D12187">
        <v>332750</v>
      </c>
      <c r="E12187" t="s">
        <v>8802</v>
      </c>
      <c r="F12187">
        <v>50.858899999999998</v>
      </c>
      <c r="G12187">
        <v>34.749200000000002</v>
      </c>
      <c r="H12187">
        <v>2</v>
      </c>
      <c r="I12187">
        <v>181</v>
      </c>
      <c r="J12187" t="str">
        <f>HYPERLINK("https://climate.onebuilding.org/WMO_Region_6_Europe/UKR_Ukraine/SM_Sumska/UKR_SM_Sumy.AP.332750_TMYx.2004-2018.zip")</f>
        <v>https://climate.onebuilding.org/WMO_Region_6_Europe/UKR_Ukraine/SM_Sumska/UKR_SM_Sumy.AP.332750_TMYx.2004-2018.zip</v>
      </c>
    </row>
    <row r="12188" spans="1:10" x14ac:dyDescent="0.25">
      <c r="A12188" t="s">
        <v>8766</v>
      </c>
      <c r="B12188" t="s">
        <v>567</v>
      </c>
      <c r="C12188" t="s">
        <v>8801</v>
      </c>
      <c r="D12188">
        <v>332750</v>
      </c>
      <c r="E12188" t="s">
        <v>14</v>
      </c>
      <c r="F12188">
        <v>50.858899999999998</v>
      </c>
      <c r="G12188">
        <v>34.749200000000002</v>
      </c>
      <c r="H12188">
        <v>2</v>
      </c>
      <c r="I12188">
        <v>181</v>
      </c>
      <c r="J12188" t="str">
        <f>HYPERLINK("https://climate.onebuilding.org/WMO_Region_6_Europe/UKR_Ukraine/SM_Sumska/UKR_SM_Sumy.AP.332750_TMYx.2007-2021.zip")</f>
        <v>https://climate.onebuilding.org/WMO_Region_6_Europe/UKR_Ukraine/SM_Sumska/UKR_SM_Sumy.AP.332750_TMYx.2007-2021.zip</v>
      </c>
    </row>
    <row r="12189" spans="1:10" x14ac:dyDescent="0.25">
      <c r="A12189" t="s">
        <v>8766</v>
      </c>
      <c r="B12189" t="s">
        <v>567</v>
      </c>
      <c r="C12189" t="s">
        <v>8801</v>
      </c>
      <c r="D12189">
        <v>332750</v>
      </c>
      <c r="E12189" t="s">
        <v>14</v>
      </c>
      <c r="F12189">
        <v>50.858899999999998</v>
      </c>
      <c r="G12189">
        <v>34.749200000000002</v>
      </c>
      <c r="H12189">
        <v>2</v>
      </c>
      <c r="I12189">
        <v>181</v>
      </c>
      <c r="J12189" t="str">
        <f>HYPERLINK("https://climate.onebuilding.org/WMO_Region_6_Europe/UKR_Ukraine/SM_Sumska/UKR_SM_Sumy.AP.332750_TMYx.2009-2023.zip")</f>
        <v>https://climate.onebuilding.org/WMO_Region_6_Europe/UKR_Ukraine/SM_Sumska/UKR_SM_Sumy.AP.332750_TMYx.2009-2023.zip</v>
      </c>
    </row>
    <row r="12190" spans="1:10" x14ac:dyDescent="0.25">
      <c r="A12190" t="s">
        <v>8766</v>
      </c>
      <c r="B12190" t="s">
        <v>567</v>
      </c>
      <c r="C12190" t="s">
        <v>8801</v>
      </c>
      <c r="D12190">
        <v>332750</v>
      </c>
      <c r="E12190" t="s">
        <v>14</v>
      </c>
      <c r="F12190">
        <v>50.858899999999998</v>
      </c>
      <c r="G12190">
        <v>34.749200000000002</v>
      </c>
      <c r="H12190">
        <v>2</v>
      </c>
      <c r="I12190">
        <v>181</v>
      </c>
      <c r="J12190" t="str">
        <f>HYPERLINK("https://climate.onebuilding.org/WMO_Region_6_Europe/UKR_Ukraine/SM_Sumska/UKR_SM_Sumy.AP.332750_TMYx.zip")</f>
        <v>https://climate.onebuilding.org/WMO_Region_6_Europe/UKR_Ukraine/SM_Sumska/UKR_SM_Sumy.AP.332750_TMYx.zip</v>
      </c>
    </row>
    <row r="12191" spans="1:10" x14ac:dyDescent="0.25">
      <c r="A12191" t="s">
        <v>8766</v>
      </c>
      <c r="B12191" t="s">
        <v>489</v>
      </c>
      <c r="C12191" t="s">
        <v>8803</v>
      </c>
      <c r="D12191">
        <v>332870</v>
      </c>
      <c r="E12191" t="s">
        <v>14</v>
      </c>
      <c r="F12191">
        <v>50.242199999999997</v>
      </c>
      <c r="G12191">
        <v>23.627199999999998</v>
      </c>
      <c r="H12191">
        <v>2</v>
      </c>
      <c r="I12191">
        <v>251</v>
      </c>
      <c r="J12191" t="str">
        <f>HYPERLINK("https://climate.onebuilding.org/WMO_Region_6_Europe/UKR_Ukraine/LV_Lvivska/UKR_LV_Rava-Ruska.332870_TMYx.2007-2021.zip")</f>
        <v>https://climate.onebuilding.org/WMO_Region_6_Europe/UKR_Ukraine/LV_Lvivska/UKR_LV_Rava-Ruska.332870_TMYx.2007-2021.zip</v>
      </c>
    </row>
    <row r="12192" spans="1:10" x14ac:dyDescent="0.25">
      <c r="A12192" t="s">
        <v>8766</v>
      </c>
      <c r="B12192" t="s">
        <v>489</v>
      </c>
      <c r="C12192" t="s">
        <v>8803</v>
      </c>
      <c r="D12192">
        <v>332870</v>
      </c>
      <c r="E12192" t="s">
        <v>14</v>
      </c>
      <c r="F12192">
        <v>50.242199999999997</v>
      </c>
      <c r="G12192">
        <v>23.627199999999998</v>
      </c>
      <c r="H12192">
        <v>2</v>
      </c>
      <c r="I12192">
        <v>251</v>
      </c>
      <c r="J12192" t="str">
        <f>HYPERLINK("https://climate.onebuilding.org/WMO_Region_6_Europe/UKR_Ukraine/LV_Lvivska/UKR_LV_Rava-Ruska.332870_TMYx.2009-2023.zip")</f>
        <v>https://climate.onebuilding.org/WMO_Region_6_Europe/UKR_Ukraine/LV_Lvivska/UKR_LV_Rava-Ruska.332870_TMYx.2009-2023.zip</v>
      </c>
    </row>
    <row r="12193" spans="1:10" x14ac:dyDescent="0.25">
      <c r="A12193" t="s">
        <v>8766</v>
      </c>
      <c r="B12193" t="s">
        <v>489</v>
      </c>
      <c r="C12193" t="s">
        <v>8803</v>
      </c>
      <c r="D12193">
        <v>332870</v>
      </c>
      <c r="E12193" t="s">
        <v>14</v>
      </c>
      <c r="F12193">
        <v>50.242199999999997</v>
      </c>
      <c r="G12193">
        <v>23.627199999999998</v>
      </c>
      <c r="H12193">
        <v>2</v>
      </c>
      <c r="I12193">
        <v>251</v>
      </c>
      <c r="J12193" t="str">
        <f>HYPERLINK("https://climate.onebuilding.org/WMO_Region_6_Europe/UKR_Ukraine/LV_Lvivska/UKR_LV_Rava-Ruska.332870_TMYx.zip")</f>
        <v>https://climate.onebuilding.org/WMO_Region_6_Europe/UKR_Ukraine/LV_Lvivska/UKR_LV_Rava-Ruska.332870_TMYx.zip</v>
      </c>
    </row>
    <row r="12194" spans="1:10" x14ac:dyDescent="0.25">
      <c r="A12194" t="s">
        <v>8766</v>
      </c>
      <c r="B12194" t="s">
        <v>489</v>
      </c>
      <c r="C12194" t="s">
        <v>8804</v>
      </c>
      <c r="D12194">
        <v>332880</v>
      </c>
      <c r="E12194" t="s">
        <v>14</v>
      </c>
      <c r="F12194">
        <v>50.1</v>
      </c>
      <c r="G12194">
        <v>24.35</v>
      </c>
      <c r="H12194">
        <v>2</v>
      </c>
      <c r="I12194">
        <v>228</v>
      </c>
      <c r="J12194" t="str">
        <f>HYPERLINK("https://climate.onebuilding.org/WMO_Region_6_Europe/UKR_Ukraine/LV_Lvivska/UKR_LV_Kamyanka.Buzka.332880_TMYx.zip")</f>
        <v>https://climate.onebuilding.org/WMO_Region_6_Europe/UKR_Ukraine/LV_Lvivska/UKR_LV_Kamyanka.Buzka.332880_TMYx.zip</v>
      </c>
    </row>
    <row r="12195" spans="1:10" x14ac:dyDescent="0.25">
      <c r="A12195" t="s">
        <v>8766</v>
      </c>
      <c r="B12195" t="s">
        <v>8775</v>
      </c>
      <c r="C12195" t="s">
        <v>8805</v>
      </c>
      <c r="D12195">
        <v>332960</v>
      </c>
      <c r="E12195" t="s">
        <v>14</v>
      </c>
      <c r="F12195">
        <v>50.417000000000002</v>
      </c>
      <c r="G12195">
        <v>25.75</v>
      </c>
      <c r="H12195">
        <v>2</v>
      </c>
      <c r="I12195">
        <v>216</v>
      </c>
      <c r="J12195" t="str">
        <f>HYPERLINK("https://climate.onebuilding.org/WMO_Region_6_Europe/UKR_Ukraine/RV_Rivnenska/UKR_RV_Dubno.332960_TMYx.zip")</f>
        <v>https://climate.onebuilding.org/WMO_Region_6_Europe/UKR_Ukraine/RV_Rivnenska/UKR_RV_Dubno.332960_TMYx.zip</v>
      </c>
    </row>
    <row r="12196" spans="1:10" x14ac:dyDescent="0.25">
      <c r="A12196" t="s">
        <v>8766</v>
      </c>
      <c r="B12196" t="s">
        <v>489</v>
      </c>
      <c r="C12196" t="s">
        <v>8806</v>
      </c>
      <c r="D12196">
        <v>332970</v>
      </c>
      <c r="E12196" t="s">
        <v>14</v>
      </c>
      <c r="F12196">
        <v>50.083599999999997</v>
      </c>
      <c r="G12196">
        <v>25.158300000000001</v>
      </c>
      <c r="H12196">
        <v>2</v>
      </c>
      <c r="I12196">
        <v>228</v>
      </c>
      <c r="J12196" t="str">
        <f>HYPERLINK("https://climate.onebuilding.org/WMO_Region_6_Europe/UKR_Ukraine/LV_Lvivska/UKR_LV_Brody.332970_TMYx.2007-2021.zip")</f>
        <v>https://climate.onebuilding.org/WMO_Region_6_Europe/UKR_Ukraine/LV_Lvivska/UKR_LV_Brody.332970_TMYx.2007-2021.zip</v>
      </c>
    </row>
    <row r="12197" spans="1:10" x14ac:dyDescent="0.25">
      <c r="A12197" t="s">
        <v>8766</v>
      </c>
      <c r="B12197" t="s">
        <v>489</v>
      </c>
      <c r="C12197" t="s">
        <v>8806</v>
      </c>
      <c r="D12197">
        <v>332970</v>
      </c>
      <c r="E12197" t="s">
        <v>14</v>
      </c>
      <c r="F12197">
        <v>50.083599999999997</v>
      </c>
      <c r="G12197">
        <v>25.158300000000001</v>
      </c>
      <c r="H12197">
        <v>2</v>
      </c>
      <c r="I12197">
        <v>228</v>
      </c>
      <c r="J12197" t="str">
        <f>HYPERLINK("https://climate.onebuilding.org/WMO_Region_6_Europe/UKR_Ukraine/LV_Lvivska/UKR_LV_Brody.332970_TMYx.2009-2023.zip")</f>
        <v>https://climate.onebuilding.org/WMO_Region_6_Europe/UKR_Ukraine/LV_Lvivska/UKR_LV_Brody.332970_TMYx.2009-2023.zip</v>
      </c>
    </row>
    <row r="12198" spans="1:10" x14ac:dyDescent="0.25">
      <c r="A12198" t="s">
        <v>8766</v>
      </c>
      <c r="B12198" t="s">
        <v>489</v>
      </c>
      <c r="C12198" t="s">
        <v>8806</v>
      </c>
      <c r="D12198">
        <v>332970</v>
      </c>
      <c r="E12198" t="s">
        <v>14</v>
      </c>
      <c r="F12198">
        <v>50.083599999999997</v>
      </c>
      <c r="G12198">
        <v>25.158300000000001</v>
      </c>
      <c r="H12198">
        <v>2</v>
      </c>
      <c r="I12198">
        <v>228</v>
      </c>
      <c r="J12198" t="str">
        <f>HYPERLINK("https://climate.onebuilding.org/WMO_Region_6_Europe/UKR_Ukraine/LV_Lvivska/UKR_LV_Brody.332970_TMYx.zip")</f>
        <v>https://climate.onebuilding.org/WMO_Region_6_Europe/UKR_Ukraine/LV_Lvivska/UKR_LV_Brody.332970_TMYx.zip</v>
      </c>
    </row>
    <row r="12199" spans="1:10" x14ac:dyDescent="0.25">
      <c r="A12199" t="s">
        <v>8766</v>
      </c>
      <c r="B12199" t="s">
        <v>8807</v>
      </c>
      <c r="C12199" t="s">
        <v>8808</v>
      </c>
      <c r="D12199">
        <v>332990</v>
      </c>
      <c r="E12199" t="s">
        <v>14</v>
      </c>
      <c r="F12199">
        <v>50.133000000000003</v>
      </c>
      <c r="G12199">
        <v>25.733000000000001</v>
      </c>
      <c r="H12199">
        <v>2</v>
      </c>
      <c r="I12199">
        <v>259</v>
      </c>
      <c r="J12199" t="str">
        <f>HYPERLINK("https://climate.onebuilding.org/WMO_Region_6_Europe/UKR_Ukraine/TP_Ternopilska/UKR_TP_Kremenets.332990_TMYx.2007-2021.zip")</f>
        <v>https://climate.onebuilding.org/WMO_Region_6_Europe/UKR_Ukraine/TP_Ternopilska/UKR_TP_Kremenets.332990_TMYx.2007-2021.zip</v>
      </c>
    </row>
    <row r="12200" spans="1:10" x14ac:dyDescent="0.25">
      <c r="A12200" t="s">
        <v>8766</v>
      </c>
      <c r="B12200" t="s">
        <v>8807</v>
      </c>
      <c r="C12200" t="s">
        <v>8808</v>
      </c>
      <c r="D12200">
        <v>332990</v>
      </c>
      <c r="E12200" t="s">
        <v>14</v>
      </c>
      <c r="F12200">
        <v>50.133000000000003</v>
      </c>
      <c r="G12200">
        <v>25.733000000000001</v>
      </c>
      <c r="H12200">
        <v>2</v>
      </c>
      <c r="I12200">
        <v>259</v>
      </c>
      <c r="J12200" t="str">
        <f>HYPERLINK("https://climate.onebuilding.org/WMO_Region_6_Europe/UKR_Ukraine/TP_Ternopilska/UKR_TP_Kremenets.332990_TMYx.2009-2023.zip")</f>
        <v>https://climate.onebuilding.org/WMO_Region_6_Europe/UKR_Ukraine/TP_Ternopilska/UKR_TP_Kremenets.332990_TMYx.2009-2023.zip</v>
      </c>
    </row>
    <row r="12201" spans="1:10" x14ac:dyDescent="0.25">
      <c r="A12201" t="s">
        <v>8766</v>
      </c>
      <c r="B12201" t="s">
        <v>8807</v>
      </c>
      <c r="C12201" t="s">
        <v>8808</v>
      </c>
      <c r="D12201">
        <v>332990</v>
      </c>
      <c r="E12201" t="s">
        <v>14</v>
      </c>
      <c r="F12201">
        <v>50.133000000000003</v>
      </c>
      <c r="G12201">
        <v>25.733000000000001</v>
      </c>
      <c r="H12201">
        <v>2</v>
      </c>
      <c r="I12201">
        <v>259</v>
      </c>
      <c r="J12201" t="str">
        <f>HYPERLINK("https://climate.onebuilding.org/WMO_Region_6_Europe/UKR_Ukraine/TP_Ternopilska/UKR_TP_Kremenets.332990_TMYx.zip")</f>
        <v>https://climate.onebuilding.org/WMO_Region_6_Europe/UKR_Ukraine/TP_Ternopilska/UKR_TP_Kremenets.332990_TMYx.zip</v>
      </c>
    </row>
    <row r="12202" spans="1:10" x14ac:dyDescent="0.25">
      <c r="A12202" t="s">
        <v>8766</v>
      </c>
      <c r="B12202" t="s">
        <v>8775</v>
      </c>
      <c r="C12202" t="s">
        <v>8809</v>
      </c>
      <c r="D12202">
        <v>333010</v>
      </c>
      <c r="E12202" t="s">
        <v>8810</v>
      </c>
      <c r="F12202">
        <v>50.602499999999999</v>
      </c>
      <c r="G12202">
        <v>26.152799999999999</v>
      </c>
      <c r="H12202">
        <v>2</v>
      </c>
      <c r="I12202">
        <v>230.1</v>
      </c>
      <c r="J12202" t="str">
        <f>HYPERLINK("https://climate.onebuilding.org/WMO_Region_6_Europe/UKR_Ukraine/RV_Rivnenska/UKR_RV_Rivne.AP.333010_TMYx.2004-2018.zip")</f>
        <v>https://climate.onebuilding.org/WMO_Region_6_Europe/UKR_Ukraine/RV_Rivnenska/UKR_RV_Rivne.AP.333010_TMYx.2004-2018.zip</v>
      </c>
    </row>
    <row r="12203" spans="1:10" x14ac:dyDescent="0.25">
      <c r="A12203" t="s">
        <v>8766</v>
      </c>
      <c r="B12203" t="s">
        <v>8775</v>
      </c>
      <c r="C12203" t="s">
        <v>8809</v>
      </c>
      <c r="D12203">
        <v>333010</v>
      </c>
      <c r="E12203" t="s">
        <v>14</v>
      </c>
      <c r="F12203">
        <v>50.602499999999999</v>
      </c>
      <c r="G12203">
        <v>26.152799999999999</v>
      </c>
      <c r="H12203">
        <v>2</v>
      </c>
      <c r="I12203">
        <v>230.1</v>
      </c>
      <c r="J12203" t="str">
        <f>HYPERLINK("https://climate.onebuilding.org/WMO_Region_6_Europe/UKR_Ukraine/RV_Rivnenska/UKR_RV_Rivne.AP.333010_TMYx.2007-2021.zip")</f>
        <v>https://climate.onebuilding.org/WMO_Region_6_Europe/UKR_Ukraine/RV_Rivnenska/UKR_RV_Rivne.AP.333010_TMYx.2007-2021.zip</v>
      </c>
    </row>
    <row r="12204" spans="1:10" x14ac:dyDescent="0.25">
      <c r="A12204" t="s">
        <v>8766</v>
      </c>
      <c r="B12204" t="s">
        <v>8775</v>
      </c>
      <c r="C12204" t="s">
        <v>8809</v>
      </c>
      <c r="D12204">
        <v>333010</v>
      </c>
      <c r="E12204" t="s">
        <v>14</v>
      </c>
      <c r="F12204">
        <v>50.602499999999999</v>
      </c>
      <c r="G12204">
        <v>26.152799999999999</v>
      </c>
      <c r="H12204">
        <v>2</v>
      </c>
      <c r="I12204">
        <v>230.1</v>
      </c>
      <c r="J12204" t="str">
        <f>HYPERLINK("https://climate.onebuilding.org/WMO_Region_6_Europe/UKR_Ukraine/RV_Rivnenska/UKR_RV_Rivne.AP.333010_TMYx.2009-2023.zip")</f>
        <v>https://climate.onebuilding.org/WMO_Region_6_Europe/UKR_Ukraine/RV_Rivnenska/UKR_RV_Rivne.AP.333010_TMYx.2009-2023.zip</v>
      </c>
    </row>
    <row r="12205" spans="1:10" x14ac:dyDescent="0.25">
      <c r="A12205" t="s">
        <v>8766</v>
      </c>
      <c r="B12205" t="s">
        <v>8775</v>
      </c>
      <c r="C12205" t="s">
        <v>8809</v>
      </c>
      <c r="D12205">
        <v>333010</v>
      </c>
      <c r="E12205" t="s">
        <v>14</v>
      </c>
      <c r="F12205">
        <v>50.602499999999999</v>
      </c>
      <c r="G12205">
        <v>26.152799999999999</v>
      </c>
      <c r="H12205">
        <v>2</v>
      </c>
      <c r="I12205">
        <v>230.1</v>
      </c>
      <c r="J12205" t="str">
        <f>HYPERLINK("https://climate.onebuilding.org/WMO_Region_6_Europe/UKR_Ukraine/RV_Rivnenska/UKR_RV_Rivne.AP.333010_TMYx.zip")</f>
        <v>https://climate.onebuilding.org/WMO_Region_6_Europe/UKR_Ukraine/RV_Rivnenska/UKR_RV_Rivne.AP.333010_TMYx.zip</v>
      </c>
    </row>
    <row r="12206" spans="1:10" x14ac:dyDescent="0.25">
      <c r="A12206" t="s">
        <v>8766</v>
      </c>
      <c r="B12206" t="s">
        <v>1198</v>
      </c>
      <c r="C12206" t="s">
        <v>8811</v>
      </c>
      <c r="D12206">
        <v>333120</v>
      </c>
      <c r="E12206" t="s">
        <v>14</v>
      </c>
      <c r="F12206">
        <v>50.592799999999997</v>
      </c>
      <c r="G12206">
        <v>27.6097</v>
      </c>
      <c r="H12206">
        <v>2</v>
      </c>
      <c r="I12206">
        <v>218</v>
      </c>
      <c r="J12206" t="str">
        <f>HYPERLINK("https://climate.onebuilding.org/WMO_Region_6_Europe/UKR_Ukraine/ZK_Zakarpatska/UKR_ZK_Novohrad-Volynskyi.333120_TMYx.2007-2021.zip")</f>
        <v>https://climate.onebuilding.org/WMO_Region_6_Europe/UKR_Ukraine/ZK_Zakarpatska/UKR_ZK_Novohrad-Volynskyi.333120_TMYx.2007-2021.zip</v>
      </c>
    </row>
    <row r="12207" spans="1:10" x14ac:dyDescent="0.25">
      <c r="A12207" t="s">
        <v>8766</v>
      </c>
      <c r="B12207" t="s">
        <v>1198</v>
      </c>
      <c r="C12207" t="s">
        <v>8811</v>
      </c>
      <c r="D12207">
        <v>333120</v>
      </c>
      <c r="E12207" t="s">
        <v>14</v>
      </c>
      <c r="F12207">
        <v>50.592799999999997</v>
      </c>
      <c r="G12207">
        <v>27.6097</v>
      </c>
      <c r="H12207">
        <v>2</v>
      </c>
      <c r="I12207">
        <v>218</v>
      </c>
      <c r="J12207" t="str">
        <f>HYPERLINK("https://climate.onebuilding.org/WMO_Region_6_Europe/UKR_Ukraine/ZK_Zakarpatska/UKR_ZK_Novohrad-Volynskyi.333120_TMYx.2009-2023.zip")</f>
        <v>https://climate.onebuilding.org/WMO_Region_6_Europe/UKR_Ukraine/ZK_Zakarpatska/UKR_ZK_Novohrad-Volynskyi.333120_TMYx.2009-2023.zip</v>
      </c>
    </row>
    <row r="12208" spans="1:10" x14ac:dyDescent="0.25">
      <c r="A12208" t="s">
        <v>8766</v>
      </c>
      <c r="B12208" t="s">
        <v>1198</v>
      </c>
      <c r="C12208" t="s">
        <v>8811</v>
      </c>
      <c r="D12208">
        <v>333120</v>
      </c>
      <c r="E12208" t="s">
        <v>14</v>
      </c>
      <c r="F12208">
        <v>50.592799999999997</v>
      </c>
      <c r="G12208">
        <v>27.6097</v>
      </c>
      <c r="H12208">
        <v>2</v>
      </c>
      <c r="I12208">
        <v>218</v>
      </c>
      <c r="J12208" t="str">
        <f>HYPERLINK("https://climate.onebuilding.org/WMO_Region_6_Europe/UKR_Ukraine/ZK_Zakarpatska/UKR_ZK_Novohrad-Volynskyi.333120_TMYx.zip")</f>
        <v>https://climate.onebuilding.org/WMO_Region_6_Europe/UKR_Ukraine/ZK_Zakarpatska/UKR_ZK_Novohrad-Volynskyi.333120_TMYx.zip</v>
      </c>
    </row>
    <row r="12209" spans="1:10" x14ac:dyDescent="0.25">
      <c r="A12209" t="s">
        <v>8766</v>
      </c>
      <c r="B12209" t="s">
        <v>19</v>
      </c>
      <c r="C12209" t="s">
        <v>8812</v>
      </c>
      <c r="D12209">
        <v>333170</v>
      </c>
      <c r="E12209" t="s">
        <v>8813</v>
      </c>
      <c r="F12209">
        <v>50.1614</v>
      </c>
      <c r="G12209">
        <v>27.036899999999999</v>
      </c>
      <c r="H12209">
        <v>2</v>
      </c>
      <c r="I12209">
        <v>278</v>
      </c>
      <c r="J12209" t="str">
        <f>HYPERLINK("https://climate.onebuilding.org/WMO_Region_6_Europe/UKR_Ukraine/KM_Khmelnytska/UKR_KM_Shepetivka.333170_TMYx.2004-2018.zip")</f>
        <v>https://climate.onebuilding.org/WMO_Region_6_Europe/UKR_Ukraine/KM_Khmelnytska/UKR_KM_Shepetivka.333170_TMYx.2004-2018.zip</v>
      </c>
    </row>
    <row r="12210" spans="1:10" x14ac:dyDescent="0.25">
      <c r="A12210" t="s">
        <v>8766</v>
      </c>
      <c r="B12210" t="s">
        <v>19</v>
      </c>
      <c r="C12210" t="s">
        <v>8812</v>
      </c>
      <c r="D12210">
        <v>333170</v>
      </c>
      <c r="E12210" t="s">
        <v>14</v>
      </c>
      <c r="F12210">
        <v>50.1614</v>
      </c>
      <c r="G12210">
        <v>27.036899999999999</v>
      </c>
      <c r="H12210">
        <v>2</v>
      </c>
      <c r="I12210">
        <v>278</v>
      </c>
      <c r="J12210" t="str">
        <f>HYPERLINK("https://climate.onebuilding.org/WMO_Region_6_Europe/UKR_Ukraine/KM_Khmelnytska/UKR_KM_Shepetivka.333170_TMYx.2007-2021.zip")</f>
        <v>https://climate.onebuilding.org/WMO_Region_6_Europe/UKR_Ukraine/KM_Khmelnytska/UKR_KM_Shepetivka.333170_TMYx.2007-2021.zip</v>
      </c>
    </row>
    <row r="12211" spans="1:10" x14ac:dyDescent="0.25">
      <c r="A12211" t="s">
        <v>8766</v>
      </c>
      <c r="B12211" t="s">
        <v>19</v>
      </c>
      <c r="C12211" t="s">
        <v>8812</v>
      </c>
      <c r="D12211">
        <v>333170</v>
      </c>
      <c r="E12211" t="s">
        <v>14</v>
      </c>
      <c r="F12211">
        <v>50.1614</v>
      </c>
      <c r="G12211">
        <v>27.036899999999999</v>
      </c>
      <c r="H12211">
        <v>2</v>
      </c>
      <c r="I12211">
        <v>278</v>
      </c>
      <c r="J12211" t="str">
        <f>HYPERLINK("https://climate.onebuilding.org/WMO_Region_6_Europe/UKR_Ukraine/KM_Khmelnytska/UKR_KM_Shepetivka.333170_TMYx.2009-2023.zip")</f>
        <v>https://climate.onebuilding.org/WMO_Region_6_Europe/UKR_Ukraine/KM_Khmelnytska/UKR_KM_Shepetivka.333170_TMYx.2009-2023.zip</v>
      </c>
    </row>
    <row r="12212" spans="1:10" x14ac:dyDescent="0.25">
      <c r="A12212" t="s">
        <v>8766</v>
      </c>
      <c r="B12212" t="s">
        <v>19</v>
      </c>
      <c r="C12212" t="s">
        <v>8812</v>
      </c>
      <c r="D12212">
        <v>333170</v>
      </c>
      <c r="E12212" t="s">
        <v>14</v>
      </c>
      <c r="F12212">
        <v>50.1614</v>
      </c>
      <c r="G12212">
        <v>27.036899999999999</v>
      </c>
      <c r="H12212">
        <v>2</v>
      </c>
      <c r="I12212">
        <v>278</v>
      </c>
      <c r="J12212" t="str">
        <f>HYPERLINK("https://climate.onebuilding.org/WMO_Region_6_Europe/UKR_Ukraine/KM_Khmelnytska/UKR_KM_Shepetivka.333170_TMYx.zip")</f>
        <v>https://climate.onebuilding.org/WMO_Region_6_Europe/UKR_Ukraine/KM_Khmelnytska/UKR_KM_Shepetivka.333170_TMYx.zip</v>
      </c>
    </row>
    <row r="12213" spans="1:10" x14ac:dyDescent="0.25">
      <c r="A12213" t="s">
        <v>8766</v>
      </c>
      <c r="B12213" t="s">
        <v>8787</v>
      </c>
      <c r="C12213" t="s">
        <v>8814</v>
      </c>
      <c r="D12213">
        <v>333250</v>
      </c>
      <c r="E12213" t="s">
        <v>8815</v>
      </c>
      <c r="F12213">
        <v>50.2806</v>
      </c>
      <c r="G12213">
        <v>28.659199999999998</v>
      </c>
      <c r="H12213">
        <v>2</v>
      </c>
      <c r="I12213">
        <v>224</v>
      </c>
      <c r="J12213" t="str">
        <f>HYPERLINK("https://climate.onebuilding.org/WMO_Region_6_Europe/UKR_Ukraine/ZT_Zhytomyrska/UKR_ZT_Zhytomyr.333250_TMYx.2004-2018.zip")</f>
        <v>https://climate.onebuilding.org/WMO_Region_6_Europe/UKR_Ukraine/ZT_Zhytomyrska/UKR_ZT_Zhytomyr.333250_TMYx.2004-2018.zip</v>
      </c>
    </row>
    <row r="12214" spans="1:10" x14ac:dyDescent="0.25">
      <c r="A12214" t="s">
        <v>8766</v>
      </c>
      <c r="B12214" t="s">
        <v>8787</v>
      </c>
      <c r="C12214" t="s">
        <v>8814</v>
      </c>
      <c r="D12214">
        <v>333250</v>
      </c>
      <c r="E12214" t="s">
        <v>14</v>
      </c>
      <c r="F12214">
        <v>50.2806</v>
      </c>
      <c r="G12214">
        <v>28.659199999999998</v>
      </c>
      <c r="H12214">
        <v>2</v>
      </c>
      <c r="I12214">
        <v>224</v>
      </c>
      <c r="J12214" t="str">
        <f>HYPERLINK("https://climate.onebuilding.org/WMO_Region_6_Europe/UKR_Ukraine/ZT_Zhytomyrska/UKR_ZT_Zhytomyr.333250_TMYx.2007-2021.zip")</f>
        <v>https://climate.onebuilding.org/WMO_Region_6_Europe/UKR_Ukraine/ZT_Zhytomyrska/UKR_ZT_Zhytomyr.333250_TMYx.2007-2021.zip</v>
      </c>
    </row>
    <row r="12215" spans="1:10" x14ac:dyDescent="0.25">
      <c r="A12215" t="s">
        <v>8766</v>
      </c>
      <c r="B12215" t="s">
        <v>8787</v>
      </c>
      <c r="C12215" t="s">
        <v>8814</v>
      </c>
      <c r="D12215">
        <v>333250</v>
      </c>
      <c r="E12215" t="s">
        <v>14</v>
      </c>
      <c r="F12215">
        <v>50.2806</v>
      </c>
      <c r="G12215">
        <v>28.659199999999998</v>
      </c>
      <c r="H12215">
        <v>2</v>
      </c>
      <c r="I12215">
        <v>224</v>
      </c>
      <c r="J12215" t="str">
        <f>HYPERLINK("https://climate.onebuilding.org/WMO_Region_6_Europe/UKR_Ukraine/ZT_Zhytomyrska/UKR_ZT_Zhytomyr.333250_TMYx.2009-2023.zip")</f>
        <v>https://climate.onebuilding.org/WMO_Region_6_Europe/UKR_Ukraine/ZT_Zhytomyrska/UKR_ZT_Zhytomyr.333250_TMYx.2009-2023.zip</v>
      </c>
    </row>
    <row r="12216" spans="1:10" x14ac:dyDescent="0.25">
      <c r="A12216" t="s">
        <v>8766</v>
      </c>
      <c r="B12216" t="s">
        <v>8787</v>
      </c>
      <c r="C12216" t="s">
        <v>8814</v>
      </c>
      <c r="D12216">
        <v>333250</v>
      </c>
      <c r="E12216" t="s">
        <v>14</v>
      </c>
      <c r="F12216">
        <v>50.2806</v>
      </c>
      <c r="G12216">
        <v>28.659199999999998</v>
      </c>
      <c r="H12216">
        <v>2</v>
      </c>
      <c r="I12216">
        <v>224</v>
      </c>
      <c r="J12216" t="str">
        <f>HYPERLINK("https://climate.onebuilding.org/WMO_Region_6_Europe/UKR_Ukraine/ZT_Zhytomyrska/UKR_ZT_Zhytomyr.333250_TMYx.zip")</f>
        <v>https://climate.onebuilding.org/WMO_Region_6_Europe/UKR_Ukraine/ZT_Zhytomyrska/UKR_ZT_Zhytomyr.333250_TMYx.zip</v>
      </c>
    </row>
    <row r="12217" spans="1:10" x14ac:dyDescent="0.25">
      <c r="A12217" t="s">
        <v>8766</v>
      </c>
      <c r="B12217" t="s">
        <v>8791</v>
      </c>
      <c r="C12217" t="s">
        <v>8816</v>
      </c>
      <c r="D12217">
        <v>333390</v>
      </c>
      <c r="E12217" t="s">
        <v>14</v>
      </c>
      <c r="F12217">
        <v>50.082999999999998</v>
      </c>
      <c r="G12217">
        <v>29.917000000000002</v>
      </c>
      <c r="H12217">
        <v>2</v>
      </c>
      <c r="I12217">
        <v>209</v>
      </c>
      <c r="J12217" t="str">
        <f>HYPERLINK("https://climate.onebuilding.org/WMO_Region_6_Europe/UKR_Ukraine/KV_Kiev/UKR_KV_Fastov.333390_TMYx.zip")</f>
        <v>https://climate.onebuilding.org/WMO_Region_6_Europe/UKR_Ukraine/KV_Kiev/UKR_KV_Fastov.333390_TMYx.zip</v>
      </c>
    </row>
    <row r="12218" spans="1:10" x14ac:dyDescent="0.25">
      <c r="A12218" t="s">
        <v>8766</v>
      </c>
      <c r="B12218" t="s">
        <v>8510</v>
      </c>
      <c r="C12218" t="s">
        <v>8817</v>
      </c>
      <c r="D12218">
        <v>333450</v>
      </c>
      <c r="E12218" t="s">
        <v>8818</v>
      </c>
      <c r="F12218">
        <v>50.3917</v>
      </c>
      <c r="G12218">
        <v>30.535499999999999</v>
      </c>
      <c r="H12218">
        <v>2</v>
      </c>
      <c r="I12218">
        <v>178.6</v>
      </c>
      <c r="J12218" t="str">
        <f>HYPERLINK("https://climate.onebuilding.org/WMO_Region_6_Europe/UKR_Ukraine/KC_Kiev_City/UKR_KC_Kyiv.333450_TMYx.2004-2018.zip")</f>
        <v>https://climate.onebuilding.org/WMO_Region_6_Europe/UKR_Ukraine/KC_Kiev_City/UKR_KC_Kyiv.333450_TMYx.2004-2018.zip</v>
      </c>
    </row>
    <row r="12219" spans="1:10" x14ac:dyDescent="0.25">
      <c r="A12219" t="s">
        <v>8766</v>
      </c>
      <c r="B12219" t="s">
        <v>8510</v>
      </c>
      <c r="C12219" t="s">
        <v>8817</v>
      </c>
      <c r="D12219">
        <v>333450</v>
      </c>
      <c r="E12219" t="s">
        <v>14</v>
      </c>
      <c r="F12219">
        <v>50.3917</v>
      </c>
      <c r="G12219">
        <v>30.535499999999999</v>
      </c>
      <c r="H12219">
        <v>2</v>
      </c>
      <c r="I12219">
        <v>178.6</v>
      </c>
      <c r="J12219" t="str">
        <f>HYPERLINK("https://climate.onebuilding.org/WMO_Region_6_Europe/UKR_Ukraine/KC_Kiev_City/UKR_KC_Kyiv.333450_TMYx.2007-2021.zip")</f>
        <v>https://climate.onebuilding.org/WMO_Region_6_Europe/UKR_Ukraine/KC_Kiev_City/UKR_KC_Kyiv.333450_TMYx.2007-2021.zip</v>
      </c>
    </row>
    <row r="12220" spans="1:10" x14ac:dyDescent="0.25">
      <c r="A12220" t="s">
        <v>8766</v>
      </c>
      <c r="B12220" t="s">
        <v>8510</v>
      </c>
      <c r="C12220" t="s">
        <v>8817</v>
      </c>
      <c r="D12220">
        <v>333450</v>
      </c>
      <c r="E12220" t="s">
        <v>14</v>
      </c>
      <c r="F12220">
        <v>50.3917</v>
      </c>
      <c r="G12220">
        <v>30.535499999999999</v>
      </c>
      <c r="H12220">
        <v>2</v>
      </c>
      <c r="I12220">
        <v>178.6</v>
      </c>
      <c r="J12220" t="str">
        <f>HYPERLINK("https://climate.onebuilding.org/WMO_Region_6_Europe/UKR_Ukraine/KC_Kiev_City/UKR_KC_Kyiv.333450_TMYx.2009-2023.zip")</f>
        <v>https://climate.onebuilding.org/WMO_Region_6_Europe/UKR_Ukraine/KC_Kiev_City/UKR_KC_Kyiv.333450_TMYx.2009-2023.zip</v>
      </c>
    </row>
    <row r="12221" spans="1:10" x14ac:dyDescent="0.25">
      <c r="A12221" t="s">
        <v>8766</v>
      </c>
      <c r="B12221" t="s">
        <v>8510</v>
      </c>
      <c r="C12221" t="s">
        <v>8817</v>
      </c>
      <c r="D12221">
        <v>333450</v>
      </c>
      <c r="E12221" t="s">
        <v>14</v>
      </c>
      <c r="F12221">
        <v>50.3917</v>
      </c>
      <c r="G12221">
        <v>30.535499999999999</v>
      </c>
      <c r="H12221">
        <v>2</v>
      </c>
      <c r="I12221">
        <v>178.6</v>
      </c>
      <c r="J12221" t="str">
        <f>HYPERLINK("https://climate.onebuilding.org/WMO_Region_6_Europe/UKR_Ukraine/KC_Kiev_City/UKR_KC_Kyiv.333450_TMYx.zip")</f>
        <v>https://climate.onebuilding.org/WMO_Region_6_Europe/UKR_Ukraine/KC_Kiev_City/UKR_KC_Kyiv.333450_TMYx.zip</v>
      </c>
    </row>
    <row r="12222" spans="1:10" x14ac:dyDescent="0.25">
      <c r="A12222" t="s">
        <v>8766</v>
      </c>
      <c r="B12222" t="s">
        <v>8791</v>
      </c>
      <c r="C12222" t="s">
        <v>8819</v>
      </c>
      <c r="D12222">
        <v>333451</v>
      </c>
      <c r="E12222" t="s">
        <v>8820</v>
      </c>
      <c r="F12222">
        <v>50.603000000000002</v>
      </c>
      <c r="G12222">
        <v>30.192</v>
      </c>
      <c r="H12222">
        <v>2</v>
      </c>
      <c r="I12222">
        <v>157.6</v>
      </c>
      <c r="J12222" t="str">
        <f>HYPERLINK("https://climate.onebuilding.org/WMO_Region_6_Europe/UKR_Ukraine/KV_Kiev/UKR_KV_Kyiv-Antonov.AP.333451_TMYx.2004-2018.zip")</f>
        <v>https://climate.onebuilding.org/WMO_Region_6_Europe/UKR_Ukraine/KV_Kiev/UKR_KV_Kyiv-Antonov.AP.333451_TMYx.2004-2018.zip</v>
      </c>
    </row>
    <row r="12223" spans="1:10" x14ac:dyDescent="0.25">
      <c r="A12223" t="s">
        <v>8766</v>
      </c>
      <c r="B12223" t="s">
        <v>8791</v>
      </c>
      <c r="C12223" t="s">
        <v>8819</v>
      </c>
      <c r="D12223">
        <v>333451</v>
      </c>
      <c r="E12223" t="s">
        <v>14</v>
      </c>
      <c r="F12223">
        <v>50.603000000000002</v>
      </c>
      <c r="G12223">
        <v>30.192</v>
      </c>
      <c r="H12223">
        <v>2</v>
      </c>
      <c r="I12223">
        <v>157.6</v>
      </c>
      <c r="J12223" t="str">
        <f>HYPERLINK("https://climate.onebuilding.org/WMO_Region_6_Europe/UKR_Ukraine/KV_Kiev/UKR_KV_Kyiv-Antonov.AP.333451_TMYx.2007-2021.zip")</f>
        <v>https://climate.onebuilding.org/WMO_Region_6_Europe/UKR_Ukraine/KV_Kiev/UKR_KV_Kyiv-Antonov.AP.333451_TMYx.2007-2021.zip</v>
      </c>
    </row>
    <row r="12224" spans="1:10" x14ac:dyDescent="0.25">
      <c r="A12224" t="s">
        <v>8766</v>
      </c>
      <c r="B12224" t="s">
        <v>8791</v>
      </c>
      <c r="C12224" t="s">
        <v>8819</v>
      </c>
      <c r="D12224">
        <v>333451</v>
      </c>
      <c r="E12224" t="s">
        <v>14</v>
      </c>
      <c r="F12224">
        <v>50.603000000000002</v>
      </c>
      <c r="G12224">
        <v>30.192</v>
      </c>
      <c r="H12224">
        <v>2</v>
      </c>
      <c r="I12224">
        <v>157.6</v>
      </c>
      <c r="J12224" t="str">
        <f>HYPERLINK("https://climate.onebuilding.org/WMO_Region_6_Europe/UKR_Ukraine/KV_Kiev/UKR_KV_Kyiv-Antonov.AP.333451_TMYx.2009-2023.zip")</f>
        <v>https://climate.onebuilding.org/WMO_Region_6_Europe/UKR_Ukraine/KV_Kiev/UKR_KV_Kyiv-Antonov.AP.333451_TMYx.2009-2023.zip</v>
      </c>
    </row>
    <row r="12225" spans="1:10" x14ac:dyDescent="0.25">
      <c r="A12225" t="s">
        <v>8766</v>
      </c>
      <c r="B12225" t="s">
        <v>8791</v>
      </c>
      <c r="C12225" t="s">
        <v>8819</v>
      </c>
      <c r="D12225">
        <v>333451</v>
      </c>
      <c r="E12225" t="s">
        <v>14</v>
      </c>
      <c r="F12225">
        <v>50.603000000000002</v>
      </c>
      <c r="G12225">
        <v>30.192</v>
      </c>
      <c r="H12225">
        <v>2</v>
      </c>
      <c r="I12225">
        <v>157.6</v>
      </c>
      <c r="J12225" t="str">
        <f>HYPERLINK("https://climate.onebuilding.org/WMO_Region_6_Europe/UKR_Ukraine/KV_Kiev/UKR_KV_Kyiv-Antonov.AP.333451_TMYx.zip")</f>
        <v>https://climate.onebuilding.org/WMO_Region_6_Europe/UKR_Ukraine/KV_Kiev/UKR_KV_Kyiv-Antonov.AP.333451_TMYx.zip</v>
      </c>
    </row>
    <row r="12226" spans="1:10" x14ac:dyDescent="0.25">
      <c r="A12226" t="s">
        <v>8766</v>
      </c>
      <c r="B12226" t="s">
        <v>8791</v>
      </c>
      <c r="C12226" t="s">
        <v>8821</v>
      </c>
      <c r="D12226">
        <v>333470</v>
      </c>
      <c r="E12226" t="s">
        <v>8822</v>
      </c>
      <c r="F12226">
        <v>50.344999999999999</v>
      </c>
      <c r="G12226">
        <v>30.895</v>
      </c>
      <c r="H12226">
        <v>2</v>
      </c>
      <c r="I12226">
        <v>130.1</v>
      </c>
      <c r="J12226" t="str">
        <f>HYPERLINK("https://climate.onebuilding.org/WMO_Region_6_Europe/UKR_Ukraine/KV_Kiev/UKR_KV_Boryspil.333470_TMYx.2004-2018.zip")</f>
        <v>https://climate.onebuilding.org/WMO_Region_6_Europe/UKR_Ukraine/KV_Kiev/UKR_KV_Boryspil.333470_TMYx.2004-2018.zip</v>
      </c>
    </row>
    <row r="12227" spans="1:10" x14ac:dyDescent="0.25">
      <c r="A12227" t="s">
        <v>8766</v>
      </c>
      <c r="B12227" t="s">
        <v>8791</v>
      </c>
      <c r="C12227" t="s">
        <v>8821</v>
      </c>
      <c r="D12227">
        <v>333470</v>
      </c>
      <c r="E12227" t="s">
        <v>14</v>
      </c>
      <c r="F12227">
        <v>50.3339</v>
      </c>
      <c r="G12227">
        <v>30.949200000000001</v>
      </c>
      <c r="H12227">
        <v>2</v>
      </c>
      <c r="I12227">
        <v>130.1</v>
      </c>
      <c r="J12227" t="str">
        <f>HYPERLINK("https://climate.onebuilding.org/WMO_Region_6_Europe/UKR_Ukraine/KV_Kiev/UKR_KV_Boryspil.333470_TMYx.2007-2021.zip")</f>
        <v>https://climate.onebuilding.org/WMO_Region_6_Europe/UKR_Ukraine/KV_Kiev/UKR_KV_Boryspil.333470_TMYx.2007-2021.zip</v>
      </c>
    </row>
    <row r="12228" spans="1:10" x14ac:dyDescent="0.25">
      <c r="A12228" t="s">
        <v>8766</v>
      </c>
      <c r="B12228" t="s">
        <v>8791</v>
      </c>
      <c r="C12228" t="s">
        <v>8821</v>
      </c>
      <c r="D12228">
        <v>333470</v>
      </c>
      <c r="E12228" t="s">
        <v>14</v>
      </c>
      <c r="F12228">
        <v>50.3339</v>
      </c>
      <c r="G12228">
        <v>30.949200000000001</v>
      </c>
      <c r="H12228">
        <v>2</v>
      </c>
      <c r="I12228">
        <v>130.1</v>
      </c>
      <c r="J12228" t="str">
        <f>HYPERLINK("https://climate.onebuilding.org/WMO_Region_6_Europe/UKR_Ukraine/KV_Kiev/UKR_KV_Boryspil.333470_TMYx.2009-2023.zip")</f>
        <v>https://climate.onebuilding.org/WMO_Region_6_Europe/UKR_Ukraine/KV_Kiev/UKR_KV_Boryspil.333470_TMYx.2009-2023.zip</v>
      </c>
    </row>
    <row r="12229" spans="1:10" x14ac:dyDescent="0.25">
      <c r="A12229" t="s">
        <v>8766</v>
      </c>
      <c r="B12229" t="s">
        <v>8791</v>
      </c>
      <c r="C12229" t="s">
        <v>8821</v>
      </c>
      <c r="D12229">
        <v>333470</v>
      </c>
      <c r="E12229" t="s">
        <v>14</v>
      </c>
      <c r="F12229">
        <v>50.3339</v>
      </c>
      <c r="G12229">
        <v>30.949200000000001</v>
      </c>
      <c r="H12229">
        <v>2</v>
      </c>
      <c r="I12229">
        <v>130.1</v>
      </c>
      <c r="J12229" t="str">
        <f>HYPERLINK("https://climate.onebuilding.org/WMO_Region_6_Europe/UKR_Ukraine/KV_Kiev/UKR_KV_Boryspil.333470_TMYx.zip")</f>
        <v>https://climate.onebuilding.org/WMO_Region_6_Europe/UKR_Ukraine/KV_Kiev/UKR_KV_Boryspil.333470_TMYx.zip</v>
      </c>
    </row>
    <row r="12230" spans="1:10" x14ac:dyDescent="0.25">
      <c r="A12230" t="s">
        <v>8766</v>
      </c>
      <c r="B12230" t="s">
        <v>8791</v>
      </c>
      <c r="C12230" t="s">
        <v>8823</v>
      </c>
      <c r="D12230">
        <v>333560</v>
      </c>
      <c r="E12230" t="s">
        <v>14</v>
      </c>
      <c r="F12230">
        <v>50.231699999999996</v>
      </c>
      <c r="G12230">
        <v>31.793600000000001</v>
      </c>
      <c r="H12230">
        <v>2</v>
      </c>
      <c r="I12230">
        <v>128</v>
      </c>
      <c r="J12230" t="str">
        <f>HYPERLINK("https://climate.onebuilding.org/WMO_Region_6_Europe/UKR_Ukraine/KV_Kiev/UKR_KV_Yahotyn.333560_TMYx.2007-2021.zip")</f>
        <v>https://climate.onebuilding.org/WMO_Region_6_Europe/UKR_Ukraine/KV_Kiev/UKR_KV_Yahotyn.333560_TMYx.2007-2021.zip</v>
      </c>
    </row>
    <row r="12231" spans="1:10" x14ac:dyDescent="0.25">
      <c r="A12231" t="s">
        <v>8766</v>
      </c>
      <c r="B12231" t="s">
        <v>8791</v>
      </c>
      <c r="C12231" t="s">
        <v>8823</v>
      </c>
      <c r="D12231">
        <v>333560</v>
      </c>
      <c r="E12231" t="s">
        <v>14</v>
      </c>
      <c r="F12231">
        <v>50.231699999999996</v>
      </c>
      <c r="G12231">
        <v>31.793600000000001</v>
      </c>
      <c r="H12231">
        <v>2</v>
      </c>
      <c r="I12231">
        <v>128</v>
      </c>
      <c r="J12231" t="str">
        <f>HYPERLINK("https://climate.onebuilding.org/WMO_Region_6_Europe/UKR_Ukraine/KV_Kiev/UKR_KV_Yahotyn.333560_TMYx.2009-2023.zip")</f>
        <v>https://climate.onebuilding.org/WMO_Region_6_Europe/UKR_Ukraine/KV_Kiev/UKR_KV_Yahotyn.333560_TMYx.2009-2023.zip</v>
      </c>
    </row>
    <row r="12232" spans="1:10" x14ac:dyDescent="0.25">
      <c r="A12232" t="s">
        <v>8766</v>
      </c>
      <c r="B12232" t="s">
        <v>8791</v>
      </c>
      <c r="C12232" t="s">
        <v>8823</v>
      </c>
      <c r="D12232">
        <v>333560</v>
      </c>
      <c r="E12232" t="s">
        <v>14</v>
      </c>
      <c r="F12232">
        <v>50.231699999999996</v>
      </c>
      <c r="G12232">
        <v>31.793600000000001</v>
      </c>
      <c r="H12232">
        <v>2</v>
      </c>
      <c r="I12232">
        <v>128</v>
      </c>
      <c r="J12232" t="str">
        <f>HYPERLINK("https://climate.onebuilding.org/WMO_Region_6_Europe/UKR_Ukraine/KV_Kiev/UKR_KV_Yahotyn.333560_TMYx.zip")</f>
        <v>https://climate.onebuilding.org/WMO_Region_6_Europe/UKR_Ukraine/KV_Kiev/UKR_KV_Yahotyn.333560_TMYx.zip</v>
      </c>
    </row>
    <row r="12233" spans="1:10" x14ac:dyDescent="0.25">
      <c r="A12233" t="s">
        <v>8766</v>
      </c>
      <c r="B12233" t="s">
        <v>8770</v>
      </c>
      <c r="C12233" t="s">
        <v>8824</v>
      </c>
      <c r="D12233">
        <v>333620</v>
      </c>
      <c r="E12233" t="s">
        <v>14</v>
      </c>
      <c r="F12233">
        <v>50.5792</v>
      </c>
      <c r="G12233">
        <v>32.363599999999998</v>
      </c>
      <c r="H12233">
        <v>2</v>
      </c>
      <c r="I12233">
        <v>133</v>
      </c>
      <c r="J12233" t="str">
        <f>HYPERLINK("https://climate.onebuilding.org/WMO_Region_6_Europe/UKR_Ukraine/CH_Chernihivska/UKR_CH_Pryluky.333620_TMYx.2007-2021.zip")</f>
        <v>https://climate.onebuilding.org/WMO_Region_6_Europe/UKR_Ukraine/CH_Chernihivska/UKR_CH_Pryluky.333620_TMYx.2007-2021.zip</v>
      </c>
    </row>
    <row r="12234" spans="1:10" x14ac:dyDescent="0.25">
      <c r="A12234" t="s">
        <v>8766</v>
      </c>
      <c r="B12234" t="s">
        <v>8770</v>
      </c>
      <c r="C12234" t="s">
        <v>8824</v>
      </c>
      <c r="D12234">
        <v>333620</v>
      </c>
      <c r="E12234" t="s">
        <v>14</v>
      </c>
      <c r="F12234">
        <v>50.5792</v>
      </c>
      <c r="G12234">
        <v>32.363599999999998</v>
      </c>
      <c r="H12234">
        <v>2</v>
      </c>
      <c r="I12234">
        <v>133</v>
      </c>
      <c r="J12234" t="str">
        <f>HYPERLINK("https://climate.onebuilding.org/WMO_Region_6_Europe/UKR_Ukraine/CH_Chernihivska/UKR_CH_Pryluky.333620_TMYx.2009-2023.zip")</f>
        <v>https://climate.onebuilding.org/WMO_Region_6_Europe/UKR_Ukraine/CH_Chernihivska/UKR_CH_Pryluky.333620_TMYx.2009-2023.zip</v>
      </c>
    </row>
    <row r="12235" spans="1:10" x14ac:dyDescent="0.25">
      <c r="A12235" t="s">
        <v>8766</v>
      </c>
      <c r="B12235" t="s">
        <v>8770</v>
      </c>
      <c r="C12235" t="s">
        <v>8824</v>
      </c>
      <c r="D12235">
        <v>333620</v>
      </c>
      <c r="E12235" t="s">
        <v>14</v>
      </c>
      <c r="F12235">
        <v>50.5792</v>
      </c>
      <c r="G12235">
        <v>32.363599999999998</v>
      </c>
      <c r="H12235">
        <v>2</v>
      </c>
      <c r="I12235">
        <v>133</v>
      </c>
      <c r="J12235" t="str">
        <f>HYPERLINK("https://climate.onebuilding.org/WMO_Region_6_Europe/UKR_Ukraine/CH_Chernihivska/UKR_CH_Pryluky.333620_TMYx.zip")</f>
        <v>https://climate.onebuilding.org/WMO_Region_6_Europe/UKR_Ukraine/CH_Chernihivska/UKR_CH_Pryluky.333620_TMYx.zip</v>
      </c>
    </row>
    <row r="12236" spans="1:10" x14ac:dyDescent="0.25">
      <c r="A12236" t="s">
        <v>8766</v>
      </c>
      <c r="B12236" t="s">
        <v>3033</v>
      </c>
      <c r="C12236" t="s">
        <v>8825</v>
      </c>
      <c r="D12236">
        <v>333680</v>
      </c>
      <c r="E12236" t="s">
        <v>14</v>
      </c>
      <c r="F12236">
        <v>50.133000000000003</v>
      </c>
      <c r="G12236">
        <v>32.450000000000003</v>
      </c>
      <c r="H12236">
        <v>2</v>
      </c>
      <c r="I12236">
        <v>114</v>
      </c>
      <c r="J12236" t="str">
        <f>HYPERLINK("https://climate.onebuilding.org/WMO_Region_6_Europe/UKR_Ukraine/PL_Poltavska/UKR_PL_Hrebinka-Grebenka.333680_TMYx.zip")</f>
        <v>https://climate.onebuilding.org/WMO_Region_6_Europe/UKR_Ukraine/PL_Poltavska/UKR_PL_Hrebinka-Grebenka.333680_TMYx.zip</v>
      </c>
    </row>
    <row r="12237" spans="1:10" x14ac:dyDescent="0.25">
      <c r="A12237" t="s">
        <v>8766</v>
      </c>
      <c r="B12237" t="s">
        <v>3033</v>
      </c>
      <c r="C12237" t="s">
        <v>8826</v>
      </c>
      <c r="D12237">
        <v>333760</v>
      </c>
      <c r="E12237" t="s">
        <v>14</v>
      </c>
      <c r="F12237">
        <v>50.368899999999996</v>
      </c>
      <c r="G12237">
        <v>33.9803</v>
      </c>
      <c r="H12237">
        <v>2</v>
      </c>
      <c r="I12237">
        <v>154</v>
      </c>
      <c r="J12237" t="str">
        <f>HYPERLINK("https://climate.onebuilding.org/WMO_Region_6_Europe/UKR_Ukraine/PL_Poltavska/UKR_PL_Hadiach.333760_TMYx.2007-2021.zip")</f>
        <v>https://climate.onebuilding.org/WMO_Region_6_Europe/UKR_Ukraine/PL_Poltavska/UKR_PL_Hadiach.333760_TMYx.2007-2021.zip</v>
      </c>
    </row>
    <row r="12238" spans="1:10" x14ac:dyDescent="0.25">
      <c r="A12238" t="s">
        <v>8766</v>
      </c>
      <c r="B12238" t="s">
        <v>3033</v>
      </c>
      <c r="C12238" t="s">
        <v>8826</v>
      </c>
      <c r="D12238">
        <v>333760</v>
      </c>
      <c r="E12238" t="s">
        <v>14</v>
      </c>
      <c r="F12238">
        <v>50.368899999999996</v>
      </c>
      <c r="G12238">
        <v>33.9803</v>
      </c>
      <c r="H12238">
        <v>2</v>
      </c>
      <c r="I12238">
        <v>154</v>
      </c>
      <c r="J12238" t="str">
        <f>HYPERLINK("https://climate.onebuilding.org/WMO_Region_6_Europe/UKR_Ukraine/PL_Poltavska/UKR_PL_Hadiach.333760_TMYx.2009-2023.zip")</f>
        <v>https://climate.onebuilding.org/WMO_Region_6_Europe/UKR_Ukraine/PL_Poltavska/UKR_PL_Hadiach.333760_TMYx.2009-2023.zip</v>
      </c>
    </row>
    <row r="12239" spans="1:10" x14ac:dyDescent="0.25">
      <c r="A12239" t="s">
        <v>8766</v>
      </c>
      <c r="B12239" t="s">
        <v>3033</v>
      </c>
      <c r="C12239" t="s">
        <v>8826</v>
      </c>
      <c r="D12239">
        <v>333760</v>
      </c>
      <c r="E12239" t="s">
        <v>14</v>
      </c>
      <c r="F12239">
        <v>50.368899999999996</v>
      </c>
      <c r="G12239">
        <v>33.9803</v>
      </c>
      <c r="H12239">
        <v>2</v>
      </c>
      <c r="I12239">
        <v>154</v>
      </c>
      <c r="J12239" t="str">
        <f>HYPERLINK("https://climate.onebuilding.org/WMO_Region_6_Europe/UKR_Ukraine/PL_Poltavska/UKR_PL_Hadiach.333760_TMYx.zip")</f>
        <v>https://climate.onebuilding.org/WMO_Region_6_Europe/UKR_Ukraine/PL_Poltavska/UKR_PL_Hadiach.333760_TMYx.zip</v>
      </c>
    </row>
    <row r="12240" spans="1:10" x14ac:dyDescent="0.25">
      <c r="A12240" t="s">
        <v>8766</v>
      </c>
      <c r="B12240" t="s">
        <v>3033</v>
      </c>
      <c r="C12240" t="s">
        <v>8827</v>
      </c>
      <c r="D12240">
        <v>333770</v>
      </c>
      <c r="E12240" t="s">
        <v>8828</v>
      </c>
      <c r="F12240">
        <v>50.015799999999999</v>
      </c>
      <c r="G12240">
        <v>32.986699999999999</v>
      </c>
      <c r="H12240">
        <v>2</v>
      </c>
      <c r="I12240">
        <v>158</v>
      </c>
      <c r="J12240" t="str">
        <f>HYPERLINK("https://climate.onebuilding.org/WMO_Region_6_Europe/UKR_Ukraine/PL_Poltavska/UKR_PL_Lubny.333770_TMYx.2004-2018.zip")</f>
        <v>https://climate.onebuilding.org/WMO_Region_6_Europe/UKR_Ukraine/PL_Poltavska/UKR_PL_Lubny.333770_TMYx.2004-2018.zip</v>
      </c>
    </row>
    <row r="12241" spans="1:10" x14ac:dyDescent="0.25">
      <c r="A12241" t="s">
        <v>8766</v>
      </c>
      <c r="B12241" t="s">
        <v>3033</v>
      </c>
      <c r="C12241" t="s">
        <v>8827</v>
      </c>
      <c r="D12241">
        <v>333770</v>
      </c>
      <c r="E12241" t="s">
        <v>14</v>
      </c>
      <c r="F12241">
        <v>50.015799999999999</v>
      </c>
      <c r="G12241">
        <v>32.986699999999999</v>
      </c>
      <c r="H12241">
        <v>2</v>
      </c>
      <c r="I12241">
        <v>158</v>
      </c>
      <c r="J12241" t="str">
        <f>HYPERLINK("https://climate.onebuilding.org/WMO_Region_6_Europe/UKR_Ukraine/PL_Poltavska/UKR_PL_Lubny.333770_TMYx.2007-2021.zip")</f>
        <v>https://climate.onebuilding.org/WMO_Region_6_Europe/UKR_Ukraine/PL_Poltavska/UKR_PL_Lubny.333770_TMYx.2007-2021.zip</v>
      </c>
    </row>
    <row r="12242" spans="1:10" x14ac:dyDescent="0.25">
      <c r="A12242" t="s">
        <v>8766</v>
      </c>
      <c r="B12242" t="s">
        <v>3033</v>
      </c>
      <c r="C12242" t="s">
        <v>8827</v>
      </c>
      <c r="D12242">
        <v>333770</v>
      </c>
      <c r="E12242" t="s">
        <v>14</v>
      </c>
      <c r="F12242">
        <v>50.015799999999999</v>
      </c>
      <c r="G12242">
        <v>32.986699999999999</v>
      </c>
      <c r="H12242">
        <v>2</v>
      </c>
      <c r="I12242">
        <v>158</v>
      </c>
      <c r="J12242" t="str">
        <f>HYPERLINK("https://climate.onebuilding.org/WMO_Region_6_Europe/UKR_Ukraine/PL_Poltavska/UKR_PL_Lubny.333770_TMYx.2009-2023.zip")</f>
        <v>https://climate.onebuilding.org/WMO_Region_6_Europe/UKR_Ukraine/PL_Poltavska/UKR_PL_Lubny.333770_TMYx.2009-2023.zip</v>
      </c>
    </row>
    <row r="12243" spans="1:10" x14ac:dyDescent="0.25">
      <c r="A12243" t="s">
        <v>8766</v>
      </c>
      <c r="B12243" t="s">
        <v>3033</v>
      </c>
      <c r="C12243" t="s">
        <v>8827</v>
      </c>
      <c r="D12243">
        <v>333770</v>
      </c>
      <c r="E12243" t="s">
        <v>14</v>
      </c>
      <c r="F12243">
        <v>50.015799999999999</v>
      </c>
      <c r="G12243">
        <v>32.986699999999999</v>
      </c>
      <c r="H12243">
        <v>2</v>
      </c>
      <c r="I12243">
        <v>158</v>
      </c>
      <c r="J12243" t="str">
        <f>HYPERLINK("https://climate.onebuilding.org/WMO_Region_6_Europe/UKR_Ukraine/PL_Poltavska/UKR_PL_Lubny.333770_TMYx.zip")</f>
        <v>https://climate.onebuilding.org/WMO_Region_6_Europe/UKR_Ukraine/PL_Poltavska/UKR_PL_Lubny.333770_TMYx.zip</v>
      </c>
    </row>
    <row r="12244" spans="1:10" x14ac:dyDescent="0.25">
      <c r="A12244" t="s">
        <v>8766</v>
      </c>
      <c r="B12244" t="s">
        <v>489</v>
      </c>
      <c r="C12244" t="s">
        <v>8829</v>
      </c>
      <c r="D12244">
        <v>333910</v>
      </c>
      <c r="E12244" t="s">
        <v>14</v>
      </c>
      <c r="F12244">
        <v>49.8</v>
      </c>
      <c r="G12244">
        <v>23.15</v>
      </c>
      <c r="H12244">
        <v>2</v>
      </c>
      <c r="I12244">
        <v>216</v>
      </c>
      <c r="J12244" t="str">
        <f>HYPERLINK("https://climate.onebuilding.org/WMO_Region_6_Europe/UKR_Ukraine/LV_Lvivska/UKR_LV_Mostyska.333910_TMYx.zip")</f>
        <v>https://climate.onebuilding.org/WMO_Region_6_Europe/UKR_Ukraine/LV_Lvivska/UKR_LV_Mostyska.333910_TMYx.zip</v>
      </c>
    </row>
    <row r="12245" spans="1:10" x14ac:dyDescent="0.25">
      <c r="A12245" t="s">
        <v>8766</v>
      </c>
      <c r="B12245" t="s">
        <v>489</v>
      </c>
      <c r="C12245" t="s">
        <v>8830</v>
      </c>
      <c r="D12245">
        <v>333930</v>
      </c>
      <c r="E12245" t="s">
        <v>8831</v>
      </c>
      <c r="F12245">
        <v>49.807499999999997</v>
      </c>
      <c r="G12245">
        <v>23.965</v>
      </c>
      <c r="H12245">
        <v>2</v>
      </c>
      <c r="I12245">
        <v>326.39999999999998</v>
      </c>
      <c r="J12245" t="str">
        <f>HYPERLINK("https://climate.onebuilding.org/WMO_Region_6_Europe/UKR_Ukraine/LV_Lvivska/UKR_LV_Lviv.Intl.AP.333930_TMYx.2004-2018.zip")</f>
        <v>https://climate.onebuilding.org/WMO_Region_6_Europe/UKR_Ukraine/LV_Lvivska/UKR_LV_Lviv.Intl.AP.333930_TMYx.2004-2018.zip</v>
      </c>
    </row>
    <row r="12246" spans="1:10" x14ac:dyDescent="0.25">
      <c r="A12246" t="s">
        <v>8766</v>
      </c>
      <c r="B12246" t="s">
        <v>489</v>
      </c>
      <c r="C12246" t="s">
        <v>8830</v>
      </c>
      <c r="D12246">
        <v>333930</v>
      </c>
      <c r="E12246" t="s">
        <v>14</v>
      </c>
      <c r="F12246">
        <v>49.807499999999997</v>
      </c>
      <c r="G12246">
        <v>23.965</v>
      </c>
      <c r="H12246">
        <v>2</v>
      </c>
      <c r="I12246">
        <v>326.39999999999998</v>
      </c>
      <c r="J12246" t="str">
        <f>HYPERLINK("https://climate.onebuilding.org/WMO_Region_6_Europe/UKR_Ukraine/LV_Lvivska/UKR_LV_Lviv.Intl.AP.333930_TMYx.2007-2021.zip")</f>
        <v>https://climate.onebuilding.org/WMO_Region_6_Europe/UKR_Ukraine/LV_Lvivska/UKR_LV_Lviv.Intl.AP.333930_TMYx.2007-2021.zip</v>
      </c>
    </row>
    <row r="12247" spans="1:10" x14ac:dyDescent="0.25">
      <c r="A12247" t="s">
        <v>8766</v>
      </c>
      <c r="B12247" t="s">
        <v>489</v>
      </c>
      <c r="C12247" t="s">
        <v>8830</v>
      </c>
      <c r="D12247">
        <v>333930</v>
      </c>
      <c r="E12247" t="s">
        <v>14</v>
      </c>
      <c r="F12247">
        <v>49.807499999999997</v>
      </c>
      <c r="G12247">
        <v>23.965</v>
      </c>
      <c r="H12247">
        <v>2</v>
      </c>
      <c r="I12247">
        <v>326.39999999999998</v>
      </c>
      <c r="J12247" t="str">
        <f>HYPERLINK("https://climate.onebuilding.org/WMO_Region_6_Europe/UKR_Ukraine/LV_Lvivska/UKR_LV_Lviv.Intl.AP.333930_TMYx.2009-2023.zip")</f>
        <v>https://climate.onebuilding.org/WMO_Region_6_Europe/UKR_Ukraine/LV_Lvivska/UKR_LV_Lviv.Intl.AP.333930_TMYx.2009-2023.zip</v>
      </c>
    </row>
    <row r="12248" spans="1:10" x14ac:dyDescent="0.25">
      <c r="A12248" t="s">
        <v>8766</v>
      </c>
      <c r="B12248" t="s">
        <v>489</v>
      </c>
      <c r="C12248" t="s">
        <v>8830</v>
      </c>
      <c r="D12248">
        <v>333930</v>
      </c>
      <c r="E12248" t="s">
        <v>14</v>
      </c>
      <c r="F12248">
        <v>49.807499999999997</v>
      </c>
      <c r="G12248">
        <v>23.965</v>
      </c>
      <c r="H12248">
        <v>2</v>
      </c>
      <c r="I12248">
        <v>326.39999999999998</v>
      </c>
      <c r="J12248" t="str">
        <f>HYPERLINK("https://climate.onebuilding.org/WMO_Region_6_Europe/UKR_Ukraine/LV_Lvivska/UKR_LV_Lviv.Intl.AP.333930_TMYx.zip")</f>
        <v>https://climate.onebuilding.org/WMO_Region_6_Europe/UKR_Ukraine/LV_Lvivska/UKR_LV_Lviv.Intl.AP.333930_TMYx.zip</v>
      </c>
    </row>
    <row r="12249" spans="1:10" x14ac:dyDescent="0.25">
      <c r="A12249" t="s">
        <v>8766</v>
      </c>
      <c r="B12249" t="s">
        <v>489</v>
      </c>
      <c r="C12249" t="s">
        <v>8832</v>
      </c>
      <c r="D12249">
        <v>333980</v>
      </c>
      <c r="E12249" t="s">
        <v>14</v>
      </c>
      <c r="F12249">
        <v>49.362200000000001</v>
      </c>
      <c r="G12249">
        <v>23.566700000000001</v>
      </c>
      <c r="H12249">
        <v>2</v>
      </c>
      <c r="I12249">
        <v>276</v>
      </c>
      <c r="J12249" t="str">
        <f>HYPERLINK("https://climate.onebuilding.org/WMO_Region_6_Europe/UKR_Ukraine/LV_Lvivska/UKR_LV_Drohobych.333980_TMYx.2007-2021.zip")</f>
        <v>https://climate.onebuilding.org/WMO_Region_6_Europe/UKR_Ukraine/LV_Lvivska/UKR_LV_Drohobych.333980_TMYx.2007-2021.zip</v>
      </c>
    </row>
    <row r="12250" spans="1:10" x14ac:dyDescent="0.25">
      <c r="A12250" t="s">
        <v>8766</v>
      </c>
      <c r="B12250" t="s">
        <v>489</v>
      </c>
      <c r="C12250" t="s">
        <v>8832</v>
      </c>
      <c r="D12250">
        <v>333980</v>
      </c>
      <c r="E12250" t="s">
        <v>14</v>
      </c>
      <c r="F12250">
        <v>49.362200000000001</v>
      </c>
      <c r="G12250">
        <v>23.566700000000001</v>
      </c>
      <c r="H12250">
        <v>2</v>
      </c>
      <c r="I12250">
        <v>276</v>
      </c>
      <c r="J12250" t="str">
        <f>HYPERLINK("https://climate.onebuilding.org/WMO_Region_6_Europe/UKR_Ukraine/LV_Lvivska/UKR_LV_Drohobych.333980_TMYx.2009-2023.zip")</f>
        <v>https://climate.onebuilding.org/WMO_Region_6_Europe/UKR_Ukraine/LV_Lvivska/UKR_LV_Drohobych.333980_TMYx.2009-2023.zip</v>
      </c>
    </row>
    <row r="12251" spans="1:10" x14ac:dyDescent="0.25">
      <c r="A12251" t="s">
        <v>8766</v>
      </c>
      <c r="B12251" t="s">
        <v>489</v>
      </c>
      <c r="C12251" t="s">
        <v>8832</v>
      </c>
      <c r="D12251">
        <v>333980</v>
      </c>
      <c r="E12251" t="s">
        <v>14</v>
      </c>
      <c r="F12251">
        <v>49.362200000000001</v>
      </c>
      <c r="G12251">
        <v>23.566700000000001</v>
      </c>
      <c r="H12251">
        <v>2</v>
      </c>
      <c r="I12251">
        <v>276</v>
      </c>
      <c r="J12251" t="str">
        <f>HYPERLINK("https://climate.onebuilding.org/WMO_Region_6_Europe/UKR_Ukraine/LV_Lvivska/UKR_LV_Drohobych.333980_TMYx.zip")</f>
        <v>https://climate.onebuilding.org/WMO_Region_6_Europe/UKR_Ukraine/LV_Lvivska/UKR_LV_Drohobych.333980_TMYx.zip</v>
      </c>
    </row>
    <row r="12252" spans="1:10" x14ac:dyDescent="0.25">
      <c r="A12252" t="s">
        <v>8766</v>
      </c>
      <c r="B12252" t="s">
        <v>8807</v>
      </c>
      <c r="C12252" t="s">
        <v>8833</v>
      </c>
      <c r="D12252">
        <v>334090</v>
      </c>
      <c r="E12252" t="s">
        <v>14</v>
      </c>
      <c r="F12252">
        <v>49.438600000000001</v>
      </c>
      <c r="G12252">
        <v>24.936399999999999</v>
      </c>
      <c r="H12252">
        <v>2</v>
      </c>
      <c r="I12252">
        <v>304</v>
      </c>
      <c r="J12252" t="str">
        <f>HYPERLINK("https://climate.onebuilding.org/WMO_Region_6_Europe/UKR_Ukraine/TP_Ternopilska/UKR_TP_Berezhany.334090_TMYx.2007-2021.zip")</f>
        <v>https://climate.onebuilding.org/WMO_Region_6_Europe/UKR_Ukraine/TP_Ternopilska/UKR_TP_Berezhany.334090_TMYx.2007-2021.zip</v>
      </c>
    </row>
    <row r="12253" spans="1:10" x14ac:dyDescent="0.25">
      <c r="A12253" t="s">
        <v>8766</v>
      </c>
      <c r="B12253" t="s">
        <v>8807</v>
      </c>
      <c r="C12253" t="s">
        <v>8833</v>
      </c>
      <c r="D12253">
        <v>334090</v>
      </c>
      <c r="E12253" t="s">
        <v>14</v>
      </c>
      <c r="F12253">
        <v>49.438600000000001</v>
      </c>
      <c r="G12253">
        <v>24.936399999999999</v>
      </c>
      <c r="H12253">
        <v>2</v>
      </c>
      <c r="I12253">
        <v>304</v>
      </c>
      <c r="J12253" t="str">
        <f>HYPERLINK("https://climate.onebuilding.org/WMO_Region_6_Europe/UKR_Ukraine/TP_Ternopilska/UKR_TP_Berezhany.334090_TMYx.2009-2023.zip")</f>
        <v>https://climate.onebuilding.org/WMO_Region_6_Europe/UKR_Ukraine/TP_Ternopilska/UKR_TP_Berezhany.334090_TMYx.2009-2023.zip</v>
      </c>
    </row>
    <row r="12254" spans="1:10" x14ac:dyDescent="0.25">
      <c r="A12254" t="s">
        <v>8766</v>
      </c>
      <c r="B12254" t="s">
        <v>8807</v>
      </c>
      <c r="C12254" t="s">
        <v>8833</v>
      </c>
      <c r="D12254">
        <v>334090</v>
      </c>
      <c r="E12254" t="s">
        <v>14</v>
      </c>
      <c r="F12254">
        <v>49.438600000000001</v>
      </c>
      <c r="G12254">
        <v>24.936399999999999</v>
      </c>
      <c r="H12254">
        <v>2</v>
      </c>
      <c r="I12254">
        <v>304</v>
      </c>
      <c r="J12254" t="str">
        <f>HYPERLINK("https://climate.onebuilding.org/WMO_Region_6_Europe/UKR_Ukraine/TP_Ternopilska/UKR_TP_Berezhany.334090_TMYx.zip")</f>
        <v>https://climate.onebuilding.org/WMO_Region_6_Europe/UKR_Ukraine/TP_Ternopilska/UKR_TP_Berezhany.334090_TMYx.zip</v>
      </c>
    </row>
    <row r="12255" spans="1:10" x14ac:dyDescent="0.25">
      <c r="A12255" t="s">
        <v>8766</v>
      </c>
      <c r="B12255" t="s">
        <v>8807</v>
      </c>
      <c r="C12255" t="s">
        <v>8834</v>
      </c>
      <c r="D12255">
        <v>334150</v>
      </c>
      <c r="E12255" t="s">
        <v>8835</v>
      </c>
      <c r="F12255">
        <v>49.527799999999999</v>
      </c>
      <c r="G12255">
        <v>25.691099999999999</v>
      </c>
      <c r="H12255">
        <v>2</v>
      </c>
      <c r="I12255">
        <v>329</v>
      </c>
      <c r="J12255" t="str">
        <f>HYPERLINK("https://climate.onebuilding.org/WMO_Region_6_Europe/UKR_Ukraine/TP_Ternopilska/UKR_TP_Ternopil.AP.334150_TMYx.2004-2018.zip")</f>
        <v>https://climate.onebuilding.org/WMO_Region_6_Europe/UKR_Ukraine/TP_Ternopilska/UKR_TP_Ternopil.AP.334150_TMYx.2004-2018.zip</v>
      </c>
    </row>
    <row r="12256" spans="1:10" x14ac:dyDescent="0.25">
      <c r="A12256" t="s">
        <v>8766</v>
      </c>
      <c r="B12256" t="s">
        <v>8807</v>
      </c>
      <c r="C12256" t="s">
        <v>8834</v>
      </c>
      <c r="D12256">
        <v>334150</v>
      </c>
      <c r="E12256" t="s">
        <v>14</v>
      </c>
      <c r="F12256">
        <v>49.527799999999999</v>
      </c>
      <c r="G12256">
        <v>25.691099999999999</v>
      </c>
      <c r="H12256">
        <v>2</v>
      </c>
      <c r="I12256">
        <v>329</v>
      </c>
      <c r="J12256" t="str">
        <f>HYPERLINK("https://climate.onebuilding.org/WMO_Region_6_Europe/UKR_Ukraine/TP_Ternopilska/UKR_TP_Ternopil.AP.334150_TMYx.2007-2021.zip")</f>
        <v>https://climate.onebuilding.org/WMO_Region_6_Europe/UKR_Ukraine/TP_Ternopilska/UKR_TP_Ternopil.AP.334150_TMYx.2007-2021.zip</v>
      </c>
    </row>
    <row r="12257" spans="1:10" x14ac:dyDescent="0.25">
      <c r="A12257" t="s">
        <v>8766</v>
      </c>
      <c r="B12257" t="s">
        <v>8807</v>
      </c>
      <c r="C12257" t="s">
        <v>8834</v>
      </c>
      <c r="D12257">
        <v>334150</v>
      </c>
      <c r="E12257" t="s">
        <v>14</v>
      </c>
      <c r="F12257">
        <v>49.527799999999999</v>
      </c>
      <c r="G12257">
        <v>25.691099999999999</v>
      </c>
      <c r="H12257">
        <v>2</v>
      </c>
      <c r="I12257">
        <v>329</v>
      </c>
      <c r="J12257" t="str">
        <f>HYPERLINK("https://climate.onebuilding.org/WMO_Region_6_Europe/UKR_Ukraine/TP_Ternopilska/UKR_TP_Ternopil.AP.334150_TMYx.2009-2023.zip")</f>
        <v>https://climate.onebuilding.org/WMO_Region_6_Europe/UKR_Ukraine/TP_Ternopilska/UKR_TP_Ternopil.AP.334150_TMYx.2009-2023.zip</v>
      </c>
    </row>
    <row r="12258" spans="1:10" x14ac:dyDescent="0.25">
      <c r="A12258" t="s">
        <v>8766</v>
      </c>
      <c r="B12258" t="s">
        <v>8807</v>
      </c>
      <c r="C12258" t="s">
        <v>8834</v>
      </c>
      <c r="D12258">
        <v>334150</v>
      </c>
      <c r="E12258" t="s">
        <v>14</v>
      </c>
      <c r="F12258">
        <v>49.527799999999999</v>
      </c>
      <c r="G12258">
        <v>25.691099999999999</v>
      </c>
      <c r="H12258">
        <v>2</v>
      </c>
      <c r="I12258">
        <v>329</v>
      </c>
      <c r="J12258" t="str">
        <f>HYPERLINK("https://climate.onebuilding.org/WMO_Region_6_Europe/UKR_Ukraine/TP_Ternopilska/UKR_TP_Ternopil.AP.334150_TMYx.zip")</f>
        <v>https://climate.onebuilding.org/WMO_Region_6_Europe/UKR_Ukraine/TP_Ternopilska/UKR_TP_Ternopil.AP.334150_TMYx.zip</v>
      </c>
    </row>
    <row r="12259" spans="1:10" x14ac:dyDescent="0.25">
      <c r="A12259" t="s">
        <v>8766</v>
      </c>
      <c r="B12259" t="s">
        <v>19</v>
      </c>
      <c r="C12259" t="s">
        <v>8836</v>
      </c>
      <c r="D12259">
        <v>334290</v>
      </c>
      <c r="E12259" t="s">
        <v>8837</v>
      </c>
      <c r="F12259">
        <v>49.3536</v>
      </c>
      <c r="G12259">
        <v>26.9375</v>
      </c>
      <c r="H12259">
        <v>2</v>
      </c>
      <c r="I12259">
        <v>350</v>
      </c>
      <c r="J12259" t="str">
        <f>HYPERLINK("https://climate.onebuilding.org/WMO_Region_6_Europe/UKR_Ukraine/KM_Khmelnytska/UKR_KM_Khmelnytskyi.AP.334290_TMYx.2004-2018.zip")</f>
        <v>https://climate.onebuilding.org/WMO_Region_6_Europe/UKR_Ukraine/KM_Khmelnytska/UKR_KM_Khmelnytskyi.AP.334290_TMYx.2004-2018.zip</v>
      </c>
    </row>
    <row r="12260" spans="1:10" x14ac:dyDescent="0.25">
      <c r="A12260" t="s">
        <v>8766</v>
      </c>
      <c r="B12260" t="s">
        <v>19</v>
      </c>
      <c r="C12260" t="s">
        <v>8836</v>
      </c>
      <c r="D12260">
        <v>334290</v>
      </c>
      <c r="E12260" t="s">
        <v>14</v>
      </c>
      <c r="F12260">
        <v>49.3536</v>
      </c>
      <c r="G12260">
        <v>26.9375</v>
      </c>
      <c r="H12260">
        <v>2</v>
      </c>
      <c r="I12260">
        <v>350</v>
      </c>
      <c r="J12260" t="str">
        <f>HYPERLINK("https://climate.onebuilding.org/WMO_Region_6_Europe/UKR_Ukraine/KM_Khmelnytska/UKR_KM_Khmelnytskyi.AP.334290_TMYx.2007-2021.zip")</f>
        <v>https://climate.onebuilding.org/WMO_Region_6_Europe/UKR_Ukraine/KM_Khmelnytska/UKR_KM_Khmelnytskyi.AP.334290_TMYx.2007-2021.zip</v>
      </c>
    </row>
    <row r="12261" spans="1:10" x14ac:dyDescent="0.25">
      <c r="A12261" t="s">
        <v>8766</v>
      </c>
      <c r="B12261" t="s">
        <v>19</v>
      </c>
      <c r="C12261" t="s">
        <v>8836</v>
      </c>
      <c r="D12261">
        <v>334290</v>
      </c>
      <c r="E12261" t="s">
        <v>14</v>
      </c>
      <c r="F12261">
        <v>49.3536</v>
      </c>
      <c r="G12261">
        <v>26.9375</v>
      </c>
      <c r="H12261">
        <v>2</v>
      </c>
      <c r="I12261">
        <v>350</v>
      </c>
      <c r="J12261" t="str">
        <f>HYPERLINK("https://climate.onebuilding.org/WMO_Region_6_Europe/UKR_Ukraine/KM_Khmelnytska/UKR_KM_Khmelnytskyi.AP.334290_TMYx.2009-2023.zip")</f>
        <v>https://climate.onebuilding.org/WMO_Region_6_Europe/UKR_Ukraine/KM_Khmelnytska/UKR_KM_Khmelnytskyi.AP.334290_TMYx.2009-2023.zip</v>
      </c>
    </row>
    <row r="12262" spans="1:10" x14ac:dyDescent="0.25">
      <c r="A12262" t="s">
        <v>8766</v>
      </c>
      <c r="B12262" t="s">
        <v>19</v>
      </c>
      <c r="C12262" t="s">
        <v>8836</v>
      </c>
      <c r="D12262">
        <v>334290</v>
      </c>
      <c r="E12262" t="s">
        <v>14</v>
      </c>
      <c r="F12262">
        <v>49.3536</v>
      </c>
      <c r="G12262">
        <v>26.9375</v>
      </c>
      <c r="H12262">
        <v>2</v>
      </c>
      <c r="I12262">
        <v>350</v>
      </c>
      <c r="J12262" t="str">
        <f>HYPERLINK("https://climate.onebuilding.org/WMO_Region_6_Europe/UKR_Ukraine/KM_Khmelnytska/UKR_KM_Khmelnytskyi.AP.334290_TMYx.zip")</f>
        <v>https://climate.onebuilding.org/WMO_Region_6_Europe/UKR_Ukraine/KM_Khmelnytska/UKR_KM_Khmelnytskyi.AP.334290_TMYx.zip</v>
      </c>
    </row>
    <row r="12263" spans="1:10" x14ac:dyDescent="0.25">
      <c r="A12263" t="s">
        <v>8766</v>
      </c>
      <c r="B12263" t="s">
        <v>615</v>
      </c>
      <c r="C12263" t="s">
        <v>8838</v>
      </c>
      <c r="D12263">
        <v>334390</v>
      </c>
      <c r="E12263" t="s">
        <v>14</v>
      </c>
      <c r="F12263">
        <v>49.549399999999999</v>
      </c>
      <c r="G12263">
        <v>27.957100000000001</v>
      </c>
      <c r="H12263">
        <v>2</v>
      </c>
      <c r="I12263">
        <v>284</v>
      </c>
      <c r="J12263" t="str">
        <f>HYPERLINK("https://climate.onebuilding.org/WMO_Region_6_Europe/UKR_Ukraine/VI_Vinnytska/UKR_VI_Khmilnyk.334390_TMYx.2007-2021.zip")</f>
        <v>https://climate.onebuilding.org/WMO_Region_6_Europe/UKR_Ukraine/VI_Vinnytska/UKR_VI_Khmilnyk.334390_TMYx.2007-2021.zip</v>
      </c>
    </row>
    <row r="12264" spans="1:10" x14ac:dyDescent="0.25">
      <c r="A12264" t="s">
        <v>8766</v>
      </c>
      <c r="B12264" t="s">
        <v>615</v>
      </c>
      <c r="C12264" t="s">
        <v>8838</v>
      </c>
      <c r="D12264">
        <v>334390</v>
      </c>
      <c r="E12264" t="s">
        <v>14</v>
      </c>
      <c r="F12264">
        <v>49.549399999999999</v>
      </c>
      <c r="G12264">
        <v>27.957100000000001</v>
      </c>
      <c r="H12264">
        <v>2</v>
      </c>
      <c r="I12264">
        <v>284</v>
      </c>
      <c r="J12264" t="str">
        <f>HYPERLINK("https://climate.onebuilding.org/WMO_Region_6_Europe/UKR_Ukraine/VI_Vinnytska/UKR_VI_Khmilnyk.334390_TMYx.2009-2023.zip")</f>
        <v>https://climate.onebuilding.org/WMO_Region_6_Europe/UKR_Ukraine/VI_Vinnytska/UKR_VI_Khmilnyk.334390_TMYx.2009-2023.zip</v>
      </c>
    </row>
    <row r="12265" spans="1:10" x14ac:dyDescent="0.25">
      <c r="A12265" t="s">
        <v>8766</v>
      </c>
      <c r="B12265" t="s">
        <v>615</v>
      </c>
      <c r="C12265" t="s">
        <v>8838</v>
      </c>
      <c r="D12265">
        <v>334390</v>
      </c>
      <c r="E12265" t="s">
        <v>14</v>
      </c>
      <c r="F12265">
        <v>49.549399999999999</v>
      </c>
      <c r="G12265">
        <v>27.957100000000001</v>
      </c>
      <c r="H12265">
        <v>2</v>
      </c>
      <c r="I12265">
        <v>284</v>
      </c>
      <c r="J12265" t="str">
        <f>HYPERLINK("https://climate.onebuilding.org/WMO_Region_6_Europe/UKR_Ukraine/VI_Vinnytska/UKR_VI_Khmilnyk.334390_TMYx.zip")</f>
        <v>https://climate.onebuilding.org/WMO_Region_6_Europe/UKR_Ukraine/VI_Vinnytska/UKR_VI_Khmilnyk.334390_TMYx.zip</v>
      </c>
    </row>
    <row r="12266" spans="1:10" x14ac:dyDescent="0.25">
      <c r="A12266" t="s">
        <v>8766</v>
      </c>
      <c r="B12266" t="s">
        <v>615</v>
      </c>
      <c r="C12266" t="s">
        <v>8800</v>
      </c>
      <c r="D12266">
        <v>334460</v>
      </c>
      <c r="E12266" t="s">
        <v>14</v>
      </c>
      <c r="F12266">
        <v>49.838099999999997</v>
      </c>
      <c r="G12266">
        <v>28.884699999999999</v>
      </c>
      <c r="H12266">
        <v>2</v>
      </c>
      <c r="I12266">
        <v>258</v>
      </c>
      <c r="J12266" t="str">
        <f>HYPERLINK("https://climate.onebuilding.org/WMO_Region_6_Europe/UKR_Ukraine/VI_Vinnytska/UKR_VI_Bilopillya.334460_TMYx.2007-2021.zip")</f>
        <v>https://climate.onebuilding.org/WMO_Region_6_Europe/UKR_Ukraine/VI_Vinnytska/UKR_VI_Bilopillya.334460_TMYx.2007-2021.zip</v>
      </c>
    </row>
    <row r="12267" spans="1:10" x14ac:dyDescent="0.25">
      <c r="A12267" t="s">
        <v>8766</v>
      </c>
      <c r="B12267" t="s">
        <v>615</v>
      </c>
      <c r="C12267" t="s">
        <v>8800</v>
      </c>
      <c r="D12267">
        <v>334460</v>
      </c>
      <c r="E12267" t="s">
        <v>14</v>
      </c>
      <c r="F12267">
        <v>49.838099999999997</v>
      </c>
      <c r="G12267">
        <v>28.884699999999999</v>
      </c>
      <c r="H12267">
        <v>2</v>
      </c>
      <c r="I12267">
        <v>258</v>
      </c>
      <c r="J12267" t="str">
        <f>HYPERLINK("https://climate.onebuilding.org/WMO_Region_6_Europe/UKR_Ukraine/VI_Vinnytska/UKR_VI_Bilopillya.334460_TMYx.2009-2023.zip")</f>
        <v>https://climate.onebuilding.org/WMO_Region_6_Europe/UKR_Ukraine/VI_Vinnytska/UKR_VI_Bilopillya.334460_TMYx.2009-2023.zip</v>
      </c>
    </row>
    <row r="12268" spans="1:10" x14ac:dyDescent="0.25">
      <c r="A12268" t="s">
        <v>8766</v>
      </c>
      <c r="B12268" t="s">
        <v>615</v>
      </c>
      <c r="C12268" t="s">
        <v>8800</v>
      </c>
      <c r="D12268">
        <v>334460</v>
      </c>
      <c r="E12268" t="s">
        <v>14</v>
      </c>
      <c r="F12268">
        <v>49.838099999999997</v>
      </c>
      <c r="G12268">
        <v>28.884699999999999</v>
      </c>
      <c r="H12268">
        <v>2</v>
      </c>
      <c r="I12268">
        <v>258</v>
      </c>
      <c r="J12268" t="str">
        <f>HYPERLINK("https://climate.onebuilding.org/WMO_Region_6_Europe/UKR_Ukraine/VI_Vinnytska/UKR_VI_Bilopillya.334460_TMYx.zip")</f>
        <v>https://climate.onebuilding.org/WMO_Region_6_Europe/UKR_Ukraine/VI_Vinnytska/UKR_VI_Bilopillya.334460_TMYx.zip</v>
      </c>
    </row>
    <row r="12269" spans="1:10" x14ac:dyDescent="0.25">
      <c r="A12269" t="s">
        <v>8766</v>
      </c>
      <c r="B12269" t="s">
        <v>8791</v>
      </c>
      <c r="C12269" t="s">
        <v>8839</v>
      </c>
      <c r="D12269">
        <v>334640</v>
      </c>
      <c r="E12269" t="s">
        <v>14</v>
      </c>
      <c r="F12269">
        <v>49.827800000000003</v>
      </c>
      <c r="G12269">
        <v>30.106400000000001</v>
      </c>
      <c r="H12269">
        <v>2</v>
      </c>
      <c r="I12269">
        <v>180</v>
      </c>
      <c r="J12269" t="str">
        <f>HYPERLINK("https://climate.onebuilding.org/WMO_Region_6_Europe/UKR_Ukraine/KV_Kiev/UKR_KV_Bila.Tserkva.334640_TMYx.2007-2021.zip")</f>
        <v>https://climate.onebuilding.org/WMO_Region_6_Europe/UKR_Ukraine/KV_Kiev/UKR_KV_Bila.Tserkva.334640_TMYx.2007-2021.zip</v>
      </c>
    </row>
    <row r="12270" spans="1:10" x14ac:dyDescent="0.25">
      <c r="A12270" t="s">
        <v>8766</v>
      </c>
      <c r="B12270" t="s">
        <v>8791</v>
      </c>
      <c r="C12270" t="s">
        <v>8839</v>
      </c>
      <c r="D12270">
        <v>334640</v>
      </c>
      <c r="E12270" t="s">
        <v>14</v>
      </c>
      <c r="F12270">
        <v>49.827800000000003</v>
      </c>
      <c r="G12270">
        <v>30.106400000000001</v>
      </c>
      <c r="H12270">
        <v>2</v>
      </c>
      <c r="I12270">
        <v>180</v>
      </c>
      <c r="J12270" t="str">
        <f>HYPERLINK("https://climate.onebuilding.org/WMO_Region_6_Europe/UKR_Ukraine/KV_Kiev/UKR_KV_Bila.Tserkva.334640_TMYx.2009-2023.zip")</f>
        <v>https://climate.onebuilding.org/WMO_Region_6_Europe/UKR_Ukraine/KV_Kiev/UKR_KV_Bila.Tserkva.334640_TMYx.2009-2023.zip</v>
      </c>
    </row>
    <row r="12271" spans="1:10" x14ac:dyDescent="0.25">
      <c r="A12271" t="s">
        <v>8766</v>
      </c>
      <c r="B12271" t="s">
        <v>8791</v>
      </c>
      <c r="C12271" t="s">
        <v>8839</v>
      </c>
      <c r="D12271">
        <v>334640</v>
      </c>
      <c r="E12271" t="s">
        <v>14</v>
      </c>
      <c r="F12271">
        <v>49.827800000000003</v>
      </c>
      <c r="G12271">
        <v>30.106400000000001</v>
      </c>
      <c r="H12271">
        <v>2</v>
      </c>
      <c r="I12271">
        <v>180</v>
      </c>
      <c r="J12271" t="str">
        <f>HYPERLINK("https://climate.onebuilding.org/WMO_Region_6_Europe/UKR_Ukraine/KV_Kiev/UKR_KV_Bila.Tserkva.334640_TMYx.zip")</f>
        <v>https://climate.onebuilding.org/WMO_Region_6_Europe/UKR_Ukraine/KV_Kiev/UKR_KV_Bila.Tserkva.334640_TMYx.zip</v>
      </c>
    </row>
    <row r="12272" spans="1:10" x14ac:dyDescent="0.25">
      <c r="A12272" t="s">
        <v>8766</v>
      </c>
      <c r="B12272" t="s">
        <v>8791</v>
      </c>
      <c r="C12272" t="s">
        <v>8840</v>
      </c>
      <c r="D12272">
        <v>334660</v>
      </c>
      <c r="E12272" t="s">
        <v>8841</v>
      </c>
      <c r="F12272">
        <v>49.646099999999997</v>
      </c>
      <c r="G12272">
        <v>31.082799999999999</v>
      </c>
      <c r="H12272">
        <v>2</v>
      </c>
      <c r="I12272">
        <v>153</v>
      </c>
      <c r="J12272" t="str">
        <f>HYPERLINK("https://climate.onebuilding.org/WMO_Region_6_Europe/UKR_Ukraine/KV_Kiev/UKR_KV_Myronivka.334660_TMYx.2004-2018.zip")</f>
        <v>https://climate.onebuilding.org/WMO_Region_6_Europe/UKR_Ukraine/KV_Kiev/UKR_KV_Myronivka.334660_TMYx.2004-2018.zip</v>
      </c>
    </row>
    <row r="12273" spans="1:10" x14ac:dyDescent="0.25">
      <c r="A12273" t="s">
        <v>8766</v>
      </c>
      <c r="B12273" t="s">
        <v>8791</v>
      </c>
      <c r="C12273" t="s">
        <v>8840</v>
      </c>
      <c r="D12273">
        <v>334660</v>
      </c>
      <c r="E12273" t="s">
        <v>14</v>
      </c>
      <c r="F12273">
        <v>49.646099999999997</v>
      </c>
      <c r="G12273">
        <v>31.082799999999999</v>
      </c>
      <c r="H12273">
        <v>2</v>
      </c>
      <c r="I12273">
        <v>153</v>
      </c>
      <c r="J12273" t="str">
        <f>HYPERLINK("https://climate.onebuilding.org/WMO_Region_6_Europe/UKR_Ukraine/KV_Kiev/UKR_KV_Myronivka.334660_TMYx.2007-2021.zip")</f>
        <v>https://climate.onebuilding.org/WMO_Region_6_Europe/UKR_Ukraine/KV_Kiev/UKR_KV_Myronivka.334660_TMYx.2007-2021.zip</v>
      </c>
    </row>
    <row r="12274" spans="1:10" x14ac:dyDescent="0.25">
      <c r="A12274" t="s">
        <v>8766</v>
      </c>
      <c r="B12274" t="s">
        <v>8791</v>
      </c>
      <c r="C12274" t="s">
        <v>8840</v>
      </c>
      <c r="D12274">
        <v>334660</v>
      </c>
      <c r="E12274" t="s">
        <v>14</v>
      </c>
      <c r="F12274">
        <v>49.646099999999997</v>
      </c>
      <c r="G12274">
        <v>31.082799999999999</v>
      </c>
      <c r="H12274">
        <v>2</v>
      </c>
      <c r="I12274">
        <v>153</v>
      </c>
      <c r="J12274" t="str">
        <f>HYPERLINK("https://climate.onebuilding.org/WMO_Region_6_Europe/UKR_Ukraine/KV_Kiev/UKR_KV_Myronivka.334660_TMYx.2009-2023.zip")</f>
        <v>https://climate.onebuilding.org/WMO_Region_6_Europe/UKR_Ukraine/KV_Kiev/UKR_KV_Myronivka.334660_TMYx.2009-2023.zip</v>
      </c>
    </row>
    <row r="12275" spans="1:10" x14ac:dyDescent="0.25">
      <c r="A12275" t="s">
        <v>8766</v>
      </c>
      <c r="B12275" t="s">
        <v>8791</v>
      </c>
      <c r="C12275" t="s">
        <v>8840</v>
      </c>
      <c r="D12275">
        <v>334660</v>
      </c>
      <c r="E12275" t="s">
        <v>14</v>
      </c>
      <c r="F12275">
        <v>49.646099999999997</v>
      </c>
      <c r="G12275">
        <v>31.082799999999999</v>
      </c>
      <c r="H12275">
        <v>2</v>
      </c>
      <c r="I12275">
        <v>153</v>
      </c>
      <c r="J12275" t="str">
        <f>HYPERLINK("https://climate.onebuilding.org/WMO_Region_6_Europe/UKR_Ukraine/KV_Kiev/UKR_KV_Myronivka.334660_TMYx.zip")</f>
        <v>https://climate.onebuilding.org/WMO_Region_6_Europe/UKR_Ukraine/KV_Kiev/UKR_KV_Myronivka.334660_TMYx.zip</v>
      </c>
    </row>
    <row r="12276" spans="1:10" x14ac:dyDescent="0.25">
      <c r="A12276" t="s">
        <v>8766</v>
      </c>
      <c r="B12276" t="s">
        <v>1209</v>
      </c>
      <c r="C12276" t="s">
        <v>8842</v>
      </c>
      <c r="D12276">
        <v>334840</v>
      </c>
      <c r="E12276" t="s">
        <v>14</v>
      </c>
      <c r="F12276">
        <v>49.667200000000001</v>
      </c>
      <c r="G12276">
        <v>32.017200000000003</v>
      </c>
      <c r="H12276">
        <v>2</v>
      </c>
      <c r="I12276">
        <v>96</v>
      </c>
      <c r="J12276" t="str">
        <f>HYPERLINK("https://climate.onebuilding.org/WMO_Region_6_Europe/UKR_Ukraine/CK_Cherkaska/UKR_CK_Zolotonosha.334840_TMYx.zip")</f>
        <v>https://climate.onebuilding.org/WMO_Region_6_Europe/UKR_Ukraine/CK_Cherkaska/UKR_CK_Zolotonosha.334840_TMYx.zip</v>
      </c>
    </row>
    <row r="12277" spans="1:10" x14ac:dyDescent="0.25">
      <c r="A12277" t="s">
        <v>8766</v>
      </c>
      <c r="B12277" t="s">
        <v>1209</v>
      </c>
      <c r="C12277" t="s">
        <v>8843</v>
      </c>
      <c r="D12277">
        <v>334870</v>
      </c>
      <c r="E12277" t="s">
        <v>14</v>
      </c>
      <c r="F12277">
        <v>49.409199999999998</v>
      </c>
      <c r="G12277">
        <v>32.003100000000003</v>
      </c>
      <c r="H12277">
        <v>2</v>
      </c>
      <c r="I12277">
        <v>107</v>
      </c>
      <c r="J12277" t="str">
        <f>HYPERLINK("https://climate.onebuilding.org/WMO_Region_6_Europe/UKR_Ukraine/CK_Cherkaska/UKR_CK_Cherkasy.AP.334870_TMYx.zip")</f>
        <v>https://climate.onebuilding.org/WMO_Region_6_Europe/UKR_Ukraine/CK_Cherkaska/UKR_CK_Cherkasy.AP.334870_TMYx.zip</v>
      </c>
    </row>
    <row r="12278" spans="1:10" x14ac:dyDescent="0.25">
      <c r="A12278" t="s">
        <v>8766</v>
      </c>
      <c r="B12278" t="s">
        <v>3033</v>
      </c>
      <c r="C12278" t="s">
        <v>8844</v>
      </c>
      <c r="D12278">
        <v>334950</v>
      </c>
      <c r="E12278" t="s">
        <v>14</v>
      </c>
      <c r="F12278">
        <v>49.614699999999999</v>
      </c>
      <c r="G12278">
        <v>33.251899999999999</v>
      </c>
      <c r="H12278">
        <v>2</v>
      </c>
      <c r="I12278">
        <v>96</v>
      </c>
      <c r="J12278" t="str">
        <f>HYPERLINK("https://climate.onebuilding.org/WMO_Region_6_Europe/UKR_Ukraine/PL_Poltavska/UKR_PL_Veselyi.Podil.334950_TMYx.2007-2021.zip")</f>
        <v>https://climate.onebuilding.org/WMO_Region_6_Europe/UKR_Ukraine/PL_Poltavska/UKR_PL_Veselyi.Podil.334950_TMYx.2007-2021.zip</v>
      </c>
    </row>
    <row r="12279" spans="1:10" x14ac:dyDescent="0.25">
      <c r="A12279" t="s">
        <v>8766</v>
      </c>
      <c r="B12279" t="s">
        <v>3033</v>
      </c>
      <c r="C12279" t="s">
        <v>8844</v>
      </c>
      <c r="D12279">
        <v>334950</v>
      </c>
      <c r="E12279" t="s">
        <v>14</v>
      </c>
      <c r="F12279">
        <v>49.614699999999999</v>
      </c>
      <c r="G12279">
        <v>33.251899999999999</v>
      </c>
      <c r="H12279">
        <v>2</v>
      </c>
      <c r="I12279">
        <v>96</v>
      </c>
      <c r="J12279" t="str">
        <f>HYPERLINK("https://climate.onebuilding.org/WMO_Region_6_Europe/UKR_Ukraine/PL_Poltavska/UKR_PL_Veselyi.Podil.334950_TMYx.2009-2023.zip")</f>
        <v>https://climate.onebuilding.org/WMO_Region_6_Europe/UKR_Ukraine/PL_Poltavska/UKR_PL_Veselyi.Podil.334950_TMYx.2009-2023.zip</v>
      </c>
    </row>
    <row r="12280" spans="1:10" x14ac:dyDescent="0.25">
      <c r="A12280" t="s">
        <v>8766</v>
      </c>
      <c r="B12280" t="s">
        <v>3033</v>
      </c>
      <c r="C12280" t="s">
        <v>8844</v>
      </c>
      <c r="D12280">
        <v>334950</v>
      </c>
      <c r="E12280" t="s">
        <v>14</v>
      </c>
      <c r="F12280">
        <v>49.614699999999999</v>
      </c>
      <c r="G12280">
        <v>33.251899999999999</v>
      </c>
      <c r="H12280">
        <v>2</v>
      </c>
      <c r="I12280">
        <v>96</v>
      </c>
      <c r="J12280" t="str">
        <f>HYPERLINK("https://climate.onebuilding.org/WMO_Region_6_Europe/UKR_Ukraine/PL_Poltavska/UKR_PL_Veselyi.Podil.334950_TMYx.zip")</f>
        <v>https://climate.onebuilding.org/WMO_Region_6_Europe/UKR_Ukraine/PL_Poltavska/UKR_PL_Veselyi.Podil.334950_TMYx.zip</v>
      </c>
    </row>
    <row r="12281" spans="1:10" x14ac:dyDescent="0.25">
      <c r="A12281" t="s">
        <v>8766</v>
      </c>
      <c r="B12281" t="s">
        <v>3033</v>
      </c>
      <c r="C12281" t="s">
        <v>8845</v>
      </c>
      <c r="D12281">
        <v>335060</v>
      </c>
      <c r="E12281" t="s">
        <v>8846</v>
      </c>
      <c r="F12281">
        <v>49.609400000000001</v>
      </c>
      <c r="G12281">
        <v>34.544699999999999</v>
      </c>
      <c r="H12281">
        <v>2</v>
      </c>
      <c r="I12281">
        <v>160</v>
      </c>
      <c r="J12281" t="str">
        <f>HYPERLINK("https://climate.onebuilding.org/WMO_Region_6_Europe/UKR_Ukraine/PL_Poltavska/UKR_PL_Poltava.335060_TMYx.2004-2018.zip")</f>
        <v>https://climate.onebuilding.org/WMO_Region_6_Europe/UKR_Ukraine/PL_Poltavska/UKR_PL_Poltava.335060_TMYx.2004-2018.zip</v>
      </c>
    </row>
    <row r="12282" spans="1:10" x14ac:dyDescent="0.25">
      <c r="A12282" t="s">
        <v>8766</v>
      </c>
      <c r="B12282" t="s">
        <v>3033</v>
      </c>
      <c r="C12282" t="s">
        <v>8845</v>
      </c>
      <c r="D12282">
        <v>335060</v>
      </c>
      <c r="E12282" t="s">
        <v>14</v>
      </c>
      <c r="F12282">
        <v>49.609400000000001</v>
      </c>
      <c r="G12282">
        <v>34.544699999999999</v>
      </c>
      <c r="H12282">
        <v>2</v>
      </c>
      <c r="I12282">
        <v>160</v>
      </c>
      <c r="J12282" t="str">
        <f>HYPERLINK("https://climate.onebuilding.org/WMO_Region_6_Europe/UKR_Ukraine/PL_Poltavska/UKR_PL_Poltava.335060_TMYx.2007-2021.zip")</f>
        <v>https://climate.onebuilding.org/WMO_Region_6_Europe/UKR_Ukraine/PL_Poltavska/UKR_PL_Poltava.335060_TMYx.2007-2021.zip</v>
      </c>
    </row>
    <row r="12283" spans="1:10" x14ac:dyDescent="0.25">
      <c r="A12283" t="s">
        <v>8766</v>
      </c>
      <c r="B12283" t="s">
        <v>3033</v>
      </c>
      <c r="C12283" t="s">
        <v>8845</v>
      </c>
      <c r="D12283">
        <v>335060</v>
      </c>
      <c r="E12283" t="s">
        <v>14</v>
      </c>
      <c r="F12283">
        <v>49.609400000000001</v>
      </c>
      <c r="G12283">
        <v>34.544699999999999</v>
      </c>
      <c r="H12283">
        <v>2</v>
      </c>
      <c r="I12283">
        <v>160</v>
      </c>
      <c r="J12283" t="str">
        <f>HYPERLINK("https://climate.onebuilding.org/WMO_Region_6_Europe/UKR_Ukraine/PL_Poltavska/UKR_PL_Poltava.335060_TMYx.2009-2023.zip")</f>
        <v>https://climate.onebuilding.org/WMO_Region_6_Europe/UKR_Ukraine/PL_Poltavska/UKR_PL_Poltava.335060_TMYx.2009-2023.zip</v>
      </c>
    </row>
    <row r="12284" spans="1:10" x14ac:dyDescent="0.25">
      <c r="A12284" t="s">
        <v>8766</v>
      </c>
      <c r="B12284" t="s">
        <v>3033</v>
      </c>
      <c r="C12284" t="s">
        <v>8845</v>
      </c>
      <c r="D12284">
        <v>335060</v>
      </c>
      <c r="E12284" t="s">
        <v>14</v>
      </c>
      <c r="F12284">
        <v>49.609400000000001</v>
      </c>
      <c r="G12284">
        <v>34.544699999999999</v>
      </c>
      <c r="H12284">
        <v>2</v>
      </c>
      <c r="I12284">
        <v>160</v>
      </c>
      <c r="J12284" t="str">
        <f>HYPERLINK("https://climate.onebuilding.org/WMO_Region_6_Europe/UKR_Ukraine/PL_Poltavska/UKR_PL_Poltava.335060_TMYx.zip")</f>
        <v>https://climate.onebuilding.org/WMO_Region_6_Europe/UKR_Ukraine/PL_Poltavska/UKR_PL_Poltava.335060_TMYx.zip</v>
      </c>
    </row>
    <row r="12285" spans="1:10" x14ac:dyDescent="0.25">
      <c r="A12285" t="s">
        <v>8766</v>
      </c>
      <c r="B12285" t="s">
        <v>489</v>
      </c>
      <c r="C12285" t="s">
        <v>8847</v>
      </c>
      <c r="D12285">
        <v>335110</v>
      </c>
      <c r="E12285" t="s">
        <v>14</v>
      </c>
      <c r="F12285">
        <v>49.15</v>
      </c>
      <c r="G12285">
        <v>23.033000000000001</v>
      </c>
      <c r="H12285">
        <v>2</v>
      </c>
      <c r="I12285">
        <v>594</v>
      </c>
      <c r="J12285" t="str">
        <f>HYPERLINK("https://climate.onebuilding.org/WMO_Region_6_Europe/UKR_Ukraine/LV_Lvivska/UKR_LV_Turka.335110_TMYx.2007-2021.zip")</f>
        <v>https://climate.onebuilding.org/WMO_Region_6_Europe/UKR_Ukraine/LV_Lvivska/UKR_LV_Turka.335110_TMYx.2007-2021.zip</v>
      </c>
    </row>
    <row r="12286" spans="1:10" x14ac:dyDescent="0.25">
      <c r="A12286" t="s">
        <v>8766</v>
      </c>
      <c r="B12286" t="s">
        <v>489</v>
      </c>
      <c r="C12286" t="s">
        <v>8847</v>
      </c>
      <c r="D12286">
        <v>335110</v>
      </c>
      <c r="E12286" t="s">
        <v>14</v>
      </c>
      <c r="F12286">
        <v>49.15</v>
      </c>
      <c r="G12286">
        <v>23.033000000000001</v>
      </c>
      <c r="H12286">
        <v>2</v>
      </c>
      <c r="I12286">
        <v>594</v>
      </c>
      <c r="J12286" t="str">
        <f>HYPERLINK("https://climate.onebuilding.org/WMO_Region_6_Europe/UKR_Ukraine/LV_Lvivska/UKR_LV_Turka.335110_TMYx.2009-2023.zip")</f>
        <v>https://climate.onebuilding.org/WMO_Region_6_Europe/UKR_Ukraine/LV_Lvivska/UKR_LV_Turka.335110_TMYx.2009-2023.zip</v>
      </c>
    </row>
    <row r="12287" spans="1:10" x14ac:dyDescent="0.25">
      <c r="A12287" t="s">
        <v>8766</v>
      </c>
      <c r="B12287" t="s">
        <v>489</v>
      </c>
      <c r="C12287" t="s">
        <v>8847</v>
      </c>
      <c r="D12287">
        <v>335110</v>
      </c>
      <c r="E12287" t="s">
        <v>14</v>
      </c>
      <c r="F12287">
        <v>49.15</v>
      </c>
      <c r="G12287">
        <v>23.033000000000001</v>
      </c>
      <c r="H12287">
        <v>2</v>
      </c>
      <c r="I12287">
        <v>594</v>
      </c>
      <c r="J12287" t="str">
        <f>HYPERLINK("https://climate.onebuilding.org/WMO_Region_6_Europe/UKR_Ukraine/LV_Lvivska/UKR_LV_Turka.335110_TMYx.zip")</f>
        <v>https://climate.onebuilding.org/WMO_Region_6_Europe/UKR_Ukraine/LV_Lvivska/UKR_LV_Turka.335110_TMYx.zip</v>
      </c>
    </row>
    <row r="12288" spans="1:10" x14ac:dyDescent="0.25">
      <c r="A12288" t="s">
        <v>8766</v>
      </c>
      <c r="B12288" t="s">
        <v>489</v>
      </c>
      <c r="C12288" t="s">
        <v>8848</v>
      </c>
      <c r="D12288">
        <v>335130</v>
      </c>
      <c r="E12288" t="s">
        <v>14</v>
      </c>
      <c r="F12288">
        <v>49.25</v>
      </c>
      <c r="G12288">
        <v>23.85</v>
      </c>
      <c r="H12288">
        <v>2</v>
      </c>
      <c r="I12288">
        <v>306</v>
      </c>
      <c r="J12288" t="str">
        <f>HYPERLINK("https://climate.onebuilding.org/WMO_Region_6_Europe/UKR_Ukraine/LV_Lvivska/UKR_LV_Stryi.335130_TMYx.zip")</f>
        <v>https://climate.onebuilding.org/WMO_Region_6_Europe/UKR_Ukraine/LV_Lvivska/UKR_LV_Stryi.335130_TMYx.zip</v>
      </c>
    </row>
    <row r="12289" spans="1:10" x14ac:dyDescent="0.25">
      <c r="A12289" t="s">
        <v>8766</v>
      </c>
      <c r="B12289" t="s">
        <v>1198</v>
      </c>
      <c r="C12289" t="s">
        <v>8849</v>
      </c>
      <c r="D12289">
        <v>335140</v>
      </c>
      <c r="E12289" t="s">
        <v>14</v>
      </c>
      <c r="F12289">
        <v>48.8919</v>
      </c>
      <c r="G12289">
        <v>22.455300000000001</v>
      </c>
      <c r="H12289">
        <v>2</v>
      </c>
      <c r="I12289">
        <v>204</v>
      </c>
      <c r="J12289" t="str">
        <f>HYPERLINK("https://climate.onebuilding.org/WMO_Region_6_Europe/UKR_Ukraine/ZK_Zakarpatska/UKR_ZK_Velykyi.Bereznyi.335140_TMYx.zip")</f>
        <v>https://climate.onebuilding.org/WMO_Region_6_Europe/UKR_Ukraine/ZK_Zakarpatska/UKR_ZK_Velykyi.Bereznyi.335140_TMYx.zip</v>
      </c>
    </row>
    <row r="12290" spans="1:10" x14ac:dyDescent="0.25">
      <c r="A12290" t="s">
        <v>8766</v>
      </c>
      <c r="B12290" t="s">
        <v>489</v>
      </c>
      <c r="C12290" t="s">
        <v>8850</v>
      </c>
      <c r="D12290">
        <v>335150</v>
      </c>
      <c r="E12290" t="s">
        <v>14</v>
      </c>
      <c r="F12290">
        <v>49.033000000000001</v>
      </c>
      <c r="G12290">
        <v>23.516999999999999</v>
      </c>
      <c r="H12290">
        <v>2</v>
      </c>
      <c r="I12290">
        <v>549</v>
      </c>
      <c r="J12290" t="str">
        <f>HYPERLINK("https://climate.onebuilding.org/WMO_Region_6_Europe/UKR_Ukraine/LV_Lvivska/UKR_LV_Skole.335150_TMYx.zip")</f>
        <v>https://climate.onebuilding.org/WMO_Region_6_Europe/UKR_Ukraine/LV_Lvivska/UKR_LV_Skole.335150_TMYx.zip</v>
      </c>
    </row>
    <row r="12291" spans="1:10" x14ac:dyDescent="0.25">
      <c r="A12291" t="s">
        <v>8766</v>
      </c>
      <c r="B12291" t="s">
        <v>489</v>
      </c>
      <c r="C12291" t="s">
        <v>8851</v>
      </c>
      <c r="D12291">
        <v>335160</v>
      </c>
      <c r="E12291" t="s">
        <v>14</v>
      </c>
      <c r="F12291">
        <v>48.85</v>
      </c>
      <c r="G12291">
        <v>23.45</v>
      </c>
      <c r="H12291">
        <v>2</v>
      </c>
      <c r="I12291">
        <v>592</v>
      </c>
      <c r="J12291" t="str">
        <f>HYPERLINK("https://climate.onebuilding.org/WMO_Region_6_Europe/UKR_Ukraine/LV_Lvivska/UKR_LV_Slavske.335160_TMYx.2007-2021.zip")</f>
        <v>https://climate.onebuilding.org/WMO_Region_6_Europe/UKR_Ukraine/LV_Lvivska/UKR_LV_Slavske.335160_TMYx.2007-2021.zip</v>
      </c>
    </row>
    <row r="12292" spans="1:10" x14ac:dyDescent="0.25">
      <c r="A12292" t="s">
        <v>8766</v>
      </c>
      <c r="B12292" t="s">
        <v>489</v>
      </c>
      <c r="C12292" t="s">
        <v>8851</v>
      </c>
      <c r="D12292">
        <v>335160</v>
      </c>
      <c r="E12292" t="s">
        <v>14</v>
      </c>
      <c r="F12292">
        <v>48.85</v>
      </c>
      <c r="G12292">
        <v>23.45</v>
      </c>
      <c r="H12292">
        <v>2</v>
      </c>
      <c r="I12292">
        <v>592</v>
      </c>
      <c r="J12292" t="str">
        <f>HYPERLINK("https://climate.onebuilding.org/WMO_Region_6_Europe/UKR_Ukraine/LV_Lvivska/UKR_LV_Slavske.335160_TMYx.2009-2023.zip")</f>
        <v>https://climate.onebuilding.org/WMO_Region_6_Europe/UKR_Ukraine/LV_Lvivska/UKR_LV_Slavske.335160_TMYx.2009-2023.zip</v>
      </c>
    </row>
    <row r="12293" spans="1:10" x14ac:dyDescent="0.25">
      <c r="A12293" t="s">
        <v>8766</v>
      </c>
      <c r="B12293" t="s">
        <v>489</v>
      </c>
      <c r="C12293" t="s">
        <v>8851</v>
      </c>
      <c r="D12293">
        <v>335160</v>
      </c>
      <c r="E12293" t="s">
        <v>14</v>
      </c>
      <c r="F12293">
        <v>48.85</v>
      </c>
      <c r="G12293">
        <v>23.45</v>
      </c>
      <c r="H12293">
        <v>2</v>
      </c>
      <c r="I12293">
        <v>592</v>
      </c>
      <c r="J12293" t="str">
        <f>HYPERLINK("https://climate.onebuilding.org/WMO_Region_6_Europe/UKR_Ukraine/LV_Lvivska/UKR_LV_Slavske.335160_TMYx.zip")</f>
        <v>https://climate.onebuilding.org/WMO_Region_6_Europe/UKR_Ukraine/LV_Lvivska/UKR_LV_Slavske.335160_TMYx.zip</v>
      </c>
    </row>
    <row r="12294" spans="1:10" x14ac:dyDescent="0.25">
      <c r="A12294" t="s">
        <v>8766</v>
      </c>
      <c r="B12294" t="s">
        <v>1198</v>
      </c>
      <c r="C12294" t="s">
        <v>8852</v>
      </c>
      <c r="D12294">
        <v>335170</v>
      </c>
      <c r="E12294" t="s">
        <v>14</v>
      </c>
      <c r="F12294">
        <v>48.732999999999997</v>
      </c>
      <c r="G12294">
        <v>22.466999999999999</v>
      </c>
      <c r="H12294">
        <v>2</v>
      </c>
      <c r="I12294">
        <v>198</v>
      </c>
      <c r="J12294" t="str">
        <f>HYPERLINK("https://climate.onebuilding.org/WMO_Region_6_Europe/UKR_Ukraine/ZK_Zakarpatska/UKR_ZK_Perechyn.335170_TMYx.zip")</f>
        <v>https://climate.onebuilding.org/WMO_Region_6_Europe/UKR_Ukraine/ZK_Zakarpatska/UKR_ZK_Perechyn.335170_TMYx.zip</v>
      </c>
    </row>
    <row r="12295" spans="1:10" x14ac:dyDescent="0.25">
      <c r="A12295" t="s">
        <v>8766</v>
      </c>
      <c r="B12295" t="s">
        <v>2950</v>
      </c>
      <c r="C12295" t="s">
        <v>8853</v>
      </c>
      <c r="D12295">
        <v>335240</v>
      </c>
      <c r="E12295" t="s">
        <v>14</v>
      </c>
      <c r="F12295">
        <v>49.017000000000003</v>
      </c>
      <c r="G12295">
        <v>24.367000000000001</v>
      </c>
      <c r="H12295">
        <v>2</v>
      </c>
      <c r="I12295">
        <v>285</v>
      </c>
      <c r="J12295" t="str">
        <f>HYPERLINK("https://climate.onebuilding.org/WMO_Region_6_Europe/UKR_Ukraine/IF_Ivano-Frankivska/UKR_IF_Kalush.335240_TMYx.zip")</f>
        <v>https://climate.onebuilding.org/WMO_Region_6_Europe/UKR_Ukraine/IF_Ivano-Frankivska/UKR_IF_Kalush.335240_TMYx.zip</v>
      </c>
    </row>
    <row r="12296" spans="1:10" x14ac:dyDescent="0.25">
      <c r="A12296" t="s">
        <v>8766</v>
      </c>
      <c r="B12296" t="s">
        <v>2950</v>
      </c>
      <c r="C12296" t="s">
        <v>8854</v>
      </c>
      <c r="D12296">
        <v>335260</v>
      </c>
      <c r="E12296" t="s">
        <v>8855</v>
      </c>
      <c r="F12296">
        <v>48.889200000000002</v>
      </c>
      <c r="G12296">
        <v>24.6892</v>
      </c>
      <c r="H12296">
        <v>2</v>
      </c>
      <c r="I12296">
        <v>280</v>
      </c>
      <c r="J12296" t="str">
        <f>HYPERLINK("https://climate.onebuilding.org/WMO_Region_6_Europe/UKR_Ukraine/IF_Ivano-Frankivska/UKR_IF_Ivano-Frankivsk.AP.335260_TMYx.2004-2018.zip")</f>
        <v>https://climate.onebuilding.org/WMO_Region_6_Europe/UKR_Ukraine/IF_Ivano-Frankivska/UKR_IF_Ivano-Frankivsk.AP.335260_TMYx.2004-2018.zip</v>
      </c>
    </row>
    <row r="12297" spans="1:10" x14ac:dyDescent="0.25">
      <c r="A12297" t="s">
        <v>8766</v>
      </c>
      <c r="B12297" t="s">
        <v>2950</v>
      </c>
      <c r="C12297" t="s">
        <v>8854</v>
      </c>
      <c r="D12297">
        <v>335260</v>
      </c>
      <c r="E12297" t="s">
        <v>14</v>
      </c>
      <c r="F12297">
        <v>48.889200000000002</v>
      </c>
      <c r="G12297">
        <v>24.6892</v>
      </c>
      <c r="H12297">
        <v>2</v>
      </c>
      <c r="I12297">
        <v>280</v>
      </c>
      <c r="J12297" t="str">
        <f>HYPERLINK("https://climate.onebuilding.org/WMO_Region_6_Europe/UKR_Ukraine/IF_Ivano-Frankivska/UKR_IF_Ivano-Frankivsk.AP.335260_TMYx.2007-2021.zip")</f>
        <v>https://climate.onebuilding.org/WMO_Region_6_Europe/UKR_Ukraine/IF_Ivano-Frankivska/UKR_IF_Ivano-Frankivsk.AP.335260_TMYx.2007-2021.zip</v>
      </c>
    </row>
    <row r="12298" spans="1:10" x14ac:dyDescent="0.25">
      <c r="A12298" t="s">
        <v>8766</v>
      </c>
      <c r="B12298" t="s">
        <v>2950</v>
      </c>
      <c r="C12298" t="s">
        <v>8854</v>
      </c>
      <c r="D12298">
        <v>335260</v>
      </c>
      <c r="E12298" t="s">
        <v>14</v>
      </c>
      <c r="F12298">
        <v>48.889200000000002</v>
      </c>
      <c r="G12298">
        <v>24.6892</v>
      </c>
      <c r="H12298">
        <v>2</v>
      </c>
      <c r="I12298">
        <v>280</v>
      </c>
      <c r="J12298" t="str">
        <f>HYPERLINK("https://climate.onebuilding.org/WMO_Region_6_Europe/UKR_Ukraine/IF_Ivano-Frankivska/UKR_IF_Ivano-Frankivsk.AP.335260_TMYx.2009-2023.zip")</f>
        <v>https://climate.onebuilding.org/WMO_Region_6_Europe/UKR_Ukraine/IF_Ivano-Frankivska/UKR_IF_Ivano-Frankivsk.AP.335260_TMYx.2009-2023.zip</v>
      </c>
    </row>
    <row r="12299" spans="1:10" x14ac:dyDescent="0.25">
      <c r="A12299" t="s">
        <v>8766</v>
      </c>
      <c r="B12299" t="s">
        <v>2950</v>
      </c>
      <c r="C12299" t="s">
        <v>8854</v>
      </c>
      <c r="D12299">
        <v>335260</v>
      </c>
      <c r="E12299" t="s">
        <v>14</v>
      </c>
      <c r="F12299">
        <v>48.889200000000002</v>
      </c>
      <c r="G12299">
        <v>24.6892</v>
      </c>
      <c r="H12299">
        <v>2</v>
      </c>
      <c r="I12299">
        <v>280</v>
      </c>
      <c r="J12299" t="str">
        <f>HYPERLINK("https://climate.onebuilding.org/WMO_Region_6_Europe/UKR_Ukraine/IF_Ivano-Frankivska/UKR_IF_Ivano-Frankivsk.AP.335260_TMYx.zip")</f>
        <v>https://climate.onebuilding.org/WMO_Region_6_Europe/UKR_Ukraine/IF_Ivano-Frankivska/UKR_IF_Ivano-Frankivsk.AP.335260_TMYx.zip</v>
      </c>
    </row>
    <row r="12300" spans="1:10" x14ac:dyDescent="0.25">
      <c r="A12300" t="s">
        <v>8766</v>
      </c>
      <c r="B12300" t="s">
        <v>8807</v>
      </c>
      <c r="C12300" t="s">
        <v>8856</v>
      </c>
      <c r="D12300">
        <v>335360</v>
      </c>
      <c r="E12300" t="s">
        <v>14</v>
      </c>
      <c r="F12300">
        <v>49.015000000000001</v>
      </c>
      <c r="G12300">
        <v>25.7697</v>
      </c>
      <c r="H12300">
        <v>2</v>
      </c>
      <c r="I12300">
        <v>318</v>
      </c>
      <c r="J12300" t="str">
        <f>HYPERLINK("https://climate.onebuilding.org/WMO_Region_6_Europe/UKR_Ukraine/TP_Ternopilska/UKR_TP_Chortkiv.335360_TMYx.2007-2021.zip")</f>
        <v>https://climate.onebuilding.org/WMO_Region_6_Europe/UKR_Ukraine/TP_Ternopilska/UKR_TP_Chortkiv.335360_TMYx.2007-2021.zip</v>
      </c>
    </row>
    <row r="12301" spans="1:10" x14ac:dyDescent="0.25">
      <c r="A12301" t="s">
        <v>8766</v>
      </c>
      <c r="B12301" t="s">
        <v>8807</v>
      </c>
      <c r="C12301" t="s">
        <v>8856</v>
      </c>
      <c r="D12301">
        <v>335360</v>
      </c>
      <c r="E12301" t="s">
        <v>14</v>
      </c>
      <c r="F12301">
        <v>49.015000000000001</v>
      </c>
      <c r="G12301">
        <v>25.7697</v>
      </c>
      <c r="H12301">
        <v>2</v>
      </c>
      <c r="I12301">
        <v>318</v>
      </c>
      <c r="J12301" t="str">
        <f>HYPERLINK("https://climate.onebuilding.org/WMO_Region_6_Europe/UKR_Ukraine/TP_Ternopilska/UKR_TP_Chortkiv.335360_TMYx.2009-2023.zip")</f>
        <v>https://climate.onebuilding.org/WMO_Region_6_Europe/UKR_Ukraine/TP_Ternopilska/UKR_TP_Chortkiv.335360_TMYx.2009-2023.zip</v>
      </c>
    </row>
    <row r="12302" spans="1:10" x14ac:dyDescent="0.25">
      <c r="A12302" t="s">
        <v>8766</v>
      </c>
      <c r="B12302" t="s">
        <v>8807</v>
      </c>
      <c r="C12302" t="s">
        <v>8856</v>
      </c>
      <c r="D12302">
        <v>335360</v>
      </c>
      <c r="E12302" t="s">
        <v>14</v>
      </c>
      <c r="F12302">
        <v>49.015000000000001</v>
      </c>
      <c r="G12302">
        <v>25.7697</v>
      </c>
      <c r="H12302">
        <v>2</v>
      </c>
      <c r="I12302">
        <v>318</v>
      </c>
      <c r="J12302" t="str">
        <f>HYPERLINK("https://climate.onebuilding.org/WMO_Region_6_Europe/UKR_Ukraine/TP_Ternopilska/UKR_TP_Chortkiv.335360_TMYx.zip")</f>
        <v>https://climate.onebuilding.org/WMO_Region_6_Europe/UKR_Ukraine/TP_Ternopilska/UKR_TP_Chortkiv.335360_TMYx.zip</v>
      </c>
    </row>
    <row r="12303" spans="1:10" x14ac:dyDescent="0.25">
      <c r="A12303" t="s">
        <v>8766</v>
      </c>
      <c r="B12303" t="s">
        <v>19</v>
      </c>
      <c r="C12303" t="s">
        <v>8857</v>
      </c>
      <c r="D12303">
        <v>335480</v>
      </c>
      <c r="E12303" t="s">
        <v>14</v>
      </c>
      <c r="F12303">
        <v>48.693100000000001</v>
      </c>
      <c r="G12303">
        <v>26.6081</v>
      </c>
      <c r="H12303">
        <v>2</v>
      </c>
      <c r="I12303">
        <v>222</v>
      </c>
      <c r="J12303" t="str">
        <f>HYPERLINK("https://climate.onebuilding.org/WMO_Region_6_Europe/UKR_Ukraine/KM_Khmelnytska/UKR_KM_Kamyanets-Podilskyi.335480_TMYx.2007-2021.zip")</f>
        <v>https://climate.onebuilding.org/WMO_Region_6_Europe/UKR_Ukraine/KM_Khmelnytska/UKR_KM_Kamyanets-Podilskyi.335480_TMYx.2007-2021.zip</v>
      </c>
    </row>
    <row r="12304" spans="1:10" x14ac:dyDescent="0.25">
      <c r="A12304" t="s">
        <v>8766</v>
      </c>
      <c r="B12304" t="s">
        <v>19</v>
      </c>
      <c r="C12304" t="s">
        <v>8857</v>
      </c>
      <c r="D12304">
        <v>335480</v>
      </c>
      <c r="E12304" t="s">
        <v>14</v>
      </c>
      <c r="F12304">
        <v>48.693100000000001</v>
      </c>
      <c r="G12304">
        <v>26.6081</v>
      </c>
      <c r="H12304">
        <v>2</v>
      </c>
      <c r="I12304">
        <v>222</v>
      </c>
      <c r="J12304" t="str">
        <f>HYPERLINK("https://climate.onebuilding.org/WMO_Region_6_Europe/UKR_Ukraine/KM_Khmelnytska/UKR_KM_Kamyanets-Podilskyi.335480_TMYx.2009-2023.zip")</f>
        <v>https://climate.onebuilding.org/WMO_Region_6_Europe/UKR_Ukraine/KM_Khmelnytska/UKR_KM_Kamyanets-Podilskyi.335480_TMYx.2009-2023.zip</v>
      </c>
    </row>
    <row r="12305" spans="1:10" x14ac:dyDescent="0.25">
      <c r="A12305" t="s">
        <v>8766</v>
      </c>
      <c r="B12305" t="s">
        <v>19</v>
      </c>
      <c r="C12305" t="s">
        <v>8857</v>
      </c>
      <c r="D12305">
        <v>335480</v>
      </c>
      <c r="E12305" t="s">
        <v>14</v>
      </c>
      <c r="F12305">
        <v>48.693100000000001</v>
      </c>
      <c r="G12305">
        <v>26.6081</v>
      </c>
      <c r="H12305">
        <v>2</v>
      </c>
      <c r="I12305">
        <v>222</v>
      </c>
      <c r="J12305" t="str">
        <f>HYPERLINK("https://climate.onebuilding.org/WMO_Region_6_Europe/UKR_Ukraine/KM_Khmelnytska/UKR_KM_Kamyanets-Podilskyi.335480_TMYx.zip")</f>
        <v>https://climate.onebuilding.org/WMO_Region_6_Europe/UKR_Ukraine/KM_Khmelnytska/UKR_KM_Kamyanets-Podilskyi.335480_TMYx.zip</v>
      </c>
    </row>
    <row r="12306" spans="1:10" x14ac:dyDescent="0.25">
      <c r="A12306" t="s">
        <v>8766</v>
      </c>
      <c r="B12306" t="s">
        <v>19</v>
      </c>
      <c r="C12306" t="s">
        <v>8858</v>
      </c>
      <c r="D12306">
        <v>335570</v>
      </c>
      <c r="E12306" t="s">
        <v>14</v>
      </c>
      <c r="F12306">
        <v>48.8431</v>
      </c>
      <c r="G12306">
        <v>27.2608</v>
      </c>
      <c r="H12306">
        <v>2</v>
      </c>
      <c r="I12306">
        <v>290</v>
      </c>
      <c r="J12306" t="str">
        <f>HYPERLINK("https://climate.onebuilding.org/WMO_Region_6_Europe/UKR_Ukraine/KM_Khmelnytska/UKR_KM_Nova.Ushytsya.335570_TMYx.2007-2021.zip")</f>
        <v>https://climate.onebuilding.org/WMO_Region_6_Europe/UKR_Ukraine/KM_Khmelnytska/UKR_KM_Nova.Ushytsya.335570_TMYx.2007-2021.zip</v>
      </c>
    </row>
    <row r="12307" spans="1:10" x14ac:dyDescent="0.25">
      <c r="A12307" t="s">
        <v>8766</v>
      </c>
      <c r="B12307" t="s">
        <v>19</v>
      </c>
      <c r="C12307" t="s">
        <v>8858</v>
      </c>
      <c r="D12307">
        <v>335570</v>
      </c>
      <c r="E12307" t="s">
        <v>14</v>
      </c>
      <c r="F12307">
        <v>48.8431</v>
      </c>
      <c r="G12307">
        <v>27.2608</v>
      </c>
      <c r="H12307">
        <v>2</v>
      </c>
      <c r="I12307">
        <v>290</v>
      </c>
      <c r="J12307" t="str">
        <f>HYPERLINK("https://climate.onebuilding.org/WMO_Region_6_Europe/UKR_Ukraine/KM_Khmelnytska/UKR_KM_Nova.Ushytsya.335570_TMYx.2009-2023.zip")</f>
        <v>https://climate.onebuilding.org/WMO_Region_6_Europe/UKR_Ukraine/KM_Khmelnytska/UKR_KM_Nova.Ushytsya.335570_TMYx.2009-2023.zip</v>
      </c>
    </row>
    <row r="12308" spans="1:10" x14ac:dyDescent="0.25">
      <c r="A12308" t="s">
        <v>8766</v>
      </c>
      <c r="B12308" t="s">
        <v>19</v>
      </c>
      <c r="C12308" t="s">
        <v>8858</v>
      </c>
      <c r="D12308">
        <v>335570</v>
      </c>
      <c r="E12308" t="s">
        <v>14</v>
      </c>
      <c r="F12308">
        <v>48.8431</v>
      </c>
      <c r="G12308">
        <v>27.2608</v>
      </c>
      <c r="H12308">
        <v>2</v>
      </c>
      <c r="I12308">
        <v>290</v>
      </c>
      <c r="J12308" t="str">
        <f>HYPERLINK("https://climate.onebuilding.org/WMO_Region_6_Europe/UKR_Ukraine/KM_Khmelnytska/UKR_KM_Nova.Ushytsya.335570_TMYx.zip")</f>
        <v>https://climate.onebuilding.org/WMO_Region_6_Europe/UKR_Ukraine/KM_Khmelnytska/UKR_KM_Nova.Ushytsya.335570_TMYx.zip</v>
      </c>
    </row>
    <row r="12309" spans="1:10" x14ac:dyDescent="0.25">
      <c r="A12309" t="s">
        <v>8766</v>
      </c>
      <c r="B12309" t="s">
        <v>615</v>
      </c>
      <c r="C12309" t="s">
        <v>8859</v>
      </c>
      <c r="D12309">
        <v>335620</v>
      </c>
      <c r="E12309" t="s">
        <v>8860</v>
      </c>
      <c r="F12309">
        <v>49.247799999999998</v>
      </c>
      <c r="G12309">
        <v>28.604199999999999</v>
      </c>
      <c r="H12309">
        <v>2</v>
      </c>
      <c r="I12309">
        <v>298</v>
      </c>
      <c r="J12309" t="str">
        <f>HYPERLINK("https://climate.onebuilding.org/WMO_Region_6_Europe/UKR_Ukraine/VI_Vinnytska/UKR_VI_Vinnytsia.AP.335620_TMYx.2004-2018.zip")</f>
        <v>https://climate.onebuilding.org/WMO_Region_6_Europe/UKR_Ukraine/VI_Vinnytska/UKR_VI_Vinnytsia.AP.335620_TMYx.2004-2018.zip</v>
      </c>
    </row>
    <row r="12310" spans="1:10" x14ac:dyDescent="0.25">
      <c r="A12310" t="s">
        <v>8766</v>
      </c>
      <c r="B12310" t="s">
        <v>615</v>
      </c>
      <c r="C12310" t="s">
        <v>8859</v>
      </c>
      <c r="D12310">
        <v>335620</v>
      </c>
      <c r="E12310" t="s">
        <v>14</v>
      </c>
      <c r="F12310">
        <v>49.247799999999998</v>
      </c>
      <c r="G12310">
        <v>28.604199999999999</v>
      </c>
      <c r="H12310">
        <v>2</v>
      </c>
      <c r="I12310">
        <v>298</v>
      </c>
      <c r="J12310" t="str">
        <f>HYPERLINK("https://climate.onebuilding.org/WMO_Region_6_Europe/UKR_Ukraine/VI_Vinnytska/UKR_VI_Vinnytsia.AP.335620_TMYx.2007-2021.zip")</f>
        <v>https://climate.onebuilding.org/WMO_Region_6_Europe/UKR_Ukraine/VI_Vinnytska/UKR_VI_Vinnytsia.AP.335620_TMYx.2007-2021.zip</v>
      </c>
    </row>
    <row r="12311" spans="1:10" x14ac:dyDescent="0.25">
      <c r="A12311" t="s">
        <v>8766</v>
      </c>
      <c r="B12311" t="s">
        <v>615</v>
      </c>
      <c r="C12311" t="s">
        <v>8859</v>
      </c>
      <c r="D12311">
        <v>335620</v>
      </c>
      <c r="E12311" t="s">
        <v>14</v>
      </c>
      <c r="F12311">
        <v>49.247799999999998</v>
      </c>
      <c r="G12311">
        <v>28.604199999999999</v>
      </c>
      <c r="H12311">
        <v>2</v>
      </c>
      <c r="I12311">
        <v>298</v>
      </c>
      <c r="J12311" t="str">
        <f>HYPERLINK("https://climate.onebuilding.org/WMO_Region_6_Europe/UKR_Ukraine/VI_Vinnytska/UKR_VI_Vinnytsia.AP.335620_TMYx.2009-2023.zip")</f>
        <v>https://climate.onebuilding.org/WMO_Region_6_Europe/UKR_Ukraine/VI_Vinnytska/UKR_VI_Vinnytsia.AP.335620_TMYx.2009-2023.zip</v>
      </c>
    </row>
    <row r="12312" spans="1:10" x14ac:dyDescent="0.25">
      <c r="A12312" t="s">
        <v>8766</v>
      </c>
      <c r="B12312" t="s">
        <v>615</v>
      </c>
      <c r="C12312" t="s">
        <v>8859</v>
      </c>
      <c r="D12312">
        <v>335620</v>
      </c>
      <c r="E12312" t="s">
        <v>14</v>
      </c>
      <c r="F12312">
        <v>49.247799999999998</v>
      </c>
      <c r="G12312">
        <v>28.604199999999999</v>
      </c>
      <c r="H12312">
        <v>2</v>
      </c>
      <c r="I12312">
        <v>298</v>
      </c>
      <c r="J12312" t="str">
        <f>HYPERLINK("https://climate.onebuilding.org/WMO_Region_6_Europe/UKR_Ukraine/VI_Vinnytska/UKR_VI_Vinnytsia.AP.335620_TMYx.zip")</f>
        <v>https://climate.onebuilding.org/WMO_Region_6_Europe/UKR_Ukraine/VI_Vinnytska/UKR_VI_Vinnytsia.AP.335620_TMYx.zip</v>
      </c>
    </row>
    <row r="12313" spans="1:10" x14ac:dyDescent="0.25">
      <c r="A12313" t="s">
        <v>8766</v>
      </c>
      <c r="B12313" t="s">
        <v>615</v>
      </c>
      <c r="C12313" t="s">
        <v>8861</v>
      </c>
      <c r="D12313">
        <v>335640</v>
      </c>
      <c r="E12313" t="s">
        <v>14</v>
      </c>
      <c r="F12313">
        <v>49.017000000000003</v>
      </c>
      <c r="G12313">
        <v>28.132999999999999</v>
      </c>
      <c r="H12313">
        <v>2</v>
      </c>
      <c r="I12313">
        <v>313</v>
      </c>
      <c r="J12313" t="str">
        <f>HYPERLINK("https://climate.onebuilding.org/WMO_Region_6_Europe/UKR_Ukraine/VI_Vinnytska/UKR_VI_Zhmerynka.335640_TMYx.2007-2021.zip")</f>
        <v>https://climate.onebuilding.org/WMO_Region_6_Europe/UKR_Ukraine/VI_Vinnytska/UKR_VI_Zhmerynka.335640_TMYx.2007-2021.zip</v>
      </c>
    </row>
    <row r="12314" spans="1:10" x14ac:dyDescent="0.25">
      <c r="A12314" t="s">
        <v>8766</v>
      </c>
      <c r="B12314" t="s">
        <v>615</v>
      </c>
      <c r="C12314" t="s">
        <v>8861</v>
      </c>
      <c r="D12314">
        <v>335640</v>
      </c>
      <c r="E12314" t="s">
        <v>14</v>
      </c>
      <c r="F12314">
        <v>49.017000000000003</v>
      </c>
      <c r="G12314">
        <v>28.132999999999999</v>
      </c>
      <c r="H12314">
        <v>2</v>
      </c>
      <c r="I12314">
        <v>313</v>
      </c>
      <c r="J12314" t="str">
        <f>HYPERLINK("https://climate.onebuilding.org/WMO_Region_6_Europe/UKR_Ukraine/VI_Vinnytska/UKR_VI_Zhmerynka.335640_TMYx.2009-2023.zip")</f>
        <v>https://climate.onebuilding.org/WMO_Region_6_Europe/UKR_Ukraine/VI_Vinnytska/UKR_VI_Zhmerynka.335640_TMYx.2009-2023.zip</v>
      </c>
    </row>
    <row r="12315" spans="1:10" x14ac:dyDescent="0.25">
      <c r="A12315" t="s">
        <v>8766</v>
      </c>
      <c r="B12315" t="s">
        <v>615</v>
      </c>
      <c r="C12315" t="s">
        <v>8861</v>
      </c>
      <c r="D12315">
        <v>335640</v>
      </c>
      <c r="E12315" t="s">
        <v>14</v>
      </c>
      <c r="F12315">
        <v>49.017000000000003</v>
      </c>
      <c r="G12315">
        <v>28.132999999999999</v>
      </c>
      <c r="H12315">
        <v>2</v>
      </c>
      <c r="I12315">
        <v>313</v>
      </c>
      <c r="J12315" t="str">
        <f>HYPERLINK("https://climate.onebuilding.org/WMO_Region_6_Europe/UKR_Ukraine/VI_Vinnytska/UKR_VI_Zhmerynka.335640_TMYx.zip")</f>
        <v>https://climate.onebuilding.org/WMO_Region_6_Europe/UKR_Ukraine/VI_Vinnytska/UKR_VI_Zhmerynka.335640_TMYx.zip</v>
      </c>
    </row>
    <row r="12316" spans="1:10" x14ac:dyDescent="0.25">
      <c r="A12316" t="s">
        <v>8766</v>
      </c>
      <c r="B12316" t="s">
        <v>615</v>
      </c>
      <c r="C12316" t="s">
        <v>8862</v>
      </c>
      <c r="D12316">
        <v>335710</v>
      </c>
      <c r="E12316" t="s">
        <v>14</v>
      </c>
      <c r="F12316">
        <v>49.25</v>
      </c>
      <c r="G12316">
        <v>29.233000000000001</v>
      </c>
      <c r="H12316">
        <v>2</v>
      </c>
      <c r="I12316">
        <v>299</v>
      </c>
      <c r="J12316" t="str">
        <f>HYPERLINK("https://climate.onebuilding.org/WMO_Region_6_Europe/UKR_Ukraine/VI_Vinnytska/UKR_VI_Lypovets.335710_TMYx.zip")</f>
        <v>https://climate.onebuilding.org/WMO_Region_6_Europe/UKR_Ukraine/VI_Vinnytska/UKR_VI_Lypovets.335710_TMYx.zip</v>
      </c>
    </row>
    <row r="12317" spans="1:10" x14ac:dyDescent="0.25">
      <c r="A12317" t="s">
        <v>8766</v>
      </c>
      <c r="B12317" t="s">
        <v>615</v>
      </c>
      <c r="C12317" t="s">
        <v>8863</v>
      </c>
      <c r="D12317">
        <v>335770</v>
      </c>
      <c r="E12317" t="s">
        <v>14</v>
      </c>
      <c r="F12317">
        <v>48.8003</v>
      </c>
      <c r="G12317">
        <v>29.395600000000002</v>
      </c>
      <c r="H12317">
        <v>2</v>
      </c>
      <c r="I12317">
        <v>211</v>
      </c>
      <c r="J12317" t="str">
        <f>HYPERLINK("https://climate.onebuilding.org/WMO_Region_6_Europe/UKR_Ukraine/VI_Vinnytska/UKR_VI_Haisyn.335770_TMYx.2007-2021.zip")</f>
        <v>https://climate.onebuilding.org/WMO_Region_6_Europe/UKR_Ukraine/VI_Vinnytska/UKR_VI_Haisyn.335770_TMYx.2007-2021.zip</v>
      </c>
    </row>
    <row r="12318" spans="1:10" x14ac:dyDescent="0.25">
      <c r="A12318" t="s">
        <v>8766</v>
      </c>
      <c r="B12318" t="s">
        <v>615</v>
      </c>
      <c r="C12318" t="s">
        <v>8863</v>
      </c>
      <c r="D12318">
        <v>335770</v>
      </c>
      <c r="E12318" t="s">
        <v>14</v>
      </c>
      <c r="F12318">
        <v>48.8003</v>
      </c>
      <c r="G12318">
        <v>29.395600000000002</v>
      </c>
      <c r="H12318">
        <v>2</v>
      </c>
      <c r="I12318">
        <v>211</v>
      </c>
      <c r="J12318" t="str">
        <f>HYPERLINK("https://climate.onebuilding.org/WMO_Region_6_Europe/UKR_Ukraine/VI_Vinnytska/UKR_VI_Haisyn.335770_TMYx.2009-2023.zip")</f>
        <v>https://climate.onebuilding.org/WMO_Region_6_Europe/UKR_Ukraine/VI_Vinnytska/UKR_VI_Haisyn.335770_TMYx.2009-2023.zip</v>
      </c>
    </row>
    <row r="12319" spans="1:10" x14ac:dyDescent="0.25">
      <c r="A12319" t="s">
        <v>8766</v>
      </c>
      <c r="B12319" t="s">
        <v>615</v>
      </c>
      <c r="C12319" t="s">
        <v>8863</v>
      </c>
      <c r="D12319">
        <v>335770</v>
      </c>
      <c r="E12319" t="s">
        <v>14</v>
      </c>
      <c r="F12319">
        <v>48.8003</v>
      </c>
      <c r="G12319">
        <v>29.395600000000002</v>
      </c>
      <c r="H12319">
        <v>2</v>
      </c>
      <c r="I12319">
        <v>211</v>
      </c>
      <c r="J12319" t="str">
        <f>HYPERLINK("https://climate.onebuilding.org/WMO_Region_6_Europe/UKR_Ukraine/VI_Vinnytska/UKR_VI_Haisyn.335770_TMYx.zip")</f>
        <v>https://climate.onebuilding.org/WMO_Region_6_Europe/UKR_Ukraine/VI_Vinnytska/UKR_VI_Haisyn.335770_TMYx.zip</v>
      </c>
    </row>
    <row r="12320" spans="1:10" x14ac:dyDescent="0.25">
      <c r="A12320" t="s">
        <v>8766</v>
      </c>
      <c r="B12320" t="s">
        <v>1209</v>
      </c>
      <c r="C12320" t="s">
        <v>8864</v>
      </c>
      <c r="D12320">
        <v>335810</v>
      </c>
      <c r="E12320" t="s">
        <v>14</v>
      </c>
      <c r="F12320">
        <v>49.232999999999997</v>
      </c>
      <c r="G12320">
        <v>30.1</v>
      </c>
      <c r="H12320">
        <v>2</v>
      </c>
      <c r="I12320">
        <v>235</v>
      </c>
      <c r="J12320" t="str">
        <f>HYPERLINK("https://climate.onebuilding.org/WMO_Region_6_Europe/UKR_Ukraine/CK_Cherkaska/UKR_CK_Zhashkiv.335810_TMYx.2007-2021.zip")</f>
        <v>https://climate.onebuilding.org/WMO_Region_6_Europe/UKR_Ukraine/CK_Cherkaska/UKR_CK_Zhashkiv.335810_TMYx.2007-2021.zip</v>
      </c>
    </row>
    <row r="12321" spans="1:10" x14ac:dyDescent="0.25">
      <c r="A12321" t="s">
        <v>8766</v>
      </c>
      <c r="B12321" t="s">
        <v>1209</v>
      </c>
      <c r="C12321" t="s">
        <v>8864</v>
      </c>
      <c r="D12321">
        <v>335810</v>
      </c>
      <c r="E12321" t="s">
        <v>14</v>
      </c>
      <c r="F12321">
        <v>49.232999999999997</v>
      </c>
      <c r="G12321">
        <v>30.1</v>
      </c>
      <c r="H12321">
        <v>2</v>
      </c>
      <c r="I12321">
        <v>235</v>
      </c>
      <c r="J12321" t="str">
        <f>HYPERLINK("https://climate.onebuilding.org/WMO_Region_6_Europe/UKR_Ukraine/CK_Cherkaska/UKR_CK_Zhashkiv.335810_TMYx.2009-2023.zip")</f>
        <v>https://climate.onebuilding.org/WMO_Region_6_Europe/UKR_Ukraine/CK_Cherkaska/UKR_CK_Zhashkiv.335810_TMYx.2009-2023.zip</v>
      </c>
    </row>
    <row r="12322" spans="1:10" x14ac:dyDescent="0.25">
      <c r="A12322" t="s">
        <v>8766</v>
      </c>
      <c r="B12322" t="s">
        <v>1209</v>
      </c>
      <c r="C12322" t="s">
        <v>8864</v>
      </c>
      <c r="D12322">
        <v>335810</v>
      </c>
      <c r="E12322" t="s">
        <v>14</v>
      </c>
      <c r="F12322">
        <v>49.232999999999997</v>
      </c>
      <c r="G12322">
        <v>30.1</v>
      </c>
      <c r="H12322">
        <v>2</v>
      </c>
      <c r="I12322">
        <v>235</v>
      </c>
      <c r="J12322" t="str">
        <f>HYPERLINK("https://climate.onebuilding.org/WMO_Region_6_Europe/UKR_Ukraine/CK_Cherkaska/UKR_CK_Zhashkiv.335810_TMYx.zip")</f>
        <v>https://climate.onebuilding.org/WMO_Region_6_Europe/UKR_Ukraine/CK_Cherkaska/UKR_CK_Zhashkiv.335810_TMYx.zip</v>
      </c>
    </row>
    <row r="12323" spans="1:10" x14ac:dyDescent="0.25">
      <c r="A12323" t="s">
        <v>8766</v>
      </c>
      <c r="B12323" t="s">
        <v>1209</v>
      </c>
      <c r="C12323" t="s">
        <v>8865</v>
      </c>
      <c r="D12323">
        <v>335860</v>
      </c>
      <c r="E12323" t="s">
        <v>14</v>
      </c>
      <c r="F12323">
        <v>49.0822</v>
      </c>
      <c r="G12323">
        <v>30.892800000000001</v>
      </c>
      <c r="H12323">
        <v>2</v>
      </c>
      <c r="I12323">
        <v>215</v>
      </c>
      <c r="J12323" t="str">
        <f>HYPERLINK("https://climate.onebuilding.org/WMO_Region_6_Europe/UKR_Ukraine/CK_Cherkaska/UKR_CK_Zvenihorodka.335860_TMYx.2007-2021.zip")</f>
        <v>https://climate.onebuilding.org/WMO_Region_6_Europe/UKR_Ukraine/CK_Cherkaska/UKR_CK_Zvenihorodka.335860_TMYx.2007-2021.zip</v>
      </c>
    </row>
    <row r="12324" spans="1:10" x14ac:dyDescent="0.25">
      <c r="A12324" t="s">
        <v>8766</v>
      </c>
      <c r="B12324" t="s">
        <v>1209</v>
      </c>
      <c r="C12324" t="s">
        <v>8865</v>
      </c>
      <c r="D12324">
        <v>335860</v>
      </c>
      <c r="E12324" t="s">
        <v>14</v>
      </c>
      <c r="F12324">
        <v>49.0822</v>
      </c>
      <c r="G12324">
        <v>30.892800000000001</v>
      </c>
      <c r="H12324">
        <v>2</v>
      </c>
      <c r="I12324">
        <v>215</v>
      </c>
      <c r="J12324" t="str">
        <f>HYPERLINK("https://climate.onebuilding.org/WMO_Region_6_Europe/UKR_Ukraine/CK_Cherkaska/UKR_CK_Zvenihorodka.335860_TMYx.2009-2023.zip")</f>
        <v>https://climate.onebuilding.org/WMO_Region_6_Europe/UKR_Ukraine/CK_Cherkaska/UKR_CK_Zvenihorodka.335860_TMYx.2009-2023.zip</v>
      </c>
    </row>
    <row r="12325" spans="1:10" x14ac:dyDescent="0.25">
      <c r="A12325" t="s">
        <v>8766</v>
      </c>
      <c r="B12325" t="s">
        <v>1209</v>
      </c>
      <c r="C12325" t="s">
        <v>8865</v>
      </c>
      <c r="D12325">
        <v>335860</v>
      </c>
      <c r="E12325" t="s">
        <v>14</v>
      </c>
      <c r="F12325">
        <v>49.0822</v>
      </c>
      <c r="G12325">
        <v>30.892800000000001</v>
      </c>
      <c r="H12325">
        <v>2</v>
      </c>
      <c r="I12325">
        <v>215</v>
      </c>
      <c r="J12325" t="str">
        <f>HYPERLINK("https://climate.onebuilding.org/WMO_Region_6_Europe/UKR_Ukraine/CK_Cherkaska/UKR_CK_Zvenihorodka.335860_TMYx.zip")</f>
        <v>https://climate.onebuilding.org/WMO_Region_6_Europe/UKR_Ukraine/CK_Cherkaska/UKR_CK_Zvenihorodka.335860_TMYx.zip</v>
      </c>
    </row>
    <row r="12326" spans="1:10" x14ac:dyDescent="0.25">
      <c r="A12326" t="s">
        <v>8766</v>
      </c>
      <c r="B12326" t="s">
        <v>1209</v>
      </c>
      <c r="C12326" t="s">
        <v>8866</v>
      </c>
      <c r="D12326">
        <v>335870</v>
      </c>
      <c r="E12326" t="s">
        <v>8867</v>
      </c>
      <c r="F12326">
        <v>48.7669</v>
      </c>
      <c r="G12326">
        <v>30.232800000000001</v>
      </c>
      <c r="H12326">
        <v>2</v>
      </c>
      <c r="I12326">
        <v>216</v>
      </c>
      <c r="J12326" t="str">
        <f>HYPERLINK("https://climate.onebuilding.org/WMO_Region_6_Europe/UKR_Ukraine/CK_Cherkaska/UKR_CK_Uman.335870_TMYx.2004-2018.zip")</f>
        <v>https://climate.onebuilding.org/WMO_Region_6_Europe/UKR_Ukraine/CK_Cherkaska/UKR_CK_Uman.335870_TMYx.2004-2018.zip</v>
      </c>
    </row>
    <row r="12327" spans="1:10" x14ac:dyDescent="0.25">
      <c r="A12327" t="s">
        <v>8766</v>
      </c>
      <c r="B12327" t="s">
        <v>1209</v>
      </c>
      <c r="C12327" t="s">
        <v>8866</v>
      </c>
      <c r="D12327">
        <v>335870</v>
      </c>
      <c r="E12327" t="s">
        <v>14</v>
      </c>
      <c r="F12327">
        <v>48.7669</v>
      </c>
      <c r="G12327">
        <v>30.232800000000001</v>
      </c>
      <c r="H12327">
        <v>2</v>
      </c>
      <c r="I12327">
        <v>216</v>
      </c>
      <c r="J12327" t="str">
        <f>HYPERLINK("https://climate.onebuilding.org/WMO_Region_6_Europe/UKR_Ukraine/CK_Cherkaska/UKR_CK_Uman.335870_TMYx.2007-2021.zip")</f>
        <v>https://climate.onebuilding.org/WMO_Region_6_Europe/UKR_Ukraine/CK_Cherkaska/UKR_CK_Uman.335870_TMYx.2007-2021.zip</v>
      </c>
    </row>
    <row r="12328" spans="1:10" x14ac:dyDescent="0.25">
      <c r="A12328" t="s">
        <v>8766</v>
      </c>
      <c r="B12328" t="s">
        <v>1209</v>
      </c>
      <c r="C12328" t="s">
        <v>8866</v>
      </c>
      <c r="D12328">
        <v>335870</v>
      </c>
      <c r="E12328" t="s">
        <v>14</v>
      </c>
      <c r="F12328">
        <v>48.7669</v>
      </c>
      <c r="G12328">
        <v>30.232800000000001</v>
      </c>
      <c r="H12328">
        <v>2</v>
      </c>
      <c r="I12328">
        <v>216</v>
      </c>
      <c r="J12328" t="str">
        <f>HYPERLINK("https://climate.onebuilding.org/WMO_Region_6_Europe/UKR_Ukraine/CK_Cherkaska/UKR_CK_Uman.335870_TMYx.2009-2023.zip")</f>
        <v>https://climate.onebuilding.org/WMO_Region_6_Europe/UKR_Ukraine/CK_Cherkaska/UKR_CK_Uman.335870_TMYx.2009-2023.zip</v>
      </c>
    </row>
    <row r="12329" spans="1:10" x14ac:dyDescent="0.25">
      <c r="A12329" t="s">
        <v>8766</v>
      </c>
      <c r="B12329" t="s">
        <v>1209</v>
      </c>
      <c r="C12329" t="s">
        <v>8866</v>
      </c>
      <c r="D12329">
        <v>335870</v>
      </c>
      <c r="E12329" t="s">
        <v>14</v>
      </c>
      <c r="F12329">
        <v>48.7669</v>
      </c>
      <c r="G12329">
        <v>30.232800000000001</v>
      </c>
      <c r="H12329">
        <v>2</v>
      </c>
      <c r="I12329">
        <v>216</v>
      </c>
      <c r="J12329" t="str">
        <f>HYPERLINK("https://climate.onebuilding.org/WMO_Region_6_Europe/UKR_Ukraine/CK_Cherkaska/UKR_CK_Uman.335870_TMYx.zip")</f>
        <v>https://climate.onebuilding.org/WMO_Region_6_Europe/UKR_Ukraine/CK_Cherkaska/UKR_CK_Uman.335870_TMYx.zip</v>
      </c>
    </row>
    <row r="12330" spans="1:10" x14ac:dyDescent="0.25">
      <c r="A12330" t="s">
        <v>8766</v>
      </c>
      <c r="B12330" t="s">
        <v>1209</v>
      </c>
      <c r="C12330" t="s">
        <v>8868</v>
      </c>
      <c r="D12330">
        <v>335930</v>
      </c>
      <c r="E12330" t="s">
        <v>14</v>
      </c>
      <c r="F12330">
        <v>49.148299999999999</v>
      </c>
      <c r="G12330">
        <v>31.714500000000001</v>
      </c>
      <c r="H12330">
        <v>2</v>
      </c>
      <c r="I12330">
        <v>160</v>
      </c>
      <c r="J12330" t="str">
        <f>HYPERLINK("https://climate.onebuilding.org/WMO_Region_6_Europe/UKR_Ukraine/CK_Cherkaska/UKR_CK_Rotmistrovka.335930_TMYx.zip")</f>
        <v>https://climate.onebuilding.org/WMO_Region_6_Europe/UKR_Ukraine/CK_Cherkaska/UKR_CK_Rotmistrovka.335930_TMYx.zip</v>
      </c>
    </row>
    <row r="12331" spans="1:10" x14ac:dyDescent="0.25">
      <c r="A12331" t="s">
        <v>8766</v>
      </c>
      <c r="B12331" t="s">
        <v>2321</v>
      </c>
      <c r="C12331" t="s">
        <v>8869</v>
      </c>
      <c r="D12331">
        <v>335980</v>
      </c>
      <c r="E12331" t="s">
        <v>14</v>
      </c>
      <c r="F12331">
        <v>48.785699999999999</v>
      </c>
      <c r="G12331">
        <v>31.654499999999999</v>
      </c>
      <c r="H12331">
        <v>2</v>
      </c>
      <c r="I12331">
        <v>140</v>
      </c>
      <c r="J12331" t="str">
        <f>HYPERLINK("https://climate.onebuilding.org/WMO_Region_6_Europe/UKR_Ukraine/KH_Kirovohradska/UKR_KH_Novomyrhorod.335980_TMYx.2007-2021.zip")</f>
        <v>https://climate.onebuilding.org/WMO_Region_6_Europe/UKR_Ukraine/KH_Kirovohradska/UKR_KH_Novomyrhorod.335980_TMYx.2007-2021.zip</v>
      </c>
    </row>
    <row r="12332" spans="1:10" x14ac:dyDescent="0.25">
      <c r="A12332" t="s">
        <v>8766</v>
      </c>
      <c r="B12332" t="s">
        <v>2321</v>
      </c>
      <c r="C12332" t="s">
        <v>8869</v>
      </c>
      <c r="D12332">
        <v>335980</v>
      </c>
      <c r="E12332" t="s">
        <v>14</v>
      </c>
      <c r="F12332">
        <v>48.785699999999999</v>
      </c>
      <c r="G12332">
        <v>31.654499999999999</v>
      </c>
      <c r="H12332">
        <v>2</v>
      </c>
      <c r="I12332">
        <v>140</v>
      </c>
      <c r="J12332" t="str">
        <f>HYPERLINK("https://climate.onebuilding.org/WMO_Region_6_Europe/UKR_Ukraine/KH_Kirovohradska/UKR_KH_Novomyrhorod.335980_TMYx.2009-2023.zip")</f>
        <v>https://climate.onebuilding.org/WMO_Region_6_Europe/UKR_Ukraine/KH_Kirovohradska/UKR_KH_Novomyrhorod.335980_TMYx.2009-2023.zip</v>
      </c>
    </row>
    <row r="12333" spans="1:10" x14ac:dyDescent="0.25">
      <c r="A12333" t="s">
        <v>8766</v>
      </c>
      <c r="B12333" t="s">
        <v>2321</v>
      </c>
      <c r="C12333" t="s">
        <v>8869</v>
      </c>
      <c r="D12333">
        <v>335980</v>
      </c>
      <c r="E12333" t="s">
        <v>14</v>
      </c>
      <c r="F12333">
        <v>48.785699999999999</v>
      </c>
      <c r="G12333">
        <v>31.654499999999999</v>
      </c>
      <c r="H12333">
        <v>2</v>
      </c>
      <c r="I12333">
        <v>140</v>
      </c>
      <c r="J12333" t="str">
        <f>HYPERLINK("https://climate.onebuilding.org/WMO_Region_6_Europe/UKR_Ukraine/KH_Kirovohradska/UKR_KH_Novomyrhorod.335980_TMYx.zip")</f>
        <v>https://climate.onebuilding.org/WMO_Region_6_Europe/UKR_Ukraine/KH_Kirovohradska/UKR_KH_Novomyrhorod.335980_TMYx.zip</v>
      </c>
    </row>
    <row r="12334" spans="1:10" x14ac:dyDescent="0.25">
      <c r="A12334" t="s">
        <v>8766</v>
      </c>
      <c r="B12334" t="s">
        <v>1209</v>
      </c>
      <c r="C12334" t="s">
        <v>8870</v>
      </c>
      <c r="D12334">
        <v>336050</v>
      </c>
      <c r="E12334" t="s">
        <v>14</v>
      </c>
      <c r="F12334">
        <v>49.058900000000001</v>
      </c>
      <c r="G12334">
        <v>32.681699999999999</v>
      </c>
      <c r="H12334">
        <v>2</v>
      </c>
      <c r="I12334">
        <v>124</v>
      </c>
      <c r="J12334" t="str">
        <f>HYPERLINK("https://climate.onebuilding.org/WMO_Region_6_Europe/UKR_Ukraine/CK_Cherkaska/UKR_CK_Chyhyryn.336050_TMYx.2007-2021.zip")</f>
        <v>https://climate.onebuilding.org/WMO_Region_6_Europe/UKR_Ukraine/CK_Cherkaska/UKR_CK_Chyhyryn.336050_TMYx.2007-2021.zip</v>
      </c>
    </row>
    <row r="12335" spans="1:10" x14ac:dyDescent="0.25">
      <c r="A12335" t="s">
        <v>8766</v>
      </c>
      <c r="B12335" t="s">
        <v>1209</v>
      </c>
      <c r="C12335" t="s">
        <v>8870</v>
      </c>
      <c r="D12335">
        <v>336050</v>
      </c>
      <c r="E12335" t="s">
        <v>14</v>
      </c>
      <c r="F12335">
        <v>49.058900000000001</v>
      </c>
      <c r="G12335">
        <v>32.681699999999999</v>
      </c>
      <c r="H12335">
        <v>2</v>
      </c>
      <c r="I12335">
        <v>124</v>
      </c>
      <c r="J12335" t="str">
        <f>HYPERLINK("https://climate.onebuilding.org/WMO_Region_6_Europe/UKR_Ukraine/CK_Cherkaska/UKR_CK_Chyhyryn.336050_TMYx.2009-2023.zip")</f>
        <v>https://climate.onebuilding.org/WMO_Region_6_Europe/UKR_Ukraine/CK_Cherkaska/UKR_CK_Chyhyryn.336050_TMYx.2009-2023.zip</v>
      </c>
    </row>
    <row r="12336" spans="1:10" x14ac:dyDescent="0.25">
      <c r="A12336" t="s">
        <v>8766</v>
      </c>
      <c r="B12336" t="s">
        <v>1209</v>
      </c>
      <c r="C12336" t="s">
        <v>8870</v>
      </c>
      <c r="D12336">
        <v>336050</v>
      </c>
      <c r="E12336" t="s">
        <v>14</v>
      </c>
      <c r="F12336">
        <v>49.058900000000001</v>
      </c>
      <c r="G12336">
        <v>32.681699999999999</v>
      </c>
      <c r="H12336">
        <v>2</v>
      </c>
      <c r="I12336">
        <v>124</v>
      </c>
      <c r="J12336" t="str">
        <f>HYPERLINK("https://climate.onebuilding.org/WMO_Region_6_Europe/UKR_Ukraine/CK_Cherkaska/UKR_CK_Chyhyryn.336050_TMYx.zip")</f>
        <v>https://climate.onebuilding.org/WMO_Region_6_Europe/UKR_Ukraine/CK_Cherkaska/UKR_CK_Chyhyryn.336050_TMYx.zip</v>
      </c>
    </row>
    <row r="12337" spans="1:10" x14ac:dyDescent="0.25">
      <c r="A12337" t="s">
        <v>8766</v>
      </c>
      <c r="B12337" t="s">
        <v>2321</v>
      </c>
      <c r="C12337" t="s">
        <v>8871</v>
      </c>
      <c r="D12337">
        <v>336090</v>
      </c>
      <c r="E12337" t="s">
        <v>14</v>
      </c>
      <c r="F12337">
        <v>48.739400000000003</v>
      </c>
      <c r="G12337">
        <v>32.690600000000003</v>
      </c>
      <c r="H12337">
        <v>2</v>
      </c>
      <c r="I12337">
        <v>181</v>
      </c>
      <c r="J12337" t="str">
        <f>HYPERLINK("https://climate.onebuilding.org/WMO_Region_6_Europe/UKR_Ukraine/KH_Kirovohradska/UKR_KH_Znamianka.AP.336090_TMYx.2007-2021.zip")</f>
        <v>https://climate.onebuilding.org/WMO_Region_6_Europe/UKR_Ukraine/KH_Kirovohradska/UKR_KH_Znamianka.AP.336090_TMYx.2007-2021.zip</v>
      </c>
    </row>
    <row r="12338" spans="1:10" x14ac:dyDescent="0.25">
      <c r="A12338" t="s">
        <v>8766</v>
      </c>
      <c r="B12338" t="s">
        <v>2321</v>
      </c>
      <c r="C12338" t="s">
        <v>8871</v>
      </c>
      <c r="D12338">
        <v>336090</v>
      </c>
      <c r="E12338" t="s">
        <v>14</v>
      </c>
      <c r="F12338">
        <v>48.739400000000003</v>
      </c>
      <c r="G12338">
        <v>32.690600000000003</v>
      </c>
      <c r="H12338">
        <v>2</v>
      </c>
      <c r="I12338">
        <v>181</v>
      </c>
      <c r="J12338" t="str">
        <f>HYPERLINK("https://climate.onebuilding.org/WMO_Region_6_Europe/UKR_Ukraine/KH_Kirovohradska/UKR_KH_Znamianka.AP.336090_TMYx.2009-2023.zip")</f>
        <v>https://climate.onebuilding.org/WMO_Region_6_Europe/UKR_Ukraine/KH_Kirovohradska/UKR_KH_Znamianka.AP.336090_TMYx.2009-2023.zip</v>
      </c>
    </row>
    <row r="12339" spans="1:10" x14ac:dyDescent="0.25">
      <c r="A12339" t="s">
        <v>8766</v>
      </c>
      <c r="B12339" t="s">
        <v>2321</v>
      </c>
      <c r="C12339" t="s">
        <v>8871</v>
      </c>
      <c r="D12339">
        <v>336090</v>
      </c>
      <c r="E12339" t="s">
        <v>14</v>
      </c>
      <c r="F12339">
        <v>48.739400000000003</v>
      </c>
      <c r="G12339">
        <v>32.690600000000003</v>
      </c>
      <c r="H12339">
        <v>2</v>
      </c>
      <c r="I12339">
        <v>181</v>
      </c>
      <c r="J12339" t="str">
        <f>HYPERLINK("https://climate.onebuilding.org/WMO_Region_6_Europe/UKR_Ukraine/KH_Kirovohradska/UKR_KH_Znamianka.AP.336090_TMYx.zip")</f>
        <v>https://climate.onebuilding.org/WMO_Region_6_Europe/UKR_Ukraine/KH_Kirovohradska/UKR_KH_Znamianka.AP.336090_TMYx.zip</v>
      </c>
    </row>
    <row r="12340" spans="1:10" x14ac:dyDescent="0.25">
      <c r="A12340" t="s">
        <v>8766</v>
      </c>
      <c r="B12340" t="s">
        <v>2321</v>
      </c>
      <c r="C12340" t="s">
        <v>8872</v>
      </c>
      <c r="D12340">
        <v>336140</v>
      </c>
      <c r="E12340" t="s">
        <v>8873</v>
      </c>
      <c r="F12340">
        <v>49.071100000000001</v>
      </c>
      <c r="G12340">
        <v>33.249400000000001</v>
      </c>
      <c r="H12340">
        <v>2</v>
      </c>
      <c r="I12340">
        <v>84</v>
      </c>
      <c r="J12340" t="str">
        <f>HYPERLINK("https://climate.onebuilding.org/WMO_Region_6_Europe/UKR_Ukraine/KH_Kirovohradska/UKR_KH_Svitlovodsk.336140_TMYx.2004-2018.zip")</f>
        <v>https://climate.onebuilding.org/WMO_Region_6_Europe/UKR_Ukraine/KH_Kirovohradska/UKR_KH_Svitlovodsk.336140_TMYx.2004-2018.zip</v>
      </c>
    </row>
    <row r="12341" spans="1:10" x14ac:dyDescent="0.25">
      <c r="A12341" t="s">
        <v>8766</v>
      </c>
      <c r="B12341" t="s">
        <v>2321</v>
      </c>
      <c r="C12341" t="s">
        <v>8872</v>
      </c>
      <c r="D12341">
        <v>336140</v>
      </c>
      <c r="E12341" t="s">
        <v>14</v>
      </c>
      <c r="F12341">
        <v>49.071100000000001</v>
      </c>
      <c r="G12341">
        <v>33.249400000000001</v>
      </c>
      <c r="H12341">
        <v>2</v>
      </c>
      <c r="I12341">
        <v>84</v>
      </c>
      <c r="J12341" t="str">
        <f>HYPERLINK("https://climate.onebuilding.org/WMO_Region_6_Europe/UKR_Ukraine/KH_Kirovohradska/UKR_KH_Svitlovodsk.336140_TMYx.2007-2021.zip")</f>
        <v>https://climate.onebuilding.org/WMO_Region_6_Europe/UKR_Ukraine/KH_Kirovohradska/UKR_KH_Svitlovodsk.336140_TMYx.2007-2021.zip</v>
      </c>
    </row>
    <row r="12342" spans="1:10" x14ac:dyDescent="0.25">
      <c r="A12342" t="s">
        <v>8766</v>
      </c>
      <c r="B12342" t="s">
        <v>2321</v>
      </c>
      <c r="C12342" t="s">
        <v>8872</v>
      </c>
      <c r="D12342">
        <v>336140</v>
      </c>
      <c r="E12342" t="s">
        <v>14</v>
      </c>
      <c r="F12342">
        <v>49.071100000000001</v>
      </c>
      <c r="G12342">
        <v>33.249400000000001</v>
      </c>
      <c r="H12342">
        <v>2</v>
      </c>
      <c r="I12342">
        <v>84</v>
      </c>
      <c r="J12342" t="str">
        <f>HYPERLINK("https://climate.onebuilding.org/WMO_Region_6_Europe/UKR_Ukraine/KH_Kirovohradska/UKR_KH_Svitlovodsk.336140_TMYx.2009-2023.zip")</f>
        <v>https://climate.onebuilding.org/WMO_Region_6_Europe/UKR_Ukraine/KH_Kirovohradska/UKR_KH_Svitlovodsk.336140_TMYx.2009-2023.zip</v>
      </c>
    </row>
    <row r="12343" spans="1:10" x14ac:dyDescent="0.25">
      <c r="A12343" t="s">
        <v>8766</v>
      </c>
      <c r="B12343" t="s">
        <v>2321</v>
      </c>
      <c r="C12343" t="s">
        <v>8872</v>
      </c>
      <c r="D12343">
        <v>336140</v>
      </c>
      <c r="E12343" t="s">
        <v>14</v>
      </c>
      <c r="F12343">
        <v>49.071100000000001</v>
      </c>
      <c r="G12343">
        <v>33.249400000000001</v>
      </c>
      <c r="H12343">
        <v>2</v>
      </c>
      <c r="I12343">
        <v>84</v>
      </c>
      <c r="J12343" t="str">
        <f>HYPERLINK("https://climate.onebuilding.org/WMO_Region_6_Europe/UKR_Ukraine/KH_Kirovohradska/UKR_KH_Svitlovodsk.336140_TMYx.zip")</f>
        <v>https://climate.onebuilding.org/WMO_Region_6_Europe/UKR_Ukraine/KH_Kirovohradska/UKR_KH_Svitlovodsk.336140_TMYx.zip</v>
      </c>
    </row>
    <row r="12344" spans="1:10" x14ac:dyDescent="0.25">
      <c r="A12344" t="s">
        <v>8766</v>
      </c>
      <c r="B12344" t="s">
        <v>3033</v>
      </c>
      <c r="C12344" t="s">
        <v>8874</v>
      </c>
      <c r="D12344">
        <v>336150</v>
      </c>
      <c r="E12344" t="s">
        <v>14</v>
      </c>
      <c r="F12344">
        <v>49.033000000000001</v>
      </c>
      <c r="G12344">
        <v>33.433</v>
      </c>
      <c r="H12344">
        <v>2</v>
      </c>
      <c r="I12344">
        <v>80</v>
      </c>
      <c r="J12344" t="str">
        <f>HYPERLINK("https://climate.onebuilding.org/WMO_Region_6_Europe/UKR_Ukraine/PL_Poltavska/UKR_PL_Kremenchuk.336150_TMYx.zip")</f>
        <v>https://climate.onebuilding.org/WMO_Region_6_Europe/UKR_Ukraine/PL_Poltavska/UKR_PL_Kremenchuk.336150_TMYx.zip</v>
      </c>
    </row>
    <row r="12345" spans="1:10" x14ac:dyDescent="0.25">
      <c r="A12345" t="s">
        <v>8766</v>
      </c>
      <c r="B12345" t="s">
        <v>3033</v>
      </c>
      <c r="C12345" t="s">
        <v>8875</v>
      </c>
      <c r="D12345">
        <v>336210</v>
      </c>
      <c r="E12345" t="s">
        <v>14</v>
      </c>
      <c r="F12345">
        <v>49.1539</v>
      </c>
      <c r="G12345">
        <v>34.207799999999999</v>
      </c>
      <c r="H12345">
        <v>2</v>
      </c>
      <c r="I12345">
        <v>118</v>
      </c>
      <c r="J12345" t="str">
        <f>HYPERLINK("https://climate.onebuilding.org/WMO_Region_6_Europe/UKR_Ukraine/PL_Poltavska/UKR_PL_Kobelyaky.336210_TMYx.2007-2021.zip")</f>
        <v>https://climate.onebuilding.org/WMO_Region_6_Europe/UKR_Ukraine/PL_Poltavska/UKR_PL_Kobelyaky.336210_TMYx.2007-2021.zip</v>
      </c>
    </row>
    <row r="12346" spans="1:10" x14ac:dyDescent="0.25">
      <c r="A12346" t="s">
        <v>8766</v>
      </c>
      <c r="B12346" t="s">
        <v>3033</v>
      </c>
      <c r="C12346" t="s">
        <v>8875</v>
      </c>
      <c r="D12346">
        <v>336210</v>
      </c>
      <c r="E12346" t="s">
        <v>14</v>
      </c>
      <c r="F12346">
        <v>49.1539</v>
      </c>
      <c r="G12346">
        <v>34.207799999999999</v>
      </c>
      <c r="H12346">
        <v>2</v>
      </c>
      <c r="I12346">
        <v>118</v>
      </c>
      <c r="J12346" t="str">
        <f>HYPERLINK("https://climate.onebuilding.org/WMO_Region_6_Europe/UKR_Ukraine/PL_Poltavska/UKR_PL_Kobelyaky.336210_TMYx.2009-2023.zip")</f>
        <v>https://climate.onebuilding.org/WMO_Region_6_Europe/UKR_Ukraine/PL_Poltavska/UKR_PL_Kobelyaky.336210_TMYx.2009-2023.zip</v>
      </c>
    </row>
    <row r="12347" spans="1:10" x14ac:dyDescent="0.25">
      <c r="A12347" t="s">
        <v>8766</v>
      </c>
      <c r="B12347" t="s">
        <v>3033</v>
      </c>
      <c r="C12347" t="s">
        <v>8875</v>
      </c>
      <c r="D12347">
        <v>336210</v>
      </c>
      <c r="E12347" t="s">
        <v>14</v>
      </c>
      <c r="F12347">
        <v>49.1539</v>
      </c>
      <c r="G12347">
        <v>34.207799999999999</v>
      </c>
      <c r="H12347">
        <v>2</v>
      </c>
      <c r="I12347">
        <v>118</v>
      </c>
      <c r="J12347" t="str">
        <f>HYPERLINK("https://climate.onebuilding.org/WMO_Region_6_Europe/UKR_Ukraine/PL_Poltavska/UKR_PL_Kobelyaky.336210_TMYx.zip")</f>
        <v>https://climate.onebuilding.org/WMO_Region_6_Europe/UKR_Ukraine/PL_Poltavska/UKR_PL_Kobelyaky.336210_TMYx.zip</v>
      </c>
    </row>
    <row r="12348" spans="1:10" x14ac:dyDescent="0.25">
      <c r="A12348" t="s">
        <v>8766</v>
      </c>
      <c r="B12348" t="s">
        <v>1198</v>
      </c>
      <c r="C12348" t="s">
        <v>8876</v>
      </c>
      <c r="D12348">
        <v>336310</v>
      </c>
      <c r="E12348" t="s">
        <v>8877</v>
      </c>
      <c r="F12348">
        <v>48.633299999999998</v>
      </c>
      <c r="G12348">
        <v>22.261099999999999</v>
      </c>
      <c r="H12348">
        <v>2</v>
      </c>
      <c r="I12348">
        <v>124</v>
      </c>
      <c r="J12348" t="str">
        <f>HYPERLINK("https://climate.onebuilding.org/WMO_Region_6_Europe/UKR_Ukraine/ZK_Zakarpatska/UKR_ZK_Uzhhorod.AP.336310_TMYx.2004-2018.zip")</f>
        <v>https://climate.onebuilding.org/WMO_Region_6_Europe/UKR_Ukraine/ZK_Zakarpatska/UKR_ZK_Uzhhorod.AP.336310_TMYx.2004-2018.zip</v>
      </c>
    </row>
    <row r="12349" spans="1:10" x14ac:dyDescent="0.25">
      <c r="A12349" t="s">
        <v>8766</v>
      </c>
      <c r="B12349" t="s">
        <v>1198</v>
      </c>
      <c r="C12349" t="s">
        <v>8876</v>
      </c>
      <c r="D12349">
        <v>336310</v>
      </c>
      <c r="E12349" t="s">
        <v>14</v>
      </c>
      <c r="F12349">
        <v>48.633299999999998</v>
      </c>
      <c r="G12349">
        <v>22.261099999999999</v>
      </c>
      <c r="H12349">
        <v>2</v>
      </c>
      <c r="I12349">
        <v>124</v>
      </c>
      <c r="J12349" t="str">
        <f>HYPERLINK("https://climate.onebuilding.org/WMO_Region_6_Europe/UKR_Ukraine/ZK_Zakarpatska/UKR_ZK_Uzhhorod.AP.336310_TMYx.2007-2021.zip")</f>
        <v>https://climate.onebuilding.org/WMO_Region_6_Europe/UKR_Ukraine/ZK_Zakarpatska/UKR_ZK_Uzhhorod.AP.336310_TMYx.2007-2021.zip</v>
      </c>
    </row>
    <row r="12350" spans="1:10" x14ac:dyDescent="0.25">
      <c r="A12350" t="s">
        <v>8766</v>
      </c>
      <c r="B12350" t="s">
        <v>1198</v>
      </c>
      <c r="C12350" t="s">
        <v>8876</v>
      </c>
      <c r="D12350">
        <v>336310</v>
      </c>
      <c r="E12350" t="s">
        <v>14</v>
      </c>
      <c r="F12350">
        <v>48.633299999999998</v>
      </c>
      <c r="G12350">
        <v>22.261099999999999</v>
      </c>
      <c r="H12350">
        <v>2</v>
      </c>
      <c r="I12350">
        <v>124</v>
      </c>
      <c r="J12350" t="str">
        <f>HYPERLINK("https://climate.onebuilding.org/WMO_Region_6_Europe/UKR_Ukraine/ZK_Zakarpatska/UKR_ZK_Uzhhorod.AP.336310_TMYx.2009-2023.zip")</f>
        <v>https://climate.onebuilding.org/WMO_Region_6_Europe/UKR_Ukraine/ZK_Zakarpatska/UKR_ZK_Uzhhorod.AP.336310_TMYx.2009-2023.zip</v>
      </c>
    </row>
    <row r="12351" spans="1:10" x14ac:dyDescent="0.25">
      <c r="A12351" t="s">
        <v>8766</v>
      </c>
      <c r="B12351" t="s">
        <v>1198</v>
      </c>
      <c r="C12351" t="s">
        <v>8876</v>
      </c>
      <c r="D12351">
        <v>336310</v>
      </c>
      <c r="E12351" t="s">
        <v>14</v>
      </c>
      <c r="F12351">
        <v>48.633299999999998</v>
      </c>
      <c r="G12351">
        <v>22.261099999999999</v>
      </c>
      <c r="H12351">
        <v>2</v>
      </c>
      <c r="I12351">
        <v>124</v>
      </c>
      <c r="J12351" t="str">
        <f>HYPERLINK("https://climate.onebuilding.org/WMO_Region_6_Europe/UKR_Ukraine/ZK_Zakarpatska/UKR_ZK_Uzhhorod.AP.336310_TMYx.zip")</f>
        <v>https://climate.onebuilding.org/WMO_Region_6_Europe/UKR_Ukraine/ZK_Zakarpatska/UKR_ZK_Uzhhorod.AP.336310_TMYx.zip</v>
      </c>
    </row>
    <row r="12352" spans="1:10" x14ac:dyDescent="0.25">
      <c r="A12352" t="s">
        <v>8766</v>
      </c>
      <c r="B12352" t="s">
        <v>6812</v>
      </c>
      <c r="C12352" t="s">
        <v>8878</v>
      </c>
      <c r="D12352">
        <v>336340</v>
      </c>
      <c r="E12352" t="s">
        <v>14</v>
      </c>
      <c r="F12352">
        <v>48.2</v>
      </c>
      <c r="G12352">
        <v>22.65</v>
      </c>
      <c r="H12352">
        <v>2</v>
      </c>
      <c r="I12352">
        <v>113</v>
      </c>
      <c r="J12352" t="str">
        <f>HYPERLINK("https://climate.onebuilding.org/WMO_Region_6_Europe/UKR_Ukraine/ZP_Zaporizka/UKR_ZP_Berehove.336340_TMYx.2007-2021.zip")</f>
        <v>https://climate.onebuilding.org/WMO_Region_6_Europe/UKR_Ukraine/ZP_Zaporizka/UKR_ZP_Berehove.336340_TMYx.2007-2021.zip</v>
      </c>
    </row>
    <row r="12353" spans="1:10" x14ac:dyDescent="0.25">
      <c r="A12353" t="s">
        <v>8766</v>
      </c>
      <c r="B12353" t="s">
        <v>6812</v>
      </c>
      <c r="C12353" t="s">
        <v>8878</v>
      </c>
      <c r="D12353">
        <v>336340</v>
      </c>
      <c r="E12353" t="s">
        <v>14</v>
      </c>
      <c r="F12353">
        <v>48.2</v>
      </c>
      <c r="G12353">
        <v>22.65</v>
      </c>
      <c r="H12353">
        <v>2</v>
      </c>
      <c r="I12353">
        <v>113</v>
      </c>
      <c r="J12353" t="str">
        <f>HYPERLINK("https://climate.onebuilding.org/WMO_Region_6_Europe/UKR_Ukraine/ZP_Zaporizka/UKR_ZP_Berehove.336340_TMYx.2009-2023.zip")</f>
        <v>https://climate.onebuilding.org/WMO_Region_6_Europe/UKR_Ukraine/ZP_Zaporizka/UKR_ZP_Berehove.336340_TMYx.2009-2023.zip</v>
      </c>
    </row>
    <row r="12354" spans="1:10" x14ac:dyDescent="0.25">
      <c r="A12354" t="s">
        <v>8766</v>
      </c>
      <c r="B12354" t="s">
        <v>6812</v>
      </c>
      <c r="C12354" t="s">
        <v>8878</v>
      </c>
      <c r="D12354">
        <v>336340</v>
      </c>
      <c r="E12354" t="s">
        <v>14</v>
      </c>
      <c r="F12354">
        <v>48.2</v>
      </c>
      <c r="G12354">
        <v>22.65</v>
      </c>
      <c r="H12354">
        <v>2</v>
      </c>
      <c r="I12354">
        <v>113</v>
      </c>
      <c r="J12354" t="str">
        <f>HYPERLINK("https://climate.onebuilding.org/WMO_Region_6_Europe/UKR_Ukraine/ZP_Zaporizka/UKR_ZP_Berehove.336340_TMYx.zip")</f>
        <v>https://climate.onebuilding.org/WMO_Region_6_Europe/UKR_Ukraine/ZP_Zaporizka/UKR_ZP_Berehove.336340_TMYx.zip</v>
      </c>
    </row>
    <row r="12355" spans="1:10" x14ac:dyDescent="0.25">
      <c r="A12355" t="s">
        <v>8766</v>
      </c>
      <c r="B12355" t="s">
        <v>1198</v>
      </c>
      <c r="C12355" t="s">
        <v>8879</v>
      </c>
      <c r="D12355">
        <v>336380</v>
      </c>
      <c r="E12355" t="s">
        <v>14</v>
      </c>
      <c r="F12355">
        <v>48.183</v>
      </c>
      <c r="G12355">
        <v>23.3</v>
      </c>
      <c r="H12355">
        <v>2</v>
      </c>
      <c r="I12355">
        <v>164</v>
      </c>
      <c r="J12355" t="str">
        <f>HYPERLINK("https://climate.onebuilding.org/WMO_Region_6_Europe/UKR_Ukraine/ZK_Zakarpatska/UKR_ZK_Khust.336380_TMYx.2007-2021.zip")</f>
        <v>https://climate.onebuilding.org/WMO_Region_6_Europe/UKR_Ukraine/ZK_Zakarpatska/UKR_ZK_Khust.336380_TMYx.2007-2021.zip</v>
      </c>
    </row>
    <row r="12356" spans="1:10" x14ac:dyDescent="0.25">
      <c r="A12356" t="s">
        <v>8766</v>
      </c>
      <c r="B12356" t="s">
        <v>1198</v>
      </c>
      <c r="C12356" t="s">
        <v>8879</v>
      </c>
      <c r="D12356">
        <v>336380</v>
      </c>
      <c r="E12356" t="s">
        <v>14</v>
      </c>
      <c r="F12356">
        <v>48.183</v>
      </c>
      <c r="G12356">
        <v>23.3</v>
      </c>
      <c r="H12356">
        <v>2</v>
      </c>
      <c r="I12356">
        <v>164</v>
      </c>
      <c r="J12356" t="str">
        <f>HYPERLINK("https://climate.onebuilding.org/WMO_Region_6_Europe/UKR_Ukraine/ZK_Zakarpatska/UKR_ZK_Khust.336380_TMYx.2009-2023.zip")</f>
        <v>https://climate.onebuilding.org/WMO_Region_6_Europe/UKR_Ukraine/ZK_Zakarpatska/UKR_ZK_Khust.336380_TMYx.2009-2023.zip</v>
      </c>
    </row>
    <row r="12357" spans="1:10" x14ac:dyDescent="0.25">
      <c r="A12357" t="s">
        <v>8766</v>
      </c>
      <c r="B12357" t="s">
        <v>1198</v>
      </c>
      <c r="C12357" t="s">
        <v>8879</v>
      </c>
      <c r="D12357">
        <v>336380</v>
      </c>
      <c r="E12357" t="s">
        <v>14</v>
      </c>
      <c r="F12357">
        <v>48.183</v>
      </c>
      <c r="G12357">
        <v>23.3</v>
      </c>
      <c r="H12357">
        <v>2</v>
      </c>
      <c r="I12357">
        <v>164</v>
      </c>
      <c r="J12357" t="str">
        <f>HYPERLINK("https://climate.onebuilding.org/WMO_Region_6_Europe/UKR_Ukraine/ZK_Zakarpatska/UKR_ZK_Khust.336380_TMYx.zip")</f>
        <v>https://climate.onebuilding.org/WMO_Region_6_Europe/UKR_Ukraine/ZK_Zakarpatska/UKR_ZK_Khust.336380_TMYx.zip</v>
      </c>
    </row>
    <row r="12358" spans="1:10" x14ac:dyDescent="0.25">
      <c r="A12358" t="s">
        <v>8766</v>
      </c>
      <c r="B12358" t="s">
        <v>1198</v>
      </c>
      <c r="C12358" t="s">
        <v>8880</v>
      </c>
      <c r="D12358">
        <v>336450</v>
      </c>
      <c r="E12358" t="s">
        <v>14</v>
      </c>
      <c r="F12358">
        <v>48.267000000000003</v>
      </c>
      <c r="G12358">
        <v>24.367000000000001</v>
      </c>
      <c r="H12358">
        <v>2</v>
      </c>
      <c r="I12358">
        <v>731</v>
      </c>
      <c r="J12358" t="str">
        <f>HYPERLINK("https://climate.onebuilding.org/WMO_Region_6_Europe/UKR_Ukraine/ZK_Zakarpatska/UKR_ZK_Yasinya.336450_TMYx.zip")</f>
        <v>https://climate.onebuilding.org/WMO_Region_6_Europe/UKR_Ukraine/ZK_Zakarpatska/UKR_ZK_Yasinya.336450_TMYx.zip</v>
      </c>
    </row>
    <row r="12359" spans="1:10" x14ac:dyDescent="0.25">
      <c r="A12359" t="s">
        <v>8766</v>
      </c>
      <c r="B12359" t="s">
        <v>1198</v>
      </c>
      <c r="C12359" t="s">
        <v>8881</v>
      </c>
      <c r="D12359">
        <v>336470</v>
      </c>
      <c r="E12359" t="s">
        <v>14</v>
      </c>
      <c r="F12359">
        <v>48.05</v>
      </c>
      <c r="G12359">
        <v>24.2</v>
      </c>
      <c r="H12359">
        <v>2</v>
      </c>
      <c r="I12359">
        <v>430</v>
      </c>
      <c r="J12359" t="str">
        <f>HYPERLINK("https://climate.onebuilding.org/WMO_Region_6_Europe/UKR_Ukraine/ZK_Zakarpatska/UKR_ZK_Rakhiv.336470_TMYx.2007-2021.zip")</f>
        <v>https://climate.onebuilding.org/WMO_Region_6_Europe/UKR_Ukraine/ZK_Zakarpatska/UKR_ZK_Rakhiv.336470_TMYx.2007-2021.zip</v>
      </c>
    </row>
    <row r="12360" spans="1:10" x14ac:dyDescent="0.25">
      <c r="A12360" t="s">
        <v>8766</v>
      </c>
      <c r="B12360" t="s">
        <v>1198</v>
      </c>
      <c r="C12360" t="s">
        <v>8881</v>
      </c>
      <c r="D12360">
        <v>336470</v>
      </c>
      <c r="E12360" t="s">
        <v>14</v>
      </c>
      <c r="F12360">
        <v>48.05</v>
      </c>
      <c r="G12360">
        <v>24.2</v>
      </c>
      <c r="H12360">
        <v>2</v>
      </c>
      <c r="I12360">
        <v>430</v>
      </c>
      <c r="J12360" t="str">
        <f>HYPERLINK("https://climate.onebuilding.org/WMO_Region_6_Europe/UKR_Ukraine/ZK_Zakarpatska/UKR_ZK_Rakhiv.336470_TMYx.2009-2023.zip")</f>
        <v>https://climate.onebuilding.org/WMO_Region_6_Europe/UKR_Ukraine/ZK_Zakarpatska/UKR_ZK_Rakhiv.336470_TMYx.2009-2023.zip</v>
      </c>
    </row>
    <row r="12361" spans="1:10" x14ac:dyDescent="0.25">
      <c r="A12361" t="s">
        <v>8766</v>
      </c>
      <c r="B12361" t="s">
        <v>1198</v>
      </c>
      <c r="C12361" t="s">
        <v>8881</v>
      </c>
      <c r="D12361">
        <v>336470</v>
      </c>
      <c r="E12361" t="s">
        <v>14</v>
      </c>
      <c r="F12361">
        <v>48.05</v>
      </c>
      <c r="G12361">
        <v>24.2</v>
      </c>
      <c r="H12361">
        <v>2</v>
      </c>
      <c r="I12361">
        <v>430</v>
      </c>
      <c r="J12361" t="str">
        <f>HYPERLINK("https://climate.onebuilding.org/WMO_Region_6_Europe/UKR_Ukraine/ZK_Zakarpatska/UKR_ZK_Rakhiv.336470_TMYx.zip")</f>
        <v>https://climate.onebuilding.org/WMO_Region_6_Europe/UKR_Ukraine/ZK_Zakarpatska/UKR_ZK_Rakhiv.336470_TMYx.zip</v>
      </c>
    </row>
    <row r="12362" spans="1:10" x14ac:dyDescent="0.25">
      <c r="A12362" t="s">
        <v>8766</v>
      </c>
      <c r="B12362" t="s">
        <v>2950</v>
      </c>
      <c r="C12362" t="s">
        <v>8882</v>
      </c>
      <c r="D12362">
        <v>336510</v>
      </c>
      <c r="E12362" t="s">
        <v>14</v>
      </c>
      <c r="F12362">
        <v>48.548900000000003</v>
      </c>
      <c r="G12362">
        <v>25.055599999999998</v>
      </c>
      <c r="H12362">
        <v>2</v>
      </c>
      <c r="I12362">
        <v>298</v>
      </c>
      <c r="J12362" t="str">
        <f>HYPERLINK("https://climate.onebuilding.org/WMO_Region_6_Europe/UKR_Ukraine/IF_Ivano-Frankivska/UKR_IF_Kolomyia.336510_TMYx.2007-2021.zip")</f>
        <v>https://climate.onebuilding.org/WMO_Region_6_Europe/UKR_Ukraine/IF_Ivano-Frankivska/UKR_IF_Kolomyia.336510_TMYx.2007-2021.zip</v>
      </c>
    </row>
    <row r="12363" spans="1:10" x14ac:dyDescent="0.25">
      <c r="A12363" t="s">
        <v>8766</v>
      </c>
      <c r="B12363" t="s">
        <v>2950</v>
      </c>
      <c r="C12363" t="s">
        <v>8882</v>
      </c>
      <c r="D12363">
        <v>336510</v>
      </c>
      <c r="E12363" t="s">
        <v>14</v>
      </c>
      <c r="F12363">
        <v>48.548900000000003</v>
      </c>
      <c r="G12363">
        <v>25.055599999999998</v>
      </c>
      <c r="H12363">
        <v>2</v>
      </c>
      <c r="I12363">
        <v>298</v>
      </c>
      <c r="J12363" t="str">
        <f>HYPERLINK("https://climate.onebuilding.org/WMO_Region_6_Europe/UKR_Ukraine/IF_Ivano-Frankivska/UKR_IF_Kolomyia.336510_TMYx.2009-2023.zip")</f>
        <v>https://climate.onebuilding.org/WMO_Region_6_Europe/UKR_Ukraine/IF_Ivano-Frankivska/UKR_IF_Kolomyia.336510_TMYx.2009-2023.zip</v>
      </c>
    </row>
    <row r="12364" spans="1:10" x14ac:dyDescent="0.25">
      <c r="A12364" t="s">
        <v>8766</v>
      </c>
      <c r="B12364" t="s">
        <v>2950</v>
      </c>
      <c r="C12364" t="s">
        <v>8882</v>
      </c>
      <c r="D12364">
        <v>336510</v>
      </c>
      <c r="E12364" t="s">
        <v>14</v>
      </c>
      <c r="F12364">
        <v>48.548900000000003</v>
      </c>
      <c r="G12364">
        <v>25.055599999999998</v>
      </c>
      <c r="H12364">
        <v>2</v>
      </c>
      <c r="I12364">
        <v>298</v>
      </c>
      <c r="J12364" t="str">
        <f>HYPERLINK("https://climate.onebuilding.org/WMO_Region_6_Europe/UKR_Ukraine/IF_Ivano-Frankivska/UKR_IF_Kolomyia.336510_TMYx.zip")</f>
        <v>https://climate.onebuilding.org/WMO_Region_6_Europe/UKR_Ukraine/IF_Ivano-Frankivska/UKR_IF_Kolomyia.336510_TMYx.zip</v>
      </c>
    </row>
    <row r="12365" spans="1:10" x14ac:dyDescent="0.25">
      <c r="A12365" t="s">
        <v>8766</v>
      </c>
      <c r="B12365" t="s">
        <v>7235</v>
      </c>
      <c r="C12365" t="s">
        <v>8883</v>
      </c>
      <c r="D12365">
        <v>336570</v>
      </c>
      <c r="E12365" t="s">
        <v>14</v>
      </c>
      <c r="F12365">
        <v>47.876399999999997</v>
      </c>
      <c r="G12365">
        <v>25.2164</v>
      </c>
      <c r="H12365">
        <v>2</v>
      </c>
      <c r="I12365">
        <v>763</v>
      </c>
      <c r="J12365" t="str">
        <f>HYPERLINK("https://climate.onebuilding.org/WMO_Region_6_Europe/UKR_Ukraine/CV_Chernivetska/UKR_CV_Selyatyn.336570_TMYx.2007-2021.zip")</f>
        <v>https://climate.onebuilding.org/WMO_Region_6_Europe/UKR_Ukraine/CV_Chernivetska/UKR_CV_Selyatyn.336570_TMYx.2007-2021.zip</v>
      </c>
    </row>
    <row r="12366" spans="1:10" x14ac:dyDescent="0.25">
      <c r="A12366" t="s">
        <v>8766</v>
      </c>
      <c r="B12366" t="s">
        <v>7235</v>
      </c>
      <c r="C12366" t="s">
        <v>8883</v>
      </c>
      <c r="D12366">
        <v>336570</v>
      </c>
      <c r="E12366" t="s">
        <v>14</v>
      </c>
      <c r="F12366">
        <v>47.876399999999997</v>
      </c>
      <c r="G12366">
        <v>25.2164</v>
      </c>
      <c r="H12366">
        <v>2</v>
      </c>
      <c r="I12366">
        <v>763</v>
      </c>
      <c r="J12366" t="str">
        <f>HYPERLINK("https://climate.onebuilding.org/WMO_Region_6_Europe/UKR_Ukraine/CV_Chernivetska/UKR_CV_Selyatyn.336570_TMYx.2009-2023.zip")</f>
        <v>https://climate.onebuilding.org/WMO_Region_6_Europe/UKR_Ukraine/CV_Chernivetska/UKR_CV_Selyatyn.336570_TMYx.2009-2023.zip</v>
      </c>
    </row>
    <row r="12367" spans="1:10" x14ac:dyDescent="0.25">
      <c r="A12367" t="s">
        <v>8766</v>
      </c>
      <c r="B12367" t="s">
        <v>7235</v>
      </c>
      <c r="C12367" t="s">
        <v>8883</v>
      </c>
      <c r="D12367">
        <v>336570</v>
      </c>
      <c r="E12367" t="s">
        <v>14</v>
      </c>
      <c r="F12367">
        <v>47.876399999999997</v>
      </c>
      <c r="G12367">
        <v>25.2164</v>
      </c>
      <c r="H12367">
        <v>2</v>
      </c>
      <c r="I12367">
        <v>763</v>
      </c>
      <c r="J12367" t="str">
        <f>HYPERLINK("https://climate.onebuilding.org/WMO_Region_6_Europe/UKR_Ukraine/CV_Chernivetska/UKR_CV_Selyatyn.336570_TMYx.zip")</f>
        <v>https://climate.onebuilding.org/WMO_Region_6_Europe/UKR_Ukraine/CV_Chernivetska/UKR_CV_Selyatyn.336570_TMYx.zip</v>
      </c>
    </row>
    <row r="12368" spans="1:10" x14ac:dyDescent="0.25">
      <c r="A12368" t="s">
        <v>8766</v>
      </c>
      <c r="B12368" t="s">
        <v>7235</v>
      </c>
      <c r="C12368" t="s">
        <v>8884</v>
      </c>
      <c r="D12368">
        <v>336580</v>
      </c>
      <c r="E12368" t="s">
        <v>8885</v>
      </c>
      <c r="F12368">
        <v>48.266399999999997</v>
      </c>
      <c r="G12368">
        <v>25.9725</v>
      </c>
      <c r="H12368">
        <v>2</v>
      </c>
      <c r="I12368">
        <v>246</v>
      </c>
      <c r="J12368" t="str">
        <f>HYPERLINK("https://climate.onebuilding.org/WMO_Region_6_Europe/UKR_Ukraine/CV_Chernivetska/UKR_CV_Chernivtsi.AP.336580_TMYx.2004-2018.zip")</f>
        <v>https://climate.onebuilding.org/WMO_Region_6_Europe/UKR_Ukraine/CV_Chernivetska/UKR_CV_Chernivtsi.AP.336580_TMYx.2004-2018.zip</v>
      </c>
    </row>
    <row r="12369" spans="1:10" x14ac:dyDescent="0.25">
      <c r="A12369" t="s">
        <v>8766</v>
      </c>
      <c r="B12369" t="s">
        <v>7235</v>
      </c>
      <c r="C12369" t="s">
        <v>8884</v>
      </c>
      <c r="D12369">
        <v>336580</v>
      </c>
      <c r="E12369" t="s">
        <v>14</v>
      </c>
      <c r="F12369">
        <v>48.266399999999997</v>
      </c>
      <c r="G12369">
        <v>25.9725</v>
      </c>
      <c r="H12369">
        <v>2</v>
      </c>
      <c r="I12369">
        <v>246</v>
      </c>
      <c r="J12369" t="str">
        <f>HYPERLINK("https://climate.onebuilding.org/WMO_Region_6_Europe/UKR_Ukraine/CV_Chernivetska/UKR_CV_Chernivtsi.AP.336580_TMYx.2007-2021.zip")</f>
        <v>https://climate.onebuilding.org/WMO_Region_6_Europe/UKR_Ukraine/CV_Chernivetska/UKR_CV_Chernivtsi.AP.336580_TMYx.2007-2021.zip</v>
      </c>
    </row>
    <row r="12370" spans="1:10" x14ac:dyDescent="0.25">
      <c r="A12370" t="s">
        <v>8766</v>
      </c>
      <c r="B12370" t="s">
        <v>7235</v>
      </c>
      <c r="C12370" t="s">
        <v>8884</v>
      </c>
      <c r="D12370">
        <v>336580</v>
      </c>
      <c r="E12370" t="s">
        <v>14</v>
      </c>
      <c r="F12370">
        <v>48.266399999999997</v>
      </c>
      <c r="G12370">
        <v>25.9725</v>
      </c>
      <c r="H12370">
        <v>2</v>
      </c>
      <c r="I12370">
        <v>246</v>
      </c>
      <c r="J12370" t="str">
        <f>HYPERLINK("https://climate.onebuilding.org/WMO_Region_6_Europe/UKR_Ukraine/CV_Chernivetska/UKR_CV_Chernivtsi.AP.336580_TMYx.2009-2023.zip")</f>
        <v>https://climate.onebuilding.org/WMO_Region_6_Europe/UKR_Ukraine/CV_Chernivetska/UKR_CV_Chernivtsi.AP.336580_TMYx.2009-2023.zip</v>
      </c>
    </row>
    <row r="12371" spans="1:10" x14ac:dyDescent="0.25">
      <c r="A12371" t="s">
        <v>8766</v>
      </c>
      <c r="B12371" t="s">
        <v>7235</v>
      </c>
      <c r="C12371" t="s">
        <v>8884</v>
      </c>
      <c r="D12371">
        <v>336580</v>
      </c>
      <c r="E12371" t="s">
        <v>14</v>
      </c>
      <c r="F12371">
        <v>48.266399999999997</v>
      </c>
      <c r="G12371">
        <v>25.9725</v>
      </c>
      <c r="H12371">
        <v>2</v>
      </c>
      <c r="I12371">
        <v>246</v>
      </c>
      <c r="J12371" t="str">
        <f>HYPERLINK("https://climate.onebuilding.org/WMO_Region_6_Europe/UKR_Ukraine/CV_Chernivetska/UKR_CV_Chernivtsi.AP.336580_TMYx.zip")</f>
        <v>https://climate.onebuilding.org/WMO_Region_6_Europe/UKR_Ukraine/CV_Chernivetska/UKR_CV_Chernivtsi.AP.336580_TMYx.zip</v>
      </c>
    </row>
    <row r="12372" spans="1:10" x14ac:dyDescent="0.25">
      <c r="A12372" t="s">
        <v>8766</v>
      </c>
      <c r="B12372" t="s">
        <v>615</v>
      </c>
      <c r="C12372" t="s">
        <v>8886</v>
      </c>
      <c r="D12372">
        <v>336630</v>
      </c>
      <c r="E12372" t="s">
        <v>8887</v>
      </c>
      <c r="F12372">
        <v>48.452500000000001</v>
      </c>
      <c r="G12372">
        <v>27.779699999999998</v>
      </c>
      <c r="H12372">
        <v>2</v>
      </c>
      <c r="I12372">
        <v>78</v>
      </c>
      <c r="J12372" t="str">
        <f>HYPERLINK("https://climate.onebuilding.org/WMO_Region_6_Europe/UKR_Ukraine/VI_Vinnytska/UKR_VI_Mohyliv-Podilskyi.336630_TMYx.2004-2018.zip")</f>
        <v>https://climate.onebuilding.org/WMO_Region_6_Europe/UKR_Ukraine/VI_Vinnytska/UKR_VI_Mohyliv-Podilskyi.336630_TMYx.2004-2018.zip</v>
      </c>
    </row>
    <row r="12373" spans="1:10" x14ac:dyDescent="0.25">
      <c r="A12373" t="s">
        <v>8766</v>
      </c>
      <c r="B12373" t="s">
        <v>615</v>
      </c>
      <c r="C12373" t="s">
        <v>8886</v>
      </c>
      <c r="D12373">
        <v>336630</v>
      </c>
      <c r="E12373" t="s">
        <v>14</v>
      </c>
      <c r="F12373">
        <v>48.452500000000001</v>
      </c>
      <c r="G12373">
        <v>27.779699999999998</v>
      </c>
      <c r="H12373">
        <v>2</v>
      </c>
      <c r="I12373">
        <v>78</v>
      </c>
      <c r="J12373" t="str">
        <f>HYPERLINK("https://climate.onebuilding.org/WMO_Region_6_Europe/UKR_Ukraine/VI_Vinnytska/UKR_VI_Mohyliv-Podilskyi.336630_TMYx.2007-2021.zip")</f>
        <v>https://climate.onebuilding.org/WMO_Region_6_Europe/UKR_Ukraine/VI_Vinnytska/UKR_VI_Mohyliv-Podilskyi.336630_TMYx.2007-2021.zip</v>
      </c>
    </row>
    <row r="12374" spans="1:10" x14ac:dyDescent="0.25">
      <c r="A12374" t="s">
        <v>8766</v>
      </c>
      <c r="B12374" t="s">
        <v>615</v>
      </c>
      <c r="C12374" t="s">
        <v>8886</v>
      </c>
      <c r="D12374">
        <v>336630</v>
      </c>
      <c r="E12374" t="s">
        <v>14</v>
      </c>
      <c r="F12374">
        <v>48.452500000000001</v>
      </c>
      <c r="G12374">
        <v>27.779699999999998</v>
      </c>
      <c r="H12374">
        <v>2</v>
      </c>
      <c r="I12374">
        <v>78</v>
      </c>
      <c r="J12374" t="str">
        <f>HYPERLINK("https://climate.onebuilding.org/WMO_Region_6_Europe/UKR_Ukraine/VI_Vinnytska/UKR_VI_Mohyliv-Podilskyi.336630_TMYx.2009-2023.zip")</f>
        <v>https://climate.onebuilding.org/WMO_Region_6_Europe/UKR_Ukraine/VI_Vinnytska/UKR_VI_Mohyliv-Podilskyi.336630_TMYx.2009-2023.zip</v>
      </c>
    </row>
    <row r="12375" spans="1:10" x14ac:dyDescent="0.25">
      <c r="A12375" t="s">
        <v>8766</v>
      </c>
      <c r="B12375" t="s">
        <v>615</v>
      </c>
      <c r="C12375" t="s">
        <v>8886</v>
      </c>
      <c r="D12375">
        <v>336630</v>
      </c>
      <c r="E12375" t="s">
        <v>14</v>
      </c>
      <c r="F12375">
        <v>48.452500000000001</v>
      </c>
      <c r="G12375">
        <v>27.779699999999998</v>
      </c>
      <c r="H12375">
        <v>2</v>
      </c>
      <c r="I12375">
        <v>78</v>
      </c>
      <c r="J12375" t="str">
        <f>HYPERLINK("https://climate.onebuilding.org/WMO_Region_6_Europe/UKR_Ukraine/VI_Vinnytska/UKR_VI_Mohyliv-Podilskyi.336630_TMYx.zip")</f>
        <v>https://climate.onebuilding.org/WMO_Region_6_Europe/UKR_Ukraine/VI_Vinnytska/UKR_VI_Mohyliv-Podilskyi.336630_TMYx.zip</v>
      </c>
    </row>
    <row r="12376" spans="1:10" x14ac:dyDescent="0.25">
      <c r="A12376" t="s">
        <v>8766</v>
      </c>
      <c r="B12376" t="s">
        <v>615</v>
      </c>
      <c r="C12376" t="s">
        <v>8888</v>
      </c>
      <c r="D12376">
        <v>336760</v>
      </c>
      <c r="E12376" t="s">
        <v>14</v>
      </c>
      <c r="F12376">
        <v>48.332999999999998</v>
      </c>
      <c r="G12376">
        <v>28.75</v>
      </c>
      <c r="H12376">
        <v>2</v>
      </c>
      <c r="I12376">
        <v>229</v>
      </c>
      <c r="J12376" t="str">
        <f>HYPERLINK("https://climate.onebuilding.org/WMO_Region_6_Europe/UKR_Ukraine/VI_Vinnytska/UKR_VI_Haryachkivka-Goryachkovka.336760_TMYx.zip")</f>
        <v>https://climate.onebuilding.org/WMO_Region_6_Europe/UKR_Ukraine/VI_Vinnytska/UKR_VI_Haryachkivka-Goryachkovka.336760_TMYx.zip</v>
      </c>
    </row>
    <row r="12377" spans="1:10" x14ac:dyDescent="0.25">
      <c r="A12377" t="s">
        <v>8766</v>
      </c>
      <c r="B12377" t="s">
        <v>2321</v>
      </c>
      <c r="C12377" t="s">
        <v>8889</v>
      </c>
      <c r="D12377">
        <v>336860</v>
      </c>
      <c r="E12377" t="s">
        <v>14</v>
      </c>
      <c r="F12377">
        <v>48.35</v>
      </c>
      <c r="G12377">
        <v>29.85</v>
      </c>
      <c r="H12377">
        <v>2</v>
      </c>
      <c r="I12377">
        <v>150</v>
      </c>
      <c r="J12377" t="str">
        <f>HYPERLINK("https://climate.onebuilding.org/WMO_Region_6_Europe/UKR_Ukraine/KH_Kirovohradska/UKR_KH_Haivoron.336860_TMYx.2007-2021.zip")</f>
        <v>https://climate.onebuilding.org/WMO_Region_6_Europe/UKR_Ukraine/KH_Kirovohradska/UKR_KH_Haivoron.336860_TMYx.2007-2021.zip</v>
      </c>
    </row>
    <row r="12378" spans="1:10" x14ac:dyDescent="0.25">
      <c r="A12378" t="s">
        <v>8766</v>
      </c>
      <c r="B12378" t="s">
        <v>2321</v>
      </c>
      <c r="C12378" t="s">
        <v>8889</v>
      </c>
      <c r="D12378">
        <v>336860</v>
      </c>
      <c r="E12378" t="s">
        <v>14</v>
      </c>
      <c r="F12378">
        <v>48.35</v>
      </c>
      <c r="G12378">
        <v>29.85</v>
      </c>
      <c r="H12378">
        <v>2</v>
      </c>
      <c r="I12378">
        <v>150</v>
      </c>
      <c r="J12378" t="str">
        <f>HYPERLINK("https://climate.onebuilding.org/WMO_Region_6_Europe/UKR_Ukraine/KH_Kirovohradska/UKR_KH_Haivoron.336860_TMYx.2009-2023.zip")</f>
        <v>https://climate.onebuilding.org/WMO_Region_6_Europe/UKR_Ukraine/KH_Kirovohradska/UKR_KH_Haivoron.336860_TMYx.2009-2023.zip</v>
      </c>
    </row>
    <row r="12379" spans="1:10" x14ac:dyDescent="0.25">
      <c r="A12379" t="s">
        <v>8766</v>
      </c>
      <c r="B12379" t="s">
        <v>2321</v>
      </c>
      <c r="C12379" t="s">
        <v>8889</v>
      </c>
      <c r="D12379">
        <v>336860</v>
      </c>
      <c r="E12379" t="s">
        <v>14</v>
      </c>
      <c r="F12379">
        <v>48.35</v>
      </c>
      <c r="G12379">
        <v>29.85</v>
      </c>
      <c r="H12379">
        <v>2</v>
      </c>
      <c r="I12379">
        <v>150</v>
      </c>
      <c r="J12379" t="str">
        <f>HYPERLINK("https://climate.onebuilding.org/WMO_Region_6_Europe/UKR_Ukraine/KH_Kirovohradska/UKR_KH_Haivoron.336860_TMYx.zip")</f>
        <v>https://climate.onebuilding.org/WMO_Region_6_Europe/UKR_Ukraine/KH_Kirovohradska/UKR_KH_Haivoron.336860_TMYx.zip</v>
      </c>
    </row>
    <row r="12380" spans="1:10" x14ac:dyDescent="0.25">
      <c r="A12380" t="s">
        <v>8766</v>
      </c>
      <c r="B12380" t="s">
        <v>8890</v>
      </c>
      <c r="C12380" t="s">
        <v>8891</v>
      </c>
      <c r="D12380">
        <v>336990</v>
      </c>
      <c r="E12380" t="s">
        <v>14</v>
      </c>
      <c r="F12380">
        <v>48.052500000000002</v>
      </c>
      <c r="G12380">
        <v>30.8581</v>
      </c>
      <c r="H12380">
        <v>2</v>
      </c>
      <c r="I12380">
        <v>103</v>
      </c>
      <c r="J12380" t="str">
        <f>HYPERLINK("https://climate.onebuilding.org/WMO_Region_6_Europe/UKR_Ukraine/MY_Mykolaivska/UKR_MY_Pervomaisk.336990_TMYx.zip")</f>
        <v>https://climate.onebuilding.org/WMO_Region_6_Europe/UKR_Ukraine/MY_Mykolaivska/UKR_MY_Pervomaisk.336990_TMYx.zip</v>
      </c>
    </row>
    <row r="12381" spans="1:10" x14ac:dyDescent="0.25">
      <c r="A12381" t="s">
        <v>8766</v>
      </c>
      <c r="B12381" t="s">
        <v>2321</v>
      </c>
      <c r="C12381" t="s">
        <v>8892</v>
      </c>
      <c r="D12381">
        <v>337050</v>
      </c>
      <c r="E12381" t="s">
        <v>14</v>
      </c>
      <c r="F12381">
        <v>48.232500000000002</v>
      </c>
      <c r="G12381">
        <v>31.395800000000001</v>
      </c>
      <c r="H12381">
        <v>2</v>
      </c>
      <c r="I12381">
        <v>211</v>
      </c>
      <c r="J12381" t="str">
        <f>HYPERLINK("https://climate.onebuilding.org/WMO_Region_6_Europe/UKR_Ukraine/KH_Kirovohradska/UKR_KH_Pomichna.337050_TMYx.zip")</f>
        <v>https://climate.onebuilding.org/WMO_Region_6_Europe/UKR_Ukraine/KH_Kirovohradska/UKR_KH_Pomichna.337050_TMYx.zip</v>
      </c>
    </row>
    <row r="12382" spans="1:10" x14ac:dyDescent="0.25">
      <c r="A12382" t="s">
        <v>8766</v>
      </c>
      <c r="B12382" t="s">
        <v>2321</v>
      </c>
      <c r="C12382" t="s">
        <v>8893</v>
      </c>
      <c r="D12382">
        <v>337110</v>
      </c>
      <c r="E12382" t="s">
        <v>8894</v>
      </c>
      <c r="F12382">
        <v>48.543599999999998</v>
      </c>
      <c r="G12382">
        <v>32.283299999999997</v>
      </c>
      <c r="H12382">
        <v>2</v>
      </c>
      <c r="I12382">
        <v>171</v>
      </c>
      <c r="J12382" t="str">
        <f>HYPERLINK("https://climate.onebuilding.org/WMO_Region_6_Europe/UKR_Ukraine/KH_Kirovohradska/UKR_KH_Kirovohrad.AP.337110_TMYx.2004-2018.zip")</f>
        <v>https://climate.onebuilding.org/WMO_Region_6_Europe/UKR_Ukraine/KH_Kirovohradska/UKR_KH_Kirovohrad.AP.337110_TMYx.2004-2018.zip</v>
      </c>
    </row>
    <row r="12383" spans="1:10" x14ac:dyDescent="0.25">
      <c r="A12383" t="s">
        <v>8766</v>
      </c>
      <c r="B12383" t="s">
        <v>2321</v>
      </c>
      <c r="C12383" t="s">
        <v>8893</v>
      </c>
      <c r="D12383">
        <v>337110</v>
      </c>
      <c r="E12383" t="s">
        <v>14</v>
      </c>
      <c r="F12383">
        <v>48.543599999999998</v>
      </c>
      <c r="G12383">
        <v>32.283299999999997</v>
      </c>
      <c r="H12383">
        <v>2</v>
      </c>
      <c r="I12383">
        <v>171</v>
      </c>
      <c r="J12383" t="str">
        <f>HYPERLINK("https://climate.onebuilding.org/WMO_Region_6_Europe/UKR_Ukraine/KH_Kirovohradska/UKR_KH_Kirovohrad.AP.337110_TMYx.2007-2021.zip")</f>
        <v>https://climate.onebuilding.org/WMO_Region_6_Europe/UKR_Ukraine/KH_Kirovohradska/UKR_KH_Kirovohrad.AP.337110_TMYx.2007-2021.zip</v>
      </c>
    </row>
    <row r="12384" spans="1:10" x14ac:dyDescent="0.25">
      <c r="A12384" t="s">
        <v>8766</v>
      </c>
      <c r="B12384" t="s">
        <v>2321</v>
      </c>
      <c r="C12384" t="s">
        <v>8893</v>
      </c>
      <c r="D12384">
        <v>337110</v>
      </c>
      <c r="E12384" t="s">
        <v>14</v>
      </c>
      <c r="F12384">
        <v>48.543599999999998</v>
      </c>
      <c r="G12384">
        <v>32.283299999999997</v>
      </c>
      <c r="H12384">
        <v>2</v>
      </c>
      <c r="I12384">
        <v>171</v>
      </c>
      <c r="J12384" t="str">
        <f>HYPERLINK("https://climate.onebuilding.org/WMO_Region_6_Europe/UKR_Ukraine/KH_Kirovohradska/UKR_KH_Kirovohrad.AP.337110_TMYx.2009-2023.zip")</f>
        <v>https://climate.onebuilding.org/WMO_Region_6_Europe/UKR_Ukraine/KH_Kirovohradska/UKR_KH_Kirovohrad.AP.337110_TMYx.2009-2023.zip</v>
      </c>
    </row>
    <row r="12385" spans="1:10" x14ac:dyDescent="0.25">
      <c r="A12385" t="s">
        <v>8766</v>
      </c>
      <c r="B12385" t="s">
        <v>2321</v>
      </c>
      <c r="C12385" t="s">
        <v>8893</v>
      </c>
      <c r="D12385">
        <v>337110</v>
      </c>
      <c r="E12385" t="s">
        <v>14</v>
      </c>
      <c r="F12385">
        <v>48.543599999999998</v>
      </c>
      <c r="G12385">
        <v>32.283299999999997</v>
      </c>
      <c r="H12385">
        <v>2</v>
      </c>
      <c r="I12385">
        <v>171</v>
      </c>
      <c r="J12385" t="str">
        <f>HYPERLINK("https://climate.onebuilding.org/WMO_Region_6_Europe/UKR_Ukraine/KH_Kirovohradska/UKR_KH_Kirovohrad.AP.337110_TMYx.zip")</f>
        <v>https://climate.onebuilding.org/WMO_Region_6_Europe/UKR_Ukraine/KH_Kirovohradska/UKR_KH_Kirovohrad.AP.337110_TMYx.zip</v>
      </c>
    </row>
    <row r="12386" spans="1:10" x14ac:dyDescent="0.25">
      <c r="A12386" t="s">
        <v>8766</v>
      </c>
      <c r="B12386" t="s">
        <v>2321</v>
      </c>
      <c r="C12386" t="s">
        <v>8895</v>
      </c>
      <c r="D12386">
        <v>337170</v>
      </c>
      <c r="E12386" t="s">
        <v>14</v>
      </c>
      <c r="F12386">
        <v>48.069200000000002</v>
      </c>
      <c r="G12386">
        <v>32.167499999999997</v>
      </c>
      <c r="H12386">
        <v>2</v>
      </c>
      <c r="I12386">
        <v>143</v>
      </c>
      <c r="J12386" t="str">
        <f>HYPERLINK("https://climate.onebuilding.org/WMO_Region_6_Europe/UKR_Ukraine/KH_Kirovohradska/UKR_KH_Bobrynets.337170_TMYx.2007-2021.zip")</f>
        <v>https://climate.onebuilding.org/WMO_Region_6_Europe/UKR_Ukraine/KH_Kirovohradska/UKR_KH_Bobrynets.337170_TMYx.2007-2021.zip</v>
      </c>
    </row>
    <row r="12387" spans="1:10" x14ac:dyDescent="0.25">
      <c r="A12387" t="s">
        <v>8766</v>
      </c>
      <c r="B12387" t="s">
        <v>2321</v>
      </c>
      <c r="C12387" t="s">
        <v>8895</v>
      </c>
      <c r="D12387">
        <v>337170</v>
      </c>
      <c r="E12387" t="s">
        <v>14</v>
      </c>
      <c r="F12387">
        <v>48.069200000000002</v>
      </c>
      <c r="G12387">
        <v>32.167499999999997</v>
      </c>
      <c r="H12387">
        <v>2</v>
      </c>
      <c r="I12387">
        <v>143</v>
      </c>
      <c r="J12387" t="str">
        <f>HYPERLINK("https://climate.onebuilding.org/WMO_Region_6_Europe/UKR_Ukraine/KH_Kirovohradska/UKR_KH_Bobrynets.337170_TMYx.2009-2023.zip")</f>
        <v>https://climate.onebuilding.org/WMO_Region_6_Europe/UKR_Ukraine/KH_Kirovohradska/UKR_KH_Bobrynets.337170_TMYx.2009-2023.zip</v>
      </c>
    </row>
    <row r="12388" spans="1:10" x14ac:dyDescent="0.25">
      <c r="A12388" t="s">
        <v>8766</v>
      </c>
      <c r="B12388" t="s">
        <v>2321</v>
      </c>
      <c r="C12388" t="s">
        <v>8895</v>
      </c>
      <c r="D12388">
        <v>337170</v>
      </c>
      <c r="E12388" t="s">
        <v>14</v>
      </c>
      <c r="F12388">
        <v>48.069200000000002</v>
      </c>
      <c r="G12388">
        <v>32.167499999999997</v>
      </c>
      <c r="H12388">
        <v>2</v>
      </c>
      <c r="I12388">
        <v>143</v>
      </c>
      <c r="J12388" t="str">
        <f>HYPERLINK("https://climate.onebuilding.org/WMO_Region_6_Europe/UKR_Ukraine/KH_Kirovohradska/UKR_KH_Bobrynets.337170_TMYx.zip")</f>
        <v>https://climate.onebuilding.org/WMO_Region_6_Europe/UKR_Ukraine/KH_Kirovohradska/UKR_KH_Bobrynets.337170_TMYx.zip</v>
      </c>
    </row>
    <row r="12389" spans="1:10" x14ac:dyDescent="0.25">
      <c r="A12389" t="s">
        <v>8766</v>
      </c>
      <c r="B12389" t="s">
        <v>8791</v>
      </c>
      <c r="C12389" t="s">
        <v>8896</v>
      </c>
      <c r="D12389">
        <v>337230</v>
      </c>
      <c r="E12389" t="s">
        <v>14</v>
      </c>
      <c r="F12389">
        <v>48.44</v>
      </c>
      <c r="G12389">
        <v>33.900599999999997</v>
      </c>
      <c r="H12389">
        <v>2</v>
      </c>
      <c r="I12389">
        <v>118</v>
      </c>
      <c r="J12389" t="str">
        <f>HYPERLINK("https://climate.onebuilding.org/WMO_Region_6_Europe/UKR_Ukraine/KV_Kiev/UKR_KV_Komisarivka.337230_TMYx.2007-2021.zip")</f>
        <v>https://climate.onebuilding.org/WMO_Region_6_Europe/UKR_Ukraine/KV_Kiev/UKR_KV_Komisarivka.337230_TMYx.2007-2021.zip</v>
      </c>
    </row>
    <row r="12390" spans="1:10" x14ac:dyDescent="0.25">
      <c r="A12390" t="s">
        <v>8766</v>
      </c>
      <c r="B12390" t="s">
        <v>8791</v>
      </c>
      <c r="C12390" t="s">
        <v>8896</v>
      </c>
      <c r="D12390">
        <v>337230</v>
      </c>
      <c r="E12390" t="s">
        <v>14</v>
      </c>
      <c r="F12390">
        <v>48.44</v>
      </c>
      <c r="G12390">
        <v>33.900599999999997</v>
      </c>
      <c r="H12390">
        <v>2</v>
      </c>
      <c r="I12390">
        <v>118</v>
      </c>
      <c r="J12390" t="str">
        <f>HYPERLINK("https://climate.onebuilding.org/WMO_Region_6_Europe/UKR_Ukraine/KV_Kiev/UKR_KV_Komisarivka.337230_TMYx.2009-2023.zip")</f>
        <v>https://climate.onebuilding.org/WMO_Region_6_Europe/UKR_Ukraine/KV_Kiev/UKR_KV_Komisarivka.337230_TMYx.2009-2023.zip</v>
      </c>
    </row>
    <row r="12391" spans="1:10" x14ac:dyDescent="0.25">
      <c r="A12391" t="s">
        <v>8766</v>
      </c>
      <c r="B12391" t="s">
        <v>8791</v>
      </c>
      <c r="C12391" t="s">
        <v>8896</v>
      </c>
      <c r="D12391">
        <v>337230</v>
      </c>
      <c r="E12391" t="s">
        <v>14</v>
      </c>
      <c r="F12391">
        <v>48.44</v>
      </c>
      <c r="G12391">
        <v>33.900599999999997</v>
      </c>
      <c r="H12391">
        <v>2</v>
      </c>
      <c r="I12391">
        <v>118</v>
      </c>
      <c r="J12391" t="str">
        <f>HYPERLINK("https://climate.onebuilding.org/WMO_Region_6_Europe/UKR_Ukraine/KV_Kiev/UKR_KV_Komisarivka.337230_TMYx.zip")</f>
        <v>https://climate.onebuilding.org/WMO_Region_6_Europe/UKR_Ukraine/KV_Kiev/UKR_KV_Komisarivka.337230_TMYx.zip</v>
      </c>
    </row>
    <row r="12392" spans="1:10" x14ac:dyDescent="0.25">
      <c r="A12392" t="s">
        <v>8766</v>
      </c>
      <c r="B12392" t="s">
        <v>8897</v>
      </c>
      <c r="C12392" t="s">
        <v>8898</v>
      </c>
      <c r="D12392">
        <v>337590</v>
      </c>
      <c r="E12392" t="s">
        <v>14</v>
      </c>
      <c r="F12392">
        <v>47.332999999999998</v>
      </c>
      <c r="G12392">
        <v>29.882999999999999</v>
      </c>
      <c r="H12392">
        <v>2</v>
      </c>
      <c r="I12392">
        <v>191</v>
      </c>
      <c r="J12392" t="str">
        <f>HYPERLINK("https://climate.onebuilding.org/WMO_Region_6_Europe/UKR_Ukraine/OD_Odessa/UKR_OD_Zatyshshya.337590_TMYx.zip")</f>
        <v>https://climate.onebuilding.org/WMO_Region_6_Europe/UKR_Ukraine/OD_Odessa/UKR_OD_Zatyshshya.337590_TMYx.zip</v>
      </c>
    </row>
    <row r="12393" spans="1:10" x14ac:dyDescent="0.25">
      <c r="A12393" t="s">
        <v>8766</v>
      </c>
      <c r="B12393" t="s">
        <v>8897</v>
      </c>
      <c r="C12393" t="s">
        <v>8899</v>
      </c>
      <c r="D12393">
        <v>337610</v>
      </c>
      <c r="E12393" t="s">
        <v>8900</v>
      </c>
      <c r="F12393">
        <v>47.8508</v>
      </c>
      <c r="G12393">
        <v>30.2683</v>
      </c>
      <c r="H12393">
        <v>2</v>
      </c>
      <c r="I12393">
        <v>183</v>
      </c>
      <c r="J12393" t="str">
        <f>HYPERLINK("https://climate.onebuilding.org/WMO_Region_6_Europe/UKR_Ukraine/OD_Odessa/UKR_OD_Lyubashivka.337610_TMYx.2004-2018.zip")</f>
        <v>https://climate.onebuilding.org/WMO_Region_6_Europe/UKR_Ukraine/OD_Odessa/UKR_OD_Lyubashivka.337610_TMYx.2004-2018.zip</v>
      </c>
    </row>
    <row r="12394" spans="1:10" x14ac:dyDescent="0.25">
      <c r="A12394" t="s">
        <v>8766</v>
      </c>
      <c r="B12394" t="s">
        <v>8897</v>
      </c>
      <c r="C12394" t="s">
        <v>8899</v>
      </c>
      <c r="D12394">
        <v>337610</v>
      </c>
      <c r="E12394" t="s">
        <v>14</v>
      </c>
      <c r="F12394">
        <v>47.8508</v>
      </c>
      <c r="G12394">
        <v>30.2683</v>
      </c>
      <c r="H12394">
        <v>2</v>
      </c>
      <c r="I12394">
        <v>183</v>
      </c>
      <c r="J12394" t="str">
        <f>HYPERLINK("https://climate.onebuilding.org/WMO_Region_6_Europe/UKR_Ukraine/OD_Odessa/UKR_OD_Lyubashivka.337610_TMYx.2007-2021.zip")</f>
        <v>https://climate.onebuilding.org/WMO_Region_6_Europe/UKR_Ukraine/OD_Odessa/UKR_OD_Lyubashivka.337610_TMYx.2007-2021.zip</v>
      </c>
    </row>
    <row r="12395" spans="1:10" x14ac:dyDescent="0.25">
      <c r="A12395" t="s">
        <v>8766</v>
      </c>
      <c r="B12395" t="s">
        <v>8897</v>
      </c>
      <c r="C12395" t="s">
        <v>8899</v>
      </c>
      <c r="D12395">
        <v>337610</v>
      </c>
      <c r="E12395" t="s">
        <v>14</v>
      </c>
      <c r="F12395">
        <v>47.8508</v>
      </c>
      <c r="G12395">
        <v>30.2683</v>
      </c>
      <c r="H12395">
        <v>2</v>
      </c>
      <c r="I12395">
        <v>183</v>
      </c>
      <c r="J12395" t="str">
        <f>HYPERLINK("https://climate.onebuilding.org/WMO_Region_6_Europe/UKR_Ukraine/OD_Odessa/UKR_OD_Lyubashivka.337610_TMYx.2009-2023.zip")</f>
        <v>https://climate.onebuilding.org/WMO_Region_6_Europe/UKR_Ukraine/OD_Odessa/UKR_OD_Lyubashivka.337610_TMYx.2009-2023.zip</v>
      </c>
    </row>
    <row r="12396" spans="1:10" x14ac:dyDescent="0.25">
      <c r="A12396" t="s">
        <v>8766</v>
      </c>
      <c r="B12396" t="s">
        <v>8897</v>
      </c>
      <c r="C12396" t="s">
        <v>8899</v>
      </c>
      <c r="D12396">
        <v>337610</v>
      </c>
      <c r="E12396" t="s">
        <v>14</v>
      </c>
      <c r="F12396">
        <v>47.8508</v>
      </c>
      <c r="G12396">
        <v>30.2683</v>
      </c>
      <c r="H12396">
        <v>2</v>
      </c>
      <c r="I12396">
        <v>183</v>
      </c>
      <c r="J12396" t="str">
        <f>HYPERLINK("https://climate.onebuilding.org/WMO_Region_6_Europe/UKR_Ukraine/OD_Odessa/UKR_OD_Lyubashivka.337610_TMYx.zip")</f>
        <v>https://climate.onebuilding.org/WMO_Region_6_Europe/UKR_Ukraine/OD_Odessa/UKR_OD_Lyubashivka.337610_TMYx.zip</v>
      </c>
    </row>
    <row r="12397" spans="1:10" x14ac:dyDescent="0.25">
      <c r="A12397" t="s">
        <v>8766</v>
      </c>
      <c r="B12397" t="s">
        <v>8890</v>
      </c>
      <c r="C12397" t="s">
        <v>8901</v>
      </c>
      <c r="D12397">
        <v>337770</v>
      </c>
      <c r="E12397" t="s">
        <v>14</v>
      </c>
      <c r="F12397">
        <v>47.582500000000003</v>
      </c>
      <c r="G12397">
        <v>31.32</v>
      </c>
      <c r="H12397">
        <v>2</v>
      </c>
      <c r="I12397">
        <v>34</v>
      </c>
      <c r="J12397" t="str">
        <f>HYPERLINK("https://climate.onebuilding.org/WMO_Region_6_Europe/UKR_Ukraine/MY_Mykolaivska/UKR_MY_Voznesensk.337770_TMYx.2007-2021.zip")</f>
        <v>https://climate.onebuilding.org/WMO_Region_6_Europe/UKR_Ukraine/MY_Mykolaivska/UKR_MY_Voznesensk.337770_TMYx.2007-2021.zip</v>
      </c>
    </row>
    <row r="12398" spans="1:10" x14ac:dyDescent="0.25">
      <c r="A12398" t="s">
        <v>8766</v>
      </c>
      <c r="B12398" t="s">
        <v>8890</v>
      </c>
      <c r="C12398" t="s">
        <v>8901</v>
      </c>
      <c r="D12398">
        <v>337770</v>
      </c>
      <c r="E12398" t="s">
        <v>14</v>
      </c>
      <c r="F12398">
        <v>47.582500000000003</v>
      </c>
      <c r="G12398">
        <v>31.32</v>
      </c>
      <c r="H12398">
        <v>2</v>
      </c>
      <c r="I12398">
        <v>34</v>
      </c>
      <c r="J12398" t="str">
        <f>HYPERLINK("https://climate.onebuilding.org/WMO_Region_6_Europe/UKR_Ukraine/MY_Mykolaivska/UKR_MY_Voznesensk.337770_TMYx.2009-2023.zip")</f>
        <v>https://climate.onebuilding.org/WMO_Region_6_Europe/UKR_Ukraine/MY_Mykolaivska/UKR_MY_Voznesensk.337770_TMYx.2009-2023.zip</v>
      </c>
    </row>
    <row r="12399" spans="1:10" x14ac:dyDescent="0.25">
      <c r="A12399" t="s">
        <v>8766</v>
      </c>
      <c r="B12399" t="s">
        <v>8890</v>
      </c>
      <c r="C12399" t="s">
        <v>8901</v>
      </c>
      <c r="D12399">
        <v>337770</v>
      </c>
      <c r="E12399" t="s">
        <v>14</v>
      </c>
      <c r="F12399">
        <v>47.582500000000003</v>
      </c>
      <c r="G12399">
        <v>31.32</v>
      </c>
      <c r="H12399">
        <v>2</v>
      </c>
      <c r="I12399">
        <v>34</v>
      </c>
      <c r="J12399" t="str">
        <f>HYPERLINK("https://climate.onebuilding.org/WMO_Region_6_Europe/UKR_Ukraine/MY_Mykolaivska/UKR_MY_Voznesensk.337770_TMYx.zip")</f>
        <v>https://climate.onebuilding.org/WMO_Region_6_Europe/UKR_Ukraine/MY_Mykolaivska/UKR_MY_Voznesensk.337770_TMYx.zip</v>
      </c>
    </row>
    <row r="12400" spans="1:10" x14ac:dyDescent="0.25">
      <c r="A12400" t="s">
        <v>8766</v>
      </c>
      <c r="B12400" t="s">
        <v>8890</v>
      </c>
      <c r="C12400" t="s">
        <v>8902</v>
      </c>
      <c r="D12400">
        <v>337880</v>
      </c>
      <c r="E12400" t="s">
        <v>14</v>
      </c>
      <c r="F12400">
        <v>47.417000000000002</v>
      </c>
      <c r="G12400">
        <v>32.466999999999999</v>
      </c>
      <c r="H12400">
        <v>2</v>
      </c>
      <c r="I12400">
        <v>84</v>
      </c>
      <c r="J12400" t="str">
        <f>HYPERLINK("https://climate.onebuilding.org/WMO_Region_6_Europe/UKR_Ukraine/MY_Mykolaivska/UKR_MY_Bashtanka.337880_TMYx.zip")</f>
        <v>https://climate.onebuilding.org/WMO_Region_6_Europe/UKR_Ukraine/MY_Mykolaivska/UKR_MY_Bashtanka.337880_TMYx.zip</v>
      </c>
    </row>
    <row r="12401" spans="1:10" x14ac:dyDescent="0.25">
      <c r="A12401" t="s">
        <v>8766</v>
      </c>
      <c r="B12401" t="s">
        <v>8903</v>
      </c>
      <c r="C12401" t="s">
        <v>8904</v>
      </c>
      <c r="D12401">
        <v>337910</v>
      </c>
      <c r="E12401" t="s">
        <v>8905</v>
      </c>
      <c r="F12401">
        <v>47.908700000000003</v>
      </c>
      <c r="G12401">
        <v>33.400300000000001</v>
      </c>
      <c r="H12401">
        <v>2</v>
      </c>
      <c r="I12401">
        <v>124</v>
      </c>
      <c r="J12401" t="str">
        <f>HYPERLINK("https://climate.onebuilding.org/WMO_Region_6_Europe/UKR_Ukraine/DP_Dnipropetrovska/UKR_DP_Kryvyi.Rih-Lozuvatka.Intl.AP.337910_TMYx.2004-2018.zip")</f>
        <v>https://climate.onebuilding.org/WMO_Region_6_Europe/UKR_Ukraine/DP_Dnipropetrovska/UKR_DP_Kryvyi.Rih-Lozuvatka.Intl.AP.337910_TMYx.2004-2018.zip</v>
      </c>
    </row>
    <row r="12402" spans="1:10" x14ac:dyDescent="0.25">
      <c r="A12402" t="s">
        <v>8766</v>
      </c>
      <c r="B12402" t="s">
        <v>8903</v>
      </c>
      <c r="C12402" t="s">
        <v>8904</v>
      </c>
      <c r="D12402">
        <v>337910</v>
      </c>
      <c r="E12402" t="s">
        <v>14</v>
      </c>
      <c r="F12402">
        <v>48.053600000000003</v>
      </c>
      <c r="G12402">
        <v>33.211100000000002</v>
      </c>
      <c r="H12402">
        <v>2</v>
      </c>
      <c r="I12402">
        <v>124</v>
      </c>
      <c r="J12402" t="str">
        <f>HYPERLINK("https://climate.onebuilding.org/WMO_Region_6_Europe/UKR_Ukraine/DP_Dnipropetrovska/UKR_DP_Kryvyi.Rih-Lozuvatka.Intl.AP.337910_TMYx.2007-2021.zip")</f>
        <v>https://climate.onebuilding.org/WMO_Region_6_Europe/UKR_Ukraine/DP_Dnipropetrovska/UKR_DP_Kryvyi.Rih-Lozuvatka.Intl.AP.337910_TMYx.2007-2021.zip</v>
      </c>
    </row>
    <row r="12403" spans="1:10" x14ac:dyDescent="0.25">
      <c r="A12403" t="s">
        <v>8766</v>
      </c>
      <c r="B12403" t="s">
        <v>8903</v>
      </c>
      <c r="C12403" t="s">
        <v>8904</v>
      </c>
      <c r="D12403">
        <v>337910</v>
      </c>
      <c r="E12403" t="s">
        <v>14</v>
      </c>
      <c r="F12403">
        <v>48.053600000000003</v>
      </c>
      <c r="G12403">
        <v>33.211100000000002</v>
      </c>
      <c r="H12403">
        <v>2</v>
      </c>
      <c r="I12403">
        <v>124</v>
      </c>
      <c r="J12403" t="str">
        <f>HYPERLINK("https://climate.onebuilding.org/WMO_Region_6_Europe/UKR_Ukraine/DP_Dnipropetrovska/UKR_DP_Kryvyi.Rih-Lozuvatka.Intl.AP.337910_TMYx.2009-2023.zip")</f>
        <v>https://climate.onebuilding.org/WMO_Region_6_Europe/UKR_Ukraine/DP_Dnipropetrovska/UKR_DP_Kryvyi.Rih-Lozuvatka.Intl.AP.337910_TMYx.2009-2023.zip</v>
      </c>
    </row>
    <row r="12404" spans="1:10" x14ac:dyDescent="0.25">
      <c r="A12404" t="s">
        <v>8766</v>
      </c>
      <c r="B12404" t="s">
        <v>8903</v>
      </c>
      <c r="C12404" t="s">
        <v>8904</v>
      </c>
      <c r="D12404">
        <v>337910</v>
      </c>
      <c r="E12404" t="s">
        <v>14</v>
      </c>
      <c r="F12404">
        <v>48.053600000000003</v>
      </c>
      <c r="G12404">
        <v>33.211100000000002</v>
      </c>
      <c r="H12404">
        <v>2</v>
      </c>
      <c r="I12404">
        <v>124</v>
      </c>
      <c r="J12404" t="str">
        <f>HYPERLINK("https://climate.onebuilding.org/WMO_Region_6_Europe/UKR_Ukraine/DP_Dnipropetrovska/UKR_DP_Kryvyi.Rih-Lozuvatka.Intl.AP.337910_TMYx.zip")</f>
        <v>https://climate.onebuilding.org/WMO_Region_6_Europe/UKR_Ukraine/DP_Dnipropetrovska/UKR_DP_Kryvyi.Rih-Lozuvatka.Intl.AP.337910_TMYx.zip</v>
      </c>
    </row>
    <row r="12405" spans="1:10" x14ac:dyDescent="0.25">
      <c r="A12405" t="s">
        <v>8766</v>
      </c>
      <c r="B12405" t="s">
        <v>8903</v>
      </c>
      <c r="C12405" t="s">
        <v>8906</v>
      </c>
      <c r="D12405">
        <v>338050</v>
      </c>
      <c r="E12405" t="s">
        <v>14</v>
      </c>
      <c r="F12405">
        <v>47.592199999999998</v>
      </c>
      <c r="G12405">
        <v>34.402000000000001</v>
      </c>
      <c r="H12405">
        <v>2</v>
      </c>
      <c r="I12405">
        <v>55</v>
      </c>
      <c r="J12405" t="str">
        <f>HYPERLINK("https://climate.onebuilding.org/WMO_Region_6_Europe/UKR_Ukraine/DP_Dnipropetrovska/UKR_DP_Nikopol.338050_TMYx.zip")</f>
        <v>https://climate.onebuilding.org/WMO_Region_6_Europe/UKR_Ukraine/DP_Dnipropetrovska/UKR_DP_Nikopol.338050_TMYx.zip</v>
      </c>
    </row>
    <row r="12406" spans="1:10" x14ac:dyDescent="0.25">
      <c r="A12406" t="s">
        <v>8766</v>
      </c>
      <c r="B12406" t="s">
        <v>1209</v>
      </c>
      <c r="C12406" t="s">
        <v>8843</v>
      </c>
      <c r="D12406">
        <v>338151</v>
      </c>
      <c r="E12406" t="s">
        <v>14</v>
      </c>
      <c r="F12406">
        <v>49.417000000000002</v>
      </c>
      <c r="G12406">
        <v>31.983000000000001</v>
      </c>
      <c r="H12406">
        <v>2</v>
      </c>
      <c r="I12406">
        <v>117</v>
      </c>
      <c r="J12406" t="str">
        <f>HYPERLINK("https://climate.onebuilding.org/WMO_Region_6_Europe/UKR_Ukraine/CK_Cherkaska/UKR_CK_Cherkasy.AP.338151_TMYx.2007-2021.zip")</f>
        <v>https://climate.onebuilding.org/WMO_Region_6_Europe/UKR_Ukraine/CK_Cherkaska/UKR_CK_Cherkasy.AP.338151_TMYx.2007-2021.zip</v>
      </c>
    </row>
    <row r="12407" spans="1:10" x14ac:dyDescent="0.25">
      <c r="A12407" t="s">
        <v>8766</v>
      </c>
      <c r="B12407" t="s">
        <v>1209</v>
      </c>
      <c r="C12407" t="s">
        <v>8843</v>
      </c>
      <c r="D12407">
        <v>338151</v>
      </c>
      <c r="E12407" t="s">
        <v>14</v>
      </c>
      <c r="F12407">
        <v>49.417000000000002</v>
      </c>
      <c r="G12407">
        <v>31.983000000000001</v>
      </c>
      <c r="H12407">
        <v>2</v>
      </c>
      <c r="I12407">
        <v>117</v>
      </c>
      <c r="J12407" t="str">
        <f>HYPERLINK("https://climate.onebuilding.org/WMO_Region_6_Europe/UKR_Ukraine/CK_Cherkaska/UKR_CK_Cherkasy.AP.338151_TMYx.2009-2023.zip")</f>
        <v>https://climate.onebuilding.org/WMO_Region_6_Europe/UKR_Ukraine/CK_Cherkaska/UKR_CK_Cherkasy.AP.338151_TMYx.2009-2023.zip</v>
      </c>
    </row>
    <row r="12408" spans="1:10" x14ac:dyDescent="0.25">
      <c r="A12408" t="s">
        <v>8766</v>
      </c>
      <c r="B12408" t="s">
        <v>1209</v>
      </c>
      <c r="C12408" t="s">
        <v>8843</v>
      </c>
      <c r="D12408">
        <v>338151</v>
      </c>
      <c r="E12408" t="s">
        <v>14</v>
      </c>
      <c r="F12408">
        <v>49.417000000000002</v>
      </c>
      <c r="G12408">
        <v>31.983000000000001</v>
      </c>
      <c r="H12408">
        <v>2</v>
      </c>
      <c r="I12408">
        <v>117</v>
      </c>
      <c r="J12408" t="str">
        <f>HYPERLINK("https://climate.onebuilding.org/WMO_Region_6_Europe/UKR_Ukraine/CK_Cherkaska/UKR_CK_Cherkasy.AP.338151_TMYx.zip")</f>
        <v>https://climate.onebuilding.org/WMO_Region_6_Europe/UKR_Ukraine/CK_Cherkaska/UKR_CK_Cherkasy.AP.338151_TMYx.zip</v>
      </c>
    </row>
    <row r="12409" spans="1:10" x14ac:dyDescent="0.25">
      <c r="A12409" t="s">
        <v>8766</v>
      </c>
      <c r="B12409" t="s">
        <v>8897</v>
      </c>
      <c r="C12409" t="s">
        <v>8907</v>
      </c>
      <c r="D12409">
        <v>338330</v>
      </c>
      <c r="E12409" t="s">
        <v>14</v>
      </c>
      <c r="F12409">
        <v>47.013100000000001</v>
      </c>
      <c r="G12409">
        <v>30.751899999999999</v>
      </c>
      <c r="H12409">
        <v>2</v>
      </c>
      <c r="I12409">
        <v>73</v>
      </c>
      <c r="J12409" t="str">
        <f>HYPERLINK("https://climate.onebuilding.org/WMO_Region_6_Europe/UKR_Ukraine/OD_Odessa/UKR_OD_Serbka.338330_TMYx.zip")</f>
        <v>https://climate.onebuilding.org/WMO_Region_6_Europe/UKR_Ukraine/OD_Odessa/UKR_OD_Serbka.338330_TMYx.zip</v>
      </c>
    </row>
    <row r="12410" spans="1:10" x14ac:dyDescent="0.25">
      <c r="A12410" t="s">
        <v>8766</v>
      </c>
      <c r="B12410" t="s">
        <v>8897</v>
      </c>
      <c r="C12410" t="s">
        <v>8908</v>
      </c>
      <c r="D12410">
        <v>338340</v>
      </c>
      <c r="E12410" t="s">
        <v>14</v>
      </c>
      <c r="F12410">
        <v>46.850299999999997</v>
      </c>
      <c r="G12410">
        <v>30.070799999999998</v>
      </c>
      <c r="H12410">
        <v>2</v>
      </c>
      <c r="I12410">
        <v>148</v>
      </c>
      <c r="J12410" t="str">
        <f>HYPERLINK("https://climate.onebuilding.org/WMO_Region_6_Europe/UKR_Ukraine/OD_Odessa/UKR_OD_Rozdilna.338340_TMYx.zip")</f>
        <v>https://climate.onebuilding.org/WMO_Region_6_Europe/UKR_Ukraine/OD_Odessa/UKR_OD_Rozdilna.338340_TMYx.zip</v>
      </c>
    </row>
    <row r="12411" spans="1:10" x14ac:dyDescent="0.25">
      <c r="A12411" t="s">
        <v>8766</v>
      </c>
      <c r="B12411" t="s">
        <v>8897</v>
      </c>
      <c r="C12411" t="s">
        <v>8909</v>
      </c>
      <c r="D12411">
        <v>338370</v>
      </c>
      <c r="E12411" t="s">
        <v>8910</v>
      </c>
      <c r="F12411">
        <v>46.440800000000003</v>
      </c>
      <c r="G12411">
        <v>30.770299999999999</v>
      </c>
      <c r="H12411">
        <v>2</v>
      </c>
      <c r="I12411">
        <v>43</v>
      </c>
      <c r="J12411" t="str">
        <f>HYPERLINK("https://climate.onebuilding.org/WMO_Region_6_Europe/UKR_Ukraine/OD_Odessa/UKR_OD_Odessa.338370_TMYx.2004-2018.zip")</f>
        <v>https://climate.onebuilding.org/WMO_Region_6_Europe/UKR_Ukraine/OD_Odessa/UKR_OD_Odessa.338370_TMYx.2004-2018.zip</v>
      </c>
    </row>
    <row r="12412" spans="1:10" x14ac:dyDescent="0.25">
      <c r="A12412" t="s">
        <v>8766</v>
      </c>
      <c r="B12412" t="s">
        <v>8897</v>
      </c>
      <c r="C12412" t="s">
        <v>8909</v>
      </c>
      <c r="D12412">
        <v>338370</v>
      </c>
      <c r="E12412" t="s">
        <v>14</v>
      </c>
      <c r="F12412">
        <v>46.440800000000003</v>
      </c>
      <c r="G12412">
        <v>30.770299999999999</v>
      </c>
      <c r="H12412">
        <v>2</v>
      </c>
      <c r="I12412">
        <v>43</v>
      </c>
      <c r="J12412" t="str">
        <f>HYPERLINK("https://climate.onebuilding.org/WMO_Region_6_Europe/UKR_Ukraine/OD_Odessa/UKR_OD_Odessa.338370_TMYx.2007-2021.zip")</f>
        <v>https://climate.onebuilding.org/WMO_Region_6_Europe/UKR_Ukraine/OD_Odessa/UKR_OD_Odessa.338370_TMYx.2007-2021.zip</v>
      </c>
    </row>
    <row r="12413" spans="1:10" x14ac:dyDescent="0.25">
      <c r="A12413" t="s">
        <v>8766</v>
      </c>
      <c r="B12413" t="s">
        <v>8897</v>
      </c>
      <c r="C12413" t="s">
        <v>8909</v>
      </c>
      <c r="D12413">
        <v>338370</v>
      </c>
      <c r="E12413" t="s">
        <v>14</v>
      </c>
      <c r="F12413">
        <v>46.440800000000003</v>
      </c>
      <c r="G12413">
        <v>30.770299999999999</v>
      </c>
      <c r="H12413">
        <v>2</v>
      </c>
      <c r="I12413">
        <v>43</v>
      </c>
      <c r="J12413" t="str">
        <f>HYPERLINK("https://climate.onebuilding.org/WMO_Region_6_Europe/UKR_Ukraine/OD_Odessa/UKR_OD_Odessa.338370_TMYx.2009-2023.zip")</f>
        <v>https://climate.onebuilding.org/WMO_Region_6_Europe/UKR_Ukraine/OD_Odessa/UKR_OD_Odessa.338370_TMYx.2009-2023.zip</v>
      </c>
    </row>
    <row r="12414" spans="1:10" x14ac:dyDescent="0.25">
      <c r="A12414" t="s">
        <v>8766</v>
      </c>
      <c r="B12414" t="s">
        <v>8897</v>
      </c>
      <c r="C12414" t="s">
        <v>8909</v>
      </c>
      <c r="D12414">
        <v>338370</v>
      </c>
      <c r="E12414" t="s">
        <v>14</v>
      </c>
      <c r="F12414">
        <v>46.440800000000003</v>
      </c>
      <c r="G12414">
        <v>30.770299999999999</v>
      </c>
      <c r="H12414">
        <v>2</v>
      </c>
      <c r="I12414">
        <v>43</v>
      </c>
      <c r="J12414" t="str">
        <f>HYPERLINK("https://climate.onebuilding.org/WMO_Region_6_Europe/UKR_Ukraine/OD_Odessa/UKR_OD_Odessa.338370_TMYx.zip")</f>
        <v>https://climate.onebuilding.org/WMO_Region_6_Europe/UKR_Ukraine/OD_Odessa/UKR_OD_Odessa.338370_TMYx.zip</v>
      </c>
    </row>
    <row r="12415" spans="1:10" x14ac:dyDescent="0.25">
      <c r="A12415" t="s">
        <v>8766</v>
      </c>
      <c r="B12415" t="s">
        <v>8911</v>
      </c>
      <c r="C12415" t="s">
        <v>8912</v>
      </c>
      <c r="D12415">
        <v>338390</v>
      </c>
      <c r="E12415" t="s">
        <v>14</v>
      </c>
      <c r="F12415">
        <v>46.667000000000002</v>
      </c>
      <c r="G12415">
        <v>30.882999999999999</v>
      </c>
      <c r="H12415">
        <v>2</v>
      </c>
      <c r="I12415">
        <v>21</v>
      </c>
      <c r="J12415" t="str">
        <f>HYPERLINK("https://climate.onebuilding.org/WMO_Region_6_Europe/UKR_Ukraine/DT_Donetska/UKR_DT_Sverdlovo.338390_TMYx.zip")</f>
        <v>https://climate.onebuilding.org/WMO_Region_6_Europe/UKR_Ukraine/DT_Donetska/UKR_DT_Sverdlovo.338390_TMYx.zip</v>
      </c>
    </row>
    <row r="12416" spans="1:10" x14ac:dyDescent="0.25">
      <c r="A12416" t="s">
        <v>8766</v>
      </c>
      <c r="B12416" t="s">
        <v>8890</v>
      </c>
      <c r="C12416" t="s">
        <v>8913</v>
      </c>
      <c r="D12416">
        <v>338450</v>
      </c>
      <c r="E12416" t="s">
        <v>14</v>
      </c>
      <c r="F12416">
        <v>46.856400000000001</v>
      </c>
      <c r="G12416">
        <v>31.389500000000002</v>
      </c>
      <c r="H12416">
        <v>2</v>
      </c>
      <c r="I12416">
        <v>22</v>
      </c>
      <c r="J12416" t="str">
        <f>HYPERLINK("https://climate.onebuilding.org/WMO_Region_6_Europe/UKR_Ukraine/MY_Mykolaivska/UKR_MY_Berezanka.338450_TMYx.zip")</f>
        <v>https://climate.onebuilding.org/WMO_Region_6_Europe/UKR_Ukraine/MY_Mykolaivska/UKR_MY_Berezanka.338450_TMYx.zip</v>
      </c>
    </row>
    <row r="12417" spans="1:10" x14ac:dyDescent="0.25">
      <c r="A12417" t="s">
        <v>8766</v>
      </c>
      <c r="B12417" t="s">
        <v>8890</v>
      </c>
      <c r="C12417" t="s">
        <v>8914</v>
      </c>
      <c r="D12417">
        <v>338460</v>
      </c>
      <c r="E12417" t="s">
        <v>8915</v>
      </c>
      <c r="F12417">
        <v>47.054400000000001</v>
      </c>
      <c r="G12417">
        <v>31.909400000000002</v>
      </c>
      <c r="H12417">
        <v>2</v>
      </c>
      <c r="I12417">
        <v>50</v>
      </c>
      <c r="J12417" t="str">
        <f>HYPERLINK("https://climate.onebuilding.org/WMO_Region_6_Europe/UKR_Ukraine/MY_Mykolaivska/UKR_MY_Mykolaiv.AP.338460_TMYx.2004-2018.zip")</f>
        <v>https://climate.onebuilding.org/WMO_Region_6_Europe/UKR_Ukraine/MY_Mykolaivska/UKR_MY_Mykolaiv.AP.338460_TMYx.2004-2018.zip</v>
      </c>
    </row>
    <row r="12418" spans="1:10" x14ac:dyDescent="0.25">
      <c r="A12418" t="s">
        <v>8766</v>
      </c>
      <c r="B12418" t="s">
        <v>8890</v>
      </c>
      <c r="C12418" t="s">
        <v>8914</v>
      </c>
      <c r="D12418">
        <v>338460</v>
      </c>
      <c r="E12418" t="s">
        <v>14</v>
      </c>
      <c r="F12418">
        <v>47.054400000000001</v>
      </c>
      <c r="G12418">
        <v>31.909400000000002</v>
      </c>
      <c r="H12418">
        <v>2</v>
      </c>
      <c r="I12418">
        <v>50</v>
      </c>
      <c r="J12418" t="str">
        <f>HYPERLINK("https://climate.onebuilding.org/WMO_Region_6_Europe/UKR_Ukraine/MY_Mykolaivska/UKR_MY_Mykolaiv.AP.338460_TMYx.2007-2021.zip")</f>
        <v>https://climate.onebuilding.org/WMO_Region_6_Europe/UKR_Ukraine/MY_Mykolaivska/UKR_MY_Mykolaiv.AP.338460_TMYx.2007-2021.zip</v>
      </c>
    </row>
    <row r="12419" spans="1:10" x14ac:dyDescent="0.25">
      <c r="A12419" t="s">
        <v>8766</v>
      </c>
      <c r="B12419" t="s">
        <v>8890</v>
      </c>
      <c r="C12419" t="s">
        <v>8914</v>
      </c>
      <c r="D12419">
        <v>338460</v>
      </c>
      <c r="E12419" t="s">
        <v>14</v>
      </c>
      <c r="F12419">
        <v>47.054400000000001</v>
      </c>
      <c r="G12419">
        <v>31.909400000000002</v>
      </c>
      <c r="H12419">
        <v>2</v>
      </c>
      <c r="I12419">
        <v>50</v>
      </c>
      <c r="J12419" t="str">
        <f>HYPERLINK("https://climate.onebuilding.org/WMO_Region_6_Europe/UKR_Ukraine/MY_Mykolaivska/UKR_MY_Mykolaiv.AP.338460_TMYx.2009-2023.zip")</f>
        <v>https://climate.onebuilding.org/WMO_Region_6_Europe/UKR_Ukraine/MY_Mykolaivska/UKR_MY_Mykolaiv.AP.338460_TMYx.2009-2023.zip</v>
      </c>
    </row>
    <row r="12420" spans="1:10" x14ac:dyDescent="0.25">
      <c r="A12420" t="s">
        <v>8766</v>
      </c>
      <c r="B12420" t="s">
        <v>8890</v>
      </c>
      <c r="C12420" t="s">
        <v>8914</v>
      </c>
      <c r="D12420">
        <v>338460</v>
      </c>
      <c r="E12420" t="s">
        <v>14</v>
      </c>
      <c r="F12420">
        <v>47.054400000000001</v>
      </c>
      <c r="G12420">
        <v>31.909400000000002</v>
      </c>
      <c r="H12420">
        <v>2</v>
      </c>
      <c r="I12420">
        <v>50</v>
      </c>
      <c r="J12420" t="str">
        <f>HYPERLINK("https://climate.onebuilding.org/WMO_Region_6_Europe/UKR_Ukraine/MY_Mykolaivska/UKR_MY_Mykolaiv.AP.338460_TMYx.zip")</f>
        <v>https://climate.onebuilding.org/WMO_Region_6_Europe/UKR_Ukraine/MY_Mykolaivska/UKR_MY_Mykolaiv.AP.338460_TMYx.zip</v>
      </c>
    </row>
    <row r="12421" spans="1:10" x14ac:dyDescent="0.25">
      <c r="A12421" t="s">
        <v>8766</v>
      </c>
      <c r="B12421" t="s">
        <v>8890</v>
      </c>
      <c r="C12421" t="s">
        <v>8916</v>
      </c>
      <c r="D12421">
        <v>338480</v>
      </c>
      <c r="E12421" t="s">
        <v>14</v>
      </c>
      <c r="F12421">
        <v>46.633000000000003</v>
      </c>
      <c r="G12421">
        <v>31.55</v>
      </c>
      <c r="H12421">
        <v>2</v>
      </c>
      <c r="I12421">
        <v>41</v>
      </c>
      <c r="J12421" t="str">
        <f>HYPERLINK("https://climate.onebuilding.org/WMO_Region_6_Europe/UKR_Ukraine/MY_Mykolaivska/UKR_MY_Ochakiv.338480_TMYx.zip")</f>
        <v>https://climate.onebuilding.org/WMO_Region_6_Europe/UKR_Ukraine/MY_Mykolaivska/UKR_MY_Ochakiv.338480_TMYx.zip</v>
      </c>
    </row>
    <row r="12422" spans="1:10" x14ac:dyDescent="0.25">
      <c r="A12422" t="s">
        <v>8766</v>
      </c>
      <c r="B12422" t="s">
        <v>8466</v>
      </c>
      <c r="C12422" t="s">
        <v>8917</v>
      </c>
      <c r="D12422">
        <v>338620</v>
      </c>
      <c r="E12422" t="s">
        <v>14</v>
      </c>
      <c r="F12422">
        <v>47.3172</v>
      </c>
      <c r="G12422">
        <v>33.287500000000001</v>
      </c>
      <c r="H12422">
        <v>2</v>
      </c>
      <c r="I12422">
        <v>56</v>
      </c>
      <c r="J12422" t="str">
        <f>HYPERLINK("https://climate.onebuilding.org/WMO_Region_6_Europe/UKR_Ukraine/KS_Khersonska/UKR_KS_Velyka.Oleksandrivka.338620_TMYx.2007-2021.zip")</f>
        <v>https://climate.onebuilding.org/WMO_Region_6_Europe/UKR_Ukraine/KS_Khersonska/UKR_KS_Velyka.Oleksandrivka.338620_TMYx.2007-2021.zip</v>
      </c>
    </row>
    <row r="12423" spans="1:10" x14ac:dyDescent="0.25">
      <c r="A12423" t="s">
        <v>8766</v>
      </c>
      <c r="B12423" t="s">
        <v>8466</v>
      </c>
      <c r="C12423" t="s">
        <v>8917</v>
      </c>
      <c r="D12423">
        <v>338620</v>
      </c>
      <c r="E12423" t="s">
        <v>14</v>
      </c>
      <c r="F12423">
        <v>47.3172</v>
      </c>
      <c r="G12423">
        <v>33.287500000000001</v>
      </c>
      <c r="H12423">
        <v>2</v>
      </c>
      <c r="I12423">
        <v>56</v>
      </c>
      <c r="J12423" t="str">
        <f>HYPERLINK("https://climate.onebuilding.org/WMO_Region_6_Europe/UKR_Ukraine/KS_Khersonska/UKR_KS_Velyka.Oleksandrivka.338620_TMYx.2009-2023.zip")</f>
        <v>https://climate.onebuilding.org/WMO_Region_6_Europe/UKR_Ukraine/KS_Khersonska/UKR_KS_Velyka.Oleksandrivka.338620_TMYx.2009-2023.zip</v>
      </c>
    </row>
    <row r="12424" spans="1:10" x14ac:dyDescent="0.25">
      <c r="A12424" t="s">
        <v>8766</v>
      </c>
      <c r="B12424" t="s">
        <v>8466</v>
      </c>
      <c r="C12424" t="s">
        <v>8917</v>
      </c>
      <c r="D12424">
        <v>338620</v>
      </c>
      <c r="E12424" t="s">
        <v>14</v>
      </c>
      <c r="F12424">
        <v>47.3172</v>
      </c>
      <c r="G12424">
        <v>33.287500000000001</v>
      </c>
      <c r="H12424">
        <v>2</v>
      </c>
      <c r="I12424">
        <v>56</v>
      </c>
      <c r="J12424" t="str">
        <f>HYPERLINK("https://climate.onebuilding.org/WMO_Region_6_Europe/UKR_Ukraine/KS_Khersonska/UKR_KS_Velyka.Oleksandrivka.338620_TMYx.zip")</f>
        <v>https://climate.onebuilding.org/WMO_Region_6_Europe/UKR_Ukraine/KS_Khersonska/UKR_KS_Velyka.Oleksandrivka.338620_TMYx.zip</v>
      </c>
    </row>
    <row r="12425" spans="1:10" x14ac:dyDescent="0.25">
      <c r="A12425" t="s">
        <v>8766</v>
      </c>
      <c r="B12425" t="s">
        <v>8466</v>
      </c>
      <c r="C12425" t="s">
        <v>8918</v>
      </c>
      <c r="D12425">
        <v>338690</v>
      </c>
      <c r="E12425" t="s">
        <v>14</v>
      </c>
      <c r="F12425">
        <v>46.789200000000001</v>
      </c>
      <c r="G12425">
        <v>33.358600000000003</v>
      </c>
      <c r="H12425">
        <v>2</v>
      </c>
      <c r="I12425">
        <v>25</v>
      </c>
      <c r="J12425" t="str">
        <f>HYPERLINK("https://climate.onebuilding.org/WMO_Region_6_Europe/UKR_Ukraine/KS_Khersonska/UKR_KS_Nova.Kakhovka.338690_TMYx.2007-2021.zip")</f>
        <v>https://climate.onebuilding.org/WMO_Region_6_Europe/UKR_Ukraine/KS_Khersonska/UKR_KS_Nova.Kakhovka.338690_TMYx.2007-2021.zip</v>
      </c>
    </row>
    <row r="12426" spans="1:10" x14ac:dyDescent="0.25">
      <c r="A12426" t="s">
        <v>8766</v>
      </c>
      <c r="B12426" t="s">
        <v>8466</v>
      </c>
      <c r="C12426" t="s">
        <v>8918</v>
      </c>
      <c r="D12426">
        <v>338690</v>
      </c>
      <c r="E12426" t="s">
        <v>14</v>
      </c>
      <c r="F12426">
        <v>46.789200000000001</v>
      </c>
      <c r="G12426">
        <v>33.358600000000003</v>
      </c>
      <c r="H12426">
        <v>2</v>
      </c>
      <c r="I12426">
        <v>25</v>
      </c>
      <c r="J12426" t="str">
        <f>HYPERLINK("https://climate.onebuilding.org/WMO_Region_6_Europe/UKR_Ukraine/KS_Khersonska/UKR_KS_Nova.Kakhovka.338690_TMYx.2009-2023.zip")</f>
        <v>https://climate.onebuilding.org/WMO_Region_6_Europe/UKR_Ukraine/KS_Khersonska/UKR_KS_Nova.Kakhovka.338690_TMYx.2009-2023.zip</v>
      </c>
    </row>
    <row r="12427" spans="1:10" x14ac:dyDescent="0.25">
      <c r="A12427" t="s">
        <v>8766</v>
      </c>
      <c r="B12427" t="s">
        <v>8466</v>
      </c>
      <c r="C12427" t="s">
        <v>8918</v>
      </c>
      <c r="D12427">
        <v>338690</v>
      </c>
      <c r="E12427" t="s">
        <v>14</v>
      </c>
      <c r="F12427">
        <v>46.789200000000001</v>
      </c>
      <c r="G12427">
        <v>33.358600000000003</v>
      </c>
      <c r="H12427">
        <v>2</v>
      </c>
      <c r="I12427">
        <v>25</v>
      </c>
      <c r="J12427" t="str">
        <f>HYPERLINK("https://climate.onebuilding.org/WMO_Region_6_Europe/UKR_Ukraine/KS_Khersonska/UKR_KS_Nova.Kakhovka.338690_TMYx.zip")</f>
        <v>https://climate.onebuilding.org/WMO_Region_6_Europe/UKR_Ukraine/KS_Khersonska/UKR_KS_Nova.Kakhovka.338690_TMYx.zip</v>
      </c>
    </row>
    <row r="12428" spans="1:10" x14ac:dyDescent="0.25">
      <c r="A12428" t="s">
        <v>8766</v>
      </c>
      <c r="B12428" t="s">
        <v>8466</v>
      </c>
      <c r="C12428" t="s">
        <v>8919</v>
      </c>
      <c r="D12428">
        <v>338770</v>
      </c>
      <c r="E12428" t="s">
        <v>14</v>
      </c>
      <c r="F12428">
        <v>46.8553</v>
      </c>
      <c r="G12428">
        <v>34.396900000000002</v>
      </c>
      <c r="H12428">
        <v>2</v>
      </c>
      <c r="I12428">
        <v>53</v>
      </c>
      <c r="J12428" t="str">
        <f>HYPERLINK("https://climate.onebuilding.org/WMO_Region_6_Europe/UKR_Ukraine/KS_Khersonska/UKR_KS_Nyzhni.Sirohozy.338770_TMYx.zip")</f>
        <v>https://climate.onebuilding.org/WMO_Region_6_Europe/UKR_Ukraine/KS_Khersonska/UKR_KS_Nyzhni.Sirohozy.338770_TMYx.zip</v>
      </c>
    </row>
    <row r="12429" spans="1:10" x14ac:dyDescent="0.25">
      <c r="A12429" t="s">
        <v>8766</v>
      </c>
      <c r="B12429" t="s">
        <v>8897</v>
      </c>
      <c r="C12429" t="s">
        <v>8920</v>
      </c>
      <c r="D12429">
        <v>338870</v>
      </c>
      <c r="E12429" t="s">
        <v>14</v>
      </c>
      <c r="F12429">
        <v>45.667000000000002</v>
      </c>
      <c r="G12429">
        <v>28.617000000000001</v>
      </c>
      <c r="H12429">
        <v>2</v>
      </c>
      <c r="I12429">
        <v>81</v>
      </c>
      <c r="J12429" t="str">
        <f>HYPERLINK("https://climate.onebuilding.org/WMO_Region_6_Europe/UKR_Ukraine/OD_Odessa/UKR_OD_Bolhrad.338870_TMYx.zip")</f>
        <v>https://climate.onebuilding.org/WMO_Region_6_Europe/UKR_Ukraine/OD_Odessa/UKR_OD_Bolhrad.338870_TMYx.zip</v>
      </c>
    </row>
    <row r="12430" spans="1:10" x14ac:dyDescent="0.25">
      <c r="A12430" t="s">
        <v>8766</v>
      </c>
      <c r="B12430" t="s">
        <v>8897</v>
      </c>
      <c r="C12430" t="s">
        <v>8921</v>
      </c>
      <c r="D12430">
        <v>338890</v>
      </c>
      <c r="E12430" t="s">
        <v>14</v>
      </c>
      <c r="F12430">
        <v>45.3703</v>
      </c>
      <c r="G12430">
        <v>28.8508</v>
      </c>
      <c r="H12430">
        <v>2</v>
      </c>
      <c r="I12430">
        <v>30</v>
      </c>
      <c r="J12430" t="str">
        <f>HYPERLINK("https://climate.onebuilding.org/WMO_Region_6_Europe/UKR_Ukraine/OD_Odessa/UKR_OD_Izmail.338890_TMYx.2007-2021.zip")</f>
        <v>https://climate.onebuilding.org/WMO_Region_6_Europe/UKR_Ukraine/OD_Odessa/UKR_OD_Izmail.338890_TMYx.2007-2021.zip</v>
      </c>
    </row>
    <row r="12431" spans="1:10" x14ac:dyDescent="0.25">
      <c r="A12431" t="s">
        <v>8766</v>
      </c>
      <c r="B12431" t="s">
        <v>8897</v>
      </c>
      <c r="C12431" t="s">
        <v>8921</v>
      </c>
      <c r="D12431">
        <v>338890</v>
      </c>
      <c r="E12431" t="s">
        <v>14</v>
      </c>
      <c r="F12431">
        <v>45.3703</v>
      </c>
      <c r="G12431">
        <v>28.8508</v>
      </c>
      <c r="H12431">
        <v>2</v>
      </c>
      <c r="I12431">
        <v>30</v>
      </c>
      <c r="J12431" t="str">
        <f>HYPERLINK("https://climate.onebuilding.org/WMO_Region_6_Europe/UKR_Ukraine/OD_Odessa/UKR_OD_Izmail.338890_TMYx.2009-2023.zip")</f>
        <v>https://climate.onebuilding.org/WMO_Region_6_Europe/UKR_Ukraine/OD_Odessa/UKR_OD_Izmail.338890_TMYx.2009-2023.zip</v>
      </c>
    </row>
    <row r="12432" spans="1:10" x14ac:dyDescent="0.25">
      <c r="A12432" t="s">
        <v>8766</v>
      </c>
      <c r="B12432" t="s">
        <v>8897</v>
      </c>
      <c r="C12432" t="s">
        <v>8921</v>
      </c>
      <c r="D12432">
        <v>338890</v>
      </c>
      <c r="E12432" t="s">
        <v>14</v>
      </c>
      <c r="F12432">
        <v>45.3703</v>
      </c>
      <c r="G12432">
        <v>28.8508</v>
      </c>
      <c r="H12432">
        <v>2</v>
      </c>
      <c r="I12432">
        <v>30</v>
      </c>
      <c r="J12432" t="str">
        <f>HYPERLINK("https://climate.onebuilding.org/WMO_Region_6_Europe/UKR_Ukraine/OD_Odessa/UKR_OD_Izmail.338890_TMYx.zip")</f>
        <v>https://climate.onebuilding.org/WMO_Region_6_Europe/UKR_Ukraine/OD_Odessa/UKR_OD_Izmail.338890_TMYx.zip</v>
      </c>
    </row>
    <row r="12433" spans="1:10" x14ac:dyDescent="0.25">
      <c r="A12433" t="s">
        <v>8766</v>
      </c>
      <c r="B12433" t="s">
        <v>8897</v>
      </c>
      <c r="C12433" t="s">
        <v>8922</v>
      </c>
      <c r="D12433">
        <v>338960</v>
      </c>
      <c r="E12433" t="s">
        <v>14</v>
      </c>
      <c r="F12433">
        <v>46.0242</v>
      </c>
      <c r="G12433">
        <v>29.67</v>
      </c>
      <c r="H12433">
        <v>2</v>
      </c>
      <c r="I12433">
        <v>14</v>
      </c>
      <c r="J12433" t="str">
        <f>HYPERLINK("https://climate.onebuilding.org/WMO_Region_6_Europe/UKR_Ukraine/OD_Odessa/UKR_OD_Sarata.338960_TMYx.zip")</f>
        <v>https://climate.onebuilding.org/WMO_Region_6_Europe/UKR_Ukraine/OD_Odessa/UKR_OD_Sarata.338960_TMYx.zip</v>
      </c>
    </row>
    <row r="12434" spans="1:10" x14ac:dyDescent="0.25">
      <c r="A12434" t="s">
        <v>8766</v>
      </c>
      <c r="B12434" t="s">
        <v>8897</v>
      </c>
      <c r="C12434" t="s">
        <v>8923</v>
      </c>
      <c r="D12434">
        <v>338980</v>
      </c>
      <c r="E12434" t="s">
        <v>14</v>
      </c>
      <c r="F12434">
        <v>45.849600000000002</v>
      </c>
      <c r="G12434">
        <v>29.6233</v>
      </c>
      <c r="H12434">
        <v>2</v>
      </c>
      <c r="I12434">
        <v>40</v>
      </c>
      <c r="J12434" t="str">
        <f>HYPERLINK("https://climate.onebuilding.org/WMO_Region_6_Europe/UKR_Ukraine/OD_Odessa/UKR_OD_Tatarbunary.338980_TMYx.zip")</f>
        <v>https://climate.onebuilding.org/WMO_Region_6_Europe/UKR_Ukraine/OD_Odessa/UKR_OD_Tatarbunary.338980_TMYx.zip</v>
      </c>
    </row>
    <row r="12435" spans="1:10" x14ac:dyDescent="0.25">
      <c r="A12435" t="s">
        <v>8766</v>
      </c>
      <c r="B12435" t="s">
        <v>8466</v>
      </c>
      <c r="C12435" t="s">
        <v>8924</v>
      </c>
      <c r="D12435">
        <v>339020</v>
      </c>
      <c r="E12435" t="s">
        <v>8925</v>
      </c>
      <c r="F12435">
        <v>46.738100000000003</v>
      </c>
      <c r="G12435">
        <v>32.7089</v>
      </c>
      <c r="H12435">
        <v>2</v>
      </c>
      <c r="I12435">
        <v>54</v>
      </c>
      <c r="J12435" t="str">
        <f>HYPERLINK("https://climate.onebuilding.org/WMO_Region_6_Europe/UKR_Ukraine/KS_Khersonska/UKR_KS_Kherson.339020_TMYx.2004-2018.zip")</f>
        <v>https://climate.onebuilding.org/WMO_Region_6_Europe/UKR_Ukraine/KS_Khersonska/UKR_KS_Kherson.339020_TMYx.2004-2018.zip</v>
      </c>
    </row>
    <row r="12436" spans="1:10" x14ac:dyDescent="0.25">
      <c r="A12436" t="s">
        <v>8766</v>
      </c>
      <c r="B12436" t="s">
        <v>8466</v>
      </c>
      <c r="C12436" t="s">
        <v>8924</v>
      </c>
      <c r="D12436">
        <v>339020</v>
      </c>
      <c r="E12436" t="s">
        <v>14</v>
      </c>
      <c r="F12436">
        <v>46.738100000000003</v>
      </c>
      <c r="G12436">
        <v>32.7089</v>
      </c>
      <c r="H12436">
        <v>2</v>
      </c>
      <c r="I12436">
        <v>54</v>
      </c>
      <c r="J12436" t="str">
        <f>HYPERLINK("https://climate.onebuilding.org/WMO_Region_6_Europe/UKR_Ukraine/KS_Khersonska/UKR_KS_Kherson.339020_TMYx.2007-2021.zip")</f>
        <v>https://climate.onebuilding.org/WMO_Region_6_Europe/UKR_Ukraine/KS_Khersonska/UKR_KS_Kherson.339020_TMYx.2007-2021.zip</v>
      </c>
    </row>
    <row r="12437" spans="1:10" x14ac:dyDescent="0.25">
      <c r="A12437" t="s">
        <v>8766</v>
      </c>
      <c r="B12437" t="s">
        <v>8466</v>
      </c>
      <c r="C12437" t="s">
        <v>8924</v>
      </c>
      <c r="D12437">
        <v>339020</v>
      </c>
      <c r="E12437" t="s">
        <v>14</v>
      </c>
      <c r="F12437">
        <v>46.738100000000003</v>
      </c>
      <c r="G12437">
        <v>32.7089</v>
      </c>
      <c r="H12437">
        <v>2</v>
      </c>
      <c r="I12437">
        <v>54</v>
      </c>
      <c r="J12437" t="str">
        <f>HYPERLINK("https://climate.onebuilding.org/WMO_Region_6_Europe/UKR_Ukraine/KS_Khersonska/UKR_KS_Kherson.339020_TMYx.2009-2023.zip")</f>
        <v>https://climate.onebuilding.org/WMO_Region_6_Europe/UKR_Ukraine/KS_Khersonska/UKR_KS_Kherson.339020_TMYx.2009-2023.zip</v>
      </c>
    </row>
    <row r="12438" spans="1:10" x14ac:dyDescent="0.25">
      <c r="A12438" t="s">
        <v>8766</v>
      </c>
      <c r="B12438" t="s">
        <v>8466</v>
      </c>
      <c r="C12438" t="s">
        <v>8924</v>
      </c>
      <c r="D12438">
        <v>339020</v>
      </c>
      <c r="E12438" t="s">
        <v>14</v>
      </c>
      <c r="F12438">
        <v>46.738100000000003</v>
      </c>
      <c r="G12438">
        <v>32.7089</v>
      </c>
      <c r="H12438">
        <v>2</v>
      </c>
      <c r="I12438">
        <v>54</v>
      </c>
      <c r="J12438" t="str">
        <f>HYPERLINK("https://climate.onebuilding.org/WMO_Region_6_Europe/UKR_Ukraine/KS_Khersonska/UKR_KS_Kherson.339020_TMYx.zip")</f>
        <v>https://climate.onebuilding.org/WMO_Region_6_Europe/UKR_Ukraine/KS_Khersonska/UKR_KS_Kherson.339020_TMYx.zip</v>
      </c>
    </row>
    <row r="12439" spans="1:10" x14ac:dyDescent="0.25">
      <c r="A12439" t="s">
        <v>8766</v>
      </c>
      <c r="B12439" t="s">
        <v>8466</v>
      </c>
      <c r="C12439" t="s">
        <v>8926</v>
      </c>
      <c r="D12439">
        <v>339070</v>
      </c>
      <c r="E12439" t="s">
        <v>14</v>
      </c>
      <c r="F12439">
        <v>46.243099999999998</v>
      </c>
      <c r="G12439">
        <v>32.283099999999997</v>
      </c>
      <c r="H12439">
        <v>2</v>
      </c>
      <c r="I12439">
        <v>7</v>
      </c>
      <c r="J12439" t="str">
        <f>HYPERLINK("https://climate.onebuilding.org/WMO_Region_6_Europe/UKR_Ukraine/KS_Khersonska/UKR_KS_Bekhtery.339070_TMYx.zip")</f>
        <v>https://climate.onebuilding.org/WMO_Region_6_Europe/UKR_Ukraine/KS_Khersonska/UKR_KS_Bekhtery.339070_TMYx.zip</v>
      </c>
    </row>
    <row r="12440" spans="1:10" x14ac:dyDescent="0.25">
      <c r="A12440" t="s">
        <v>8766</v>
      </c>
      <c r="B12440" t="s">
        <v>8466</v>
      </c>
      <c r="C12440" t="s">
        <v>8927</v>
      </c>
      <c r="D12440">
        <v>339100</v>
      </c>
      <c r="E12440" t="s">
        <v>14</v>
      </c>
      <c r="F12440">
        <v>46.164200000000001</v>
      </c>
      <c r="G12440">
        <v>34.807200000000002</v>
      </c>
      <c r="H12440">
        <v>2</v>
      </c>
      <c r="I12440">
        <v>15</v>
      </c>
      <c r="J12440" t="str">
        <f>HYPERLINK("https://climate.onebuilding.org/WMO_Region_6_Europe/UKR_Ukraine/KS_Khersonska/UKR_KS_Henichesk.339100_TMYx.2007-2021.zip")</f>
        <v>https://climate.onebuilding.org/WMO_Region_6_Europe/UKR_Ukraine/KS_Khersonska/UKR_KS_Henichesk.339100_TMYx.2007-2021.zip</v>
      </c>
    </row>
    <row r="12441" spans="1:10" x14ac:dyDescent="0.25">
      <c r="A12441" t="s">
        <v>8766</v>
      </c>
      <c r="B12441" t="s">
        <v>8466</v>
      </c>
      <c r="C12441" t="s">
        <v>8927</v>
      </c>
      <c r="D12441">
        <v>339100</v>
      </c>
      <c r="E12441" t="s">
        <v>14</v>
      </c>
      <c r="F12441">
        <v>46.164200000000001</v>
      </c>
      <c r="G12441">
        <v>34.807200000000002</v>
      </c>
      <c r="H12441">
        <v>2</v>
      </c>
      <c r="I12441">
        <v>15</v>
      </c>
      <c r="J12441" t="str">
        <f>HYPERLINK("https://climate.onebuilding.org/WMO_Region_6_Europe/UKR_Ukraine/KS_Khersonska/UKR_KS_Henichesk.339100_TMYx.2009-2023.zip")</f>
        <v>https://climate.onebuilding.org/WMO_Region_6_Europe/UKR_Ukraine/KS_Khersonska/UKR_KS_Henichesk.339100_TMYx.2009-2023.zip</v>
      </c>
    </row>
    <row r="12442" spans="1:10" x14ac:dyDescent="0.25">
      <c r="A12442" t="s">
        <v>8766</v>
      </c>
      <c r="B12442" t="s">
        <v>8466</v>
      </c>
      <c r="C12442" t="s">
        <v>8927</v>
      </c>
      <c r="D12442">
        <v>339100</v>
      </c>
      <c r="E12442" t="s">
        <v>14</v>
      </c>
      <c r="F12442">
        <v>46.164200000000001</v>
      </c>
      <c r="G12442">
        <v>34.807200000000002</v>
      </c>
      <c r="H12442">
        <v>2</v>
      </c>
      <c r="I12442">
        <v>15</v>
      </c>
      <c r="J12442" t="str">
        <f>HYPERLINK("https://climate.onebuilding.org/WMO_Region_6_Europe/UKR_Ukraine/KS_Khersonska/UKR_KS_Henichesk.339100_TMYx.zip")</f>
        <v>https://climate.onebuilding.org/WMO_Region_6_Europe/UKR_Ukraine/KS_Khersonska/UKR_KS_Henichesk.339100_TMYx.zip</v>
      </c>
    </row>
    <row r="12443" spans="1:10" x14ac:dyDescent="0.25">
      <c r="A12443" t="s">
        <v>8766</v>
      </c>
      <c r="B12443" t="s">
        <v>8466</v>
      </c>
      <c r="C12443" t="s">
        <v>8928</v>
      </c>
      <c r="D12443">
        <v>339150</v>
      </c>
      <c r="E12443" t="s">
        <v>14</v>
      </c>
      <c r="F12443">
        <v>46.451099999999997</v>
      </c>
      <c r="G12443">
        <v>33.880000000000003</v>
      </c>
      <c r="H12443">
        <v>2</v>
      </c>
      <c r="I12443">
        <v>30</v>
      </c>
      <c r="J12443" t="str">
        <f>HYPERLINK("https://climate.onebuilding.org/WMO_Region_6_Europe/UKR_Ukraine/KS_Khersonska/UKR_KS_Askaniya-Nova.339150_TMYx.2007-2021.zip")</f>
        <v>https://climate.onebuilding.org/WMO_Region_6_Europe/UKR_Ukraine/KS_Khersonska/UKR_KS_Askaniya-Nova.339150_TMYx.2007-2021.zip</v>
      </c>
    </row>
    <row r="12444" spans="1:10" x14ac:dyDescent="0.25">
      <c r="A12444" t="s">
        <v>8766</v>
      </c>
      <c r="B12444" t="s">
        <v>8466</v>
      </c>
      <c r="C12444" t="s">
        <v>8928</v>
      </c>
      <c r="D12444">
        <v>339150</v>
      </c>
      <c r="E12444" t="s">
        <v>14</v>
      </c>
      <c r="F12444">
        <v>46.451099999999997</v>
      </c>
      <c r="G12444">
        <v>33.880000000000003</v>
      </c>
      <c r="H12444">
        <v>2</v>
      </c>
      <c r="I12444">
        <v>30</v>
      </c>
      <c r="J12444" t="str">
        <f>HYPERLINK("https://climate.onebuilding.org/WMO_Region_6_Europe/UKR_Ukraine/KS_Khersonska/UKR_KS_Askaniya-Nova.339150_TMYx.2009-2023.zip")</f>
        <v>https://climate.onebuilding.org/WMO_Region_6_Europe/UKR_Ukraine/KS_Khersonska/UKR_KS_Askaniya-Nova.339150_TMYx.2009-2023.zip</v>
      </c>
    </row>
    <row r="12445" spans="1:10" x14ac:dyDescent="0.25">
      <c r="A12445" t="s">
        <v>8766</v>
      </c>
      <c r="B12445" t="s">
        <v>8466</v>
      </c>
      <c r="C12445" t="s">
        <v>8928</v>
      </c>
      <c r="D12445">
        <v>339150</v>
      </c>
      <c r="E12445" t="s">
        <v>14</v>
      </c>
      <c r="F12445">
        <v>46.451099999999997</v>
      </c>
      <c r="G12445">
        <v>33.880000000000003</v>
      </c>
      <c r="H12445">
        <v>2</v>
      </c>
      <c r="I12445">
        <v>30</v>
      </c>
      <c r="J12445" t="str">
        <f>HYPERLINK("https://climate.onebuilding.org/WMO_Region_6_Europe/UKR_Ukraine/KS_Khersonska/UKR_KS_Askaniya-Nova.339150_TMYx.zip")</f>
        <v>https://climate.onebuilding.org/WMO_Region_6_Europe/UKR_Ukraine/KS_Khersonska/UKR_KS_Askaniya-Nova.339150_TMYx.zip</v>
      </c>
    </row>
    <row r="12446" spans="1:10" x14ac:dyDescent="0.25">
      <c r="A12446" t="s">
        <v>8766</v>
      </c>
      <c r="B12446" t="s">
        <v>8466</v>
      </c>
      <c r="C12446" t="s">
        <v>8929</v>
      </c>
      <c r="D12446">
        <v>339170</v>
      </c>
      <c r="E12446" t="s">
        <v>14</v>
      </c>
      <c r="F12446">
        <v>46.057899999999997</v>
      </c>
      <c r="G12446">
        <v>33.398499999999999</v>
      </c>
      <c r="H12446">
        <v>2</v>
      </c>
      <c r="I12446">
        <v>4</v>
      </c>
      <c r="J12446" t="str">
        <f>HYPERLINK("https://climate.onebuilding.org/WMO_Region_6_Europe/UKR_Ukraine/KS_Khersonska/UKR_KS_Prymorske.339170_TMYx.zip")</f>
        <v>https://climate.onebuilding.org/WMO_Region_6_Europe/UKR_Ukraine/KS_Khersonska/UKR_KS_Prymorske.339170_TMYx.zip</v>
      </c>
    </row>
    <row r="12447" spans="1:10" x14ac:dyDescent="0.25">
      <c r="A12447" t="s">
        <v>8766</v>
      </c>
      <c r="B12447" t="s">
        <v>5651</v>
      </c>
      <c r="C12447" t="s">
        <v>8930</v>
      </c>
      <c r="D12447">
        <v>339210</v>
      </c>
      <c r="E12447" t="s">
        <v>14</v>
      </c>
      <c r="F12447">
        <v>45.75</v>
      </c>
      <c r="G12447">
        <v>33.216999999999999</v>
      </c>
      <c r="H12447">
        <v>2</v>
      </c>
      <c r="I12447">
        <v>16</v>
      </c>
      <c r="J12447" t="str">
        <f>HYPERLINK("https://climate.onebuilding.org/WMO_Region_6_Europe/UKR_Ukraine/KR_Crimea/UKR_KR_Sterehusche.339210_TMYx.zip")</f>
        <v>https://climate.onebuilding.org/WMO_Region_6_Europe/UKR_Ukraine/KR_Crimea/UKR_KR_Sterehusche.339210_TMYx.zip</v>
      </c>
    </row>
    <row r="12448" spans="1:10" x14ac:dyDescent="0.25">
      <c r="A12448" t="s">
        <v>8766</v>
      </c>
      <c r="B12448" t="s">
        <v>5651</v>
      </c>
      <c r="C12448" t="s">
        <v>8931</v>
      </c>
      <c r="D12448">
        <v>339220</v>
      </c>
      <c r="E12448" t="s">
        <v>14</v>
      </c>
      <c r="F12448">
        <v>45.45</v>
      </c>
      <c r="G12448">
        <v>33.6</v>
      </c>
      <c r="H12448">
        <v>2</v>
      </c>
      <c r="I12448">
        <v>76</v>
      </c>
      <c r="J12448" t="str">
        <f>HYPERLINK("https://climate.onebuilding.org/WMO_Region_6_Europe/UKR_Ukraine/KR_Crimea/UKR_KR_Novoselivske.339220_TMYx.zip")</f>
        <v>https://climate.onebuilding.org/WMO_Region_6_Europe/UKR_Ukraine/KR_Crimea/UKR_KR_Novoselivske.339220_TMYx.zip</v>
      </c>
    </row>
    <row r="12449" spans="1:10" x14ac:dyDescent="0.25">
      <c r="A12449" t="s">
        <v>8766</v>
      </c>
      <c r="B12449" t="s">
        <v>5651</v>
      </c>
      <c r="C12449" t="s">
        <v>8932</v>
      </c>
      <c r="D12449">
        <v>339240</v>
      </c>
      <c r="E12449" t="s">
        <v>8933</v>
      </c>
      <c r="F12449">
        <v>45.521700000000003</v>
      </c>
      <c r="G12449">
        <v>32.716099999999997</v>
      </c>
      <c r="H12449">
        <v>3</v>
      </c>
      <c r="I12449">
        <v>10</v>
      </c>
      <c r="J12449" t="str">
        <f>HYPERLINK("https://climate.onebuilding.org/WMO_Region_6_Europe/UKR_Ukraine/KR_Crimea/UKR_KR_Chornomorske.339240_TMYx.2004-2018.zip")</f>
        <v>https://climate.onebuilding.org/WMO_Region_6_Europe/UKR_Ukraine/KR_Crimea/UKR_KR_Chornomorske.339240_TMYx.2004-2018.zip</v>
      </c>
    </row>
    <row r="12450" spans="1:10" x14ac:dyDescent="0.25">
      <c r="A12450" t="s">
        <v>8766</v>
      </c>
      <c r="B12450" t="s">
        <v>5651</v>
      </c>
      <c r="C12450" t="s">
        <v>8932</v>
      </c>
      <c r="D12450">
        <v>339240</v>
      </c>
      <c r="E12450" t="s">
        <v>14</v>
      </c>
      <c r="F12450">
        <v>45.521700000000003</v>
      </c>
      <c r="G12450">
        <v>32.716099999999997</v>
      </c>
      <c r="H12450">
        <v>3</v>
      </c>
      <c r="I12450">
        <v>10</v>
      </c>
      <c r="J12450" t="str">
        <f>HYPERLINK("https://climate.onebuilding.org/WMO_Region_6_Europe/UKR_Ukraine/KR_Crimea/UKR_KR_Chornomorske.339240_TMYx.2007-2021.zip")</f>
        <v>https://climate.onebuilding.org/WMO_Region_6_Europe/UKR_Ukraine/KR_Crimea/UKR_KR_Chornomorske.339240_TMYx.2007-2021.zip</v>
      </c>
    </row>
    <row r="12451" spans="1:10" x14ac:dyDescent="0.25">
      <c r="A12451" t="s">
        <v>8766</v>
      </c>
      <c r="B12451" t="s">
        <v>5651</v>
      </c>
      <c r="C12451" t="s">
        <v>8932</v>
      </c>
      <c r="D12451">
        <v>339240</v>
      </c>
      <c r="E12451" t="s">
        <v>14</v>
      </c>
      <c r="F12451">
        <v>45.521700000000003</v>
      </c>
      <c r="G12451">
        <v>32.716099999999997</v>
      </c>
      <c r="H12451">
        <v>3</v>
      </c>
      <c r="I12451">
        <v>10</v>
      </c>
      <c r="J12451" t="str">
        <f>HYPERLINK("https://climate.onebuilding.org/WMO_Region_6_Europe/UKR_Ukraine/KR_Crimea/UKR_KR_Chornomorske.339240_TMYx.2009-2023.zip")</f>
        <v>https://climate.onebuilding.org/WMO_Region_6_Europe/UKR_Ukraine/KR_Crimea/UKR_KR_Chornomorske.339240_TMYx.2009-2023.zip</v>
      </c>
    </row>
    <row r="12452" spans="1:10" x14ac:dyDescent="0.25">
      <c r="A12452" t="s">
        <v>8766</v>
      </c>
      <c r="B12452" t="s">
        <v>5651</v>
      </c>
      <c r="C12452" t="s">
        <v>8932</v>
      </c>
      <c r="D12452">
        <v>339240</v>
      </c>
      <c r="E12452" t="s">
        <v>14</v>
      </c>
      <c r="F12452">
        <v>45.521700000000003</v>
      </c>
      <c r="G12452">
        <v>32.716099999999997</v>
      </c>
      <c r="H12452">
        <v>3</v>
      </c>
      <c r="I12452">
        <v>10</v>
      </c>
      <c r="J12452" t="str">
        <f>HYPERLINK("https://climate.onebuilding.org/WMO_Region_6_Europe/UKR_Ukraine/KR_Crimea/UKR_KR_Chornomorske.339240_TMYx.zip")</f>
        <v>https://climate.onebuilding.org/WMO_Region_6_Europe/UKR_Ukraine/KR_Crimea/UKR_KR_Chornomorske.339240_TMYx.zip</v>
      </c>
    </row>
    <row r="12453" spans="1:10" x14ac:dyDescent="0.25">
      <c r="A12453" t="s">
        <v>8766</v>
      </c>
      <c r="B12453" t="s">
        <v>5651</v>
      </c>
      <c r="C12453" t="s">
        <v>8934</v>
      </c>
      <c r="D12453">
        <v>339290</v>
      </c>
      <c r="E12453" t="s">
        <v>14</v>
      </c>
      <c r="F12453">
        <v>45.189700000000002</v>
      </c>
      <c r="G12453">
        <v>33.374400000000001</v>
      </c>
      <c r="H12453">
        <v>2</v>
      </c>
      <c r="I12453">
        <v>6</v>
      </c>
      <c r="J12453" t="str">
        <f>HYPERLINK("https://climate.onebuilding.org/WMO_Region_6_Europe/UKR_Ukraine/KR_Crimea/UKR_KR_Yevpatoriia.339290_TMYx.zip")</f>
        <v>https://climate.onebuilding.org/WMO_Region_6_Europe/UKR_Ukraine/KR_Crimea/UKR_KR_Yevpatoriia.339290_TMYx.zip</v>
      </c>
    </row>
    <row r="12454" spans="1:10" x14ac:dyDescent="0.25">
      <c r="A12454" t="s">
        <v>8766</v>
      </c>
      <c r="B12454" t="s">
        <v>8466</v>
      </c>
      <c r="C12454" t="s">
        <v>8935</v>
      </c>
      <c r="D12454">
        <v>339330</v>
      </c>
      <c r="E12454" t="s">
        <v>14</v>
      </c>
      <c r="F12454">
        <v>45.9</v>
      </c>
      <c r="G12454">
        <v>34.866999999999997</v>
      </c>
      <c r="H12454">
        <v>2</v>
      </c>
      <c r="I12454">
        <v>6</v>
      </c>
      <c r="J12454" t="str">
        <f>HYPERLINK("https://climate.onebuilding.org/WMO_Region_6_Europe/UKR_Ukraine/KS_Khersonska/UKR_KS_Strilkove.339330_TMYx.zip")</f>
        <v>https://climate.onebuilding.org/WMO_Region_6_Europe/UKR_Ukraine/KS_Khersonska/UKR_KS_Strilkove.339330_TMYx.zip</v>
      </c>
    </row>
    <row r="12455" spans="1:10" x14ac:dyDescent="0.25">
      <c r="A12455" t="s">
        <v>8766</v>
      </c>
      <c r="B12455" t="s">
        <v>5651</v>
      </c>
      <c r="C12455" t="s">
        <v>8936</v>
      </c>
      <c r="D12455">
        <v>339340</v>
      </c>
      <c r="E12455" t="s">
        <v>14</v>
      </c>
      <c r="F12455">
        <v>45.716999999999999</v>
      </c>
      <c r="G12455">
        <v>34.4</v>
      </c>
      <c r="H12455">
        <v>2</v>
      </c>
      <c r="I12455">
        <v>8</v>
      </c>
      <c r="J12455" t="str">
        <f>HYPERLINK("https://climate.onebuilding.org/WMO_Region_6_Europe/UKR_Ukraine/KR_Crimea/UKR_KR_Dzankoi.339340_TMYx.zip")</f>
        <v>https://climate.onebuilding.org/WMO_Region_6_Europe/UKR_Ukraine/KR_Crimea/UKR_KR_Dzankoi.339340_TMYx.zip</v>
      </c>
    </row>
    <row r="12456" spans="1:10" x14ac:dyDescent="0.25">
      <c r="A12456" t="s">
        <v>8766</v>
      </c>
      <c r="B12456" t="s">
        <v>8775</v>
      </c>
      <c r="C12456" t="s">
        <v>8937</v>
      </c>
      <c r="D12456">
        <v>339350</v>
      </c>
      <c r="E12456" t="s">
        <v>14</v>
      </c>
      <c r="F12456">
        <v>45.587400000000002</v>
      </c>
      <c r="G12456">
        <v>33.533700000000003</v>
      </c>
      <c r="H12456">
        <v>2</v>
      </c>
      <c r="I12456">
        <v>88</v>
      </c>
      <c r="J12456" t="str">
        <f>HYPERLINK("https://climate.onebuilding.org/WMO_Region_6_Europe/UKR_Ukraine/RV_Rivnenska/UKR_RV_Voronky.339350_TMYx.zip")</f>
        <v>https://climate.onebuilding.org/WMO_Region_6_Europe/UKR_Ukraine/RV_Rivnenska/UKR_RV_Voronky.339350_TMYx.zip</v>
      </c>
    </row>
    <row r="12457" spans="1:10" x14ac:dyDescent="0.25">
      <c r="A12457" t="s">
        <v>8766</v>
      </c>
      <c r="B12457" t="s">
        <v>5651</v>
      </c>
      <c r="C12457" t="s">
        <v>8938</v>
      </c>
      <c r="D12457">
        <v>339390</v>
      </c>
      <c r="E12457" t="s">
        <v>14</v>
      </c>
      <c r="F12457">
        <v>45.5289</v>
      </c>
      <c r="G12457">
        <v>34.181899999999999</v>
      </c>
      <c r="H12457">
        <v>2</v>
      </c>
      <c r="I12457">
        <v>37</v>
      </c>
      <c r="J12457" t="str">
        <f>HYPERLINK("https://climate.onebuilding.org/WMO_Region_6_Europe/UKR_Ukraine/KR_Crimea/UKR_KR_Klepynine.339390_TMYx.2007-2021.zip")</f>
        <v>https://climate.onebuilding.org/WMO_Region_6_Europe/UKR_Ukraine/KR_Crimea/UKR_KR_Klepynine.339390_TMYx.2007-2021.zip</v>
      </c>
    </row>
    <row r="12458" spans="1:10" x14ac:dyDescent="0.25">
      <c r="A12458" t="s">
        <v>8766</v>
      </c>
      <c r="B12458" t="s">
        <v>5651</v>
      </c>
      <c r="C12458" t="s">
        <v>8938</v>
      </c>
      <c r="D12458">
        <v>339390</v>
      </c>
      <c r="E12458" t="s">
        <v>14</v>
      </c>
      <c r="F12458">
        <v>45.5289</v>
      </c>
      <c r="G12458">
        <v>34.181899999999999</v>
      </c>
      <c r="H12458">
        <v>2</v>
      </c>
      <c r="I12458">
        <v>37</v>
      </c>
      <c r="J12458" t="str">
        <f>HYPERLINK("https://climate.onebuilding.org/WMO_Region_6_Europe/UKR_Ukraine/KR_Crimea/UKR_KR_Klepynine.339390_TMYx.2009-2023.zip")</f>
        <v>https://climate.onebuilding.org/WMO_Region_6_Europe/UKR_Ukraine/KR_Crimea/UKR_KR_Klepynine.339390_TMYx.2009-2023.zip</v>
      </c>
    </row>
    <row r="12459" spans="1:10" x14ac:dyDescent="0.25">
      <c r="A12459" t="s">
        <v>8766</v>
      </c>
      <c r="B12459" t="s">
        <v>5651</v>
      </c>
      <c r="C12459" t="s">
        <v>8938</v>
      </c>
      <c r="D12459">
        <v>339390</v>
      </c>
      <c r="E12459" t="s">
        <v>14</v>
      </c>
      <c r="F12459">
        <v>45.5289</v>
      </c>
      <c r="G12459">
        <v>34.181899999999999</v>
      </c>
      <c r="H12459">
        <v>2</v>
      </c>
      <c r="I12459">
        <v>37</v>
      </c>
      <c r="J12459" t="str">
        <f>HYPERLINK("https://climate.onebuilding.org/WMO_Region_6_Europe/UKR_Ukraine/KR_Crimea/UKR_KR_Klepynine.339390_TMYx.zip")</f>
        <v>https://climate.onebuilding.org/WMO_Region_6_Europe/UKR_Ukraine/KR_Crimea/UKR_KR_Klepynine.339390_TMYx.zip</v>
      </c>
    </row>
    <row r="12460" spans="1:10" x14ac:dyDescent="0.25">
      <c r="A12460" t="s">
        <v>8766</v>
      </c>
      <c r="B12460" t="s">
        <v>5651</v>
      </c>
      <c r="C12460" t="s">
        <v>8939</v>
      </c>
      <c r="D12460">
        <v>339450</v>
      </c>
      <c r="E12460" t="s">
        <v>14</v>
      </c>
      <c r="F12460">
        <v>44.832500000000003</v>
      </c>
      <c r="G12460">
        <v>33.943600000000004</v>
      </c>
      <c r="H12460">
        <v>2</v>
      </c>
      <c r="I12460">
        <v>176</v>
      </c>
      <c r="J12460" t="str">
        <f>HYPERLINK("https://climate.onebuilding.org/WMO_Region_6_Europe/UKR_Ukraine/KR_Crimea/UKR_KR_Poshtove.339450_TMYx.zip")</f>
        <v>https://climate.onebuilding.org/WMO_Region_6_Europe/UKR_Ukraine/KR_Crimea/UKR_KR_Poshtove.339450_TMYx.zip</v>
      </c>
    </row>
    <row r="12461" spans="1:10" x14ac:dyDescent="0.25">
      <c r="A12461" t="s">
        <v>8766</v>
      </c>
      <c r="B12461" t="s">
        <v>5651</v>
      </c>
      <c r="C12461" t="s">
        <v>8940</v>
      </c>
      <c r="D12461">
        <v>339460</v>
      </c>
      <c r="E12461" t="s">
        <v>8941</v>
      </c>
      <c r="F12461">
        <v>45.040300000000002</v>
      </c>
      <c r="G12461">
        <v>33.967199999999998</v>
      </c>
      <c r="H12461">
        <v>3</v>
      </c>
      <c r="I12461">
        <v>181</v>
      </c>
      <c r="J12461" t="str">
        <f>HYPERLINK("https://climate.onebuilding.org/WMO_Region_6_Europe/UKR_Ukraine/KR_Crimea/UKR_KR_Simferopol.Intl.AP.339460_TMYx.2004-2018.zip")</f>
        <v>https://climate.onebuilding.org/WMO_Region_6_Europe/UKR_Ukraine/KR_Crimea/UKR_KR_Simferopol.Intl.AP.339460_TMYx.2004-2018.zip</v>
      </c>
    </row>
    <row r="12462" spans="1:10" x14ac:dyDescent="0.25">
      <c r="A12462" t="s">
        <v>8766</v>
      </c>
      <c r="B12462" t="s">
        <v>5651</v>
      </c>
      <c r="C12462" t="s">
        <v>8940</v>
      </c>
      <c r="D12462">
        <v>339460</v>
      </c>
      <c r="E12462" t="s">
        <v>14</v>
      </c>
      <c r="F12462">
        <v>45.040300000000002</v>
      </c>
      <c r="G12462">
        <v>33.967199999999998</v>
      </c>
      <c r="H12462">
        <v>3</v>
      </c>
      <c r="I12462">
        <v>181</v>
      </c>
      <c r="J12462" t="str">
        <f>HYPERLINK("https://climate.onebuilding.org/WMO_Region_6_Europe/UKR_Ukraine/KR_Crimea/UKR_KR_Simferopol.Intl.AP.339460_TMYx.2007-2021.zip")</f>
        <v>https://climate.onebuilding.org/WMO_Region_6_Europe/UKR_Ukraine/KR_Crimea/UKR_KR_Simferopol.Intl.AP.339460_TMYx.2007-2021.zip</v>
      </c>
    </row>
    <row r="12463" spans="1:10" x14ac:dyDescent="0.25">
      <c r="A12463" t="s">
        <v>8766</v>
      </c>
      <c r="B12463" t="s">
        <v>5651</v>
      </c>
      <c r="C12463" t="s">
        <v>8940</v>
      </c>
      <c r="D12463">
        <v>339460</v>
      </c>
      <c r="E12463" t="s">
        <v>14</v>
      </c>
      <c r="F12463">
        <v>45.040300000000002</v>
      </c>
      <c r="G12463">
        <v>33.967199999999998</v>
      </c>
      <c r="H12463">
        <v>3</v>
      </c>
      <c r="I12463">
        <v>181</v>
      </c>
      <c r="J12463" t="str">
        <f>HYPERLINK("https://climate.onebuilding.org/WMO_Region_6_Europe/UKR_Ukraine/KR_Crimea/UKR_KR_Simferopol.Intl.AP.339460_TMYx.2009-2023.zip")</f>
        <v>https://climate.onebuilding.org/WMO_Region_6_Europe/UKR_Ukraine/KR_Crimea/UKR_KR_Simferopol.Intl.AP.339460_TMYx.2009-2023.zip</v>
      </c>
    </row>
    <row r="12464" spans="1:10" x14ac:dyDescent="0.25">
      <c r="A12464" t="s">
        <v>8766</v>
      </c>
      <c r="B12464" t="s">
        <v>5651</v>
      </c>
      <c r="C12464" t="s">
        <v>8940</v>
      </c>
      <c r="D12464">
        <v>339460</v>
      </c>
      <c r="E12464" t="s">
        <v>14</v>
      </c>
      <c r="F12464">
        <v>45.040300000000002</v>
      </c>
      <c r="G12464">
        <v>33.967199999999998</v>
      </c>
      <c r="H12464">
        <v>3</v>
      </c>
      <c r="I12464">
        <v>181</v>
      </c>
      <c r="J12464" t="str">
        <f>HYPERLINK("https://climate.onebuilding.org/WMO_Region_6_Europe/UKR_Ukraine/KR_Crimea/UKR_KR_Simferopol.Intl.AP.339460_TMYx.zip")</f>
        <v>https://climate.onebuilding.org/WMO_Region_6_Europe/UKR_Ukraine/KR_Crimea/UKR_KR_Simferopol.Intl.AP.339460_TMYx.zip</v>
      </c>
    </row>
    <row r="12465" spans="1:10" x14ac:dyDescent="0.25">
      <c r="A12465" t="s">
        <v>8766</v>
      </c>
      <c r="B12465" t="s">
        <v>5651</v>
      </c>
      <c r="C12465" t="s">
        <v>8942</v>
      </c>
      <c r="D12465">
        <v>339590</v>
      </c>
      <c r="E12465" t="s">
        <v>14</v>
      </c>
      <c r="F12465">
        <v>44.659199999999998</v>
      </c>
      <c r="G12465">
        <v>34.404200000000003</v>
      </c>
      <c r="H12465">
        <v>2</v>
      </c>
      <c r="I12465">
        <v>35</v>
      </c>
      <c r="J12465" t="str">
        <f>HYPERLINK("https://climate.onebuilding.org/WMO_Region_6_Europe/UKR_Ukraine/KR_Crimea/UKR_KR_Alushta.339590_TMYx.zip")</f>
        <v>https://climate.onebuilding.org/WMO_Region_6_Europe/UKR_Ukraine/KR_Crimea/UKR_KR_Alushta.339590_TMYx.zip</v>
      </c>
    </row>
    <row r="12466" spans="1:10" x14ac:dyDescent="0.25">
      <c r="A12466" t="s">
        <v>8766</v>
      </c>
      <c r="B12466" t="s">
        <v>5651</v>
      </c>
      <c r="C12466" t="s">
        <v>8943</v>
      </c>
      <c r="D12466">
        <v>339600</v>
      </c>
      <c r="E12466" t="s">
        <v>14</v>
      </c>
      <c r="F12466">
        <v>45.35</v>
      </c>
      <c r="G12466">
        <v>34.950000000000003</v>
      </c>
      <c r="H12466">
        <v>2</v>
      </c>
      <c r="I12466">
        <v>18</v>
      </c>
      <c r="J12466" t="str">
        <f>HYPERLINK("https://climate.onebuilding.org/WMO_Region_6_Europe/UKR_Ukraine/KR_Crimea/UKR_KR_Sovjetskyi.339600_TMYx.zip")</f>
        <v>https://climate.onebuilding.org/WMO_Region_6_Europe/UKR_Ukraine/KR_Crimea/UKR_KR_Sovjetskyi.339600_TMYx.zip</v>
      </c>
    </row>
    <row r="12467" spans="1:10" x14ac:dyDescent="0.25">
      <c r="A12467" t="s">
        <v>8766</v>
      </c>
      <c r="B12467" t="s">
        <v>5651</v>
      </c>
      <c r="C12467" t="s">
        <v>8944</v>
      </c>
      <c r="D12467">
        <v>339610</v>
      </c>
      <c r="E12467" t="s">
        <v>14</v>
      </c>
      <c r="F12467">
        <v>45.55</v>
      </c>
      <c r="G12467">
        <v>34.549999999999997</v>
      </c>
      <c r="H12467">
        <v>2</v>
      </c>
      <c r="I12467">
        <v>27</v>
      </c>
      <c r="J12467" t="str">
        <f>HYPERLINK("https://climate.onebuilding.org/WMO_Region_6_Europe/UKR_Ukraine/KR_Crimea/UKR_KR_Azovskoye.339610_TMYx.zip")</f>
        <v>https://climate.onebuilding.org/WMO_Region_6_Europe/UKR_Ukraine/KR_Crimea/UKR_KR_Azovskoye.339610_TMYx.zip</v>
      </c>
    </row>
    <row r="12468" spans="1:10" x14ac:dyDescent="0.25">
      <c r="A12468" t="s">
        <v>8766</v>
      </c>
      <c r="B12468" t="s">
        <v>5651</v>
      </c>
      <c r="C12468" t="s">
        <v>8945</v>
      </c>
      <c r="D12468">
        <v>339620</v>
      </c>
      <c r="E12468" t="s">
        <v>14</v>
      </c>
      <c r="F12468">
        <v>45.4467</v>
      </c>
      <c r="G12468">
        <v>34.71</v>
      </c>
      <c r="H12468">
        <v>2</v>
      </c>
      <c r="I12468">
        <v>20</v>
      </c>
      <c r="J12468" t="str">
        <f>HYPERLINK("https://climate.onebuilding.org/WMO_Region_6_Europe/UKR_Ukraine/KR_Crimea/UKR_KR_Nyzhnohirskyi.339620_TMYx.zip")</f>
        <v>https://climate.onebuilding.org/WMO_Region_6_Europe/UKR_Ukraine/KR_Crimea/UKR_KR_Nyzhnohirskyi.339620_TMYx.zip</v>
      </c>
    </row>
    <row r="12469" spans="1:10" x14ac:dyDescent="0.25">
      <c r="A12469" t="s">
        <v>8766</v>
      </c>
      <c r="B12469" t="s">
        <v>5651</v>
      </c>
      <c r="C12469" t="s">
        <v>8946</v>
      </c>
      <c r="D12469">
        <v>339660</v>
      </c>
      <c r="E12469" t="s">
        <v>14</v>
      </c>
      <c r="F12469">
        <v>45.045299999999997</v>
      </c>
      <c r="G12469">
        <v>34.598599999999998</v>
      </c>
      <c r="H12469">
        <v>2</v>
      </c>
      <c r="I12469">
        <v>205</v>
      </c>
      <c r="J12469" t="str">
        <f>HYPERLINK("https://climate.onebuilding.org/WMO_Region_6_Europe/UKR_Ukraine/KR_Crimea/UKR_KR_Bilohirsk.339660_TMYx.zip")</f>
        <v>https://climate.onebuilding.org/WMO_Region_6_Europe/UKR_Ukraine/KR_Crimea/UKR_KR_Bilohirsk.339660_TMYx.zip</v>
      </c>
    </row>
    <row r="12470" spans="1:10" x14ac:dyDescent="0.25">
      <c r="A12470" t="s">
        <v>8766</v>
      </c>
      <c r="B12470" t="s">
        <v>8775</v>
      </c>
      <c r="C12470" t="s">
        <v>8947</v>
      </c>
      <c r="D12470">
        <v>339730</v>
      </c>
      <c r="E12470" t="s">
        <v>14</v>
      </c>
      <c r="F12470">
        <v>45.167000000000002</v>
      </c>
      <c r="G12470">
        <v>35.383000000000003</v>
      </c>
      <c r="H12470">
        <v>2</v>
      </c>
      <c r="I12470">
        <v>37</v>
      </c>
      <c r="J12470" t="str">
        <f>HYPERLINK("https://climate.onebuilding.org/WMO_Region_6_Europe/UKR_Ukraine/RV_Rivnenska/UKR_RV_Vladyslavivka.339730_TMYx.zip")</f>
        <v>https://climate.onebuilding.org/WMO_Region_6_Europe/UKR_Ukraine/RV_Rivnenska/UKR_RV_Vladyslavivka.339730_TMYx.zip</v>
      </c>
    </row>
    <row r="12471" spans="1:10" x14ac:dyDescent="0.25">
      <c r="A12471" t="s">
        <v>8766</v>
      </c>
      <c r="B12471" t="s">
        <v>5651</v>
      </c>
      <c r="C12471" t="s">
        <v>8948</v>
      </c>
      <c r="D12471">
        <v>339760</v>
      </c>
      <c r="E12471" t="s">
        <v>14</v>
      </c>
      <c r="F12471">
        <v>45.042499999999997</v>
      </c>
      <c r="G12471">
        <v>35.381900000000002</v>
      </c>
      <c r="H12471">
        <v>3</v>
      </c>
      <c r="I12471">
        <v>26</v>
      </c>
      <c r="J12471" t="str">
        <f>HYPERLINK("https://climate.onebuilding.org/WMO_Region_6_Europe/UKR_Ukraine/KR_Crimea/UKR_KR_Feodosia.339760_TMYx.2007-2021.zip")</f>
        <v>https://climate.onebuilding.org/WMO_Region_6_Europe/UKR_Ukraine/KR_Crimea/UKR_KR_Feodosia.339760_TMYx.2007-2021.zip</v>
      </c>
    </row>
    <row r="12472" spans="1:10" x14ac:dyDescent="0.25">
      <c r="A12472" t="s">
        <v>8766</v>
      </c>
      <c r="B12472" t="s">
        <v>5651</v>
      </c>
      <c r="C12472" t="s">
        <v>8948</v>
      </c>
      <c r="D12472">
        <v>339760</v>
      </c>
      <c r="E12472" t="s">
        <v>14</v>
      </c>
      <c r="F12472">
        <v>45.042499999999997</v>
      </c>
      <c r="G12472">
        <v>35.381900000000002</v>
      </c>
      <c r="H12472">
        <v>3</v>
      </c>
      <c r="I12472">
        <v>26</v>
      </c>
      <c r="J12472" t="str">
        <f>HYPERLINK("https://climate.onebuilding.org/WMO_Region_6_Europe/UKR_Ukraine/KR_Crimea/UKR_KR_Feodosia.339760_TMYx.2009-2023.zip")</f>
        <v>https://climate.onebuilding.org/WMO_Region_6_Europe/UKR_Ukraine/KR_Crimea/UKR_KR_Feodosia.339760_TMYx.2009-2023.zip</v>
      </c>
    </row>
    <row r="12473" spans="1:10" x14ac:dyDescent="0.25">
      <c r="A12473" t="s">
        <v>8766</v>
      </c>
      <c r="B12473" t="s">
        <v>5651</v>
      </c>
      <c r="C12473" t="s">
        <v>8948</v>
      </c>
      <c r="D12473">
        <v>339760</v>
      </c>
      <c r="E12473" t="s">
        <v>14</v>
      </c>
      <c r="F12473">
        <v>45.042499999999997</v>
      </c>
      <c r="G12473">
        <v>35.381900000000002</v>
      </c>
      <c r="H12473">
        <v>3</v>
      </c>
      <c r="I12473">
        <v>26</v>
      </c>
      <c r="J12473" t="str">
        <f>HYPERLINK("https://climate.onebuilding.org/WMO_Region_6_Europe/UKR_Ukraine/KR_Crimea/UKR_KR_Feodosia.339760_TMYx.zip")</f>
        <v>https://climate.onebuilding.org/WMO_Region_6_Europe/UKR_Ukraine/KR_Crimea/UKR_KR_Feodosia.339760_TMYx.zip</v>
      </c>
    </row>
    <row r="12474" spans="1:10" x14ac:dyDescent="0.25">
      <c r="A12474" t="s">
        <v>8766</v>
      </c>
      <c r="B12474" t="s">
        <v>5651</v>
      </c>
      <c r="C12474" t="s">
        <v>8949</v>
      </c>
      <c r="D12474">
        <v>339810</v>
      </c>
      <c r="E12474" t="s">
        <v>14</v>
      </c>
      <c r="F12474">
        <v>45.466700000000003</v>
      </c>
      <c r="G12474">
        <v>35.866700000000002</v>
      </c>
      <c r="H12474">
        <v>2</v>
      </c>
      <c r="I12474">
        <v>101</v>
      </c>
      <c r="J12474" t="str">
        <f>HYPERLINK("https://climate.onebuilding.org/WMO_Region_6_Europe/UKR_Ukraine/KR_Crimea/UKR_KR_Cape.Kazantip.Lighthouse.339810_TMYx.zip")</f>
        <v>https://climate.onebuilding.org/WMO_Region_6_Europe/UKR_Ukraine/KR_Crimea/UKR_KR_Cape.Kazantip.Lighthouse.339810_TMYx.zip</v>
      </c>
    </row>
    <row r="12475" spans="1:10" x14ac:dyDescent="0.25">
      <c r="A12475" t="s">
        <v>8766</v>
      </c>
      <c r="B12475" t="s">
        <v>5651</v>
      </c>
      <c r="C12475" t="s">
        <v>8950</v>
      </c>
      <c r="D12475">
        <v>339830</v>
      </c>
      <c r="E12475" t="s">
        <v>8951</v>
      </c>
      <c r="F12475">
        <v>45.374200000000002</v>
      </c>
      <c r="G12475">
        <v>36.414700000000003</v>
      </c>
      <c r="H12475">
        <v>3</v>
      </c>
      <c r="I12475">
        <v>49</v>
      </c>
      <c r="J12475" t="str">
        <f>HYPERLINK("https://climate.onebuilding.org/WMO_Region_6_Europe/UKR_Ukraine/KR_Crimea/UKR_KR_Kerch.AP.339830_TMYx.2004-2018.zip")</f>
        <v>https://climate.onebuilding.org/WMO_Region_6_Europe/UKR_Ukraine/KR_Crimea/UKR_KR_Kerch.AP.339830_TMYx.2004-2018.zip</v>
      </c>
    </row>
    <row r="12476" spans="1:10" x14ac:dyDescent="0.25">
      <c r="A12476" t="s">
        <v>8766</v>
      </c>
      <c r="B12476" t="s">
        <v>5651</v>
      </c>
      <c r="C12476" t="s">
        <v>8950</v>
      </c>
      <c r="D12476">
        <v>339830</v>
      </c>
      <c r="E12476" t="s">
        <v>14</v>
      </c>
      <c r="F12476">
        <v>45.374200000000002</v>
      </c>
      <c r="G12476">
        <v>36.414700000000003</v>
      </c>
      <c r="H12476">
        <v>3</v>
      </c>
      <c r="I12476">
        <v>49</v>
      </c>
      <c r="J12476" t="str">
        <f>HYPERLINK("https://climate.onebuilding.org/WMO_Region_6_Europe/UKR_Ukraine/KR_Crimea/UKR_KR_Kerch.AP.339830_TMYx.2007-2021.zip")</f>
        <v>https://climate.onebuilding.org/WMO_Region_6_Europe/UKR_Ukraine/KR_Crimea/UKR_KR_Kerch.AP.339830_TMYx.2007-2021.zip</v>
      </c>
    </row>
    <row r="12477" spans="1:10" x14ac:dyDescent="0.25">
      <c r="A12477" t="s">
        <v>8766</v>
      </c>
      <c r="B12477" t="s">
        <v>5651</v>
      </c>
      <c r="C12477" t="s">
        <v>8950</v>
      </c>
      <c r="D12477">
        <v>339830</v>
      </c>
      <c r="E12477" t="s">
        <v>14</v>
      </c>
      <c r="F12477">
        <v>45.374200000000002</v>
      </c>
      <c r="G12477">
        <v>36.414700000000003</v>
      </c>
      <c r="H12477">
        <v>3</v>
      </c>
      <c r="I12477">
        <v>49</v>
      </c>
      <c r="J12477" t="str">
        <f>HYPERLINK("https://climate.onebuilding.org/WMO_Region_6_Europe/UKR_Ukraine/KR_Crimea/UKR_KR_Kerch.AP.339830_TMYx.2009-2023.zip")</f>
        <v>https://climate.onebuilding.org/WMO_Region_6_Europe/UKR_Ukraine/KR_Crimea/UKR_KR_Kerch.AP.339830_TMYx.2009-2023.zip</v>
      </c>
    </row>
    <row r="12478" spans="1:10" x14ac:dyDescent="0.25">
      <c r="A12478" t="s">
        <v>8766</v>
      </c>
      <c r="B12478" t="s">
        <v>5651</v>
      </c>
      <c r="C12478" t="s">
        <v>8950</v>
      </c>
      <c r="D12478">
        <v>339830</v>
      </c>
      <c r="E12478" t="s">
        <v>14</v>
      </c>
      <c r="F12478">
        <v>45.374200000000002</v>
      </c>
      <c r="G12478">
        <v>36.414700000000003</v>
      </c>
      <c r="H12478">
        <v>3</v>
      </c>
      <c r="I12478">
        <v>49</v>
      </c>
      <c r="J12478" t="str">
        <f>HYPERLINK("https://climate.onebuilding.org/WMO_Region_6_Europe/UKR_Ukraine/KR_Crimea/UKR_KR_Kerch.AP.339830_TMYx.zip")</f>
        <v>https://climate.onebuilding.org/WMO_Region_6_Europe/UKR_Ukraine/KR_Crimea/UKR_KR_Kerch.AP.339830_TMYx.zip</v>
      </c>
    </row>
    <row r="12479" spans="1:10" x14ac:dyDescent="0.25">
      <c r="A12479" t="s">
        <v>8766</v>
      </c>
      <c r="B12479" t="s">
        <v>5651</v>
      </c>
      <c r="C12479" t="s">
        <v>8952</v>
      </c>
      <c r="D12479">
        <v>339900</v>
      </c>
      <c r="E12479" t="s">
        <v>14</v>
      </c>
      <c r="F12479">
        <v>44.481099999999998</v>
      </c>
      <c r="G12479">
        <v>34.155299999999997</v>
      </c>
      <c r="H12479">
        <v>3</v>
      </c>
      <c r="I12479">
        <v>72</v>
      </c>
      <c r="J12479" t="str">
        <f>HYPERLINK("https://climate.onebuilding.org/WMO_Region_6_Europe/UKR_Ukraine/KR_Crimea/UKR_KR_Yalta.339900_TMYx.2007-2021.zip")</f>
        <v>https://climate.onebuilding.org/WMO_Region_6_Europe/UKR_Ukraine/KR_Crimea/UKR_KR_Yalta.339900_TMYx.2007-2021.zip</v>
      </c>
    </row>
    <row r="12480" spans="1:10" x14ac:dyDescent="0.25">
      <c r="A12480" t="s">
        <v>8766</v>
      </c>
      <c r="B12480" t="s">
        <v>5651</v>
      </c>
      <c r="C12480" t="s">
        <v>8952</v>
      </c>
      <c r="D12480">
        <v>339900</v>
      </c>
      <c r="E12480" t="s">
        <v>14</v>
      </c>
      <c r="F12480">
        <v>44.481099999999998</v>
      </c>
      <c r="G12480">
        <v>34.155299999999997</v>
      </c>
      <c r="H12480">
        <v>3</v>
      </c>
      <c r="I12480">
        <v>72</v>
      </c>
      <c r="J12480" t="str">
        <f>HYPERLINK("https://climate.onebuilding.org/WMO_Region_6_Europe/UKR_Ukraine/KR_Crimea/UKR_KR_Yalta.339900_TMYx.2009-2023.zip")</f>
        <v>https://climate.onebuilding.org/WMO_Region_6_Europe/UKR_Ukraine/KR_Crimea/UKR_KR_Yalta.339900_TMYx.2009-2023.zip</v>
      </c>
    </row>
    <row r="12481" spans="1:10" x14ac:dyDescent="0.25">
      <c r="A12481" t="s">
        <v>8766</v>
      </c>
      <c r="B12481" t="s">
        <v>5651</v>
      </c>
      <c r="C12481" t="s">
        <v>8952</v>
      </c>
      <c r="D12481">
        <v>339900</v>
      </c>
      <c r="E12481" t="s">
        <v>14</v>
      </c>
      <c r="F12481">
        <v>44.481099999999998</v>
      </c>
      <c r="G12481">
        <v>34.155299999999997</v>
      </c>
      <c r="H12481">
        <v>3</v>
      </c>
      <c r="I12481">
        <v>72</v>
      </c>
      <c r="J12481" t="str">
        <f>HYPERLINK("https://climate.onebuilding.org/WMO_Region_6_Europe/UKR_Ukraine/KR_Crimea/UKR_KR_Yalta.339900_TMYx.zip")</f>
        <v>https://climate.onebuilding.org/WMO_Region_6_Europe/UKR_Ukraine/KR_Crimea/UKR_KR_Yalta.339900_TMYx.zip</v>
      </c>
    </row>
    <row r="12482" spans="1:10" x14ac:dyDescent="0.25">
      <c r="A12482" t="s">
        <v>8766</v>
      </c>
      <c r="B12482" t="s">
        <v>5651</v>
      </c>
      <c r="C12482" t="s">
        <v>8953</v>
      </c>
      <c r="D12482">
        <v>339920</v>
      </c>
      <c r="E12482" t="s">
        <v>14</v>
      </c>
      <c r="F12482">
        <v>44.75</v>
      </c>
      <c r="G12482">
        <v>33.866999999999997</v>
      </c>
      <c r="H12482">
        <v>2</v>
      </c>
      <c r="I12482">
        <v>201</v>
      </c>
      <c r="J12482" t="str">
        <f>HYPERLINK("https://climate.onebuilding.org/WMO_Region_6_Europe/UKR_Ukraine/KR_Crimea/UKR_KR_Bakhchysarai.339920_TMYx.zip")</f>
        <v>https://climate.onebuilding.org/WMO_Region_6_Europe/UKR_Ukraine/KR_Crimea/UKR_KR_Bakhchysarai.339920_TMYx.zip</v>
      </c>
    </row>
    <row r="12483" spans="1:10" x14ac:dyDescent="0.25">
      <c r="A12483" t="s">
        <v>8766</v>
      </c>
      <c r="B12483" t="s">
        <v>5485</v>
      </c>
      <c r="C12483" t="s">
        <v>8954</v>
      </c>
      <c r="D12483">
        <v>339940</v>
      </c>
      <c r="E12483" t="s">
        <v>14</v>
      </c>
      <c r="F12483">
        <v>44.683</v>
      </c>
      <c r="G12483">
        <v>33.567</v>
      </c>
      <c r="H12483">
        <v>2</v>
      </c>
      <c r="I12483">
        <v>85</v>
      </c>
      <c r="J12483" t="str">
        <f>HYPERLINK("https://climate.onebuilding.org/WMO_Region_6_Europe/UKR_Ukraine/SC_Sevastopol_City/UKR_SC_Sevastopol-Belbek.AP.339940_TMYx.zip")</f>
        <v>https://climate.onebuilding.org/WMO_Region_6_Europe/UKR_Ukraine/SC_Sevastopol_City/UKR_SC_Sevastopol-Belbek.AP.339940_TMYx.zip</v>
      </c>
    </row>
    <row r="12484" spans="1:10" x14ac:dyDescent="0.25">
      <c r="A12484" t="s">
        <v>8766</v>
      </c>
      <c r="B12484" t="s">
        <v>5651</v>
      </c>
      <c r="C12484" t="s">
        <v>8955</v>
      </c>
      <c r="D12484">
        <v>339960</v>
      </c>
      <c r="E12484" t="s">
        <v>14</v>
      </c>
      <c r="F12484">
        <v>44.55</v>
      </c>
      <c r="G12484">
        <v>34.283000000000001</v>
      </c>
      <c r="H12484">
        <v>2</v>
      </c>
      <c r="I12484">
        <v>61</v>
      </c>
      <c r="J12484" t="str">
        <f>HYPERLINK("https://climate.onebuilding.org/WMO_Region_6_Europe/UKR_Ukraine/KR_Crimea/UKR_KR_Hurzuf-Gurzuf.339960_TMYx.zip")</f>
        <v>https://climate.onebuilding.org/WMO_Region_6_Europe/UKR_Ukraine/KR_Crimea/UKR_KR_Hurzuf-Gurzuf.339960_TMYx.zip</v>
      </c>
    </row>
    <row r="12485" spans="1:10" x14ac:dyDescent="0.25">
      <c r="A12485" t="s">
        <v>8766</v>
      </c>
      <c r="B12485" t="s">
        <v>5651</v>
      </c>
      <c r="C12485" t="s">
        <v>8956</v>
      </c>
      <c r="D12485">
        <v>339980</v>
      </c>
      <c r="E12485" t="s">
        <v>14</v>
      </c>
      <c r="F12485">
        <v>44.469200000000001</v>
      </c>
      <c r="G12485">
        <v>34.068300000000001</v>
      </c>
      <c r="H12485">
        <v>2</v>
      </c>
      <c r="I12485">
        <v>1180</v>
      </c>
      <c r="J12485" t="str">
        <f>HYPERLINK("https://climate.onebuilding.org/WMO_Region_6_Europe/UKR_Ukraine/KR_Crimea/UKR_KR_Ai.Petri.Mtn.339980_TMYx.2007-2021.zip")</f>
        <v>https://climate.onebuilding.org/WMO_Region_6_Europe/UKR_Ukraine/KR_Crimea/UKR_KR_Ai.Petri.Mtn.339980_TMYx.2007-2021.zip</v>
      </c>
    </row>
    <row r="12486" spans="1:10" x14ac:dyDescent="0.25">
      <c r="A12486" t="s">
        <v>8766</v>
      </c>
      <c r="B12486" t="s">
        <v>5651</v>
      </c>
      <c r="C12486" t="s">
        <v>8956</v>
      </c>
      <c r="D12486">
        <v>339980</v>
      </c>
      <c r="E12486" t="s">
        <v>14</v>
      </c>
      <c r="F12486">
        <v>44.469200000000001</v>
      </c>
      <c r="G12486">
        <v>34.068300000000001</v>
      </c>
      <c r="H12486">
        <v>2</v>
      </c>
      <c r="I12486">
        <v>1180</v>
      </c>
      <c r="J12486" t="str">
        <f>HYPERLINK("https://climate.onebuilding.org/WMO_Region_6_Europe/UKR_Ukraine/KR_Crimea/UKR_KR_Ai.Petri.Mtn.339980_TMYx.2009-2023.zip")</f>
        <v>https://climate.onebuilding.org/WMO_Region_6_Europe/UKR_Ukraine/KR_Crimea/UKR_KR_Ai.Petri.Mtn.339980_TMYx.2009-2023.zip</v>
      </c>
    </row>
    <row r="12487" spans="1:10" x14ac:dyDescent="0.25">
      <c r="A12487" t="s">
        <v>8766</v>
      </c>
      <c r="B12487" t="s">
        <v>5651</v>
      </c>
      <c r="C12487" t="s">
        <v>8956</v>
      </c>
      <c r="D12487">
        <v>339980</v>
      </c>
      <c r="E12487" t="s">
        <v>14</v>
      </c>
      <c r="F12487">
        <v>44.469200000000001</v>
      </c>
      <c r="G12487">
        <v>34.068300000000001</v>
      </c>
      <c r="H12487">
        <v>2</v>
      </c>
      <c r="I12487">
        <v>1180</v>
      </c>
      <c r="J12487" t="str">
        <f>HYPERLINK("https://climate.onebuilding.org/WMO_Region_6_Europe/UKR_Ukraine/KR_Crimea/UKR_KR_Ai.Petri.Mtn.339980_TMYx.zip")</f>
        <v>https://climate.onebuilding.org/WMO_Region_6_Europe/UKR_Ukraine/KR_Crimea/UKR_KR_Ai.Petri.Mtn.339980_TMYx.zip</v>
      </c>
    </row>
    <row r="12488" spans="1:10" x14ac:dyDescent="0.25">
      <c r="A12488" t="s">
        <v>8766</v>
      </c>
      <c r="B12488" t="s">
        <v>26</v>
      </c>
      <c r="C12488" t="s">
        <v>8957</v>
      </c>
      <c r="D12488">
        <v>343000</v>
      </c>
      <c r="E12488" t="s">
        <v>8958</v>
      </c>
      <c r="F12488">
        <v>49.928100000000001</v>
      </c>
      <c r="G12488">
        <v>36.282499999999999</v>
      </c>
      <c r="H12488">
        <v>2</v>
      </c>
      <c r="I12488">
        <v>154.80000000000001</v>
      </c>
      <c r="J12488" t="str">
        <f>HYPERLINK("https://climate.onebuilding.org/WMO_Region_6_Europe/UKR_Ukraine/KK_Kharkivska/UKR_KK_Kharkiv.Intl.AP.343000_TMYx.2004-2018.zip")</f>
        <v>https://climate.onebuilding.org/WMO_Region_6_Europe/UKR_Ukraine/KK_Kharkivska/UKR_KK_Kharkiv.Intl.AP.343000_TMYx.2004-2018.zip</v>
      </c>
    </row>
    <row r="12489" spans="1:10" x14ac:dyDescent="0.25">
      <c r="A12489" t="s">
        <v>8766</v>
      </c>
      <c r="B12489" t="s">
        <v>26</v>
      </c>
      <c r="C12489" t="s">
        <v>8957</v>
      </c>
      <c r="D12489">
        <v>343000</v>
      </c>
      <c r="E12489" t="s">
        <v>14</v>
      </c>
      <c r="F12489">
        <v>49.928100000000001</v>
      </c>
      <c r="G12489">
        <v>36.282499999999999</v>
      </c>
      <c r="H12489">
        <v>2</v>
      </c>
      <c r="I12489">
        <v>154.80000000000001</v>
      </c>
      <c r="J12489" t="str">
        <f>HYPERLINK("https://climate.onebuilding.org/WMO_Region_6_Europe/UKR_Ukraine/KK_Kharkivska/UKR_KK_Kharkiv.Intl.AP.343000_TMYx.2007-2021.zip")</f>
        <v>https://climate.onebuilding.org/WMO_Region_6_Europe/UKR_Ukraine/KK_Kharkivska/UKR_KK_Kharkiv.Intl.AP.343000_TMYx.2007-2021.zip</v>
      </c>
    </row>
    <row r="12490" spans="1:10" x14ac:dyDescent="0.25">
      <c r="A12490" t="s">
        <v>8766</v>
      </c>
      <c r="B12490" t="s">
        <v>26</v>
      </c>
      <c r="C12490" t="s">
        <v>8957</v>
      </c>
      <c r="D12490">
        <v>343000</v>
      </c>
      <c r="E12490" t="s">
        <v>14</v>
      </c>
      <c r="F12490">
        <v>49.928100000000001</v>
      </c>
      <c r="G12490">
        <v>36.282499999999999</v>
      </c>
      <c r="H12490">
        <v>2</v>
      </c>
      <c r="I12490">
        <v>154.80000000000001</v>
      </c>
      <c r="J12490" t="str">
        <f>HYPERLINK("https://climate.onebuilding.org/WMO_Region_6_Europe/UKR_Ukraine/KK_Kharkivska/UKR_KK_Kharkiv.Intl.AP.343000_TMYx.2009-2023.zip")</f>
        <v>https://climate.onebuilding.org/WMO_Region_6_Europe/UKR_Ukraine/KK_Kharkivska/UKR_KK_Kharkiv.Intl.AP.343000_TMYx.2009-2023.zip</v>
      </c>
    </row>
    <row r="12491" spans="1:10" x14ac:dyDescent="0.25">
      <c r="A12491" t="s">
        <v>8766</v>
      </c>
      <c r="B12491" t="s">
        <v>26</v>
      </c>
      <c r="C12491" t="s">
        <v>8957</v>
      </c>
      <c r="D12491">
        <v>343000</v>
      </c>
      <c r="E12491" t="s">
        <v>14</v>
      </c>
      <c r="F12491">
        <v>49.928100000000001</v>
      </c>
      <c r="G12491">
        <v>36.282499999999999</v>
      </c>
      <c r="H12491">
        <v>2</v>
      </c>
      <c r="I12491">
        <v>154.80000000000001</v>
      </c>
      <c r="J12491" t="str">
        <f>HYPERLINK("https://climate.onebuilding.org/WMO_Region_6_Europe/UKR_Ukraine/KK_Kharkivska/UKR_KK_Kharkiv.Intl.AP.343000_TMYx.zip")</f>
        <v>https://climate.onebuilding.org/WMO_Region_6_Europe/UKR_Ukraine/KK_Kharkivska/UKR_KK_Kharkiv.Intl.AP.343000_TMYx.zip</v>
      </c>
    </row>
    <row r="12492" spans="1:10" x14ac:dyDescent="0.25">
      <c r="A12492" t="s">
        <v>8766</v>
      </c>
      <c r="B12492" t="s">
        <v>26</v>
      </c>
      <c r="C12492" t="s">
        <v>8959</v>
      </c>
      <c r="D12492">
        <v>343020</v>
      </c>
      <c r="E12492" t="s">
        <v>14</v>
      </c>
      <c r="F12492">
        <v>50.164700000000003</v>
      </c>
      <c r="G12492">
        <v>35.498100000000001</v>
      </c>
      <c r="H12492">
        <v>2</v>
      </c>
      <c r="I12492">
        <v>203</v>
      </c>
      <c r="J12492" t="str">
        <f>HYPERLINK("https://climate.onebuilding.org/WMO_Region_6_Europe/UKR_Ukraine/KK_Kharkivska/UKR_KK_Bohodukhiv.343020_TMYx.2007-2021.zip")</f>
        <v>https://climate.onebuilding.org/WMO_Region_6_Europe/UKR_Ukraine/KK_Kharkivska/UKR_KK_Bohodukhiv.343020_TMYx.2007-2021.zip</v>
      </c>
    </row>
    <row r="12493" spans="1:10" x14ac:dyDescent="0.25">
      <c r="A12493" t="s">
        <v>8766</v>
      </c>
      <c r="B12493" t="s">
        <v>26</v>
      </c>
      <c r="C12493" t="s">
        <v>8959</v>
      </c>
      <c r="D12493">
        <v>343020</v>
      </c>
      <c r="E12493" t="s">
        <v>14</v>
      </c>
      <c r="F12493">
        <v>50.164700000000003</v>
      </c>
      <c r="G12493">
        <v>35.498100000000001</v>
      </c>
      <c r="H12493">
        <v>2</v>
      </c>
      <c r="I12493">
        <v>203</v>
      </c>
      <c r="J12493" t="str">
        <f>HYPERLINK("https://climate.onebuilding.org/WMO_Region_6_Europe/UKR_Ukraine/KK_Kharkivska/UKR_KK_Bohodukhiv.343020_TMYx.2009-2023.zip")</f>
        <v>https://climate.onebuilding.org/WMO_Region_6_Europe/UKR_Ukraine/KK_Kharkivska/UKR_KK_Bohodukhiv.343020_TMYx.2009-2023.zip</v>
      </c>
    </row>
    <row r="12494" spans="1:10" x14ac:dyDescent="0.25">
      <c r="A12494" t="s">
        <v>8766</v>
      </c>
      <c r="B12494" t="s">
        <v>26</v>
      </c>
      <c r="C12494" t="s">
        <v>8959</v>
      </c>
      <c r="D12494">
        <v>343020</v>
      </c>
      <c r="E12494" t="s">
        <v>14</v>
      </c>
      <c r="F12494">
        <v>50.164700000000003</v>
      </c>
      <c r="G12494">
        <v>35.498100000000001</v>
      </c>
      <c r="H12494">
        <v>2</v>
      </c>
      <c r="I12494">
        <v>203</v>
      </c>
      <c r="J12494" t="str">
        <f>HYPERLINK("https://climate.onebuilding.org/WMO_Region_6_Europe/UKR_Ukraine/KK_Kharkivska/UKR_KK_Bohodukhiv.343020_TMYx.zip")</f>
        <v>https://climate.onebuilding.org/WMO_Region_6_Europe/UKR_Ukraine/KK_Kharkivska/UKR_KK_Bohodukhiv.343020_TMYx.zip</v>
      </c>
    </row>
    <row r="12495" spans="1:10" x14ac:dyDescent="0.25">
      <c r="A12495" t="s">
        <v>8766</v>
      </c>
      <c r="B12495" t="s">
        <v>26</v>
      </c>
      <c r="C12495" t="s">
        <v>8960</v>
      </c>
      <c r="D12495">
        <v>343040</v>
      </c>
      <c r="E12495" t="s">
        <v>14</v>
      </c>
      <c r="F12495">
        <v>49.844799999999999</v>
      </c>
      <c r="G12495">
        <v>35.309100000000001</v>
      </c>
      <c r="H12495">
        <v>2</v>
      </c>
      <c r="I12495">
        <v>140</v>
      </c>
      <c r="J12495" t="str">
        <f>HYPERLINK("https://climate.onebuilding.org/WMO_Region_6_Europe/UKR_Ukraine/KK_Kharkivska/UKR_KK_Kolomak.343040_TMYx.2007-2021.zip")</f>
        <v>https://climate.onebuilding.org/WMO_Region_6_Europe/UKR_Ukraine/KK_Kharkivska/UKR_KK_Kolomak.343040_TMYx.2007-2021.zip</v>
      </c>
    </row>
    <row r="12496" spans="1:10" x14ac:dyDescent="0.25">
      <c r="A12496" t="s">
        <v>8766</v>
      </c>
      <c r="B12496" t="s">
        <v>26</v>
      </c>
      <c r="C12496" t="s">
        <v>8960</v>
      </c>
      <c r="D12496">
        <v>343040</v>
      </c>
      <c r="E12496" t="s">
        <v>14</v>
      </c>
      <c r="F12496">
        <v>49.844799999999999</v>
      </c>
      <c r="G12496">
        <v>35.309100000000001</v>
      </c>
      <c r="H12496">
        <v>2</v>
      </c>
      <c r="I12496">
        <v>140</v>
      </c>
      <c r="J12496" t="str">
        <f>HYPERLINK("https://climate.onebuilding.org/WMO_Region_6_Europe/UKR_Ukraine/KK_Kharkivska/UKR_KK_Kolomak.343040_TMYx.2009-2023.zip")</f>
        <v>https://climate.onebuilding.org/WMO_Region_6_Europe/UKR_Ukraine/KK_Kharkivska/UKR_KK_Kolomak.343040_TMYx.2009-2023.zip</v>
      </c>
    </row>
    <row r="12497" spans="1:10" x14ac:dyDescent="0.25">
      <c r="A12497" t="s">
        <v>8766</v>
      </c>
      <c r="B12497" t="s">
        <v>26</v>
      </c>
      <c r="C12497" t="s">
        <v>8960</v>
      </c>
      <c r="D12497">
        <v>343040</v>
      </c>
      <c r="E12497" t="s">
        <v>14</v>
      </c>
      <c r="F12497">
        <v>49.844799999999999</v>
      </c>
      <c r="G12497">
        <v>35.309100000000001</v>
      </c>
      <c r="H12497">
        <v>2</v>
      </c>
      <c r="I12497">
        <v>140</v>
      </c>
      <c r="J12497" t="str">
        <f>HYPERLINK("https://climate.onebuilding.org/WMO_Region_6_Europe/UKR_Ukraine/KK_Kharkivska/UKR_KK_Kolomak.343040_TMYx.zip")</f>
        <v>https://climate.onebuilding.org/WMO_Region_6_Europe/UKR_Ukraine/KK_Kharkivska/UKR_KK_Kolomak.343040_TMYx.zip</v>
      </c>
    </row>
    <row r="12498" spans="1:10" x14ac:dyDescent="0.25">
      <c r="A12498" t="s">
        <v>8766</v>
      </c>
      <c r="B12498" t="s">
        <v>3033</v>
      </c>
      <c r="C12498" t="s">
        <v>8961</v>
      </c>
      <c r="D12498">
        <v>343070</v>
      </c>
      <c r="E12498" t="s">
        <v>14</v>
      </c>
      <c r="F12498">
        <v>49.767000000000003</v>
      </c>
      <c r="G12498">
        <v>35.067</v>
      </c>
      <c r="H12498">
        <v>2</v>
      </c>
      <c r="I12498">
        <v>152</v>
      </c>
      <c r="J12498" t="str">
        <f>HYPERLINK("https://climate.onebuilding.org/WMO_Region_6_Europe/UKR_Ukraine/PL_Poltavska/UKR_PL_Artemivka.343070_TMYx.zip")</f>
        <v>https://climate.onebuilding.org/WMO_Region_6_Europe/UKR_Ukraine/PL_Poltavska/UKR_PL_Artemivka.343070_TMYx.zip</v>
      </c>
    </row>
    <row r="12499" spans="1:10" x14ac:dyDescent="0.25">
      <c r="A12499" t="s">
        <v>8766</v>
      </c>
      <c r="B12499" t="s">
        <v>26</v>
      </c>
      <c r="C12499" t="s">
        <v>8962</v>
      </c>
      <c r="D12499">
        <v>343120</v>
      </c>
      <c r="E12499" t="s">
        <v>14</v>
      </c>
      <c r="F12499">
        <v>50.078299999999999</v>
      </c>
      <c r="G12499">
        <v>37.384700000000002</v>
      </c>
      <c r="H12499">
        <v>2</v>
      </c>
      <c r="I12499">
        <v>175</v>
      </c>
      <c r="J12499" t="str">
        <f>HYPERLINK("https://climate.onebuilding.org/WMO_Region_6_Europe/UKR_Ukraine/KK_Kharkivska/UKR_KK_Velykyi.Burluk.343120_TMYx.2007-2021.zip")</f>
        <v>https://climate.onebuilding.org/WMO_Region_6_Europe/UKR_Ukraine/KK_Kharkivska/UKR_KK_Velykyi.Burluk.343120_TMYx.2007-2021.zip</v>
      </c>
    </row>
    <row r="12500" spans="1:10" x14ac:dyDescent="0.25">
      <c r="A12500" t="s">
        <v>8766</v>
      </c>
      <c r="B12500" t="s">
        <v>26</v>
      </c>
      <c r="C12500" t="s">
        <v>8962</v>
      </c>
      <c r="D12500">
        <v>343120</v>
      </c>
      <c r="E12500" t="s">
        <v>14</v>
      </c>
      <c r="F12500">
        <v>50.078299999999999</v>
      </c>
      <c r="G12500">
        <v>37.384700000000002</v>
      </c>
      <c r="H12500">
        <v>2</v>
      </c>
      <c r="I12500">
        <v>175</v>
      </c>
      <c r="J12500" t="str">
        <f>HYPERLINK("https://climate.onebuilding.org/WMO_Region_6_Europe/UKR_Ukraine/KK_Kharkivska/UKR_KK_Velykyi.Burluk.343120_TMYx.2009-2023.zip")</f>
        <v>https://climate.onebuilding.org/WMO_Region_6_Europe/UKR_Ukraine/KK_Kharkivska/UKR_KK_Velykyi.Burluk.343120_TMYx.2009-2023.zip</v>
      </c>
    </row>
    <row r="12501" spans="1:10" x14ac:dyDescent="0.25">
      <c r="A12501" t="s">
        <v>8766</v>
      </c>
      <c r="B12501" t="s">
        <v>26</v>
      </c>
      <c r="C12501" t="s">
        <v>8962</v>
      </c>
      <c r="D12501">
        <v>343120</v>
      </c>
      <c r="E12501" t="s">
        <v>14</v>
      </c>
      <c r="F12501">
        <v>50.078299999999999</v>
      </c>
      <c r="G12501">
        <v>37.384700000000002</v>
      </c>
      <c r="H12501">
        <v>2</v>
      </c>
      <c r="I12501">
        <v>175</v>
      </c>
      <c r="J12501" t="str">
        <f>HYPERLINK("https://climate.onebuilding.org/WMO_Region_6_Europe/UKR_Ukraine/KK_Kharkivska/UKR_KK_Velykyi.Burluk.343120_TMYx.zip")</f>
        <v>https://climate.onebuilding.org/WMO_Region_6_Europe/UKR_Ukraine/KK_Kharkivska/UKR_KK_Velykyi.Burluk.343120_TMYx.zip</v>
      </c>
    </row>
    <row r="12502" spans="1:10" x14ac:dyDescent="0.25">
      <c r="A12502" t="s">
        <v>8766</v>
      </c>
      <c r="B12502" t="s">
        <v>26</v>
      </c>
      <c r="C12502" t="s">
        <v>8963</v>
      </c>
      <c r="D12502">
        <v>343190</v>
      </c>
      <c r="E12502" t="s">
        <v>14</v>
      </c>
      <c r="F12502">
        <v>49.633000000000003</v>
      </c>
      <c r="G12502">
        <v>37.700000000000003</v>
      </c>
      <c r="H12502">
        <v>2</v>
      </c>
      <c r="I12502">
        <v>83</v>
      </c>
      <c r="J12502" t="str">
        <f>HYPERLINK("https://climate.onebuilding.org/WMO_Region_6_Europe/UKR_Ukraine/KK_Kharkivska/UKR_KK_Kupyansk-Vuzlovyi.343190_TMYx.2007-2021.zip")</f>
        <v>https://climate.onebuilding.org/WMO_Region_6_Europe/UKR_Ukraine/KK_Kharkivska/UKR_KK_Kupyansk-Vuzlovyi.343190_TMYx.2007-2021.zip</v>
      </c>
    </row>
    <row r="12503" spans="1:10" x14ac:dyDescent="0.25">
      <c r="A12503" t="s">
        <v>8766</v>
      </c>
      <c r="B12503" t="s">
        <v>26</v>
      </c>
      <c r="C12503" t="s">
        <v>8963</v>
      </c>
      <c r="D12503">
        <v>343190</v>
      </c>
      <c r="E12503" t="s">
        <v>14</v>
      </c>
      <c r="F12503">
        <v>49.633000000000003</v>
      </c>
      <c r="G12503">
        <v>37.700000000000003</v>
      </c>
      <c r="H12503">
        <v>2</v>
      </c>
      <c r="I12503">
        <v>83</v>
      </c>
      <c r="J12503" t="str">
        <f>HYPERLINK("https://climate.onebuilding.org/WMO_Region_6_Europe/UKR_Ukraine/KK_Kharkivska/UKR_KK_Kupyansk-Vuzlovyi.343190_TMYx.2009-2023.zip")</f>
        <v>https://climate.onebuilding.org/WMO_Region_6_Europe/UKR_Ukraine/KK_Kharkivska/UKR_KK_Kupyansk-Vuzlovyi.343190_TMYx.2009-2023.zip</v>
      </c>
    </row>
    <row r="12504" spans="1:10" x14ac:dyDescent="0.25">
      <c r="A12504" t="s">
        <v>8766</v>
      </c>
      <c r="B12504" t="s">
        <v>26</v>
      </c>
      <c r="C12504" t="s">
        <v>8963</v>
      </c>
      <c r="D12504">
        <v>343190</v>
      </c>
      <c r="E12504" t="s">
        <v>14</v>
      </c>
      <c r="F12504">
        <v>49.633000000000003</v>
      </c>
      <c r="G12504">
        <v>37.700000000000003</v>
      </c>
      <c r="H12504">
        <v>2</v>
      </c>
      <c r="I12504">
        <v>83</v>
      </c>
      <c r="J12504" t="str">
        <f>HYPERLINK("https://climate.onebuilding.org/WMO_Region_6_Europe/UKR_Ukraine/KK_Kharkivska/UKR_KK_Kupyansk-Vuzlovyi.343190_TMYx.zip")</f>
        <v>https://climate.onebuilding.org/WMO_Region_6_Europe/UKR_Ukraine/KK_Kharkivska/UKR_KK_Kupyansk-Vuzlovyi.343190_TMYx.zip</v>
      </c>
    </row>
    <row r="12505" spans="1:10" x14ac:dyDescent="0.25">
      <c r="A12505" t="s">
        <v>8766</v>
      </c>
      <c r="B12505" t="s">
        <v>26</v>
      </c>
      <c r="C12505" t="s">
        <v>8964</v>
      </c>
      <c r="D12505">
        <v>344010</v>
      </c>
      <c r="E12505" t="s">
        <v>14</v>
      </c>
      <c r="F12505">
        <v>49.360500000000002</v>
      </c>
      <c r="G12505">
        <v>35.415599999999998</v>
      </c>
      <c r="H12505">
        <v>2</v>
      </c>
      <c r="I12505">
        <v>159</v>
      </c>
      <c r="J12505" t="str">
        <f>HYPERLINK("https://climate.onebuilding.org/WMO_Region_6_Europe/UKR_Ukraine/KK_Kharkivska/UKR_KK_Krasnohrad.344010_TMYx.2007-2021.zip")</f>
        <v>https://climate.onebuilding.org/WMO_Region_6_Europe/UKR_Ukraine/KK_Kharkivska/UKR_KK_Krasnohrad.344010_TMYx.2007-2021.zip</v>
      </c>
    </row>
    <row r="12506" spans="1:10" x14ac:dyDescent="0.25">
      <c r="A12506" t="s">
        <v>8766</v>
      </c>
      <c r="B12506" t="s">
        <v>26</v>
      </c>
      <c r="C12506" t="s">
        <v>8964</v>
      </c>
      <c r="D12506">
        <v>344010</v>
      </c>
      <c r="E12506" t="s">
        <v>14</v>
      </c>
      <c r="F12506">
        <v>49.360500000000002</v>
      </c>
      <c r="G12506">
        <v>35.415599999999998</v>
      </c>
      <c r="H12506">
        <v>2</v>
      </c>
      <c r="I12506">
        <v>159</v>
      </c>
      <c r="J12506" t="str">
        <f>HYPERLINK("https://climate.onebuilding.org/WMO_Region_6_Europe/UKR_Ukraine/KK_Kharkivska/UKR_KK_Krasnohrad.344010_TMYx.2009-2023.zip")</f>
        <v>https://climate.onebuilding.org/WMO_Region_6_Europe/UKR_Ukraine/KK_Kharkivska/UKR_KK_Krasnohrad.344010_TMYx.2009-2023.zip</v>
      </c>
    </row>
    <row r="12507" spans="1:10" x14ac:dyDescent="0.25">
      <c r="A12507" t="s">
        <v>8766</v>
      </c>
      <c r="B12507" t="s">
        <v>26</v>
      </c>
      <c r="C12507" t="s">
        <v>8964</v>
      </c>
      <c r="D12507">
        <v>344010</v>
      </c>
      <c r="E12507" t="s">
        <v>14</v>
      </c>
      <c r="F12507">
        <v>49.360500000000002</v>
      </c>
      <c r="G12507">
        <v>35.415599999999998</v>
      </c>
      <c r="H12507">
        <v>2</v>
      </c>
      <c r="I12507">
        <v>159</v>
      </c>
      <c r="J12507" t="str">
        <f>HYPERLINK("https://climate.onebuilding.org/WMO_Region_6_Europe/UKR_Ukraine/KK_Kharkivska/UKR_KK_Krasnohrad.344010_TMYx.zip")</f>
        <v>https://climate.onebuilding.org/WMO_Region_6_Europe/UKR_Ukraine/KK_Kharkivska/UKR_KK_Krasnohrad.344010_TMYx.zip</v>
      </c>
    </row>
    <row r="12508" spans="1:10" x14ac:dyDescent="0.25">
      <c r="A12508" t="s">
        <v>8766</v>
      </c>
      <c r="B12508" t="s">
        <v>8903</v>
      </c>
      <c r="C12508" t="s">
        <v>8965</v>
      </c>
      <c r="D12508">
        <v>344070</v>
      </c>
      <c r="E12508" t="s">
        <v>14</v>
      </c>
      <c r="F12508">
        <v>48.792499999999997</v>
      </c>
      <c r="G12508">
        <v>35.248100000000001</v>
      </c>
      <c r="H12508">
        <v>2</v>
      </c>
      <c r="I12508">
        <v>127</v>
      </c>
      <c r="J12508" t="str">
        <f>HYPERLINK("https://climate.onebuilding.org/WMO_Region_6_Europe/UKR_Ukraine/DP_Dnipropetrovska/UKR_DP_Hubynykha.344070_TMYx.2007-2021.zip")</f>
        <v>https://climate.onebuilding.org/WMO_Region_6_Europe/UKR_Ukraine/DP_Dnipropetrovska/UKR_DP_Hubynykha.344070_TMYx.2007-2021.zip</v>
      </c>
    </row>
    <row r="12509" spans="1:10" x14ac:dyDescent="0.25">
      <c r="A12509" t="s">
        <v>8766</v>
      </c>
      <c r="B12509" t="s">
        <v>8903</v>
      </c>
      <c r="C12509" t="s">
        <v>8965</v>
      </c>
      <c r="D12509">
        <v>344070</v>
      </c>
      <c r="E12509" t="s">
        <v>14</v>
      </c>
      <c r="F12509">
        <v>48.792499999999997</v>
      </c>
      <c r="G12509">
        <v>35.248100000000001</v>
      </c>
      <c r="H12509">
        <v>2</v>
      </c>
      <c r="I12509">
        <v>127</v>
      </c>
      <c r="J12509" t="str">
        <f>HYPERLINK("https://climate.onebuilding.org/WMO_Region_6_Europe/UKR_Ukraine/DP_Dnipropetrovska/UKR_DP_Hubynykha.344070_TMYx.2009-2023.zip")</f>
        <v>https://climate.onebuilding.org/WMO_Region_6_Europe/UKR_Ukraine/DP_Dnipropetrovska/UKR_DP_Hubynykha.344070_TMYx.2009-2023.zip</v>
      </c>
    </row>
    <row r="12510" spans="1:10" x14ac:dyDescent="0.25">
      <c r="A12510" t="s">
        <v>8766</v>
      </c>
      <c r="B12510" t="s">
        <v>8903</v>
      </c>
      <c r="C12510" t="s">
        <v>8965</v>
      </c>
      <c r="D12510">
        <v>344070</v>
      </c>
      <c r="E12510" t="s">
        <v>14</v>
      </c>
      <c r="F12510">
        <v>48.792499999999997</v>
      </c>
      <c r="G12510">
        <v>35.248100000000001</v>
      </c>
      <c r="H12510">
        <v>2</v>
      </c>
      <c r="I12510">
        <v>127</v>
      </c>
      <c r="J12510" t="str">
        <f>HYPERLINK("https://climate.onebuilding.org/WMO_Region_6_Europe/UKR_Ukraine/DP_Dnipropetrovska/UKR_DP_Hubynykha.344070_TMYx.zip")</f>
        <v>https://climate.onebuilding.org/WMO_Region_6_Europe/UKR_Ukraine/DP_Dnipropetrovska/UKR_DP_Hubynykha.344070_TMYx.zip</v>
      </c>
    </row>
    <row r="12511" spans="1:10" x14ac:dyDescent="0.25">
      <c r="A12511" t="s">
        <v>8766</v>
      </c>
      <c r="B12511" t="s">
        <v>26</v>
      </c>
      <c r="C12511" t="s">
        <v>8966</v>
      </c>
      <c r="D12511">
        <v>344090</v>
      </c>
      <c r="E12511" t="s">
        <v>14</v>
      </c>
      <c r="F12511">
        <v>48.8872</v>
      </c>
      <c r="G12511">
        <v>36.344200000000001</v>
      </c>
      <c r="H12511">
        <v>2</v>
      </c>
      <c r="I12511">
        <v>177</v>
      </c>
      <c r="J12511" t="str">
        <f>HYPERLINK("https://climate.onebuilding.org/WMO_Region_6_Europe/UKR_Ukraine/KK_Kharkivska/UKR_KK_Lozova.344090_TMYx.2007-2021.zip")</f>
        <v>https://climate.onebuilding.org/WMO_Region_6_Europe/UKR_Ukraine/KK_Kharkivska/UKR_KK_Lozova.344090_TMYx.2007-2021.zip</v>
      </c>
    </row>
    <row r="12512" spans="1:10" x14ac:dyDescent="0.25">
      <c r="A12512" t="s">
        <v>8766</v>
      </c>
      <c r="B12512" t="s">
        <v>26</v>
      </c>
      <c r="C12512" t="s">
        <v>8966</v>
      </c>
      <c r="D12512">
        <v>344090</v>
      </c>
      <c r="E12512" t="s">
        <v>14</v>
      </c>
      <c r="F12512">
        <v>48.8872</v>
      </c>
      <c r="G12512">
        <v>36.344200000000001</v>
      </c>
      <c r="H12512">
        <v>2</v>
      </c>
      <c r="I12512">
        <v>177</v>
      </c>
      <c r="J12512" t="str">
        <f>HYPERLINK("https://climate.onebuilding.org/WMO_Region_6_Europe/UKR_Ukraine/KK_Kharkivska/UKR_KK_Lozova.344090_TMYx.2009-2023.zip")</f>
        <v>https://climate.onebuilding.org/WMO_Region_6_Europe/UKR_Ukraine/KK_Kharkivska/UKR_KK_Lozova.344090_TMYx.2009-2023.zip</v>
      </c>
    </row>
    <row r="12513" spans="1:10" x14ac:dyDescent="0.25">
      <c r="A12513" t="s">
        <v>8766</v>
      </c>
      <c r="B12513" t="s">
        <v>26</v>
      </c>
      <c r="C12513" t="s">
        <v>8966</v>
      </c>
      <c r="D12513">
        <v>344090</v>
      </c>
      <c r="E12513" t="s">
        <v>14</v>
      </c>
      <c r="F12513">
        <v>48.8872</v>
      </c>
      <c r="G12513">
        <v>36.344200000000001</v>
      </c>
      <c r="H12513">
        <v>2</v>
      </c>
      <c r="I12513">
        <v>177</v>
      </c>
      <c r="J12513" t="str">
        <f>HYPERLINK("https://climate.onebuilding.org/WMO_Region_6_Europe/UKR_Ukraine/KK_Kharkivska/UKR_KK_Lozova.344090_TMYx.zip")</f>
        <v>https://climate.onebuilding.org/WMO_Region_6_Europe/UKR_Ukraine/KK_Kharkivska/UKR_KK_Lozova.344090_TMYx.zip</v>
      </c>
    </row>
    <row r="12514" spans="1:10" x14ac:dyDescent="0.25">
      <c r="A12514" t="s">
        <v>8766</v>
      </c>
      <c r="B12514" t="s">
        <v>26</v>
      </c>
      <c r="C12514" t="s">
        <v>8967</v>
      </c>
      <c r="D12514">
        <v>344150</v>
      </c>
      <c r="E12514" t="s">
        <v>8968</v>
      </c>
      <c r="F12514">
        <v>49.187199999999997</v>
      </c>
      <c r="G12514">
        <v>37.289400000000001</v>
      </c>
      <c r="H12514">
        <v>2</v>
      </c>
      <c r="I12514">
        <v>78</v>
      </c>
      <c r="J12514" t="str">
        <f>HYPERLINK("https://climate.onebuilding.org/WMO_Region_6_Europe/UKR_Ukraine/KK_Kharkivska/UKR_KK_Izyum.344150_TMYx.2004-2018.zip")</f>
        <v>https://climate.onebuilding.org/WMO_Region_6_Europe/UKR_Ukraine/KK_Kharkivska/UKR_KK_Izyum.344150_TMYx.2004-2018.zip</v>
      </c>
    </row>
    <row r="12515" spans="1:10" x14ac:dyDescent="0.25">
      <c r="A12515" t="s">
        <v>8766</v>
      </c>
      <c r="B12515" t="s">
        <v>26</v>
      </c>
      <c r="C12515" t="s">
        <v>8967</v>
      </c>
      <c r="D12515">
        <v>344150</v>
      </c>
      <c r="E12515" t="s">
        <v>14</v>
      </c>
      <c r="F12515">
        <v>49.187199999999997</v>
      </c>
      <c r="G12515">
        <v>37.289400000000001</v>
      </c>
      <c r="H12515">
        <v>2</v>
      </c>
      <c r="I12515">
        <v>78</v>
      </c>
      <c r="J12515" t="str">
        <f>HYPERLINK("https://climate.onebuilding.org/WMO_Region_6_Europe/UKR_Ukraine/KK_Kharkivska/UKR_KK_Izyum.344150_TMYx.2007-2021.zip")</f>
        <v>https://climate.onebuilding.org/WMO_Region_6_Europe/UKR_Ukraine/KK_Kharkivska/UKR_KK_Izyum.344150_TMYx.2007-2021.zip</v>
      </c>
    </row>
    <row r="12516" spans="1:10" x14ac:dyDescent="0.25">
      <c r="A12516" t="s">
        <v>8766</v>
      </c>
      <c r="B12516" t="s">
        <v>26</v>
      </c>
      <c r="C12516" t="s">
        <v>8967</v>
      </c>
      <c r="D12516">
        <v>344150</v>
      </c>
      <c r="E12516" t="s">
        <v>14</v>
      </c>
      <c r="F12516">
        <v>49.187199999999997</v>
      </c>
      <c r="G12516">
        <v>37.289400000000001</v>
      </c>
      <c r="H12516">
        <v>2</v>
      </c>
      <c r="I12516">
        <v>78</v>
      </c>
      <c r="J12516" t="str">
        <f>HYPERLINK("https://climate.onebuilding.org/WMO_Region_6_Europe/UKR_Ukraine/KK_Kharkivska/UKR_KK_Izyum.344150_TMYx.2009-2023.zip")</f>
        <v>https://climate.onebuilding.org/WMO_Region_6_Europe/UKR_Ukraine/KK_Kharkivska/UKR_KK_Izyum.344150_TMYx.2009-2023.zip</v>
      </c>
    </row>
    <row r="12517" spans="1:10" x14ac:dyDescent="0.25">
      <c r="A12517" t="s">
        <v>8766</v>
      </c>
      <c r="B12517" t="s">
        <v>26</v>
      </c>
      <c r="C12517" t="s">
        <v>8967</v>
      </c>
      <c r="D12517">
        <v>344150</v>
      </c>
      <c r="E12517" t="s">
        <v>14</v>
      </c>
      <c r="F12517">
        <v>49.187199999999997</v>
      </c>
      <c r="G12517">
        <v>37.289400000000001</v>
      </c>
      <c r="H12517">
        <v>2</v>
      </c>
      <c r="I12517">
        <v>78</v>
      </c>
      <c r="J12517" t="str">
        <f>HYPERLINK("https://climate.onebuilding.org/WMO_Region_6_Europe/UKR_Ukraine/KK_Kharkivska/UKR_KK_Izyum.344150_TMYx.zip")</f>
        <v>https://climate.onebuilding.org/WMO_Region_6_Europe/UKR_Ukraine/KK_Kharkivska/UKR_KK_Izyum.344150_TMYx.zip</v>
      </c>
    </row>
    <row r="12518" spans="1:10" x14ac:dyDescent="0.25">
      <c r="A12518" t="s">
        <v>8766</v>
      </c>
      <c r="B12518" t="s">
        <v>8911</v>
      </c>
      <c r="C12518" t="s">
        <v>8969</v>
      </c>
      <c r="D12518">
        <v>344190</v>
      </c>
      <c r="E12518" t="s">
        <v>14</v>
      </c>
      <c r="F12518">
        <v>48.982999999999997</v>
      </c>
      <c r="G12518">
        <v>37.783000000000001</v>
      </c>
      <c r="H12518">
        <v>2</v>
      </c>
      <c r="I12518">
        <v>107</v>
      </c>
      <c r="J12518" t="str">
        <f>HYPERLINK("https://climate.onebuilding.org/WMO_Region_6_Europe/UKR_Ukraine/DT_Donetska/UKR_DT_Lyman.344190_TMYx.zip")</f>
        <v>https://climate.onebuilding.org/WMO_Region_6_Europe/UKR_Ukraine/DT_Donetska/UKR_DT_Lyman.344190_TMYx.zip</v>
      </c>
    </row>
    <row r="12519" spans="1:10" x14ac:dyDescent="0.25">
      <c r="A12519" t="s">
        <v>8766</v>
      </c>
      <c r="B12519" t="s">
        <v>8767</v>
      </c>
      <c r="C12519" t="s">
        <v>8970</v>
      </c>
      <c r="D12519">
        <v>344210</v>
      </c>
      <c r="E12519" t="s">
        <v>14</v>
      </c>
      <c r="F12519">
        <v>49.411700000000003</v>
      </c>
      <c r="G12519">
        <v>38.1633</v>
      </c>
      <c r="H12519">
        <v>2</v>
      </c>
      <c r="I12519">
        <v>89</v>
      </c>
      <c r="J12519" t="str">
        <f>HYPERLINK("https://climate.onebuilding.org/WMO_Region_6_Europe/UKR_Ukraine/LH_Luhanska/UKR_LH_Svatove.344210_TMYx.zip")</f>
        <v>https://climate.onebuilding.org/WMO_Region_6_Europe/UKR_Ukraine/LH_Luhanska/UKR_LH_Svatove.344210_TMYx.zip</v>
      </c>
    </row>
    <row r="12520" spans="1:10" x14ac:dyDescent="0.25">
      <c r="A12520" t="s">
        <v>8766</v>
      </c>
      <c r="B12520" t="s">
        <v>8767</v>
      </c>
      <c r="C12520" t="s">
        <v>8971</v>
      </c>
      <c r="D12520">
        <v>344220</v>
      </c>
      <c r="E12520" t="s">
        <v>14</v>
      </c>
      <c r="F12520">
        <v>49.283000000000001</v>
      </c>
      <c r="G12520">
        <v>38.917000000000002</v>
      </c>
      <c r="H12520">
        <v>2</v>
      </c>
      <c r="I12520">
        <v>64</v>
      </c>
      <c r="J12520" t="str">
        <f>HYPERLINK("https://climate.onebuilding.org/WMO_Region_6_Europe/UKR_Ukraine/LH_Luhanska/UKR_LH_Starobilsk.344220_TMYx.zip")</f>
        <v>https://climate.onebuilding.org/WMO_Region_6_Europe/UKR_Ukraine/LH_Luhanska/UKR_LH_Starobilsk.344220_TMYx.zip</v>
      </c>
    </row>
    <row r="12521" spans="1:10" x14ac:dyDescent="0.25">
      <c r="A12521" t="s">
        <v>8766</v>
      </c>
      <c r="B12521" t="s">
        <v>8767</v>
      </c>
      <c r="C12521" t="s">
        <v>8972</v>
      </c>
      <c r="D12521">
        <v>344340</v>
      </c>
      <c r="E12521" t="s">
        <v>14</v>
      </c>
      <c r="F12521">
        <v>48.565600000000003</v>
      </c>
      <c r="G12521">
        <v>39.233899999999998</v>
      </c>
      <c r="H12521">
        <v>2</v>
      </c>
      <c r="I12521">
        <v>75</v>
      </c>
      <c r="J12521" t="str">
        <f>HYPERLINK("https://climate.onebuilding.org/WMO_Region_6_Europe/UKR_Ukraine/LH_Luhanska/UKR_LH_Bilovodsk.344340_TMYx.zip")</f>
        <v>https://climate.onebuilding.org/WMO_Region_6_Europe/UKR_Ukraine/LH_Luhanska/UKR_LH_Bilovodsk.344340_TMYx.zip</v>
      </c>
    </row>
    <row r="12522" spans="1:10" x14ac:dyDescent="0.25">
      <c r="A12522" t="s">
        <v>8766</v>
      </c>
      <c r="B12522" t="s">
        <v>8903</v>
      </c>
      <c r="C12522" t="s">
        <v>8973</v>
      </c>
      <c r="D12522">
        <v>345020</v>
      </c>
      <c r="E12522" t="s">
        <v>14</v>
      </c>
      <c r="F12522">
        <v>48.521599999999999</v>
      </c>
      <c r="G12522">
        <v>35.8752</v>
      </c>
      <c r="H12522">
        <v>2</v>
      </c>
      <c r="I12522">
        <v>70</v>
      </c>
      <c r="J12522" t="str">
        <f>HYPERLINK("https://climate.onebuilding.org/WMO_Region_6_Europe/UKR_Ukraine/DP_Dnipropetrovska/UKR_DP_Pavlohrad.345020_TMYx.zip")</f>
        <v>https://climate.onebuilding.org/WMO_Region_6_Europe/UKR_Ukraine/DP_Dnipropetrovska/UKR_DP_Pavlohrad.345020_TMYx.zip</v>
      </c>
    </row>
    <row r="12523" spans="1:10" x14ac:dyDescent="0.25">
      <c r="A12523" t="s">
        <v>8766</v>
      </c>
      <c r="B12523" t="s">
        <v>8903</v>
      </c>
      <c r="C12523" t="s">
        <v>8974</v>
      </c>
      <c r="D12523">
        <v>345040</v>
      </c>
      <c r="E12523" t="s">
        <v>8975</v>
      </c>
      <c r="F12523">
        <v>48.36</v>
      </c>
      <c r="G12523">
        <v>35.085000000000001</v>
      </c>
      <c r="H12523">
        <v>2</v>
      </c>
      <c r="I12523">
        <v>143</v>
      </c>
      <c r="J12523" t="str">
        <f>HYPERLINK("https://climate.onebuilding.org/WMO_Region_6_Europe/UKR_Ukraine/DP_Dnipropetrovska/UKR_DP_Dnipropetrovsk.Intl.AP.345040_TMYx.2004-2018.zip")</f>
        <v>https://climate.onebuilding.org/WMO_Region_6_Europe/UKR_Ukraine/DP_Dnipropetrovska/UKR_DP_Dnipropetrovsk.Intl.AP.345040_TMYx.2004-2018.zip</v>
      </c>
    </row>
    <row r="12524" spans="1:10" x14ac:dyDescent="0.25">
      <c r="A12524" t="s">
        <v>8766</v>
      </c>
      <c r="B12524" t="s">
        <v>8903</v>
      </c>
      <c r="C12524" t="s">
        <v>8974</v>
      </c>
      <c r="D12524">
        <v>345040</v>
      </c>
      <c r="E12524" t="s">
        <v>14</v>
      </c>
      <c r="F12524">
        <v>48.36</v>
      </c>
      <c r="G12524">
        <v>35.085000000000001</v>
      </c>
      <c r="H12524">
        <v>2</v>
      </c>
      <c r="I12524">
        <v>143</v>
      </c>
      <c r="J12524" t="str">
        <f>HYPERLINK("https://climate.onebuilding.org/WMO_Region_6_Europe/UKR_Ukraine/DP_Dnipropetrovska/UKR_DP_Dnipropetrovsk.Intl.AP.345040_TMYx.2007-2021.zip")</f>
        <v>https://climate.onebuilding.org/WMO_Region_6_Europe/UKR_Ukraine/DP_Dnipropetrovska/UKR_DP_Dnipropetrovsk.Intl.AP.345040_TMYx.2007-2021.zip</v>
      </c>
    </row>
    <row r="12525" spans="1:10" x14ac:dyDescent="0.25">
      <c r="A12525" t="s">
        <v>8766</v>
      </c>
      <c r="B12525" t="s">
        <v>8903</v>
      </c>
      <c r="C12525" t="s">
        <v>8974</v>
      </c>
      <c r="D12525">
        <v>345040</v>
      </c>
      <c r="E12525" t="s">
        <v>14</v>
      </c>
      <c r="F12525">
        <v>48.36</v>
      </c>
      <c r="G12525">
        <v>35.085000000000001</v>
      </c>
      <c r="H12525">
        <v>2</v>
      </c>
      <c r="I12525">
        <v>143</v>
      </c>
      <c r="J12525" t="str">
        <f>HYPERLINK("https://climate.onebuilding.org/WMO_Region_6_Europe/UKR_Ukraine/DP_Dnipropetrovska/UKR_DP_Dnipropetrovsk.Intl.AP.345040_TMYx.2009-2023.zip")</f>
        <v>https://climate.onebuilding.org/WMO_Region_6_Europe/UKR_Ukraine/DP_Dnipropetrovska/UKR_DP_Dnipropetrovsk.Intl.AP.345040_TMYx.2009-2023.zip</v>
      </c>
    </row>
    <row r="12526" spans="1:10" x14ac:dyDescent="0.25">
      <c r="A12526" t="s">
        <v>8766</v>
      </c>
      <c r="B12526" t="s">
        <v>8903</v>
      </c>
      <c r="C12526" t="s">
        <v>8974</v>
      </c>
      <c r="D12526">
        <v>345040</v>
      </c>
      <c r="E12526" t="s">
        <v>14</v>
      </c>
      <c r="F12526">
        <v>48.36</v>
      </c>
      <c r="G12526">
        <v>35.085000000000001</v>
      </c>
      <c r="H12526">
        <v>2</v>
      </c>
      <c r="I12526">
        <v>143</v>
      </c>
      <c r="J12526" t="str">
        <f>HYPERLINK("https://climate.onebuilding.org/WMO_Region_6_Europe/UKR_Ukraine/DP_Dnipropetrovska/UKR_DP_Dnipropetrovsk.Intl.AP.345040_TMYx.zip")</f>
        <v>https://climate.onebuilding.org/WMO_Region_6_Europe/UKR_Ukraine/DP_Dnipropetrovska/UKR_DP_Dnipropetrovsk.Intl.AP.345040_TMYx.zip</v>
      </c>
    </row>
    <row r="12527" spans="1:10" x14ac:dyDescent="0.25">
      <c r="A12527" t="s">
        <v>8766</v>
      </c>
      <c r="B12527" t="s">
        <v>8903</v>
      </c>
      <c r="C12527" t="s">
        <v>8976</v>
      </c>
      <c r="D12527">
        <v>345090</v>
      </c>
      <c r="E12527" t="s">
        <v>14</v>
      </c>
      <c r="F12527">
        <v>48.126100000000001</v>
      </c>
      <c r="G12527">
        <v>36.2378</v>
      </c>
      <c r="H12527">
        <v>2</v>
      </c>
      <c r="I12527">
        <v>175</v>
      </c>
      <c r="J12527" t="str">
        <f>HYPERLINK("https://climate.onebuilding.org/WMO_Region_6_Europe/UKR_Ukraine/DP_Dnipropetrovska/UKR_DP_Chaplyne.345090_TMYx.2007-2021.zip")</f>
        <v>https://climate.onebuilding.org/WMO_Region_6_Europe/UKR_Ukraine/DP_Dnipropetrovska/UKR_DP_Chaplyne.345090_TMYx.2007-2021.zip</v>
      </c>
    </row>
    <row r="12528" spans="1:10" x14ac:dyDescent="0.25">
      <c r="A12528" t="s">
        <v>8766</v>
      </c>
      <c r="B12528" t="s">
        <v>8903</v>
      </c>
      <c r="C12528" t="s">
        <v>8976</v>
      </c>
      <c r="D12528">
        <v>345090</v>
      </c>
      <c r="E12528" t="s">
        <v>14</v>
      </c>
      <c r="F12528">
        <v>48.126100000000001</v>
      </c>
      <c r="G12528">
        <v>36.2378</v>
      </c>
      <c r="H12528">
        <v>2</v>
      </c>
      <c r="I12528">
        <v>175</v>
      </c>
      <c r="J12528" t="str">
        <f>HYPERLINK("https://climate.onebuilding.org/WMO_Region_6_Europe/UKR_Ukraine/DP_Dnipropetrovska/UKR_DP_Chaplyne.345090_TMYx.2009-2023.zip")</f>
        <v>https://climate.onebuilding.org/WMO_Region_6_Europe/UKR_Ukraine/DP_Dnipropetrovska/UKR_DP_Chaplyne.345090_TMYx.2009-2023.zip</v>
      </c>
    </row>
    <row r="12529" spans="1:10" x14ac:dyDescent="0.25">
      <c r="A12529" t="s">
        <v>8766</v>
      </c>
      <c r="B12529" t="s">
        <v>8903</v>
      </c>
      <c r="C12529" t="s">
        <v>8976</v>
      </c>
      <c r="D12529">
        <v>345090</v>
      </c>
      <c r="E12529" t="s">
        <v>14</v>
      </c>
      <c r="F12529">
        <v>48.126100000000001</v>
      </c>
      <c r="G12529">
        <v>36.2378</v>
      </c>
      <c r="H12529">
        <v>2</v>
      </c>
      <c r="I12529">
        <v>175</v>
      </c>
      <c r="J12529" t="str">
        <f>HYPERLINK("https://climate.onebuilding.org/WMO_Region_6_Europe/UKR_Ukraine/DP_Dnipropetrovska/UKR_DP_Chaplyne.345090_TMYx.zip")</f>
        <v>https://climate.onebuilding.org/WMO_Region_6_Europe/UKR_Ukraine/DP_Dnipropetrovska/UKR_DP_Chaplyne.345090_TMYx.zip</v>
      </c>
    </row>
    <row r="12530" spans="1:10" x14ac:dyDescent="0.25">
      <c r="A12530" t="s">
        <v>8766</v>
      </c>
      <c r="B12530" t="s">
        <v>8911</v>
      </c>
      <c r="C12530" t="s">
        <v>8977</v>
      </c>
      <c r="D12530">
        <v>345100</v>
      </c>
      <c r="E12530" t="s">
        <v>14</v>
      </c>
      <c r="F12530">
        <v>48.557200000000002</v>
      </c>
      <c r="G12530">
        <v>38.014699999999998</v>
      </c>
      <c r="H12530">
        <v>2</v>
      </c>
      <c r="I12530">
        <v>124</v>
      </c>
      <c r="J12530" t="str">
        <f>HYPERLINK("https://climate.onebuilding.org/WMO_Region_6_Europe/UKR_Ukraine/DT_Donetska/UKR_DT_Bakhmut.345100_TMYx.2007-2021.zip")</f>
        <v>https://climate.onebuilding.org/WMO_Region_6_Europe/UKR_Ukraine/DT_Donetska/UKR_DT_Bakhmut.345100_TMYx.2007-2021.zip</v>
      </c>
    </row>
    <row r="12531" spans="1:10" x14ac:dyDescent="0.25">
      <c r="A12531" t="s">
        <v>8766</v>
      </c>
      <c r="B12531" t="s">
        <v>8911</v>
      </c>
      <c r="C12531" t="s">
        <v>8977</v>
      </c>
      <c r="D12531">
        <v>345100</v>
      </c>
      <c r="E12531" t="s">
        <v>14</v>
      </c>
      <c r="F12531">
        <v>48.557200000000002</v>
      </c>
      <c r="G12531">
        <v>38.014699999999998</v>
      </c>
      <c r="H12531">
        <v>2</v>
      </c>
      <c r="I12531">
        <v>124</v>
      </c>
      <c r="J12531" t="str">
        <f>HYPERLINK("https://climate.onebuilding.org/WMO_Region_6_Europe/UKR_Ukraine/DT_Donetska/UKR_DT_Bakhmut.345100_TMYx.2009-2023.zip")</f>
        <v>https://climate.onebuilding.org/WMO_Region_6_Europe/UKR_Ukraine/DT_Donetska/UKR_DT_Bakhmut.345100_TMYx.2009-2023.zip</v>
      </c>
    </row>
    <row r="12532" spans="1:10" x14ac:dyDescent="0.25">
      <c r="A12532" t="s">
        <v>8766</v>
      </c>
      <c r="B12532" t="s">
        <v>8911</v>
      </c>
      <c r="C12532" t="s">
        <v>8977</v>
      </c>
      <c r="D12532">
        <v>345100</v>
      </c>
      <c r="E12532" t="s">
        <v>14</v>
      </c>
      <c r="F12532">
        <v>48.557200000000002</v>
      </c>
      <c r="G12532">
        <v>38.014699999999998</v>
      </c>
      <c r="H12532">
        <v>2</v>
      </c>
      <c r="I12532">
        <v>124</v>
      </c>
      <c r="J12532" t="str">
        <f>HYPERLINK("https://climate.onebuilding.org/WMO_Region_6_Europe/UKR_Ukraine/DT_Donetska/UKR_DT_Bakhmut.345100_TMYx.zip")</f>
        <v>https://climate.onebuilding.org/WMO_Region_6_Europe/UKR_Ukraine/DT_Donetska/UKR_DT_Bakhmut.345100_TMYx.zip</v>
      </c>
    </row>
    <row r="12533" spans="1:10" x14ac:dyDescent="0.25">
      <c r="A12533" t="s">
        <v>8766</v>
      </c>
      <c r="B12533" t="s">
        <v>8903</v>
      </c>
      <c r="C12533" t="s">
        <v>8978</v>
      </c>
      <c r="D12533">
        <v>345140</v>
      </c>
      <c r="E12533" t="s">
        <v>14</v>
      </c>
      <c r="F12533">
        <v>48.6</v>
      </c>
      <c r="G12533">
        <v>36.549999999999997</v>
      </c>
      <c r="H12533">
        <v>2</v>
      </c>
      <c r="I12533">
        <v>125</v>
      </c>
      <c r="J12533" t="str">
        <f>HYPERLINK("https://climate.onebuilding.org/WMO_Region_6_Europe/UKR_Ukraine/DP_Dnipropetrovska/UKR_DP_Oleksandropil.345140_TMYx.zip")</f>
        <v>https://climate.onebuilding.org/WMO_Region_6_Europe/UKR_Ukraine/DP_Dnipropetrovska/UKR_DP_Oleksandropil.345140_TMYx.zip</v>
      </c>
    </row>
    <row r="12534" spans="1:10" x14ac:dyDescent="0.25">
      <c r="A12534" t="s">
        <v>8766</v>
      </c>
      <c r="B12534" t="s">
        <v>8911</v>
      </c>
      <c r="C12534" t="s">
        <v>8979</v>
      </c>
      <c r="D12534">
        <v>345150</v>
      </c>
      <c r="E12534" t="s">
        <v>14</v>
      </c>
      <c r="F12534">
        <v>48.2791</v>
      </c>
      <c r="G12534">
        <v>37.164700000000003</v>
      </c>
      <c r="H12534">
        <v>2</v>
      </c>
      <c r="I12534">
        <v>196</v>
      </c>
      <c r="J12534" t="str">
        <f>HYPERLINK("https://climate.onebuilding.org/WMO_Region_6_Europe/UKR_Ukraine/DT_Donetska/UKR_DT_Krasnoarmiisk.345150_TMYx.zip")</f>
        <v>https://climate.onebuilding.org/WMO_Region_6_Europe/UKR_Ukraine/DT_Donetska/UKR_DT_Krasnoarmiisk.345150_TMYx.zip</v>
      </c>
    </row>
    <row r="12535" spans="1:10" x14ac:dyDescent="0.25">
      <c r="A12535" t="s">
        <v>8766</v>
      </c>
      <c r="B12535" t="s">
        <v>8911</v>
      </c>
      <c r="C12535" t="s">
        <v>8980</v>
      </c>
      <c r="D12535">
        <v>345190</v>
      </c>
      <c r="E12535" t="s">
        <v>8981</v>
      </c>
      <c r="F12535">
        <v>48.072200000000002</v>
      </c>
      <c r="G12535">
        <v>37.726700000000001</v>
      </c>
      <c r="H12535">
        <v>3</v>
      </c>
      <c r="I12535">
        <v>225</v>
      </c>
      <c r="J12535" t="str">
        <f>HYPERLINK("https://climate.onebuilding.org/WMO_Region_6_Europe/UKR_Ukraine/DT_Donetska/UKR_DT_Donetsk.Intl.AP.345190_TMYx.2004-2018.zip")</f>
        <v>https://climate.onebuilding.org/WMO_Region_6_Europe/UKR_Ukraine/DT_Donetska/UKR_DT_Donetsk.Intl.AP.345190_TMYx.2004-2018.zip</v>
      </c>
    </row>
    <row r="12536" spans="1:10" x14ac:dyDescent="0.25">
      <c r="A12536" t="s">
        <v>8766</v>
      </c>
      <c r="B12536" t="s">
        <v>8911</v>
      </c>
      <c r="C12536" t="s">
        <v>8980</v>
      </c>
      <c r="D12536">
        <v>345190</v>
      </c>
      <c r="E12536" t="s">
        <v>14</v>
      </c>
      <c r="F12536">
        <v>48.072200000000002</v>
      </c>
      <c r="G12536">
        <v>37.726700000000001</v>
      </c>
      <c r="H12536">
        <v>2</v>
      </c>
      <c r="I12536">
        <v>225</v>
      </c>
      <c r="J12536" t="str">
        <f>HYPERLINK("https://climate.onebuilding.org/WMO_Region_6_Europe/UKR_Ukraine/DT_Donetska/UKR_DT_Donetsk.Intl.AP.345190_TMYx.2007-2021.zip")</f>
        <v>https://climate.onebuilding.org/WMO_Region_6_Europe/UKR_Ukraine/DT_Donetska/UKR_DT_Donetsk.Intl.AP.345190_TMYx.2007-2021.zip</v>
      </c>
    </row>
    <row r="12537" spans="1:10" x14ac:dyDescent="0.25">
      <c r="A12537" t="s">
        <v>8766</v>
      </c>
      <c r="B12537" t="s">
        <v>8911</v>
      </c>
      <c r="C12537" t="s">
        <v>8980</v>
      </c>
      <c r="D12537">
        <v>345190</v>
      </c>
      <c r="E12537" t="s">
        <v>14</v>
      </c>
      <c r="F12537">
        <v>48.072200000000002</v>
      </c>
      <c r="G12537">
        <v>37.726700000000001</v>
      </c>
      <c r="H12537">
        <v>2</v>
      </c>
      <c r="I12537">
        <v>225</v>
      </c>
      <c r="J12537" t="str">
        <f>HYPERLINK("https://climate.onebuilding.org/WMO_Region_6_Europe/UKR_Ukraine/DT_Donetska/UKR_DT_Donetsk.Intl.AP.345190_TMYx.2009-2023.zip")</f>
        <v>https://climate.onebuilding.org/WMO_Region_6_Europe/UKR_Ukraine/DT_Donetska/UKR_DT_Donetsk.Intl.AP.345190_TMYx.2009-2023.zip</v>
      </c>
    </row>
    <row r="12538" spans="1:10" x14ac:dyDescent="0.25">
      <c r="A12538" t="s">
        <v>8766</v>
      </c>
      <c r="B12538" t="s">
        <v>8911</v>
      </c>
      <c r="C12538" t="s">
        <v>8980</v>
      </c>
      <c r="D12538">
        <v>345190</v>
      </c>
      <c r="E12538" t="s">
        <v>14</v>
      </c>
      <c r="F12538">
        <v>48.072200000000002</v>
      </c>
      <c r="G12538">
        <v>37.726700000000001</v>
      </c>
      <c r="H12538">
        <v>2</v>
      </c>
      <c r="I12538">
        <v>225</v>
      </c>
      <c r="J12538" t="str">
        <f>HYPERLINK("https://climate.onebuilding.org/WMO_Region_6_Europe/UKR_Ukraine/DT_Donetska/UKR_DT_Donetsk.Intl.AP.345190_TMYx.zip")</f>
        <v>https://climate.onebuilding.org/WMO_Region_6_Europe/UKR_Ukraine/DT_Donetska/UKR_DT_Donetsk.Intl.AP.345190_TMYx.zip</v>
      </c>
    </row>
    <row r="12539" spans="1:10" x14ac:dyDescent="0.25">
      <c r="A12539" t="s">
        <v>8766</v>
      </c>
      <c r="B12539" t="s">
        <v>8767</v>
      </c>
      <c r="C12539" t="s">
        <v>8982</v>
      </c>
      <c r="D12539">
        <v>345230</v>
      </c>
      <c r="E12539" t="s">
        <v>8983</v>
      </c>
      <c r="F12539">
        <v>48.565600000000003</v>
      </c>
      <c r="G12539">
        <v>39.233899999999998</v>
      </c>
      <c r="H12539">
        <v>2</v>
      </c>
      <c r="I12539">
        <v>62</v>
      </c>
      <c r="J12539" t="str">
        <f>HYPERLINK("https://climate.onebuilding.org/WMO_Region_6_Europe/UKR_Ukraine/LH_Luhanska/UKR_LH_Luhansk.345230_TMYx.2004-2018.zip")</f>
        <v>https://climate.onebuilding.org/WMO_Region_6_Europe/UKR_Ukraine/LH_Luhanska/UKR_LH_Luhansk.345230_TMYx.2004-2018.zip</v>
      </c>
    </row>
    <row r="12540" spans="1:10" x14ac:dyDescent="0.25">
      <c r="A12540" t="s">
        <v>8766</v>
      </c>
      <c r="B12540" t="s">
        <v>8767</v>
      </c>
      <c r="C12540" t="s">
        <v>8982</v>
      </c>
      <c r="D12540">
        <v>345230</v>
      </c>
      <c r="E12540" t="s">
        <v>14</v>
      </c>
      <c r="F12540">
        <v>48.565600000000003</v>
      </c>
      <c r="G12540">
        <v>39.233899999999998</v>
      </c>
      <c r="H12540">
        <v>2</v>
      </c>
      <c r="I12540">
        <v>62</v>
      </c>
      <c r="J12540" t="str">
        <f>HYPERLINK("https://climate.onebuilding.org/WMO_Region_6_Europe/UKR_Ukraine/LH_Luhanska/UKR_LH_Luhansk.345230_TMYx.2007-2021.zip")</f>
        <v>https://climate.onebuilding.org/WMO_Region_6_Europe/UKR_Ukraine/LH_Luhanska/UKR_LH_Luhansk.345230_TMYx.2007-2021.zip</v>
      </c>
    </row>
    <row r="12541" spans="1:10" x14ac:dyDescent="0.25">
      <c r="A12541" t="s">
        <v>8766</v>
      </c>
      <c r="B12541" t="s">
        <v>8767</v>
      </c>
      <c r="C12541" t="s">
        <v>8982</v>
      </c>
      <c r="D12541">
        <v>345230</v>
      </c>
      <c r="E12541" t="s">
        <v>14</v>
      </c>
      <c r="F12541">
        <v>48.565600000000003</v>
      </c>
      <c r="G12541">
        <v>39.233899999999998</v>
      </c>
      <c r="H12541">
        <v>2</v>
      </c>
      <c r="I12541">
        <v>62</v>
      </c>
      <c r="J12541" t="str">
        <f>HYPERLINK("https://climate.onebuilding.org/WMO_Region_6_Europe/UKR_Ukraine/LH_Luhanska/UKR_LH_Luhansk.345230_TMYx.2009-2023.zip")</f>
        <v>https://climate.onebuilding.org/WMO_Region_6_Europe/UKR_Ukraine/LH_Luhanska/UKR_LH_Luhansk.345230_TMYx.2009-2023.zip</v>
      </c>
    </row>
    <row r="12542" spans="1:10" x14ac:dyDescent="0.25">
      <c r="A12542" t="s">
        <v>8766</v>
      </c>
      <c r="B12542" t="s">
        <v>8767</v>
      </c>
      <c r="C12542" t="s">
        <v>8982</v>
      </c>
      <c r="D12542">
        <v>345230</v>
      </c>
      <c r="E12542" t="s">
        <v>14</v>
      </c>
      <c r="F12542">
        <v>48.565600000000003</v>
      </c>
      <c r="G12542">
        <v>39.233899999999998</v>
      </c>
      <c r="H12542">
        <v>2</v>
      </c>
      <c r="I12542">
        <v>62</v>
      </c>
      <c r="J12542" t="str">
        <f>HYPERLINK("https://climate.onebuilding.org/WMO_Region_6_Europe/UKR_Ukraine/LH_Luhanska/UKR_LH_Luhansk.345230_TMYx.zip")</f>
        <v>https://climate.onebuilding.org/WMO_Region_6_Europe/UKR_Ukraine/LH_Luhanska/UKR_LH_Luhansk.345230_TMYx.zip</v>
      </c>
    </row>
    <row r="12543" spans="1:10" x14ac:dyDescent="0.25">
      <c r="A12543" t="s">
        <v>8766</v>
      </c>
      <c r="B12543" t="s">
        <v>8911</v>
      </c>
      <c r="C12543" t="s">
        <v>8984</v>
      </c>
      <c r="D12543">
        <v>345240</v>
      </c>
      <c r="E12543" t="s">
        <v>14</v>
      </c>
      <c r="F12543">
        <v>48.36</v>
      </c>
      <c r="G12543">
        <v>38.436100000000003</v>
      </c>
      <c r="H12543">
        <v>2</v>
      </c>
      <c r="I12543">
        <v>334</v>
      </c>
      <c r="J12543" t="str">
        <f>HYPERLINK("https://climate.onebuilding.org/WMO_Region_6_Europe/UKR_Ukraine/DT_Donetska/UKR_DT_Debaltseve.345240_TMYx.2007-2021.zip")</f>
        <v>https://climate.onebuilding.org/WMO_Region_6_Europe/UKR_Ukraine/DT_Donetska/UKR_DT_Debaltseve.345240_TMYx.2007-2021.zip</v>
      </c>
    </row>
    <row r="12544" spans="1:10" x14ac:dyDescent="0.25">
      <c r="A12544" t="s">
        <v>8766</v>
      </c>
      <c r="B12544" t="s">
        <v>8911</v>
      </c>
      <c r="C12544" t="s">
        <v>8984</v>
      </c>
      <c r="D12544">
        <v>345240</v>
      </c>
      <c r="E12544" t="s">
        <v>14</v>
      </c>
      <c r="F12544">
        <v>48.36</v>
      </c>
      <c r="G12544">
        <v>38.436100000000003</v>
      </c>
      <c r="H12544">
        <v>2</v>
      </c>
      <c r="I12544">
        <v>334</v>
      </c>
      <c r="J12544" t="str">
        <f>HYPERLINK("https://climate.onebuilding.org/WMO_Region_6_Europe/UKR_Ukraine/DT_Donetska/UKR_DT_Debaltseve.345240_TMYx.2009-2023.zip")</f>
        <v>https://climate.onebuilding.org/WMO_Region_6_Europe/UKR_Ukraine/DT_Donetska/UKR_DT_Debaltseve.345240_TMYx.2009-2023.zip</v>
      </c>
    </row>
    <row r="12545" spans="1:10" x14ac:dyDescent="0.25">
      <c r="A12545" t="s">
        <v>8766</v>
      </c>
      <c r="B12545" t="s">
        <v>8911</v>
      </c>
      <c r="C12545" t="s">
        <v>8984</v>
      </c>
      <c r="D12545">
        <v>345240</v>
      </c>
      <c r="E12545" t="s">
        <v>14</v>
      </c>
      <c r="F12545">
        <v>48.36</v>
      </c>
      <c r="G12545">
        <v>38.436100000000003</v>
      </c>
      <c r="H12545">
        <v>2</v>
      </c>
      <c r="I12545">
        <v>334</v>
      </c>
      <c r="J12545" t="str">
        <f>HYPERLINK("https://climate.onebuilding.org/WMO_Region_6_Europe/UKR_Ukraine/DT_Donetska/UKR_DT_Debaltseve.345240_TMYx.zip")</f>
        <v>https://climate.onebuilding.org/WMO_Region_6_Europe/UKR_Ukraine/DT_Donetska/UKR_DT_Debaltseve.345240_TMYx.zip</v>
      </c>
    </row>
    <row r="12546" spans="1:10" x14ac:dyDescent="0.25">
      <c r="A12546" t="s">
        <v>8766</v>
      </c>
      <c r="B12546" t="s">
        <v>8767</v>
      </c>
      <c r="C12546" t="s">
        <v>8985</v>
      </c>
      <c r="D12546">
        <v>345370</v>
      </c>
      <c r="E12546" t="s">
        <v>14</v>
      </c>
      <c r="F12546">
        <v>48.0717</v>
      </c>
      <c r="G12546">
        <v>39.474400000000003</v>
      </c>
      <c r="H12546">
        <v>2</v>
      </c>
      <c r="I12546">
        <v>302</v>
      </c>
      <c r="J12546" t="str">
        <f>HYPERLINK("https://climate.onebuilding.org/WMO_Region_6_Europe/UKR_Ukraine/LH_Luhanska/UKR_LH_DarIvka.345370_TMYx.2007-2021.zip")</f>
        <v>https://climate.onebuilding.org/WMO_Region_6_Europe/UKR_Ukraine/LH_Luhanska/UKR_LH_DarIvka.345370_TMYx.2007-2021.zip</v>
      </c>
    </row>
    <row r="12547" spans="1:10" x14ac:dyDescent="0.25">
      <c r="A12547" t="s">
        <v>8766</v>
      </c>
      <c r="B12547" t="s">
        <v>8767</v>
      </c>
      <c r="C12547" t="s">
        <v>8985</v>
      </c>
      <c r="D12547">
        <v>345370</v>
      </c>
      <c r="E12547" t="s">
        <v>14</v>
      </c>
      <c r="F12547">
        <v>48.0717</v>
      </c>
      <c r="G12547">
        <v>39.474400000000003</v>
      </c>
      <c r="H12547">
        <v>2</v>
      </c>
      <c r="I12547">
        <v>302</v>
      </c>
      <c r="J12547" t="str">
        <f>HYPERLINK("https://climate.onebuilding.org/WMO_Region_6_Europe/UKR_Ukraine/LH_Luhanska/UKR_LH_DarIvka.345370_TMYx.2009-2023.zip")</f>
        <v>https://climate.onebuilding.org/WMO_Region_6_Europe/UKR_Ukraine/LH_Luhanska/UKR_LH_DarIvka.345370_TMYx.2009-2023.zip</v>
      </c>
    </row>
    <row r="12548" spans="1:10" x14ac:dyDescent="0.25">
      <c r="A12548" t="s">
        <v>8766</v>
      </c>
      <c r="B12548" t="s">
        <v>8767</v>
      </c>
      <c r="C12548" t="s">
        <v>8985</v>
      </c>
      <c r="D12548">
        <v>345370</v>
      </c>
      <c r="E12548" t="s">
        <v>14</v>
      </c>
      <c r="F12548">
        <v>48.0717</v>
      </c>
      <c r="G12548">
        <v>39.474400000000003</v>
      </c>
      <c r="H12548">
        <v>2</v>
      </c>
      <c r="I12548">
        <v>302</v>
      </c>
      <c r="J12548" t="str">
        <f>HYPERLINK("https://climate.onebuilding.org/WMO_Region_6_Europe/UKR_Ukraine/LH_Luhanska/UKR_LH_DarIvka.345370_TMYx.zip")</f>
        <v>https://climate.onebuilding.org/WMO_Region_6_Europe/UKR_Ukraine/LH_Luhanska/UKR_LH_DarIvka.345370_TMYx.zip</v>
      </c>
    </row>
    <row r="12549" spans="1:10" x14ac:dyDescent="0.25">
      <c r="A12549" t="s">
        <v>8766</v>
      </c>
      <c r="B12549" t="s">
        <v>6812</v>
      </c>
      <c r="C12549" t="s">
        <v>8986</v>
      </c>
      <c r="D12549">
        <v>346010</v>
      </c>
      <c r="E12549" t="s">
        <v>8987</v>
      </c>
      <c r="F12549">
        <v>47.878599999999999</v>
      </c>
      <c r="G12549">
        <v>35.082500000000003</v>
      </c>
      <c r="H12549">
        <v>2</v>
      </c>
      <c r="I12549">
        <v>113.7</v>
      </c>
      <c r="J12549" t="str">
        <f>HYPERLINK("https://climate.onebuilding.org/WMO_Region_6_Europe/UKR_Ukraine/ZP_Zaporizka/UKR_ZP_Zaporizhzhia.346010_TMYx.2004-2018.zip")</f>
        <v>https://climate.onebuilding.org/WMO_Region_6_Europe/UKR_Ukraine/ZP_Zaporizka/UKR_ZP_Zaporizhzhia.346010_TMYx.2004-2018.zip</v>
      </c>
    </row>
    <row r="12550" spans="1:10" x14ac:dyDescent="0.25">
      <c r="A12550" t="s">
        <v>8766</v>
      </c>
      <c r="B12550" t="s">
        <v>6812</v>
      </c>
      <c r="C12550" t="s">
        <v>8986</v>
      </c>
      <c r="D12550">
        <v>346010</v>
      </c>
      <c r="E12550" t="s">
        <v>14</v>
      </c>
      <c r="F12550">
        <v>47.878599999999999</v>
      </c>
      <c r="G12550">
        <v>35.082500000000003</v>
      </c>
      <c r="H12550">
        <v>2</v>
      </c>
      <c r="I12550">
        <v>113.7</v>
      </c>
      <c r="J12550" t="str">
        <f>HYPERLINK("https://climate.onebuilding.org/WMO_Region_6_Europe/UKR_Ukraine/ZP_Zaporizka/UKR_ZP_Zaporizhzhia.346010_TMYx.2007-2021.zip")</f>
        <v>https://climate.onebuilding.org/WMO_Region_6_Europe/UKR_Ukraine/ZP_Zaporizka/UKR_ZP_Zaporizhzhia.346010_TMYx.2007-2021.zip</v>
      </c>
    </row>
    <row r="12551" spans="1:10" x14ac:dyDescent="0.25">
      <c r="A12551" t="s">
        <v>8766</v>
      </c>
      <c r="B12551" t="s">
        <v>6812</v>
      </c>
      <c r="C12551" t="s">
        <v>8986</v>
      </c>
      <c r="D12551">
        <v>346010</v>
      </c>
      <c r="E12551" t="s">
        <v>14</v>
      </c>
      <c r="F12551">
        <v>47.878599999999999</v>
      </c>
      <c r="G12551">
        <v>35.082500000000003</v>
      </c>
      <c r="H12551">
        <v>2</v>
      </c>
      <c r="I12551">
        <v>113.7</v>
      </c>
      <c r="J12551" t="str">
        <f>HYPERLINK("https://climate.onebuilding.org/WMO_Region_6_Europe/UKR_Ukraine/ZP_Zaporizka/UKR_ZP_Zaporizhzhia.346010_TMYx.2009-2023.zip")</f>
        <v>https://climate.onebuilding.org/WMO_Region_6_Europe/UKR_Ukraine/ZP_Zaporizka/UKR_ZP_Zaporizhzhia.346010_TMYx.2009-2023.zip</v>
      </c>
    </row>
    <row r="12552" spans="1:10" x14ac:dyDescent="0.25">
      <c r="A12552" t="s">
        <v>8766</v>
      </c>
      <c r="B12552" t="s">
        <v>6812</v>
      </c>
      <c r="C12552" t="s">
        <v>8986</v>
      </c>
      <c r="D12552">
        <v>346010</v>
      </c>
      <c r="E12552" t="s">
        <v>14</v>
      </c>
      <c r="F12552">
        <v>47.878599999999999</v>
      </c>
      <c r="G12552">
        <v>35.082500000000003</v>
      </c>
      <c r="H12552">
        <v>2</v>
      </c>
      <c r="I12552">
        <v>113.7</v>
      </c>
      <c r="J12552" t="str">
        <f>HYPERLINK("https://climate.onebuilding.org/WMO_Region_6_Europe/UKR_Ukraine/ZP_Zaporizka/UKR_ZP_Zaporizhzhia.346010_TMYx.zip")</f>
        <v>https://climate.onebuilding.org/WMO_Region_6_Europe/UKR_Ukraine/ZP_Zaporizka/UKR_ZP_Zaporizhzhia.346010_TMYx.zip</v>
      </c>
    </row>
    <row r="12553" spans="1:10" x14ac:dyDescent="0.25">
      <c r="A12553" t="s">
        <v>8766</v>
      </c>
      <c r="B12553" t="s">
        <v>6812</v>
      </c>
      <c r="C12553" t="s">
        <v>8988</v>
      </c>
      <c r="D12553">
        <v>346060</v>
      </c>
      <c r="E12553" t="s">
        <v>14</v>
      </c>
      <c r="F12553">
        <v>47.667000000000002</v>
      </c>
      <c r="G12553">
        <v>36.25</v>
      </c>
      <c r="H12553">
        <v>2</v>
      </c>
      <c r="I12553">
        <v>135</v>
      </c>
      <c r="J12553" t="str">
        <f>HYPERLINK("https://climate.onebuilding.org/WMO_Region_6_Europe/UKR_Ukraine/ZP_Zaporizka/UKR_ZP_Hulyaipole-Gulyaypole.346060_TMYx.zip")</f>
        <v>https://climate.onebuilding.org/WMO_Region_6_Europe/UKR_Ukraine/ZP_Zaporizka/UKR_ZP_Hulyaipole-Gulyaypole.346060_TMYx.zip</v>
      </c>
    </row>
    <row r="12554" spans="1:10" x14ac:dyDescent="0.25">
      <c r="A12554" t="s">
        <v>8766</v>
      </c>
      <c r="B12554" t="s">
        <v>6812</v>
      </c>
      <c r="C12554" t="s">
        <v>8989</v>
      </c>
      <c r="D12554">
        <v>346070</v>
      </c>
      <c r="E12554" t="s">
        <v>14</v>
      </c>
      <c r="F12554">
        <v>47.260599999999997</v>
      </c>
      <c r="G12554">
        <v>35.332799999999999</v>
      </c>
      <c r="H12554">
        <v>2</v>
      </c>
      <c r="I12554">
        <v>88</v>
      </c>
      <c r="J12554" t="str">
        <f>HYPERLINK("https://climate.onebuilding.org/WMO_Region_6_Europe/UKR_Ukraine/ZP_Zaporizka/UKR_ZP_Pryshyb.346070_TMYx.2007-2021.zip")</f>
        <v>https://climate.onebuilding.org/WMO_Region_6_Europe/UKR_Ukraine/ZP_Zaporizka/UKR_ZP_Pryshyb.346070_TMYx.2007-2021.zip</v>
      </c>
    </row>
    <row r="12555" spans="1:10" x14ac:dyDescent="0.25">
      <c r="A12555" t="s">
        <v>8766</v>
      </c>
      <c r="B12555" t="s">
        <v>6812</v>
      </c>
      <c r="C12555" t="s">
        <v>8989</v>
      </c>
      <c r="D12555">
        <v>346070</v>
      </c>
      <c r="E12555" t="s">
        <v>14</v>
      </c>
      <c r="F12555">
        <v>47.260599999999997</v>
      </c>
      <c r="G12555">
        <v>35.332799999999999</v>
      </c>
      <c r="H12555">
        <v>2</v>
      </c>
      <c r="I12555">
        <v>88</v>
      </c>
      <c r="J12555" t="str">
        <f>HYPERLINK("https://climate.onebuilding.org/WMO_Region_6_Europe/UKR_Ukraine/ZP_Zaporizka/UKR_ZP_Pryshyb.346070_TMYx.2009-2023.zip")</f>
        <v>https://climate.onebuilding.org/WMO_Region_6_Europe/UKR_Ukraine/ZP_Zaporizka/UKR_ZP_Pryshyb.346070_TMYx.2009-2023.zip</v>
      </c>
    </row>
    <row r="12556" spans="1:10" x14ac:dyDescent="0.25">
      <c r="A12556" t="s">
        <v>8766</v>
      </c>
      <c r="B12556" t="s">
        <v>6812</v>
      </c>
      <c r="C12556" t="s">
        <v>8989</v>
      </c>
      <c r="D12556">
        <v>346070</v>
      </c>
      <c r="E12556" t="s">
        <v>14</v>
      </c>
      <c r="F12556">
        <v>47.260599999999997</v>
      </c>
      <c r="G12556">
        <v>35.332799999999999</v>
      </c>
      <c r="H12556">
        <v>2</v>
      </c>
      <c r="I12556">
        <v>88</v>
      </c>
      <c r="J12556" t="str">
        <f>HYPERLINK("https://climate.onebuilding.org/WMO_Region_6_Europe/UKR_Ukraine/ZP_Zaporizka/UKR_ZP_Pryshyb.346070_TMYx.zip")</f>
        <v>https://climate.onebuilding.org/WMO_Region_6_Europe/UKR_Ukraine/ZP_Zaporizka/UKR_ZP_Pryshyb.346070_TMYx.zip</v>
      </c>
    </row>
    <row r="12557" spans="1:10" x14ac:dyDescent="0.25">
      <c r="A12557" t="s">
        <v>8766</v>
      </c>
      <c r="B12557" t="s">
        <v>6812</v>
      </c>
      <c r="C12557" t="s">
        <v>8990</v>
      </c>
      <c r="D12557">
        <v>346090</v>
      </c>
      <c r="E12557" t="s">
        <v>14</v>
      </c>
      <c r="F12557">
        <v>47.329700000000003</v>
      </c>
      <c r="G12557">
        <v>36.335000000000001</v>
      </c>
      <c r="H12557">
        <v>2</v>
      </c>
      <c r="I12557">
        <v>221</v>
      </c>
      <c r="J12557" t="str">
        <f>HYPERLINK("https://climate.onebuilding.org/WMO_Region_6_Europe/UKR_Ukraine/ZP_Zaporizka/UKR_ZP_Kyrylivka.346090_TMYx.2007-2021.zip")</f>
        <v>https://climate.onebuilding.org/WMO_Region_6_Europe/UKR_Ukraine/ZP_Zaporizka/UKR_ZP_Kyrylivka.346090_TMYx.2007-2021.zip</v>
      </c>
    </row>
    <row r="12558" spans="1:10" x14ac:dyDescent="0.25">
      <c r="A12558" t="s">
        <v>8766</v>
      </c>
      <c r="B12558" t="s">
        <v>6812</v>
      </c>
      <c r="C12558" t="s">
        <v>8990</v>
      </c>
      <c r="D12558">
        <v>346090</v>
      </c>
      <c r="E12558" t="s">
        <v>14</v>
      </c>
      <c r="F12558">
        <v>47.329700000000003</v>
      </c>
      <c r="G12558">
        <v>36.335000000000001</v>
      </c>
      <c r="H12558">
        <v>2</v>
      </c>
      <c r="I12558">
        <v>221</v>
      </c>
      <c r="J12558" t="str">
        <f>HYPERLINK("https://climate.onebuilding.org/WMO_Region_6_Europe/UKR_Ukraine/ZP_Zaporizka/UKR_ZP_Kyrylivka.346090_TMYx.2009-2023.zip")</f>
        <v>https://climate.onebuilding.org/WMO_Region_6_Europe/UKR_Ukraine/ZP_Zaporizka/UKR_ZP_Kyrylivka.346090_TMYx.2009-2023.zip</v>
      </c>
    </row>
    <row r="12559" spans="1:10" x14ac:dyDescent="0.25">
      <c r="A12559" t="s">
        <v>8766</v>
      </c>
      <c r="B12559" t="s">
        <v>6812</v>
      </c>
      <c r="C12559" t="s">
        <v>8990</v>
      </c>
      <c r="D12559">
        <v>346090</v>
      </c>
      <c r="E12559" t="s">
        <v>14</v>
      </c>
      <c r="F12559">
        <v>47.329700000000003</v>
      </c>
      <c r="G12559">
        <v>36.335000000000001</v>
      </c>
      <c r="H12559">
        <v>2</v>
      </c>
      <c r="I12559">
        <v>221</v>
      </c>
      <c r="J12559" t="str">
        <f>HYPERLINK("https://climate.onebuilding.org/WMO_Region_6_Europe/UKR_Ukraine/ZP_Zaporizka/UKR_ZP_Kyrylivka.346090_TMYx.zip")</f>
        <v>https://climate.onebuilding.org/WMO_Region_6_Europe/UKR_Ukraine/ZP_Zaporizka/UKR_ZP_Kyrylivka.346090_TMYx.zip</v>
      </c>
    </row>
    <row r="12560" spans="1:10" x14ac:dyDescent="0.25">
      <c r="A12560" t="s">
        <v>8766</v>
      </c>
      <c r="B12560" t="s">
        <v>8911</v>
      </c>
      <c r="C12560" t="s">
        <v>8991</v>
      </c>
      <c r="D12560">
        <v>346150</v>
      </c>
      <c r="E12560" t="s">
        <v>14</v>
      </c>
      <c r="F12560">
        <v>47.614699999999999</v>
      </c>
      <c r="G12560">
        <v>37.489400000000003</v>
      </c>
      <c r="H12560">
        <v>2</v>
      </c>
      <c r="I12560">
        <v>267</v>
      </c>
      <c r="J12560" t="str">
        <f>HYPERLINK("https://climate.onebuilding.org/WMO_Region_6_Europe/UKR_Ukraine/DT_Donetska/UKR_DT_Volnovakha.346150_TMYx.zip")</f>
        <v>https://climate.onebuilding.org/WMO_Region_6_Europe/UKR_Ukraine/DT_Donetska/UKR_DT_Volnovakha.346150_TMYx.zip</v>
      </c>
    </row>
    <row r="12561" spans="1:10" x14ac:dyDescent="0.25">
      <c r="A12561" t="s">
        <v>8766</v>
      </c>
      <c r="B12561" t="s">
        <v>8911</v>
      </c>
      <c r="C12561" t="s">
        <v>8992</v>
      </c>
      <c r="D12561">
        <v>346220</v>
      </c>
      <c r="E12561" t="s">
        <v>14</v>
      </c>
      <c r="F12561">
        <v>47.792200000000001</v>
      </c>
      <c r="G12561">
        <v>38.496699999999997</v>
      </c>
      <c r="H12561">
        <v>2</v>
      </c>
      <c r="I12561">
        <v>164</v>
      </c>
      <c r="J12561" t="str">
        <f>HYPERLINK("https://climate.onebuilding.org/WMO_Region_6_Europe/UKR_Ukraine/DT_Donetska/UKR_DT_Amvrosiivka.346220_TMYx.zip")</f>
        <v>https://climate.onebuilding.org/WMO_Region_6_Europe/UKR_Ukraine/DT_Donetska/UKR_DT_Amvrosiivka.346220_TMYx.zip</v>
      </c>
    </row>
    <row r="12562" spans="1:10" x14ac:dyDescent="0.25">
      <c r="A12562" t="s">
        <v>8766</v>
      </c>
      <c r="B12562" t="s">
        <v>6812</v>
      </c>
      <c r="C12562" t="s">
        <v>8993</v>
      </c>
      <c r="D12562">
        <v>347040</v>
      </c>
      <c r="E12562" t="s">
        <v>14</v>
      </c>
      <c r="F12562">
        <v>46.830300000000001</v>
      </c>
      <c r="G12562">
        <v>35.356699999999996</v>
      </c>
      <c r="H12562">
        <v>2</v>
      </c>
      <c r="I12562">
        <v>34</v>
      </c>
      <c r="J12562" t="str">
        <f>HYPERLINK("https://climate.onebuilding.org/WMO_Region_6_Europe/UKR_Ukraine/ZP_Zaporizka/UKR_ZP_Melitopol.347040_TMYx.zip")</f>
        <v>https://climate.onebuilding.org/WMO_Region_6_Europe/UKR_Ukraine/ZP_Zaporizka/UKR_ZP_Melitopol.347040_TMYx.zip</v>
      </c>
    </row>
    <row r="12563" spans="1:10" x14ac:dyDescent="0.25">
      <c r="A12563" t="s">
        <v>8766</v>
      </c>
      <c r="B12563" t="s">
        <v>6812</v>
      </c>
      <c r="C12563" t="s">
        <v>8994</v>
      </c>
      <c r="D12563">
        <v>347080</v>
      </c>
      <c r="E12563" t="s">
        <v>14</v>
      </c>
      <c r="F12563">
        <v>46.683599999999998</v>
      </c>
      <c r="G12563">
        <v>35.842799999999997</v>
      </c>
      <c r="H12563">
        <v>2</v>
      </c>
      <c r="I12563">
        <v>19</v>
      </c>
      <c r="J12563" t="str">
        <f>HYPERLINK("https://climate.onebuilding.org/WMO_Region_6_Europe/UKR_Ukraine/ZP_Zaporizka/UKR_ZP_Botijeve.347080_TMYx.zip")</f>
        <v>https://climate.onebuilding.org/WMO_Region_6_Europe/UKR_Ukraine/ZP_Zaporizka/UKR_ZP_Botijeve.347080_TMYx.zip</v>
      </c>
    </row>
    <row r="12564" spans="1:10" x14ac:dyDescent="0.25">
      <c r="A12564" t="s">
        <v>8766</v>
      </c>
      <c r="B12564" t="s">
        <v>8911</v>
      </c>
      <c r="C12564" t="s">
        <v>8995</v>
      </c>
      <c r="D12564">
        <v>347120</v>
      </c>
      <c r="E12564" t="s">
        <v>8996</v>
      </c>
      <c r="F12564">
        <v>47.042499999999997</v>
      </c>
      <c r="G12564">
        <v>37.484400000000001</v>
      </c>
      <c r="H12564">
        <v>2</v>
      </c>
      <c r="I12564">
        <v>70</v>
      </c>
      <c r="J12564" t="str">
        <f>HYPERLINK("https://climate.onebuilding.org/WMO_Region_6_Europe/UKR_Ukraine/DT_Donetska/UKR_DT_Mariupol.347120_TMYx.2004-2018.zip")</f>
        <v>https://climate.onebuilding.org/WMO_Region_6_Europe/UKR_Ukraine/DT_Donetska/UKR_DT_Mariupol.347120_TMYx.2004-2018.zip</v>
      </c>
    </row>
    <row r="12565" spans="1:10" x14ac:dyDescent="0.25">
      <c r="A12565" t="s">
        <v>8766</v>
      </c>
      <c r="B12565" t="s">
        <v>8911</v>
      </c>
      <c r="C12565" t="s">
        <v>8995</v>
      </c>
      <c r="D12565">
        <v>347120</v>
      </c>
      <c r="E12565" t="s">
        <v>14</v>
      </c>
      <c r="F12565">
        <v>47.042499999999997</v>
      </c>
      <c r="G12565">
        <v>37.484400000000001</v>
      </c>
      <c r="H12565">
        <v>2</v>
      </c>
      <c r="I12565">
        <v>70</v>
      </c>
      <c r="J12565" t="str">
        <f>HYPERLINK("https://climate.onebuilding.org/WMO_Region_6_Europe/UKR_Ukraine/DT_Donetska/UKR_DT_Mariupol.347120_TMYx.2007-2021.zip")</f>
        <v>https://climate.onebuilding.org/WMO_Region_6_Europe/UKR_Ukraine/DT_Donetska/UKR_DT_Mariupol.347120_TMYx.2007-2021.zip</v>
      </c>
    </row>
    <row r="12566" spans="1:10" x14ac:dyDescent="0.25">
      <c r="A12566" t="s">
        <v>8766</v>
      </c>
      <c r="B12566" t="s">
        <v>8911</v>
      </c>
      <c r="C12566" t="s">
        <v>8995</v>
      </c>
      <c r="D12566">
        <v>347120</v>
      </c>
      <c r="E12566" t="s">
        <v>14</v>
      </c>
      <c r="F12566">
        <v>47.042499999999997</v>
      </c>
      <c r="G12566">
        <v>37.484400000000001</v>
      </c>
      <c r="H12566">
        <v>2</v>
      </c>
      <c r="I12566">
        <v>70</v>
      </c>
      <c r="J12566" t="str">
        <f>HYPERLINK("https://climate.onebuilding.org/WMO_Region_6_Europe/UKR_Ukraine/DT_Donetska/UKR_DT_Mariupol.347120_TMYx.2009-2023.zip")</f>
        <v>https://climate.onebuilding.org/WMO_Region_6_Europe/UKR_Ukraine/DT_Donetska/UKR_DT_Mariupol.347120_TMYx.2009-2023.zip</v>
      </c>
    </row>
    <row r="12567" spans="1:10" x14ac:dyDescent="0.25">
      <c r="A12567" t="s">
        <v>8766</v>
      </c>
      <c r="B12567" t="s">
        <v>8911</v>
      </c>
      <c r="C12567" t="s">
        <v>8995</v>
      </c>
      <c r="D12567">
        <v>347120</v>
      </c>
      <c r="E12567" t="s">
        <v>14</v>
      </c>
      <c r="F12567">
        <v>47.042499999999997</v>
      </c>
      <c r="G12567">
        <v>37.484400000000001</v>
      </c>
      <c r="H12567">
        <v>2</v>
      </c>
      <c r="I12567">
        <v>70</v>
      </c>
      <c r="J12567" t="str">
        <f>HYPERLINK("https://climate.onebuilding.org/WMO_Region_6_Europe/UKR_Ukraine/DT_Donetska/UKR_DT_Mariupol.347120_TMYx.zip")</f>
        <v>https://climate.onebuilding.org/WMO_Region_6_Europe/UKR_Ukraine/DT_Donetska/UKR_DT_Mariupol.347120_TMYx.zip</v>
      </c>
    </row>
    <row r="12568" spans="1:10" x14ac:dyDescent="0.25">
      <c r="A12568" t="s">
        <v>8766</v>
      </c>
      <c r="B12568" t="s">
        <v>6812</v>
      </c>
      <c r="C12568" t="s">
        <v>8997</v>
      </c>
      <c r="D12568">
        <v>347170</v>
      </c>
      <c r="E12568" t="s">
        <v>14</v>
      </c>
      <c r="F12568">
        <v>46.753100000000003</v>
      </c>
      <c r="G12568">
        <v>36.783499999999997</v>
      </c>
      <c r="H12568">
        <v>2</v>
      </c>
      <c r="I12568">
        <v>2</v>
      </c>
      <c r="J12568" t="str">
        <f>HYPERLINK("https://climate.onebuilding.org/WMO_Region_6_Europe/UKR_Ukraine/ZP_Zaporizka/UKR_ZP_Berdyansk.347170_TMYx.zip")</f>
        <v>https://climate.onebuilding.org/WMO_Region_6_Europe/UKR_Ukraine/ZP_Zaporizka/UKR_ZP_Berdyansk.347170_TMYx.zip</v>
      </c>
    </row>
    <row r="12569" spans="1:10" x14ac:dyDescent="0.25">
      <c r="A12569" t="s">
        <v>8998</v>
      </c>
      <c r="B12569" t="s">
        <v>4901</v>
      </c>
      <c r="C12569" t="s">
        <v>8999</v>
      </c>
      <c r="D12569" t="s">
        <v>9000</v>
      </c>
      <c r="E12569" t="s">
        <v>78</v>
      </c>
      <c r="F12569">
        <v>41.902500000000003</v>
      </c>
      <c r="G12569">
        <v>12.452500000000001</v>
      </c>
      <c r="H12569">
        <v>1</v>
      </c>
      <c r="I12569">
        <v>26</v>
      </c>
      <c r="J12569" t="str">
        <f>HYPERLINK("https://climate.onebuilding.org/WMO_Region_6_Europe/VAT_Vatican_City/VAT_VA_Vatican.City.VAT001_TMYx.2007-2021.zip")</f>
        <v>https://climate.onebuilding.org/WMO_Region_6_Europe/VAT_Vatican_City/VAT_VA_Vatican.City.VAT001_TMYx.2007-2021.zip</v>
      </c>
    </row>
    <row r="12570" spans="1:10" x14ac:dyDescent="0.25">
      <c r="A12570" t="s">
        <v>8998</v>
      </c>
      <c r="B12570" t="s">
        <v>4901</v>
      </c>
      <c r="C12570" t="s">
        <v>8999</v>
      </c>
      <c r="D12570" t="s">
        <v>9000</v>
      </c>
      <c r="E12570" t="s">
        <v>78</v>
      </c>
      <c r="F12570">
        <v>41.902500000000003</v>
      </c>
      <c r="G12570">
        <v>12.452500000000001</v>
      </c>
      <c r="H12570">
        <v>1</v>
      </c>
      <c r="I12570">
        <v>26</v>
      </c>
      <c r="J12570" t="str">
        <f>HYPERLINK("https://climate.onebuilding.org/WMO_Region_6_Europe/VAT_Vatican_City/VAT_VA_Vatican.City.VAT001_TMYx.2009-2023.zip")</f>
        <v>https://climate.onebuilding.org/WMO_Region_6_Europe/VAT_Vatican_City/VAT_VA_Vatican.City.VAT001_TMYx.2009-2023.zip</v>
      </c>
    </row>
    <row r="12571" spans="1:10" x14ac:dyDescent="0.25">
      <c r="A12571" t="s">
        <v>8998</v>
      </c>
      <c r="B12571" t="s">
        <v>4901</v>
      </c>
      <c r="C12571" t="s">
        <v>8999</v>
      </c>
      <c r="D12571" t="s">
        <v>9000</v>
      </c>
      <c r="E12571" t="s">
        <v>78</v>
      </c>
      <c r="F12571">
        <v>41.902500000000003</v>
      </c>
      <c r="G12571">
        <v>12.452500000000001</v>
      </c>
      <c r="H12571">
        <v>1</v>
      </c>
      <c r="I12571">
        <v>26</v>
      </c>
      <c r="J12571" t="str">
        <f>HYPERLINK("https://climate.onebuilding.org/WMO_Region_6_Europe/VAT_Vatican_City/VAT_VA_Vatican.City.VAT001_TMYx.zip")</f>
        <v>https://climate.onebuilding.org/WMO_Region_6_Europe/VAT_Vatican_City/VAT_VA_Vatican.City.VAT001_TMYx.zip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Reg6_Europe_TMYx_EPW_Processing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2024-08-22T14:22:10Z</dcterms:created>
  <dcterms:modified xsi:type="dcterms:W3CDTF">2024-08-22T14:22:11Z</dcterms:modified>
</cp:coreProperties>
</file>